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Default Extension="tiff" ContentType="image/tiff"/>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2.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drawings/drawing3.xml" ContentType="application/vnd.openxmlformats-officedocument.drawing+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drawings/drawing4.xml" ContentType="application/vnd.openxmlformats-officedocument.drawing+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drawings/drawing5.xml" ContentType="application/vnd.openxmlformats-officedocument.drawing+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drawings/drawing6.xml" ContentType="application/vnd.openxmlformats-officedocument.drawing+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drawings/drawing7.xml" ContentType="application/vnd.openxmlformats-officedocument.drawing+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drawings/drawing8.xml" ContentType="application/vnd.openxmlformats-officedocument.drawing+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drawings/drawing9.xml" ContentType="application/vnd.openxmlformats-officedocument.drawing+xml"/>
  <Override PartName="/xl/embeddings/oleObject1.bin" ContentType="application/vnd.openxmlformats-officedocument.oleObject"/>
  <Override PartName="/xl/drawings/drawing10.xml" ContentType="application/vnd.openxmlformats-officedocument.drawing+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drawings/drawing11.xml" ContentType="application/vnd.openxmlformats-officedocument.drawing+xml"/>
  <Override PartName="/xl/ctrlProps/ctrlProp109.xml" ContentType="application/vnd.ms-excel.controlproperties+xml"/>
  <Override PartName="/xl/ctrlProps/ctrlProp110.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embeddings/oleObject6.bin" ContentType="application/vnd.openxmlformats-officedocument.oleObject"/>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trlProps/ctrlProp146.xml" ContentType="application/vnd.ms-excel.controlproperties+xml"/>
  <Override PartName="/xl/ctrlProps/ctrlProp147.xml" ContentType="application/vnd.ms-excel.controlproperties+xml"/>
  <Override PartName="/xl/drawings/drawing38.xml" ContentType="application/vnd.openxmlformats-officedocument.drawing+xml"/>
  <Override PartName="/xl/drawings/drawing3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updateLinks="always" codeName="ThisWorkbook" defaultThemeVersion="124226"/>
  <mc:AlternateContent xmlns:mc="http://schemas.openxmlformats.org/markup-compatibility/2006">
    <mc:Choice Requires="x15">
      <x15ac:absPath xmlns:x15ac="http://schemas.microsoft.com/office/spreadsheetml/2010/11/ac" url="C:\Users\well0277\Desktop\"/>
    </mc:Choice>
  </mc:AlternateContent>
  <bookViews>
    <workbookView xWindow="0" yWindow="0" windowWidth="21468" windowHeight="8880" tabRatio="853" firstSheet="3" activeTab="21"/>
  </bookViews>
  <sheets>
    <sheet name="Drop-Down Lists" sheetId="38" state="hidden" r:id="rId1"/>
    <sheet name="Intro-MASTER" sheetId="1" r:id="rId2"/>
    <sheet name="Prelim" sheetId="4" r:id="rId3"/>
    <sheet name="Field" sheetId="5" r:id="rId4"/>
    <sheet name="Soil Log 1" sheetId="65" r:id="rId5"/>
    <sheet name="Soil Log 2" sheetId="61" r:id="rId6"/>
    <sheet name="Soil Log 3" sheetId="60" r:id="rId7"/>
    <sheet name="Soil Log 4" sheetId="59" r:id="rId8"/>
    <sheet name="Soil Log 5" sheetId="58" r:id="rId9"/>
    <sheet name="Soil Log 6" sheetId="63" r:id="rId10"/>
    <sheet name="Soil Chart" sheetId="57" r:id="rId11"/>
    <sheet name="Site Eval Sketch" sheetId="67" r:id="rId12"/>
    <sheet name="Site Eval Map" sheetId="8" state="hidden" r:id="rId13"/>
    <sheet name="Perc. Test" sheetId="9" r:id="rId14"/>
    <sheet name="Summary" sheetId="10" r:id="rId15"/>
    <sheet name="Sketch" sheetId="11" state="hidden" r:id="rId16"/>
    <sheet name="Trench" sheetId="12" r:id="rId17"/>
    <sheet name="Bed " sheetId="13" r:id="rId18"/>
    <sheet name="At-Grade" sheetId="17" r:id="rId19"/>
    <sheet name="Mound&lt;1%" sheetId="14" r:id="rId20"/>
    <sheet name="Mound&gt;1%" sheetId="15" r:id="rId21"/>
    <sheet name="Mound Mat." sheetId="16" r:id="rId22"/>
    <sheet name="Drip" sheetId="18" r:id="rId23"/>
    <sheet name="Pres. Dist." sheetId="19" r:id="rId24"/>
    <sheet name="Non-Level " sheetId="20" r:id="rId25"/>
    <sheet name="Pump-Basic(1) " sheetId="21" r:id="rId26"/>
    <sheet name="Pump Tank(1)Demand" sheetId="22" r:id="rId27"/>
    <sheet name="Pump-Tank(1)Time" sheetId="40" r:id="rId28"/>
    <sheet name="Pump-Basic(2)" sheetId="23" r:id="rId29"/>
    <sheet name="Pump Tank (2)Demand" sheetId="42" r:id="rId30"/>
    <sheet name="Pump-Tank(2)Time" sheetId="62" r:id="rId31"/>
    <sheet name="Pump-Collection" sheetId="25" r:id="rId32"/>
    <sheet name="Flow EQ" sheetId="43" r:id="rId33"/>
    <sheet name="Sand Filter" sheetId="26" r:id="rId34"/>
    <sheet name="Existing Dwellings" sheetId="27" r:id="rId35"/>
    <sheet name="OE-Measured Flow" sheetId="64" r:id="rId36"/>
    <sheet name="OE-Estimated Flow" sheetId="29" r:id="rId37"/>
    <sheet name="Final Flow Total" sheetId="30" r:id="rId38"/>
    <sheet name="Flow &amp; System Summary" sheetId="31" r:id="rId39"/>
    <sheet name="Tank Buoyancy" sheetId="32" r:id="rId40"/>
    <sheet name="Tank Buoyancy (2)" sheetId="46" r:id="rId41"/>
    <sheet name="Waste Strengths" sheetId="34" r:id="rId42"/>
  </sheets>
  <externalReferences>
    <externalReference r:id="rId43"/>
    <externalReference r:id="rId44"/>
    <externalReference r:id="rId45"/>
    <externalReference r:id="rId46"/>
  </externalReferences>
  <definedNames>
    <definedName name="_10___45_gpm" localSheetId="28">'Pump-Basic(2)'!$N$6</definedName>
    <definedName name="_10___45_gpm">'Pump-Basic(1) '!$N$6</definedName>
    <definedName name="_xlnm._FilterDatabase" localSheetId="14" hidden="1">Summary!$B$99:$U$105</definedName>
    <definedName name="AtGradeDown" localSheetId="35">'[1]Drop-Down Lists'!$H$2:$H$27</definedName>
    <definedName name="AtGradeDown" localSheetId="11">'[2]Drop-Down Lists'!$H$2:$H$27</definedName>
    <definedName name="AtGradeDown" localSheetId="10">'[3]Drop-Down Lists'!$H$2:$H$27</definedName>
    <definedName name="AtGradeDown">'Drop-Down Lists'!$H$2:$H$27</definedName>
    <definedName name="AtGradeUp" localSheetId="35">'[1]Drop-Down Lists'!$G$2:$G$27</definedName>
    <definedName name="AtGradeUp" localSheetId="11">'[2]Drop-Down Lists'!$G$2:$G$27</definedName>
    <definedName name="AtGradeUp" localSheetId="10">'[3]Drop-Down Lists'!$G$2:$G$27</definedName>
    <definedName name="AtGradeUp">'Drop-Down Lists'!$G$2:$G$27</definedName>
    <definedName name="Bedrooms" localSheetId="35">'[1]Drop-Down Lists'!$A$35:$A$42</definedName>
    <definedName name="Bedrooms" localSheetId="10">'[3]Drop-Down Lists'!$A$35:$A$42</definedName>
    <definedName name="Bedrooms">'Drop-Down Lists'!$A$35:$A$42</definedName>
    <definedName name="CLR" localSheetId="35">'[1]Drop-Down Lists'!$G$30:$G$49</definedName>
    <definedName name="CLR" localSheetId="11">'[2]Drop-Down Lists'!$G$30:$G$49</definedName>
    <definedName name="CLR" localSheetId="10">'[3]Drop-Down Lists'!$G$30:$G$49</definedName>
    <definedName name="CLR">'Drop-Down Lists'!$G$30:$G$49</definedName>
    <definedName name="CoarseFragments" localSheetId="35">'[1]Drop-Down Lists'!$J$43:$J$45</definedName>
    <definedName name="CoarseFragments" localSheetId="11">'[2]Drop-Down Lists'!$J$43:$J$45</definedName>
    <definedName name="CoarseFragments" localSheetId="10">'[3]Drop-Down Lists'!$J$43:$J$45</definedName>
    <definedName name="CoarseFragments">'Drop-Down Lists'!$J$43:$J$45</definedName>
    <definedName name="DepthAlarm" localSheetId="35">'[1]Drop-Down Lists'!$B$30:$B$31</definedName>
    <definedName name="DepthAlarm" localSheetId="11">'[2]Drop-Down Lists'!$B$30:$B$31</definedName>
    <definedName name="DepthAlarm" localSheetId="10">'[3]Drop-Down Lists'!$B$30:$B$31</definedName>
    <definedName name="DepthAlarm">'Drop-Down Lists'!$B$30:$B$31</definedName>
    <definedName name="DepthPipe">'Drop-Down Lists'!$D$41:$D$42</definedName>
    <definedName name="DispersalMedia" localSheetId="35">'[1]Drop-Down Lists'!$J$2:$J$3</definedName>
    <definedName name="DispersalMedia" localSheetId="11">'[2]Drop-Down Lists'!$J$2:$J$3</definedName>
    <definedName name="DispersalMedia" localSheetId="10">'[3]Drop-Down Lists'!$J$2:$J$3</definedName>
    <definedName name="DispersalMedia">'Drop-Down Lists'!$J$2:$J$3</definedName>
    <definedName name="DistHeadLoss" localSheetId="35">'[1]Drop-Down Lists'!$E$41:$E$45</definedName>
    <definedName name="DistHeadLoss" localSheetId="11">'[2]Drop-Down Lists'!$E$41:$E$45</definedName>
    <definedName name="DistHeadLoss" localSheetId="10">'[3]Drop-Down Lists'!$E$41:$E$45</definedName>
    <definedName name="DistHeadLoss">'Drop-Down Lists'!$E$42:$E$46</definedName>
    <definedName name="DistMedia" localSheetId="35">'[1]Drop-Down Lists'!$E$35:$E$38</definedName>
    <definedName name="DistMedia" localSheetId="11">'[2]Drop-Down Lists'!$E$35:$E$38</definedName>
    <definedName name="DistMedia" localSheetId="10">'[3]Drop-Down Lists'!$E$35:$E$38</definedName>
    <definedName name="DistMedia">'Drop-Down Lists'!$E$36:$E$39</definedName>
    <definedName name="DistType" localSheetId="35">'[1]Drop-Down Lists'!$L$69:$L$71</definedName>
    <definedName name="DistType" localSheetId="11">'[2]Drop-Down Lists'!$L$69:$L$71</definedName>
    <definedName name="DistType" localSheetId="10">'[3]Drop-Down Lists'!$L$69:$L$71</definedName>
    <definedName name="DistType">'Drop-Down Lists'!$L$69:$L$71</definedName>
    <definedName name="EfflScreen" localSheetId="11">#REF!</definedName>
    <definedName name="EfflScreen" localSheetId="4">#REF!</definedName>
    <definedName name="EfflScreen">#REF!</definedName>
    <definedName name="EffScreen" localSheetId="35">'[1]Drop-Down Lists'!$D$33:$D$34</definedName>
    <definedName name="EffScreen" localSheetId="11">'[2]Drop-Down Lists'!$D$33:$D$34</definedName>
    <definedName name="EffScreen" localSheetId="10">'[3]Drop-Down Lists'!$D$33:$D$34</definedName>
    <definedName name="EffScreen">'Drop-Down Lists'!$D$33:$D$34</definedName>
    <definedName name="EndCenter">'Drop-Down Lists'!$B$27:$B$28</definedName>
    <definedName name="FlowClass" localSheetId="35">'[1]Drop-Down Lists'!$J$6:$J$9</definedName>
    <definedName name="FlowClass" localSheetId="10">'[3]Drop-Down Lists'!$J$6:$J$9</definedName>
    <definedName name="FlowClass">'Drop-Down Lists'!$J$6:$J$9</definedName>
    <definedName name="Gravity_Or_Pressure" localSheetId="35">'[1]Drop-Down Lists'!$L$74:$L$75</definedName>
    <definedName name="Gravity_Or_Pressure" localSheetId="11">'[2]Drop-Down Lists'!$L$74:$L$75</definedName>
    <definedName name="Gravity_Or_Pressure" localSheetId="10">'[3]Drop-Down Lists'!$L$74:$L$75</definedName>
    <definedName name="Gravity_Or_Pressure">'Drop-Down Lists'!$L$74:$L$75</definedName>
    <definedName name="Hue" localSheetId="35">'[1]Drop-Down Lists'!$D$51:$D$60</definedName>
    <definedName name="Hue" localSheetId="11">'[2]Drop-Down Lists'!$D$51:$D$60</definedName>
    <definedName name="Hue" localSheetId="10">'[3]Drop-Down Lists'!$D$51:$D$60</definedName>
    <definedName name="Hue">'Drop-Down Lists'!$D$51:$D$60</definedName>
    <definedName name="LandscapePosition" localSheetId="35">'[1]Drop-Down Lists'!$D$3:$D$10</definedName>
    <definedName name="LandscapePosition" localSheetId="11">'[2]Drop-Down Lists'!$D$3:$D$10</definedName>
    <definedName name="LandscapePosition" localSheetId="10">'[3]Drop-Down Lists'!$D$3:$D$10</definedName>
    <definedName name="LandscapePosition">'Drop-Down Lists'!$D$3:$D$10</definedName>
    <definedName name="Laterals">'Drop-Down Lists'!$K$2:$K$21</definedName>
    <definedName name="MediaDepth">'Drop-Down Lists'!$J$34:$J$36</definedName>
    <definedName name="MediaLoadRate" localSheetId="19">'Drop-Down Lists'!$D$45:$D$47</definedName>
    <definedName name="MediaLoadRate" localSheetId="35">'[1]Drop-Down Lists'!$D$45:$D$47</definedName>
    <definedName name="MediaLoadRate" localSheetId="11">'[2]Drop-Down Lists'!$D$45:$D$47</definedName>
    <definedName name="MediaLoadRate" localSheetId="10">'[3]Drop-Down Lists'!$D$45:$D$47</definedName>
    <definedName name="MediaLoadRate">'Drop-Down Lists'!$D$45:$D$47</definedName>
    <definedName name="MinHead" localSheetId="35">'[1]Drop-Down Lists'!$C$44:$C$47</definedName>
    <definedName name="MinHead" localSheetId="11">'[2]Drop-Down Lists'!$C$44:$C$47</definedName>
    <definedName name="MinHead" localSheetId="10">'[3]Drop-Down Lists'!$C$44:$C$47</definedName>
    <definedName name="MinHead">'Drop-Down Lists'!$C$44:$C$47</definedName>
    <definedName name="MoundAbsorptionRatio">'Drop-Down Lists'!$J$17:$J$30</definedName>
    <definedName name="MPCAType" localSheetId="35">'[1]Drop-Down Lists'!$F$62:$F$66</definedName>
    <definedName name="MPCAType" localSheetId="11">'[2]Drop-Down Lists'!$F$62:$F$66</definedName>
    <definedName name="MPCAType" localSheetId="10">'[3]Drop-Down Lists'!$F$62:$F$66</definedName>
    <definedName name="MPCAType">'Drop-Down Lists'!$F$62:$F$66</definedName>
    <definedName name="Nutrients">'Drop-Down Lists'!$J$62:$J$64</definedName>
    <definedName name="ObservationType" localSheetId="35">'[1]Drop-Down Lists'!$B$48:$B$50</definedName>
    <definedName name="ObservationType" localSheetId="11">'[2]Drop-Down Lists'!$B$48:$B$50</definedName>
    <definedName name="ObservationType" localSheetId="10">'[3]Drop-Down Lists'!$B$48:$B$50</definedName>
    <definedName name="ObservationType">'Drop-Down Lists'!$B$48:$B$50</definedName>
    <definedName name="OtherEstabType" localSheetId="35">'[1]Drop-Down Lists'!$L$2:$L$46</definedName>
    <definedName name="OtherEstabType" localSheetId="11">'[2]Drop-Down Lists'!$L$2:$L$46</definedName>
    <definedName name="OtherEstabType" localSheetId="10">'[3]Drop-Down Lists'!$L$2:$L$46</definedName>
    <definedName name="OtherEstabType">'Drop-Down Lists'!$L$2:$L$46</definedName>
    <definedName name="OtherEstabUnit" localSheetId="35">'[1]Drop-Down Lists'!$M$2:$M$41</definedName>
    <definedName name="OtherEstabUnit" localSheetId="11">'[2]Drop-Down Lists'!$M$2:$M$41</definedName>
    <definedName name="OtherEstabUnit">'Drop-Down Lists'!$M$2:$M$41</definedName>
    <definedName name="PerfDia" localSheetId="35">'[1]Drop-Down Lists'!$D$27:$D$30</definedName>
    <definedName name="PerfDia" localSheetId="11">'[2]Drop-Down Lists'!$D$27:$D$30</definedName>
    <definedName name="PerfDia" localSheetId="10">'[3]Drop-Down Lists'!$D$27:$D$30</definedName>
    <definedName name="PerfDia">'Drop-Down Lists'!$D$27:$D$30</definedName>
    <definedName name="PerfSpace" localSheetId="35">'[1]Drop-Down Lists'!$B$42:$B$44</definedName>
    <definedName name="PerfSpace" localSheetId="11">'[2]Drop-Down Lists'!$B$42:$B$44</definedName>
    <definedName name="PerfSpace" localSheetId="10">'[3]Drop-Down Lists'!$B$42:$B$44</definedName>
    <definedName name="PerfSpace">'Drop-Down Lists'!$B$42:$B$44</definedName>
    <definedName name="PipeDia" localSheetId="35">'[1]Drop-Down Lists'!$I$2:$I$8</definedName>
    <definedName name="PipeDia" localSheetId="11">'[2]Drop-Down Lists'!$I$2:$I$8</definedName>
    <definedName name="PipeDia" localSheetId="10">'[3]Drop-Down Lists'!$I$2:$I$8</definedName>
    <definedName name="PipeDia">'Drop-Down Lists'!$I$2:$I$8</definedName>
    <definedName name="_xlnm.Print_Area" localSheetId="18">'At-Grade'!$A$1:$N$126</definedName>
    <definedName name="_xlnm.Print_Area" localSheetId="17">'Bed '!$A$1:$T$89</definedName>
    <definedName name="_xlnm.Print_Area" localSheetId="22">Drip!$A$1:$U$304</definedName>
    <definedName name="_xlnm.Print_Area" localSheetId="0">'Drop-Down Lists'!$A$1:$M$47</definedName>
    <definedName name="_xlnm.Print_Area" localSheetId="34">'Existing Dwellings'!$A$1:$F$36</definedName>
    <definedName name="_xlnm.Print_Area" localSheetId="3">Field!$A$1:$V$57</definedName>
    <definedName name="_xlnm.Print_Area" localSheetId="37">'Final Flow Total'!$A$1:$G$11</definedName>
    <definedName name="_xlnm.Print_Area" localSheetId="38">'Flow &amp; System Summary'!$A$1:$O$116</definedName>
    <definedName name="_xlnm.Print_Area" localSheetId="32">'Flow EQ'!$A$1:$G$40</definedName>
    <definedName name="_xlnm.Print_Area" localSheetId="21">'Mound Mat.'!$A$1:$S$61</definedName>
    <definedName name="_xlnm.Print_Area" localSheetId="19">'Mound&lt;1%'!$A$1:$R$142</definedName>
    <definedName name="_xlnm.Print_Area" localSheetId="20">'Mound&gt;1%'!$A$1:$S$142</definedName>
    <definedName name="_xlnm.Print_Area" localSheetId="24">'Non-Level '!$A$1:$T$196</definedName>
    <definedName name="_xlnm.Print_Area" localSheetId="36">'OE-Estimated Flow'!$A$1:$F$19</definedName>
    <definedName name="_xlnm.Print_Area" localSheetId="35">'OE-Measured Flow'!$A$1:$AD$46</definedName>
    <definedName name="_xlnm.Print_Area" localSheetId="13">'Perc. Test'!$A$1:$Q$104</definedName>
    <definedName name="_xlnm.Print_Area" localSheetId="23">'Pres. Dist.'!$A$1:$R$83</definedName>
    <definedName name="_xlnm.Print_Area" localSheetId="29">'Pump Tank (2)Demand'!$A$1:$T$55</definedName>
    <definedName name="_xlnm.Print_Area" localSheetId="26">'Pump Tank(1)Demand'!$A$1:$T$55</definedName>
    <definedName name="_xlnm.Print_Area" localSheetId="25">'Pump-Basic(1) '!$A$1:$S$55</definedName>
    <definedName name="_xlnm.Print_Area" localSheetId="28">'Pump-Basic(2)'!$A$1:$S$54</definedName>
    <definedName name="_xlnm.Print_Area" localSheetId="31">'Pump-Collection'!$A$1:$T$54</definedName>
    <definedName name="_xlnm.Print_Area" localSheetId="27">'Pump-Tank(1)Time'!$A$1:$T$79</definedName>
    <definedName name="_xlnm.Print_Area" localSheetId="30">'Pump-Tank(2)Time'!$A$1:$T$79</definedName>
    <definedName name="_xlnm.Print_Area" localSheetId="33">'Sand Filter'!$A$1:$I$135</definedName>
    <definedName name="_xlnm.Print_Area" localSheetId="12">'Site Eval Map'!$A$1:$X$46</definedName>
    <definedName name="_xlnm.Print_Area" localSheetId="11">'Site Eval Sketch'!$A$1:$X$58</definedName>
    <definedName name="_xlnm.Print_Area" localSheetId="15">Sketch!$A$1:$X$77</definedName>
    <definedName name="_xlnm.Print_Area" localSheetId="4">'Soil Log 1'!$A$1:$M$28</definedName>
    <definedName name="_xlnm.Print_Area" localSheetId="5">'Soil Log 2'!$A$1:$M$28</definedName>
    <definedName name="_xlnm.Print_Area" localSheetId="6">'Soil Log 3'!$A$1:$M$28</definedName>
    <definedName name="_xlnm.Print_Area" localSheetId="7">'Soil Log 4'!$A$1:$M$28</definedName>
    <definedName name="_xlnm.Print_Area" localSheetId="8">'Soil Log 5'!$A$1:$M$28</definedName>
    <definedName name="_xlnm.Print_Area" localSheetId="9">'Soil Log 6'!$A$1:$M$28</definedName>
    <definedName name="_xlnm.Print_Area" localSheetId="14">Summary!$A$1:$V$177</definedName>
    <definedName name="_xlnm.Print_Area" localSheetId="39">'Tank Buoyancy'!$A$1:$T$61</definedName>
    <definedName name="_xlnm.Print_Area" localSheetId="40">'Tank Buoyancy (2)'!$A$1:$T$60</definedName>
    <definedName name="_xlnm.Print_Area" localSheetId="16">Trench!$A$1:$S$105</definedName>
    <definedName name="_xlnm.Print_Area" localSheetId="41">'Waste Strengths'!$A$1:$C$53</definedName>
    <definedName name="_xlnm.Print_Titles" localSheetId="38">'Flow &amp; System Summary'!$1:$1</definedName>
    <definedName name="_xlnm.Print_Titles" localSheetId="24">'Non-Level '!$1:$1</definedName>
    <definedName name="_xlnm.Print_Titles" localSheetId="35">'OE-Measured Flow'!$1:$1</definedName>
    <definedName name="_xlnm.Print_Titles" localSheetId="23">'Pres. Dist.'!$1:$1</definedName>
    <definedName name="_xlnm.Print_Titles" localSheetId="26">'Pump Tank(1)Demand'!$1:$1</definedName>
    <definedName name="_xlnm.Print_Titles" localSheetId="31">'Pump-Collection'!$1:$1</definedName>
    <definedName name="_xlnm.Print_Titles" localSheetId="27">'Pump-Tank(1)Time'!$1:$1</definedName>
    <definedName name="_xlnm.Print_Titles" localSheetId="30">'Pump-Tank(2)Time'!$1:$1</definedName>
    <definedName name="_xlnm.Print_Titles" localSheetId="33">'Sand Filter'!$1:$1</definedName>
    <definedName name="_xlnm.Print_Titles" localSheetId="11">'Site Eval Sketch'!$1:$2</definedName>
    <definedName name="_xlnm.Print_Titles" localSheetId="15">Sketch!$1:$2</definedName>
    <definedName name="_xlnm.Print_Titles" localSheetId="41">'Waste Strengths'!$1:$3</definedName>
    <definedName name="PumpTankDesc">'Drop-Down Lists'!$J$54:$J$59</definedName>
    <definedName name="PumpTankType" localSheetId="35">'[1]Drop-Down Lists'!$B$60:$B$61</definedName>
    <definedName name="PumpTankType" localSheetId="11">'[2]Drop-Down Lists'!$B$60:$B$61</definedName>
    <definedName name="PumpTankType" localSheetId="10">'[3]Drop-Down Lists'!$B$60:$B$61</definedName>
    <definedName name="PumpTankType">'Drop-Down Lists'!$B$60:$B$61</definedName>
    <definedName name="PumpType">'Drop-Down Lists'!$B$53:$B$54</definedName>
    <definedName name="RedoxIndicators" localSheetId="35">'[1]Drop-Down Lists'!$F$3:$F$34</definedName>
    <definedName name="RedoxIndicators" localSheetId="10">'[3]Drop-Down Lists'!$F$3:$F$34</definedName>
    <definedName name="RedoxIndicators">'Drop-Down Lists'!$F$3:$F$34</definedName>
    <definedName name="RedoxKind" localSheetId="35">'[4]Drop-Down Lists'!$C$13:$C$19</definedName>
    <definedName name="RedoxKind">'Drop-Down Lists'!$C$14:$C$20</definedName>
    <definedName name="Reduction" localSheetId="35">'[1]Drop-Down Lists'!$D$37:$D$38</definedName>
    <definedName name="Reduction" localSheetId="11">'[2]Drop-Down Lists'!$D$37:$D$38</definedName>
    <definedName name="Reduction" localSheetId="10">'[3]Drop-Down Lists'!$D$37:$D$38</definedName>
    <definedName name="Reduction">'Drop-Down Lists'!$D$37:$D$38</definedName>
    <definedName name="RockFragments">'Drop-Down Lists'!$J$43:$J$47</definedName>
    <definedName name="Sandy_Soil_Options" localSheetId="35">'[1]Drop-Down Lists'!$J$49:$J$50</definedName>
    <definedName name="Sandy_Soil_Options" localSheetId="11">'[2]Drop-Down Lists'!$J$50:$J$51</definedName>
    <definedName name="Sandy_Soil_Options" localSheetId="10">'[3]Drop-Down Lists'!$J$49:$J$50</definedName>
    <definedName name="Sandy_Soil_Options">'Drop-Down Lists'!$J$49:$J$50</definedName>
    <definedName name="SHLR" localSheetId="35">'[1]Drop-Down Lists'!$C$28:$C$40</definedName>
    <definedName name="SHLR" localSheetId="11">'[2]Drop-Down Lists'!$C$28:$C$40</definedName>
    <definedName name="SHLR" localSheetId="10">'[3]Drop-Down Lists'!$C$28:$C$40</definedName>
    <definedName name="SHLR">'Drop-Down Lists'!$C$28:$C$40</definedName>
    <definedName name="SizeMult">'Drop-Down Lists'!$C$50:$C$51</definedName>
    <definedName name="Slope" localSheetId="35">'[1]Drop-Down Lists'!$A$2:$A$32</definedName>
    <definedName name="Slope" localSheetId="11">'[2]Drop-Down Lists'!$A$2:$A$32</definedName>
    <definedName name="Slope" localSheetId="10">'[3]Drop-Down Lists'!$A$2:$A$32</definedName>
    <definedName name="Slope">'Drop-Down Lists'!$A$2:$A$32</definedName>
    <definedName name="SlopeShape" localSheetId="35">'[1]Drop-Down Lists'!$C$2:$C$10</definedName>
    <definedName name="SlopeShape" localSheetId="11">'[2]Drop-Down Lists'!$C$2:$C$10</definedName>
    <definedName name="SlopeShape" localSheetId="10">'[3]Drop-Down Lists'!$C$2:$C$10</definedName>
    <definedName name="SlopeShape">'Drop-Down Lists'!$C$2:$C$10</definedName>
    <definedName name="SoilTexture7080" localSheetId="35">'[1]Drop-Down Lists'!$B$2:$B$25</definedName>
    <definedName name="SoilTexture7080" localSheetId="11">'[2]Drop-Down Lists'!$B$2:$B$25</definedName>
    <definedName name="SoilTexture7080" localSheetId="10">'[3]Drop-Down Lists'!$B$2:$B$25</definedName>
    <definedName name="SoilTexture7080">'Drop-Down Lists'!$B$2:$B$25</definedName>
    <definedName name="SoilTextureOSTP">'Drop-Down Lists'!$E$2:$E$24</definedName>
    <definedName name="solver_cvg" localSheetId="20" hidden="1">0.0001</definedName>
    <definedName name="solver_drv" localSheetId="20" hidden="1">1</definedName>
    <definedName name="solver_est" localSheetId="20" hidden="1">1</definedName>
    <definedName name="solver_itr" localSheetId="20" hidden="1">100</definedName>
    <definedName name="solver_lin" localSheetId="20" hidden="1">2</definedName>
    <definedName name="solver_neg" localSheetId="20" hidden="1">2</definedName>
    <definedName name="solver_num" localSheetId="20" hidden="1">0</definedName>
    <definedName name="solver_nwt" localSheetId="20" hidden="1">1</definedName>
    <definedName name="solver_opt" localSheetId="20" hidden="1">'Mound&gt;1%'!#REF!</definedName>
    <definedName name="solver_pre" localSheetId="20" hidden="1">0.000001</definedName>
    <definedName name="solver_scl" localSheetId="20" hidden="1">2</definedName>
    <definedName name="solver_sho" localSheetId="20" hidden="1">2</definedName>
    <definedName name="solver_tim" localSheetId="20" hidden="1">100</definedName>
    <definedName name="solver_tol" localSheetId="20" hidden="1">0.05</definedName>
    <definedName name="solver_typ" localSheetId="20" hidden="1">1</definedName>
    <definedName name="solver_val" localSheetId="20" hidden="1">10</definedName>
    <definedName name="STA" localSheetId="35">'[1]Drop-Down Lists'!$L$62:$L$66</definedName>
    <definedName name="STA" localSheetId="11">'[2]Drop-Down Lists'!$L$62:$L$66</definedName>
    <definedName name="STA" localSheetId="10">'[3]Drop-Down Lists'!$L$62:$L$66</definedName>
    <definedName name="STA">'Drop-Down Lists'!$L$62:$L$66</definedName>
    <definedName name="StructureConsistence" localSheetId="35">'[1]Drop-Down Lists'!$D$20:$D$24</definedName>
    <definedName name="StructureConsistence" localSheetId="11">'[2]Drop-Down Lists'!$D$20:$D$24</definedName>
    <definedName name="StructureConsistence" localSheetId="10">'[3]Drop-Down Lists'!$D$20:$D$24</definedName>
    <definedName name="StructureConsistence">'Drop-Down Lists'!$D$20:$D$24</definedName>
    <definedName name="StructureGrade" localSheetId="35">'[1]Drop-Down Lists'!$C$22:$C$25</definedName>
    <definedName name="StructureGrade" localSheetId="11">'[2]Drop-Down Lists'!$C$22:$C$25</definedName>
    <definedName name="StructureGrade" localSheetId="10">'[3]Drop-Down Lists'!$C$22:$C$25</definedName>
    <definedName name="StructureGrade">'Drop-Down Lists'!$C$22:$C$25</definedName>
    <definedName name="StructureShape" localSheetId="35">'[1]Drop-Down Lists'!$D$12:$D$17</definedName>
    <definedName name="StructureShape" localSheetId="11">'[2]Drop-Down Lists'!$D$12:$D$17</definedName>
    <definedName name="StructureShape" localSheetId="10">'[3]Drop-Down Lists'!$D$12:$D$17</definedName>
    <definedName name="StructureShape">'Drop-Down Lists'!$D$12:$D$17</definedName>
    <definedName name="TankSize">'Drop-Down Lists'!$B$34:$B$39</definedName>
    <definedName name="TreatmentLevel" localSheetId="35">'[1]Drop-Down Lists'!$J$67:$J$71</definedName>
    <definedName name="TreatmentLevel" localSheetId="11">'[2]Drop-Down Lists'!$J$68:$J$72</definedName>
    <definedName name="TreatmentLevel" localSheetId="10">'[3]Drop-Down Lists'!$J$67:$J$71</definedName>
    <definedName name="TreatmentLevel">'Drop-Down Lists'!$J$67:$J$71</definedName>
    <definedName name="TypeOfWastewater" localSheetId="35">'[4]Drop-Down Lists'!$J$74:$J$76</definedName>
    <definedName name="TypeOfWastewater">'Drop-Down Lists'!$J$74:$J$76</definedName>
    <definedName name="ValueChroma" localSheetId="35">'[1]Drop-Down Lists'!$E$47:$E$87</definedName>
    <definedName name="ValueChroma" localSheetId="11">'[2]Drop-Down Lists'!$E$47:$E$87</definedName>
    <definedName name="ValueChroma" localSheetId="10">'[3]Drop-Down Lists'!$E$47:$E$87</definedName>
    <definedName name="ValueChroma">'Drop-Down Lists'!$E$48:$E$88</definedName>
    <definedName name="VolumePipe">'Drop-Down Lists'!$E$28:$E$33</definedName>
    <definedName name="YN" localSheetId="35">'[1]Drop-Down Lists'!$H$30:$H$31</definedName>
    <definedName name="YN" localSheetId="11">'[2]Drop-Down Lists'!$H$30:$H$31</definedName>
    <definedName name="YN" localSheetId="10">'[3]Drop-Down Lists'!$H$30:$H$31</definedName>
    <definedName name="YN">'Drop-Down Lists'!$H$30:$H$31</definedName>
    <definedName name="YNOptional">'Drop-Down Lists'!$I$33:$I$35</definedName>
    <definedName name="Z_3320ADAB_1745_4CE0_B739_BF2E8269138B_.wvu.PrintArea" localSheetId="18" hidden="1">'At-Grade'!$A$1:$Y$91</definedName>
    <definedName name="Z_3320ADAB_1745_4CE0_B739_BF2E8269138B_.wvu.PrintArea" localSheetId="17" hidden="1">'Bed '!$A$1:$T$40</definedName>
    <definedName name="Z_3320ADAB_1745_4CE0_B739_BF2E8269138B_.wvu.PrintArea" localSheetId="20" hidden="1">'Mound&gt;1%'!$A$1:$AB$142</definedName>
    <definedName name="Z_3320ADAB_1745_4CE0_B739_BF2E8269138B_.wvu.PrintArea" localSheetId="24" hidden="1">'Non-Level '!$A$1:$T$189</definedName>
    <definedName name="Z_3320ADAB_1745_4CE0_B739_BF2E8269138B_.wvu.PrintArea" localSheetId="23" hidden="1">'Pres. Dist.'!$A$1:$R$76</definedName>
    <definedName name="Z_3320ADAB_1745_4CE0_B739_BF2E8269138B_.wvu.PrintArea" localSheetId="26" hidden="1">'Pump Tank(1)Demand'!$A$1:$T$55</definedName>
    <definedName name="Z_3320ADAB_1745_4CE0_B739_BF2E8269138B_.wvu.PrintArea" localSheetId="31" hidden="1">'Pump-Collection'!$A$1:$T$54</definedName>
    <definedName name="Z_3320ADAB_1745_4CE0_B739_BF2E8269138B_.wvu.PrintArea" localSheetId="14" hidden="1">Summary!$B$2:$U$179</definedName>
    <definedName name="Z_3320ADAB_1745_4CE0_B739_BF2E8269138B_.wvu.PrintArea" localSheetId="16" hidden="1">Trench!$A$1:$S$80</definedName>
    <definedName name="Z_D1431318_1DB8_4C45_813B_5A8065DFC797_.wvu.PrintArea" localSheetId="18" hidden="1">'At-Grade'!$A$1:$N$126</definedName>
    <definedName name="Z_D1431318_1DB8_4C45_813B_5A8065DFC797_.wvu.PrintArea" localSheetId="17" hidden="1">'Bed '!$A$1:$T$87</definedName>
    <definedName name="Z_D1431318_1DB8_4C45_813B_5A8065DFC797_.wvu.PrintArea" localSheetId="22" hidden="1">Drip!$A$1:$U$304</definedName>
    <definedName name="Z_D1431318_1DB8_4C45_813B_5A8065DFC797_.wvu.PrintArea" localSheetId="0" hidden="1">'Drop-Down Lists'!$A$1:$M$47</definedName>
    <definedName name="Z_D1431318_1DB8_4C45_813B_5A8065DFC797_.wvu.PrintArea" localSheetId="34" hidden="1">'Existing Dwellings'!$A$1:$F$36</definedName>
    <definedName name="Z_D1431318_1DB8_4C45_813B_5A8065DFC797_.wvu.PrintArea" localSheetId="3" hidden="1">Field!$B$1:$L$56</definedName>
    <definedName name="Z_D1431318_1DB8_4C45_813B_5A8065DFC797_.wvu.PrintArea" localSheetId="37" hidden="1">'Final Flow Total'!$A$1:$G$11</definedName>
    <definedName name="Z_D1431318_1DB8_4C45_813B_5A8065DFC797_.wvu.PrintArea" localSheetId="38" hidden="1">'Flow &amp; System Summary'!$A$1:$O$116</definedName>
    <definedName name="Z_D1431318_1DB8_4C45_813B_5A8065DFC797_.wvu.PrintArea" localSheetId="21" hidden="1">'Mound Mat.'!$A$1:$S$61</definedName>
    <definedName name="Z_D1431318_1DB8_4C45_813B_5A8065DFC797_.wvu.PrintArea" localSheetId="19" hidden="1">'Mound&lt;1%'!$A$1:$R$142</definedName>
    <definedName name="Z_D1431318_1DB8_4C45_813B_5A8065DFC797_.wvu.PrintArea" localSheetId="20" hidden="1">'Mound&gt;1%'!$A$1:$S$142</definedName>
    <definedName name="Z_D1431318_1DB8_4C45_813B_5A8065DFC797_.wvu.PrintArea" localSheetId="24" hidden="1">'Non-Level '!$A$1:$T$196</definedName>
    <definedName name="Z_D1431318_1DB8_4C45_813B_5A8065DFC797_.wvu.PrintArea" localSheetId="36" hidden="1">'OE-Estimated Flow'!$A$1:$F$19</definedName>
    <definedName name="Z_D1431318_1DB8_4C45_813B_5A8065DFC797_.wvu.PrintArea" localSheetId="35" hidden="1">'OE-Measured Flow'!$A$1:$N$45</definedName>
    <definedName name="Z_D1431318_1DB8_4C45_813B_5A8065DFC797_.wvu.PrintArea" localSheetId="13" hidden="1">'Perc. Test'!$A$1:$Q$61</definedName>
    <definedName name="Z_D1431318_1DB8_4C45_813B_5A8065DFC797_.wvu.PrintArea" localSheetId="2" hidden="1">Prelim!$B$1:$P$108</definedName>
    <definedName name="Z_D1431318_1DB8_4C45_813B_5A8065DFC797_.wvu.PrintArea" localSheetId="23" hidden="1">'Pres. Dist.'!$A$1:$R$83</definedName>
    <definedName name="Z_D1431318_1DB8_4C45_813B_5A8065DFC797_.wvu.PrintArea" localSheetId="26" hidden="1">'Pump Tank(1)Demand'!$A$1:$T$55</definedName>
    <definedName name="Z_D1431318_1DB8_4C45_813B_5A8065DFC797_.wvu.PrintArea" localSheetId="25" hidden="1">'Pump-Basic(1) '!$A$1:$S$54</definedName>
    <definedName name="Z_D1431318_1DB8_4C45_813B_5A8065DFC797_.wvu.PrintArea" localSheetId="28" hidden="1">'Pump-Basic(2)'!$A$1:$S$54</definedName>
    <definedName name="Z_D1431318_1DB8_4C45_813B_5A8065DFC797_.wvu.PrintArea" localSheetId="31" hidden="1">'Pump-Collection'!$A$1:$T$54</definedName>
    <definedName name="Z_D1431318_1DB8_4C45_813B_5A8065DFC797_.wvu.PrintArea" localSheetId="33" hidden="1">'Sand Filter'!$A$1:$I$135</definedName>
    <definedName name="Z_D1431318_1DB8_4C45_813B_5A8065DFC797_.wvu.PrintArea" localSheetId="12" hidden="1">'Site Eval Map'!$A$1:$AJ$48</definedName>
    <definedName name="Z_D1431318_1DB8_4C45_813B_5A8065DFC797_.wvu.PrintArea" localSheetId="11" hidden="1">'Site Eval Sketch'!$A$1:$AJ$56</definedName>
    <definedName name="Z_D1431318_1DB8_4C45_813B_5A8065DFC797_.wvu.PrintArea" localSheetId="15" hidden="1">Sketch!$A$1:$AJ$55</definedName>
    <definedName name="Z_D1431318_1DB8_4C45_813B_5A8065DFC797_.wvu.PrintArea" localSheetId="10" hidden="1">'Soil Chart'!$A$1:$Q$40</definedName>
    <definedName name="Z_D1431318_1DB8_4C45_813B_5A8065DFC797_.wvu.PrintArea" localSheetId="14" hidden="1">Summary!$B$2:$U$179</definedName>
    <definedName name="Z_D1431318_1DB8_4C45_813B_5A8065DFC797_.wvu.PrintArea" localSheetId="39" hidden="1">'Tank Buoyancy'!$A$1:$T$61</definedName>
    <definedName name="Z_D1431318_1DB8_4C45_813B_5A8065DFC797_.wvu.PrintArea" localSheetId="40" hidden="1">'Tank Buoyancy (2)'!$A$1:$T$60</definedName>
    <definedName name="Z_D1431318_1DB8_4C45_813B_5A8065DFC797_.wvu.PrintArea" localSheetId="16" hidden="1">Trench!$A$1:$S$105</definedName>
    <definedName name="Z_D1431318_1DB8_4C45_813B_5A8065DFC797_.wvu.PrintArea" localSheetId="41" hidden="1">'Waste Strengths'!$A$1:$C$53</definedName>
    <definedName name="Z_D1431318_1DB8_4C45_813B_5A8065DFC797_.wvu.PrintTitles" localSheetId="38" hidden="1">'Flow &amp; System Summary'!$1:$1</definedName>
    <definedName name="Z_D1431318_1DB8_4C45_813B_5A8065DFC797_.wvu.PrintTitles" localSheetId="24" hidden="1">'Non-Level '!$1:$1</definedName>
    <definedName name="Z_D1431318_1DB8_4C45_813B_5A8065DFC797_.wvu.PrintTitles" localSheetId="2" hidden="1">Prelim!#REF!</definedName>
    <definedName name="Z_D1431318_1DB8_4C45_813B_5A8065DFC797_.wvu.PrintTitles" localSheetId="23" hidden="1">'Pres. Dist.'!$1:$1</definedName>
    <definedName name="Z_D1431318_1DB8_4C45_813B_5A8065DFC797_.wvu.PrintTitles" localSheetId="26" hidden="1">'Pump Tank(1)Demand'!$1:$1</definedName>
    <definedName name="Z_D1431318_1DB8_4C45_813B_5A8065DFC797_.wvu.PrintTitles" localSheetId="31" hidden="1">'Pump-Collection'!$1:$1</definedName>
    <definedName name="Z_D1431318_1DB8_4C45_813B_5A8065DFC797_.wvu.PrintTitles" localSheetId="33" hidden="1">'Sand Filter'!$1:$1</definedName>
    <definedName name="Z_D1431318_1DB8_4C45_813B_5A8065DFC797_.wvu.PrintTitles" localSheetId="14" hidden="1">Summary!#REF!</definedName>
    <definedName name="Z_D1431318_1DB8_4C45_813B_5A8065DFC797_.wvu.PrintTitles" localSheetId="41" hidden="1">'Waste Strengths'!$1:$3</definedName>
    <definedName name="Z_D1431318_1DB8_4C45_813B_5A8065DFC797_.wvu.Rows" localSheetId="38" hidden="1">'Flow &amp; System Summary'!$95:$95</definedName>
  </definedNames>
  <calcPr calcId="162913"/>
  <customWorkbookViews>
    <customWorkbookView name="User - Personal View" guid="{3320ADAB-1745-4CE0-B739-BF2E8269138B}" mergeInterval="0" personalView="1" maximized="1" windowWidth="1676" windowHeight="838" tabRatio="853" activeSheetId="1"/>
    <customWorkbookView name="CWLECLA - Personal View" guid="{D1431318-1DB8-4C45-813B-5A8065DFC797}" mergeInterval="0" personalView="1" maximized="1" windowWidth="1600" windowHeight="977" tabRatio="894" activeSheetId="1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11" i="10" l="1"/>
  <c r="L27" i="17" l="1"/>
  <c r="G80" i="10" l="1"/>
  <c r="Q17" i="32" l="1"/>
  <c r="M42" i="4" l="1"/>
  <c r="I42" i="4"/>
  <c r="S42" i="4"/>
  <c r="I4" i="8" l="1"/>
  <c r="K83" i="12" l="1"/>
  <c r="F78" i="13" l="1"/>
  <c r="F84" i="17" l="1"/>
  <c r="G134" i="14"/>
  <c r="G133" i="15" l="1"/>
  <c r="M58" i="13" l="1"/>
  <c r="L45" i="13"/>
  <c r="C91" i="12" l="1"/>
  <c r="K93" i="12"/>
  <c r="K89" i="12"/>
  <c r="K87" i="12"/>
  <c r="D79" i="12" l="1"/>
  <c r="C62" i="15" l="1"/>
  <c r="C68" i="14" l="1"/>
  <c r="J2" i="65" l="1"/>
  <c r="B2" i="65"/>
  <c r="L1" i="65"/>
  <c r="J1" i="65"/>
  <c r="O89" i="10"/>
  <c r="M80" i="10"/>
  <c r="K80" i="10"/>
  <c r="O65" i="10"/>
  <c r="F65" i="10"/>
  <c r="M2" i="64" l="1"/>
  <c r="L71" i="14"/>
  <c r="L64" i="15"/>
  <c r="L44" i="64"/>
  <c r="L42" i="64"/>
  <c r="L40" i="64"/>
  <c r="L38" i="64"/>
  <c r="AD33" i="64"/>
  <c r="AC33" i="64"/>
  <c r="Y33" i="64"/>
  <c r="X33" i="64"/>
  <c r="T33" i="64"/>
  <c r="S33" i="64"/>
  <c r="J33" i="64"/>
  <c r="I33" i="64"/>
  <c r="E33" i="64"/>
  <c r="D33" i="64"/>
  <c r="AD32" i="64"/>
  <c r="AC32" i="64"/>
  <c r="Y32" i="64"/>
  <c r="X32" i="64"/>
  <c r="T32" i="64"/>
  <c r="S32" i="64"/>
  <c r="J32" i="64"/>
  <c r="I32" i="64"/>
  <c r="E32" i="64"/>
  <c r="D32" i="64"/>
  <c r="AD31" i="64"/>
  <c r="AC31" i="64"/>
  <c r="Y31" i="64"/>
  <c r="X31" i="64"/>
  <c r="T31" i="64"/>
  <c r="S31" i="64"/>
  <c r="J31" i="64"/>
  <c r="I31" i="64"/>
  <c r="E31" i="64"/>
  <c r="D31" i="64"/>
  <c r="AD30" i="64"/>
  <c r="AC30" i="64"/>
  <c r="Y30" i="64"/>
  <c r="X30" i="64"/>
  <c r="T30" i="64"/>
  <c r="S30" i="64"/>
  <c r="J30" i="64"/>
  <c r="I30" i="64"/>
  <c r="E30" i="64"/>
  <c r="D30" i="64"/>
  <c r="AD29" i="64"/>
  <c r="AC29" i="64"/>
  <c r="Y29" i="64"/>
  <c r="X29" i="64"/>
  <c r="T29" i="64"/>
  <c r="S29" i="64"/>
  <c r="J29" i="64"/>
  <c r="I29" i="64"/>
  <c r="E29" i="64"/>
  <c r="D29" i="64"/>
  <c r="AD28" i="64"/>
  <c r="AC28" i="64"/>
  <c r="Y28" i="64"/>
  <c r="X28" i="64"/>
  <c r="T28" i="64"/>
  <c r="S28" i="64"/>
  <c r="J28" i="64"/>
  <c r="I28" i="64"/>
  <c r="E28" i="64"/>
  <c r="D28" i="64"/>
  <c r="AD27" i="64"/>
  <c r="AC27" i="64"/>
  <c r="Y27" i="64"/>
  <c r="X27" i="64"/>
  <c r="T27" i="64"/>
  <c r="S27" i="64"/>
  <c r="O27" i="64"/>
  <c r="N27" i="64"/>
  <c r="J27" i="64"/>
  <c r="I27" i="64"/>
  <c r="E27" i="64"/>
  <c r="D27" i="64"/>
  <c r="AD26" i="64"/>
  <c r="AC26" i="64"/>
  <c r="Y26" i="64"/>
  <c r="X26" i="64"/>
  <c r="T26" i="64"/>
  <c r="S26" i="64"/>
  <c r="O26" i="64"/>
  <c r="N26" i="64"/>
  <c r="J26" i="64"/>
  <c r="I26" i="64"/>
  <c r="E26" i="64"/>
  <c r="D26" i="64"/>
  <c r="AD25" i="64"/>
  <c r="AC25" i="64"/>
  <c r="Y25" i="64"/>
  <c r="X25" i="64"/>
  <c r="T25" i="64"/>
  <c r="S25" i="64"/>
  <c r="O25" i="64"/>
  <c r="N25" i="64"/>
  <c r="J25" i="64"/>
  <c r="I25" i="64"/>
  <c r="E25" i="64"/>
  <c r="D25" i="64"/>
  <c r="AD24" i="64"/>
  <c r="AC24" i="64"/>
  <c r="Y24" i="64"/>
  <c r="X24" i="64"/>
  <c r="T24" i="64"/>
  <c r="S24" i="64"/>
  <c r="O24" i="64"/>
  <c r="N24" i="64"/>
  <c r="J24" i="64"/>
  <c r="I24" i="64"/>
  <c r="E24" i="64"/>
  <c r="D24" i="64"/>
  <c r="AD23" i="64"/>
  <c r="AC23" i="64"/>
  <c r="Y23" i="64"/>
  <c r="X23" i="64"/>
  <c r="T23" i="64"/>
  <c r="S23" i="64"/>
  <c r="O23" i="64"/>
  <c r="N23" i="64"/>
  <c r="J23" i="64"/>
  <c r="I23" i="64"/>
  <c r="E23" i="64"/>
  <c r="D23" i="64"/>
  <c r="AD22" i="64"/>
  <c r="AC22" i="64"/>
  <c r="Y22" i="64"/>
  <c r="X22" i="64"/>
  <c r="T22" i="64"/>
  <c r="S22" i="64"/>
  <c r="O22" i="64"/>
  <c r="N22" i="64"/>
  <c r="J22" i="64"/>
  <c r="I22" i="64"/>
  <c r="E22" i="64"/>
  <c r="D22" i="64"/>
  <c r="AD21" i="64"/>
  <c r="AC21" i="64"/>
  <c r="Y21" i="64"/>
  <c r="X21" i="64"/>
  <c r="T21" i="64"/>
  <c r="S21" i="64"/>
  <c r="O21" i="64"/>
  <c r="N21" i="64"/>
  <c r="J21" i="64"/>
  <c r="I21" i="64"/>
  <c r="E21" i="64"/>
  <c r="D21" i="64"/>
  <c r="AD20" i="64"/>
  <c r="AC20" i="64"/>
  <c r="Y20" i="64"/>
  <c r="X20" i="64"/>
  <c r="T20" i="64"/>
  <c r="S20" i="64"/>
  <c r="O20" i="64"/>
  <c r="N20" i="64"/>
  <c r="J20" i="64"/>
  <c r="I20" i="64"/>
  <c r="E20" i="64"/>
  <c r="D20" i="64"/>
  <c r="AD19" i="64"/>
  <c r="AC19" i="64"/>
  <c r="Y19" i="64"/>
  <c r="X19" i="64"/>
  <c r="T19" i="64"/>
  <c r="S19" i="64"/>
  <c r="O19" i="64"/>
  <c r="N19" i="64"/>
  <c r="J19" i="64"/>
  <c r="I19" i="64"/>
  <c r="E19" i="64"/>
  <c r="D19" i="64"/>
  <c r="AD18" i="64"/>
  <c r="AC18" i="64"/>
  <c r="Y18" i="64"/>
  <c r="X18" i="64"/>
  <c r="T18" i="64"/>
  <c r="S18" i="64"/>
  <c r="O18" i="64"/>
  <c r="N18" i="64"/>
  <c r="J18" i="64"/>
  <c r="I18" i="64"/>
  <c r="E18" i="64"/>
  <c r="D18" i="64"/>
  <c r="AD17" i="64"/>
  <c r="AC17" i="64"/>
  <c r="Y17" i="64"/>
  <c r="X17" i="64"/>
  <c r="T17" i="64"/>
  <c r="S17" i="64"/>
  <c r="O17" i="64"/>
  <c r="N17" i="64"/>
  <c r="J17" i="64"/>
  <c r="I17" i="64"/>
  <c r="E17" i="64"/>
  <c r="D17" i="64"/>
  <c r="AD16" i="64"/>
  <c r="AC16" i="64"/>
  <c r="Y16" i="64"/>
  <c r="X16" i="64"/>
  <c r="T16" i="64"/>
  <c r="S16" i="64"/>
  <c r="O16" i="64"/>
  <c r="N16" i="64"/>
  <c r="J16" i="64"/>
  <c r="I16" i="64"/>
  <c r="E16" i="64"/>
  <c r="D16" i="64"/>
  <c r="AD15" i="64"/>
  <c r="AC15" i="64"/>
  <c r="Y15" i="64"/>
  <c r="X15" i="64"/>
  <c r="T15" i="64"/>
  <c r="S15" i="64"/>
  <c r="O15" i="64"/>
  <c r="N15" i="64"/>
  <c r="J15" i="64"/>
  <c r="I15" i="64"/>
  <c r="E15" i="64"/>
  <c r="D15" i="64"/>
  <c r="AD14" i="64"/>
  <c r="AC14" i="64"/>
  <c r="Y14" i="64"/>
  <c r="X14" i="64"/>
  <c r="T14" i="64"/>
  <c r="S14" i="64"/>
  <c r="O14" i="64"/>
  <c r="N14" i="64"/>
  <c r="J14" i="64"/>
  <c r="I14" i="64"/>
  <c r="E14" i="64"/>
  <c r="D14" i="64"/>
  <c r="AD13" i="64"/>
  <c r="AC13" i="64"/>
  <c r="Y13" i="64"/>
  <c r="X13" i="64"/>
  <c r="T13" i="64"/>
  <c r="S13" i="64"/>
  <c r="O13" i="64"/>
  <c r="N13" i="64"/>
  <c r="J13" i="64"/>
  <c r="I13" i="64"/>
  <c r="E13" i="64"/>
  <c r="D13" i="64"/>
  <c r="AD12" i="64"/>
  <c r="AC12" i="64"/>
  <c r="Y12" i="64"/>
  <c r="X12" i="64"/>
  <c r="T12" i="64"/>
  <c r="S12" i="64"/>
  <c r="O12" i="64"/>
  <c r="N12" i="64"/>
  <c r="J12" i="64"/>
  <c r="I12" i="64"/>
  <c r="E12" i="64"/>
  <c r="D12" i="64"/>
  <c r="AD11" i="64"/>
  <c r="AC11" i="64"/>
  <c r="Y11" i="64"/>
  <c r="X11" i="64"/>
  <c r="T11" i="64"/>
  <c r="S11" i="64"/>
  <c r="O11" i="64"/>
  <c r="N11" i="64"/>
  <c r="J11" i="64"/>
  <c r="I11" i="64"/>
  <c r="E11" i="64"/>
  <c r="D11" i="64"/>
  <c r="AD10" i="64"/>
  <c r="AC10" i="64"/>
  <c r="Y10" i="64"/>
  <c r="X10" i="64"/>
  <c r="T10" i="64"/>
  <c r="S10" i="64"/>
  <c r="O10" i="64"/>
  <c r="N10" i="64"/>
  <c r="J10" i="64"/>
  <c r="I10" i="64"/>
  <c r="D10" i="64"/>
  <c r="AD9" i="64"/>
  <c r="AC9" i="64"/>
  <c r="Y9" i="64"/>
  <c r="X9" i="64"/>
  <c r="T9" i="64"/>
  <c r="S9" i="64"/>
  <c r="O9" i="64"/>
  <c r="N9" i="64"/>
  <c r="J9" i="64"/>
  <c r="I9" i="64"/>
  <c r="D9" i="64"/>
  <c r="AD8" i="64"/>
  <c r="AC8" i="64"/>
  <c r="Y8" i="64"/>
  <c r="X8" i="64"/>
  <c r="T8" i="64"/>
  <c r="S8" i="64"/>
  <c r="O8" i="64"/>
  <c r="N8" i="64"/>
  <c r="J8" i="64"/>
  <c r="I8" i="64"/>
  <c r="D8" i="64"/>
  <c r="AD7" i="64"/>
  <c r="AC7" i="64"/>
  <c r="Y7" i="64"/>
  <c r="X7" i="64"/>
  <c r="T7" i="64"/>
  <c r="S7" i="64"/>
  <c r="O7" i="64"/>
  <c r="N7" i="64"/>
  <c r="J7" i="64"/>
  <c r="I7" i="64"/>
  <c r="D7" i="64"/>
  <c r="AD6" i="64"/>
  <c r="AC6" i="64"/>
  <c r="Y6" i="64"/>
  <c r="X6" i="64"/>
  <c r="T6" i="64"/>
  <c r="S6" i="64"/>
  <c r="O6" i="64"/>
  <c r="N6" i="64"/>
  <c r="J6" i="64"/>
  <c r="I6" i="64"/>
  <c r="D6" i="64"/>
  <c r="AD5" i="64"/>
  <c r="AC5" i="64"/>
  <c r="Z5" i="64"/>
  <c r="Z6" i="64" s="1"/>
  <c r="Z7" i="64" s="1"/>
  <c r="Z8" i="64" s="1"/>
  <c r="Z9" i="64" s="1"/>
  <c r="Z10" i="64" s="1"/>
  <c r="Z11" i="64" s="1"/>
  <c r="Z12" i="64" s="1"/>
  <c r="Z13" i="64" s="1"/>
  <c r="Z14" i="64" s="1"/>
  <c r="Z15" i="64" s="1"/>
  <c r="Z16" i="64" s="1"/>
  <c r="Z17" i="64" s="1"/>
  <c r="Z18" i="64" s="1"/>
  <c r="Z19" i="64" s="1"/>
  <c r="Z20" i="64" s="1"/>
  <c r="Z21" i="64" s="1"/>
  <c r="Z22" i="64" s="1"/>
  <c r="Z23" i="64" s="1"/>
  <c r="Z24" i="64" s="1"/>
  <c r="Z25" i="64" s="1"/>
  <c r="Z26" i="64" s="1"/>
  <c r="Z27" i="64" s="1"/>
  <c r="Z28" i="64" s="1"/>
  <c r="Z29" i="64" s="1"/>
  <c r="Z30" i="64" s="1"/>
  <c r="Z31" i="64" s="1"/>
  <c r="Z32" i="64" s="1"/>
  <c r="Z33" i="64" s="1"/>
  <c r="Y5" i="64"/>
  <c r="X5" i="64"/>
  <c r="U5" i="64"/>
  <c r="U6" i="64" s="1"/>
  <c r="U7" i="64" s="1"/>
  <c r="U8" i="64" s="1"/>
  <c r="U9" i="64" s="1"/>
  <c r="U10" i="64" s="1"/>
  <c r="U11" i="64" s="1"/>
  <c r="U12" i="64" s="1"/>
  <c r="U13" i="64" s="1"/>
  <c r="U14" i="64" s="1"/>
  <c r="U15" i="64" s="1"/>
  <c r="U16" i="64" s="1"/>
  <c r="U17" i="64" s="1"/>
  <c r="U18" i="64" s="1"/>
  <c r="U19" i="64" s="1"/>
  <c r="U20" i="64" s="1"/>
  <c r="U21" i="64" s="1"/>
  <c r="U22" i="64" s="1"/>
  <c r="U23" i="64" s="1"/>
  <c r="U24" i="64" s="1"/>
  <c r="U25" i="64" s="1"/>
  <c r="U26" i="64" s="1"/>
  <c r="U27" i="64" s="1"/>
  <c r="U28" i="64" s="1"/>
  <c r="U29" i="64" s="1"/>
  <c r="U30" i="64" s="1"/>
  <c r="U31" i="64" s="1"/>
  <c r="U32" i="64" s="1"/>
  <c r="U33" i="64" s="1"/>
  <c r="T5" i="64"/>
  <c r="S5" i="64"/>
  <c r="P5" i="64"/>
  <c r="P6" i="64" s="1"/>
  <c r="P7" i="64" s="1"/>
  <c r="P8" i="64" s="1"/>
  <c r="P9" i="64" s="1"/>
  <c r="P10" i="64" s="1"/>
  <c r="P11" i="64" s="1"/>
  <c r="P12" i="64" s="1"/>
  <c r="P13" i="64" s="1"/>
  <c r="P14" i="64" s="1"/>
  <c r="P15" i="64" s="1"/>
  <c r="P16" i="64" s="1"/>
  <c r="P17" i="64" s="1"/>
  <c r="P18" i="64" s="1"/>
  <c r="P19" i="64" s="1"/>
  <c r="P20" i="64" s="1"/>
  <c r="P21" i="64" s="1"/>
  <c r="P22" i="64" s="1"/>
  <c r="P23" i="64" s="1"/>
  <c r="P24" i="64" s="1"/>
  <c r="P25" i="64" s="1"/>
  <c r="P26" i="64" s="1"/>
  <c r="P27" i="64" s="1"/>
  <c r="P28" i="64" s="1"/>
  <c r="P29" i="64" s="1"/>
  <c r="P30" i="64" s="1"/>
  <c r="P31" i="64" s="1"/>
  <c r="P32" i="64" s="1"/>
  <c r="P33" i="64" s="1"/>
  <c r="O5" i="64"/>
  <c r="N5" i="64"/>
  <c r="K5" i="64"/>
  <c r="K6" i="64" s="1"/>
  <c r="K7" i="64" s="1"/>
  <c r="K8" i="64" s="1"/>
  <c r="K9" i="64" s="1"/>
  <c r="K10" i="64" s="1"/>
  <c r="K11" i="64" s="1"/>
  <c r="K12" i="64" s="1"/>
  <c r="K13" i="64" s="1"/>
  <c r="K14" i="64" s="1"/>
  <c r="K15" i="64" s="1"/>
  <c r="K16" i="64" s="1"/>
  <c r="K17" i="64" s="1"/>
  <c r="K18" i="64" s="1"/>
  <c r="K19" i="64" s="1"/>
  <c r="K20" i="64" s="1"/>
  <c r="K21" i="64" s="1"/>
  <c r="K22" i="64" s="1"/>
  <c r="K23" i="64" s="1"/>
  <c r="K24" i="64" s="1"/>
  <c r="K25" i="64" s="1"/>
  <c r="K26" i="64" s="1"/>
  <c r="K27" i="64" s="1"/>
  <c r="K28" i="64" s="1"/>
  <c r="K29" i="64" s="1"/>
  <c r="K30" i="64" s="1"/>
  <c r="K31" i="64" s="1"/>
  <c r="K32" i="64" s="1"/>
  <c r="K33" i="64" s="1"/>
  <c r="J5" i="64"/>
  <c r="I5" i="64"/>
  <c r="F5" i="64"/>
  <c r="F6" i="64" s="1"/>
  <c r="F7" i="64" s="1"/>
  <c r="F8" i="64" s="1"/>
  <c r="F9" i="64" s="1"/>
  <c r="F10" i="64" s="1"/>
  <c r="F11" i="64" s="1"/>
  <c r="F12" i="64" s="1"/>
  <c r="F13" i="64" s="1"/>
  <c r="F14" i="64" s="1"/>
  <c r="F15" i="64" s="1"/>
  <c r="F16" i="64" s="1"/>
  <c r="F17" i="64" s="1"/>
  <c r="F18" i="64" s="1"/>
  <c r="F19" i="64" s="1"/>
  <c r="F20" i="64" s="1"/>
  <c r="F21" i="64" s="1"/>
  <c r="F22" i="64" s="1"/>
  <c r="F23" i="64" s="1"/>
  <c r="F24" i="64" s="1"/>
  <c r="F25" i="64" s="1"/>
  <c r="F26" i="64" s="1"/>
  <c r="F27" i="64" s="1"/>
  <c r="F28" i="64" s="1"/>
  <c r="F29" i="64" s="1"/>
  <c r="F30" i="64" s="1"/>
  <c r="F31" i="64" s="1"/>
  <c r="F32" i="64" s="1"/>
  <c r="F33" i="64" s="1"/>
  <c r="D5" i="64"/>
  <c r="A5" i="64"/>
  <c r="A6" i="64" s="1"/>
  <c r="A7" i="64" s="1"/>
  <c r="A8" i="64" s="1"/>
  <c r="A9" i="64" s="1"/>
  <c r="A10" i="64" s="1"/>
  <c r="A11" i="64" s="1"/>
  <c r="A12" i="64" s="1"/>
  <c r="A13" i="64" s="1"/>
  <c r="A14" i="64" s="1"/>
  <c r="A15" i="64" s="1"/>
  <c r="A16" i="64" s="1"/>
  <c r="A17" i="64" s="1"/>
  <c r="A18" i="64" s="1"/>
  <c r="A19" i="64" s="1"/>
  <c r="A20" i="64" s="1"/>
  <c r="A21" i="64" s="1"/>
  <c r="A22" i="64" s="1"/>
  <c r="A23" i="64" s="1"/>
  <c r="A24" i="64" s="1"/>
  <c r="A25" i="64" s="1"/>
  <c r="A26" i="64" s="1"/>
  <c r="A27" i="64" s="1"/>
  <c r="A28" i="64" s="1"/>
  <c r="A29" i="64" s="1"/>
  <c r="A30" i="64" s="1"/>
  <c r="A31" i="64" s="1"/>
  <c r="A32" i="64" s="1"/>
  <c r="A33" i="64" s="1"/>
  <c r="AD4" i="64"/>
  <c r="AC4" i="64"/>
  <c r="Y4" i="64"/>
  <c r="X4" i="64"/>
  <c r="T4" i="64"/>
  <c r="S4" i="64"/>
  <c r="O4" i="64"/>
  <c r="N4" i="64"/>
  <c r="J4" i="64"/>
  <c r="I4" i="64"/>
  <c r="E20" i="17" l="1"/>
  <c r="J2" i="63"/>
  <c r="B2" i="63"/>
  <c r="L1" i="63"/>
  <c r="J1" i="63"/>
  <c r="S59" i="10" l="1"/>
  <c r="S55" i="10"/>
  <c r="S53" i="10"/>
  <c r="R66" i="62" l="1"/>
  <c r="Q66" i="62"/>
  <c r="P66" i="62"/>
  <c r="J78" i="62"/>
  <c r="B78" i="62"/>
  <c r="B75" i="62"/>
  <c r="J75" i="62" s="1"/>
  <c r="F71" i="62"/>
  <c r="H64" i="62"/>
  <c r="F54" i="62"/>
  <c r="N47" i="62"/>
  <c r="G47" i="62"/>
  <c r="B42" i="62"/>
  <c r="C40" i="62"/>
  <c r="J34" i="62"/>
  <c r="J32" i="62"/>
  <c r="G30" i="62"/>
  <c r="K24" i="62"/>
  <c r="AF19" i="62"/>
  <c r="W19" i="62"/>
  <c r="AF11" i="62"/>
  <c r="H22" i="62" s="1"/>
  <c r="M22" i="62" s="1"/>
  <c r="AE6" i="62"/>
  <c r="T2" i="62"/>
  <c r="C38" i="62" l="1"/>
  <c r="Q24" i="62"/>
  <c r="F78" i="62"/>
  <c r="M78" i="62" s="1"/>
  <c r="O72" i="62"/>
  <c r="R76" i="62"/>
  <c r="E42" i="62"/>
  <c r="B71" i="62"/>
  <c r="J71" i="62" s="1"/>
  <c r="O76" i="62" s="1"/>
  <c r="Q26" i="62"/>
  <c r="AA19" i="62"/>
  <c r="J36" i="62"/>
  <c r="F38" i="62" s="1"/>
  <c r="J38" i="62" s="1"/>
  <c r="H64" i="40"/>
  <c r="Q62" i="62" l="1"/>
  <c r="E63" i="62" s="1"/>
  <c r="E64" i="62" s="1"/>
  <c r="J64" i="62" s="1"/>
  <c r="F40" i="62"/>
  <c r="I40" i="62" s="1"/>
  <c r="H42" i="62"/>
  <c r="K42" i="62" s="1"/>
  <c r="R73" i="62" s="1"/>
  <c r="R71" i="62"/>
  <c r="J2" i="61"/>
  <c r="B2" i="61"/>
  <c r="L1" i="61"/>
  <c r="J1" i="61"/>
  <c r="J2" i="60"/>
  <c r="B2" i="60"/>
  <c r="L1" i="60"/>
  <c r="J1" i="60"/>
  <c r="J2" i="59"/>
  <c r="B2" i="59"/>
  <c r="L1" i="59"/>
  <c r="J1" i="59"/>
  <c r="J2" i="58"/>
  <c r="B2" i="58"/>
  <c r="L1" i="58"/>
  <c r="J1" i="58"/>
  <c r="R74" i="62" l="1"/>
  <c r="B54" i="62"/>
  <c r="J54" i="62" s="1"/>
  <c r="Q64" i="62"/>
  <c r="R64" i="62" s="1"/>
  <c r="I66" i="62"/>
  <c r="L66" i="62" s="1"/>
  <c r="P64" i="62"/>
  <c r="O54" i="62" l="1"/>
  <c r="H57" i="62"/>
  <c r="N54" i="62"/>
  <c r="P54" i="62"/>
  <c r="L57" i="62"/>
  <c r="S3" i="10"/>
  <c r="L56" i="17" l="1"/>
  <c r="O2" i="67"/>
  <c r="S51" i="13"/>
  <c r="O60" i="15"/>
  <c r="N2" i="62"/>
  <c r="O2" i="11"/>
  <c r="Q57" i="62"/>
  <c r="F34" i="27"/>
  <c r="D4" i="27"/>
  <c r="F4" i="27" s="1"/>
  <c r="D33" i="27"/>
  <c r="D32" i="27"/>
  <c r="D31" i="27"/>
  <c r="D30" i="27"/>
  <c r="D29" i="27"/>
  <c r="D28" i="27"/>
  <c r="D27" i="27"/>
  <c r="D26" i="27"/>
  <c r="D25" i="27"/>
  <c r="D24" i="27"/>
  <c r="D23" i="27"/>
  <c r="D22" i="27"/>
  <c r="D21" i="27"/>
  <c r="D20" i="27"/>
  <c r="D19" i="27"/>
  <c r="D18" i="27"/>
  <c r="D17" i="27"/>
  <c r="D16" i="27"/>
  <c r="D15" i="27"/>
  <c r="D14" i="27"/>
  <c r="D13" i="27"/>
  <c r="D12" i="27"/>
  <c r="D11" i="27"/>
  <c r="D10" i="27"/>
  <c r="D9" i="27"/>
  <c r="D8" i="27"/>
  <c r="D7" i="27"/>
  <c r="D6" i="27"/>
  <c r="D5" i="27"/>
  <c r="R57" i="62" l="1"/>
  <c r="S57" i="62" s="1"/>
  <c r="D47" i="25"/>
  <c r="B42" i="25"/>
  <c r="H27" i="25"/>
  <c r="J11" i="25"/>
  <c r="G11" i="25"/>
  <c r="N11" i="25" l="1"/>
  <c r="H47" i="25" s="1"/>
  <c r="S2" i="46"/>
  <c r="J2" i="46"/>
  <c r="S2" i="32"/>
  <c r="J2" i="32"/>
  <c r="E26" i="40" l="1"/>
  <c r="I4" i="62"/>
  <c r="E26" i="62"/>
  <c r="K26" i="62" s="1"/>
  <c r="J78" i="40"/>
  <c r="F66" i="62" l="1"/>
  <c r="I6" i="62"/>
  <c r="C30" i="62" s="1"/>
  <c r="K30" i="62" s="1"/>
  <c r="D57" i="62" s="1"/>
  <c r="B42" i="40"/>
  <c r="AA63" i="10" l="1"/>
  <c r="S114" i="10" l="1"/>
  <c r="G14" i="12"/>
  <c r="I98" i="12" s="1"/>
  <c r="L14" i="12"/>
  <c r="G43" i="13"/>
  <c r="G15" i="13"/>
  <c r="N15" i="13" s="1"/>
  <c r="O82" i="13"/>
  <c r="F82" i="13"/>
  <c r="N138" i="14"/>
  <c r="G138" i="14"/>
  <c r="G137" i="15"/>
  <c r="N137" i="15"/>
  <c r="K88" i="17"/>
  <c r="F88" i="17"/>
  <c r="G14" i="17"/>
  <c r="K14" i="17" s="1"/>
  <c r="G48" i="15"/>
  <c r="G52" i="14"/>
  <c r="H58" i="14"/>
  <c r="F86" i="17"/>
  <c r="G135" i="15"/>
  <c r="G136" i="14"/>
  <c r="F80" i="13"/>
  <c r="C5" i="16"/>
  <c r="F4" i="17"/>
  <c r="E4" i="18"/>
  <c r="O78" i="13" l="1"/>
  <c r="M56" i="13"/>
  <c r="O80" i="13" s="1"/>
  <c r="G63" i="13"/>
  <c r="Q70" i="13"/>
  <c r="N135" i="15"/>
  <c r="H54" i="15"/>
  <c r="N133" i="15" s="1"/>
  <c r="K86" i="17"/>
  <c r="H20" i="17"/>
  <c r="K84" i="17"/>
  <c r="L20" i="17"/>
  <c r="F64" i="15"/>
  <c r="N136" i="14"/>
  <c r="N134" i="14"/>
  <c r="F71" i="14"/>
  <c r="M39" i="12"/>
  <c r="J44" i="12"/>
  <c r="D47" i="12" s="1"/>
  <c r="J47" i="12" s="1"/>
  <c r="H79" i="12" l="1"/>
  <c r="M79" i="12" s="1"/>
  <c r="C87" i="12"/>
  <c r="F102" i="10"/>
  <c r="D49" i="12"/>
  <c r="J49" i="12" s="1"/>
  <c r="G49" i="12"/>
  <c r="F68" i="12"/>
  <c r="F74" i="12"/>
  <c r="C68" i="12"/>
  <c r="N51" i="12" l="1"/>
  <c r="S74" i="4"/>
  <c r="S72" i="4"/>
  <c r="N74" i="4"/>
  <c r="N72" i="4"/>
  <c r="S70" i="4"/>
  <c r="K185" i="18" l="1"/>
  <c r="O173" i="18"/>
  <c r="O171" i="18"/>
  <c r="K169" i="18"/>
  <c r="K161" i="18"/>
  <c r="E161" i="18"/>
  <c r="M143" i="18"/>
  <c r="K107" i="18"/>
  <c r="E107" i="18"/>
  <c r="F97" i="18"/>
  <c r="M89" i="18"/>
  <c r="F14" i="18"/>
  <c r="G12" i="18"/>
  <c r="F8" i="18"/>
  <c r="F37" i="43"/>
  <c r="B78" i="40"/>
  <c r="Q25" i="42" l="1"/>
  <c r="Q23" i="42"/>
  <c r="H56" i="46" l="1"/>
  <c r="H52" i="46"/>
  <c r="B56" i="46" s="1"/>
  <c r="B52" i="46"/>
  <c r="H46" i="46"/>
  <c r="E56" i="46" s="1"/>
  <c r="B46" i="46"/>
  <c r="F40" i="46"/>
  <c r="E52" i="46" s="1"/>
  <c r="D40" i="46"/>
  <c r="G36" i="46"/>
  <c r="B40" i="46" s="1"/>
  <c r="D36" i="46"/>
  <c r="H30" i="46"/>
  <c r="B36" i="46" s="1"/>
  <c r="O21" i="46"/>
  <c r="H21" i="46"/>
  <c r="E21" i="46"/>
  <c r="H17" i="46"/>
  <c r="B21" i="46" s="1"/>
  <c r="N10" i="46"/>
  <c r="N17" i="46" s="1"/>
  <c r="Q17" i="46" s="1"/>
  <c r="L21" i="46" s="1"/>
  <c r="R21" i="46" s="1"/>
  <c r="I10" i="46"/>
  <c r="F10" i="46"/>
  <c r="E17" i="46" s="1"/>
  <c r="C10" i="46"/>
  <c r="B17" i="46" s="1"/>
  <c r="H53" i="32"/>
  <c r="B57" i="32" s="1"/>
  <c r="B53" i="32"/>
  <c r="B47" i="32"/>
  <c r="H47" i="32" s="1"/>
  <c r="E57" i="32" s="1"/>
  <c r="F40" i="32"/>
  <c r="E53" i="32" s="1"/>
  <c r="D40" i="32"/>
  <c r="G36" i="32"/>
  <c r="B40" i="32" s="1"/>
  <c r="D36" i="32"/>
  <c r="H30" i="32"/>
  <c r="B36" i="32" s="1"/>
  <c r="H21" i="32"/>
  <c r="E21" i="32"/>
  <c r="H17" i="32"/>
  <c r="B21" i="32" s="1"/>
  <c r="N10" i="32"/>
  <c r="I10" i="32"/>
  <c r="O21" i="32" s="1"/>
  <c r="F10" i="32"/>
  <c r="E17" i="32" s="1"/>
  <c r="C10" i="32"/>
  <c r="B17" i="32" s="1"/>
  <c r="F98" i="31"/>
  <c r="K74" i="31"/>
  <c r="H55" i="31"/>
  <c r="H46" i="31"/>
  <c r="C46" i="31"/>
  <c r="C55" i="31" s="1"/>
  <c r="I40" i="31"/>
  <c r="C40" i="31"/>
  <c r="I26" i="31"/>
  <c r="C26" i="31"/>
  <c r="O2" i="31"/>
  <c r="C11" i="30"/>
  <c r="C9" i="30"/>
  <c r="F2" i="30"/>
  <c r="F19" i="29"/>
  <c r="F17" i="29"/>
  <c r="F16" i="29"/>
  <c r="F15" i="29"/>
  <c r="F14" i="29"/>
  <c r="F13" i="29"/>
  <c r="A13" i="29"/>
  <c r="A14" i="29" s="1"/>
  <c r="A15" i="29" s="1"/>
  <c r="A16" i="29" s="1"/>
  <c r="F12" i="29"/>
  <c r="F9" i="29"/>
  <c r="F8" i="29"/>
  <c r="F7" i="29"/>
  <c r="F6" i="29"/>
  <c r="F5" i="29"/>
  <c r="F4" i="29"/>
  <c r="F2" i="29"/>
  <c r="F33" i="27"/>
  <c r="F32" i="27"/>
  <c r="F31" i="27"/>
  <c r="F30" i="27"/>
  <c r="F29" i="27"/>
  <c r="F28" i="27"/>
  <c r="F27" i="27"/>
  <c r="F26" i="27"/>
  <c r="F25" i="27"/>
  <c r="F24" i="27"/>
  <c r="F23" i="27"/>
  <c r="F22" i="27"/>
  <c r="F21" i="27"/>
  <c r="F20" i="27"/>
  <c r="F19" i="27"/>
  <c r="F18" i="27"/>
  <c r="F17" i="27"/>
  <c r="F16" i="27"/>
  <c r="F15" i="27"/>
  <c r="F14" i="27"/>
  <c r="F13" i="27"/>
  <c r="F12" i="27"/>
  <c r="F11" i="27"/>
  <c r="F10" i="27"/>
  <c r="F9" i="27"/>
  <c r="F7" i="27"/>
  <c r="F5" i="27"/>
  <c r="F2" i="27"/>
  <c r="F134" i="26"/>
  <c r="F130" i="26"/>
  <c r="D134" i="26" s="1"/>
  <c r="F126" i="26"/>
  <c r="B134" i="26" s="1"/>
  <c r="B126" i="26"/>
  <c r="D122" i="26"/>
  <c r="D130" i="26" s="1"/>
  <c r="B122" i="26"/>
  <c r="F120" i="26"/>
  <c r="D120" i="26"/>
  <c r="B120" i="26"/>
  <c r="D106" i="26"/>
  <c r="F103" i="26"/>
  <c r="B106" i="26" s="1"/>
  <c r="D103" i="26"/>
  <c r="D89" i="26"/>
  <c r="F86" i="26"/>
  <c r="B89" i="26" s="1"/>
  <c r="D86" i="26"/>
  <c r="D72" i="26"/>
  <c r="F69" i="26"/>
  <c r="B72" i="26" s="1"/>
  <c r="D69" i="26"/>
  <c r="D66" i="26"/>
  <c r="F63" i="26"/>
  <c r="B66" i="26" s="1"/>
  <c r="D63" i="26"/>
  <c r="F59" i="26"/>
  <c r="F57" i="26"/>
  <c r="F43" i="26"/>
  <c r="B130" i="26" s="1"/>
  <c r="D43" i="26"/>
  <c r="F37" i="26"/>
  <c r="B63" i="26" s="1"/>
  <c r="E35" i="26"/>
  <c r="F30" i="26"/>
  <c r="G26" i="26"/>
  <c r="B35" i="26" s="1"/>
  <c r="B26" i="26"/>
  <c r="F21" i="26"/>
  <c r="D30" i="26" s="1"/>
  <c r="D21" i="26"/>
  <c r="B21" i="26"/>
  <c r="F12" i="26"/>
  <c r="B12" i="26"/>
  <c r="I2" i="26"/>
  <c r="F35" i="43"/>
  <c r="F31" i="43"/>
  <c r="F27" i="43"/>
  <c r="F25" i="43"/>
  <c r="F23" i="43"/>
  <c r="F21" i="43"/>
  <c r="D19" i="43"/>
  <c r="D17" i="43"/>
  <c r="E11" i="43" s="1"/>
  <c r="D15" i="43"/>
  <c r="D13" i="43"/>
  <c r="F11" i="43"/>
  <c r="F10" i="43"/>
  <c r="F9" i="43"/>
  <c r="F8" i="43"/>
  <c r="F7" i="43"/>
  <c r="F6" i="43"/>
  <c r="F5" i="43"/>
  <c r="G2" i="43"/>
  <c r="H53" i="25"/>
  <c r="D50" i="25"/>
  <c r="K37" i="25"/>
  <c r="K36" i="25"/>
  <c r="H35" i="25"/>
  <c r="K35" i="25" s="1"/>
  <c r="H34" i="25"/>
  <c r="K34" i="25" s="1"/>
  <c r="H33" i="25"/>
  <c r="K33" i="25" s="1"/>
  <c r="H32" i="25"/>
  <c r="K32" i="25" s="1"/>
  <c r="H31" i="25"/>
  <c r="K31" i="25" s="1"/>
  <c r="H30" i="25"/>
  <c r="K30" i="25" s="1"/>
  <c r="H29" i="25"/>
  <c r="K29" i="25" s="1"/>
  <c r="H28" i="25"/>
  <c r="K28" i="25" s="1"/>
  <c r="K27" i="25"/>
  <c r="A17" i="25"/>
  <c r="T2" i="25"/>
  <c r="J54" i="42"/>
  <c r="P50" i="42" s="1"/>
  <c r="S53" i="42"/>
  <c r="S52" i="42"/>
  <c r="J52" i="42"/>
  <c r="P51" i="42" s="1"/>
  <c r="S51" i="42"/>
  <c r="G50" i="42"/>
  <c r="P52" i="42" s="1"/>
  <c r="C50" i="42"/>
  <c r="K47" i="42"/>
  <c r="G52" i="42" s="1"/>
  <c r="G47" i="42"/>
  <c r="J42" i="42"/>
  <c r="R51" i="42" s="1"/>
  <c r="F42" i="42"/>
  <c r="I40" i="42"/>
  <c r="C47" i="42" s="1"/>
  <c r="R52" i="42" s="1"/>
  <c r="C40" i="42"/>
  <c r="J38" i="42"/>
  <c r="F40" i="42" s="1"/>
  <c r="J36" i="42"/>
  <c r="F38" i="42" s="1"/>
  <c r="J34" i="42"/>
  <c r="J32" i="42"/>
  <c r="K30" i="42"/>
  <c r="G30" i="42"/>
  <c r="K25" i="42"/>
  <c r="K23" i="42"/>
  <c r="N21" i="42"/>
  <c r="R53" i="42" s="1"/>
  <c r="H21" i="42"/>
  <c r="AF20" i="42"/>
  <c r="W20" i="42"/>
  <c r="AF15" i="42"/>
  <c r="AA20" i="42" s="1"/>
  <c r="AE11" i="42"/>
  <c r="AE6" i="42"/>
  <c r="T2" i="42"/>
  <c r="O51" i="23"/>
  <c r="H51" i="23"/>
  <c r="J48" i="23"/>
  <c r="F48" i="23"/>
  <c r="B48" i="23"/>
  <c r="N43" i="23"/>
  <c r="M48" i="23" s="1"/>
  <c r="P48" i="23" s="1"/>
  <c r="H39" i="23"/>
  <c r="H43" i="23" s="1"/>
  <c r="B39" i="23"/>
  <c r="K8" i="23"/>
  <c r="E34" i="23" s="1"/>
  <c r="B43" i="23" s="1"/>
  <c r="S2" i="23"/>
  <c r="B75" i="40"/>
  <c r="F71" i="40"/>
  <c r="F54" i="40"/>
  <c r="G47" i="40"/>
  <c r="N47" i="40" s="1"/>
  <c r="C40" i="40"/>
  <c r="J34" i="40"/>
  <c r="J32" i="40"/>
  <c r="J36" i="40" s="1"/>
  <c r="F38" i="40" s="1"/>
  <c r="G30" i="40"/>
  <c r="AF19" i="40"/>
  <c r="W19" i="40"/>
  <c r="AF11" i="40"/>
  <c r="AA19" i="40" s="1"/>
  <c r="AE6" i="40"/>
  <c r="T2" i="40"/>
  <c r="G54" i="22"/>
  <c r="S53" i="22"/>
  <c r="S52" i="22"/>
  <c r="S51" i="22"/>
  <c r="G50" i="22"/>
  <c r="C50" i="22"/>
  <c r="G47" i="22"/>
  <c r="J42" i="22"/>
  <c r="R51" i="22" s="1"/>
  <c r="F42" i="22"/>
  <c r="C40" i="22"/>
  <c r="J34" i="22"/>
  <c r="J32" i="22"/>
  <c r="J36" i="22" s="1"/>
  <c r="F38" i="22" s="1"/>
  <c r="G30" i="22"/>
  <c r="K30" i="22" s="1"/>
  <c r="K25" i="22"/>
  <c r="K23" i="22"/>
  <c r="H21" i="22"/>
  <c r="N21" i="22" s="1"/>
  <c r="R53" i="22" s="1"/>
  <c r="AF20" i="22"/>
  <c r="W20" i="22"/>
  <c r="AF15" i="22"/>
  <c r="AA20" i="22" s="1"/>
  <c r="AE11" i="22"/>
  <c r="AE6" i="22"/>
  <c r="T2" i="22"/>
  <c r="J48" i="21"/>
  <c r="F48" i="21"/>
  <c r="B48" i="21"/>
  <c r="B39" i="21"/>
  <c r="H39" i="21" s="1"/>
  <c r="H43" i="21" s="1"/>
  <c r="S2" i="21"/>
  <c r="K190" i="20"/>
  <c r="K189" i="20"/>
  <c r="K188" i="20"/>
  <c r="O187" i="20"/>
  <c r="L187" i="20"/>
  <c r="J187" i="20"/>
  <c r="H187" i="20"/>
  <c r="F187" i="20"/>
  <c r="O186" i="20"/>
  <c r="L186" i="20"/>
  <c r="J186" i="20"/>
  <c r="H186" i="20"/>
  <c r="F186" i="20"/>
  <c r="O185" i="20"/>
  <c r="L185" i="20"/>
  <c r="J185" i="20"/>
  <c r="H185" i="20"/>
  <c r="F185" i="20"/>
  <c r="O184" i="20"/>
  <c r="L184" i="20"/>
  <c r="J184" i="20"/>
  <c r="H184" i="20"/>
  <c r="F184" i="20"/>
  <c r="O183" i="20"/>
  <c r="L183" i="20"/>
  <c r="J183" i="20"/>
  <c r="H183" i="20"/>
  <c r="F183" i="20"/>
  <c r="O182" i="20"/>
  <c r="N182" i="20"/>
  <c r="L182" i="20"/>
  <c r="J182" i="20"/>
  <c r="H182" i="20"/>
  <c r="F182" i="20"/>
  <c r="N172" i="20"/>
  <c r="P165" i="20"/>
  <c r="M165" i="20"/>
  <c r="N187" i="20" s="1"/>
  <c r="B165" i="20"/>
  <c r="H161" i="20"/>
  <c r="G165" i="20" s="1"/>
  <c r="I157" i="20"/>
  <c r="B161" i="20" s="1"/>
  <c r="E157" i="20"/>
  <c r="B157" i="20"/>
  <c r="P153" i="20"/>
  <c r="M153" i="20"/>
  <c r="N186" i="20" s="1"/>
  <c r="B153" i="20"/>
  <c r="H149" i="20"/>
  <c r="G153" i="20" s="1"/>
  <c r="I145" i="20"/>
  <c r="B149" i="20" s="1"/>
  <c r="E145" i="20"/>
  <c r="B145" i="20"/>
  <c r="P141" i="20"/>
  <c r="M141" i="20"/>
  <c r="N185" i="20" s="1"/>
  <c r="B141" i="20"/>
  <c r="H137" i="20"/>
  <c r="G141" i="20" s="1"/>
  <c r="I133" i="20"/>
  <c r="B137" i="20" s="1"/>
  <c r="E133" i="20"/>
  <c r="B133" i="20"/>
  <c r="P129" i="20"/>
  <c r="M129" i="20"/>
  <c r="N184" i="20" s="1"/>
  <c r="B129" i="20"/>
  <c r="H125" i="20"/>
  <c r="G129" i="20" s="1"/>
  <c r="I121" i="20"/>
  <c r="F172" i="20" s="1"/>
  <c r="E121" i="20"/>
  <c r="B121" i="20"/>
  <c r="P117" i="20"/>
  <c r="M117" i="20"/>
  <c r="N183" i="20" s="1"/>
  <c r="B117" i="20"/>
  <c r="H113" i="20"/>
  <c r="G117" i="20" s="1"/>
  <c r="I109" i="20"/>
  <c r="D172" i="20" s="1"/>
  <c r="E109" i="20"/>
  <c r="B109" i="20"/>
  <c r="G91" i="20"/>
  <c r="H85" i="20"/>
  <c r="B172" i="20" s="1"/>
  <c r="E76" i="20"/>
  <c r="F71" i="20"/>
  <c r="E91" i="20" s="1"/>
  <c r="B71" i="20"/>
  <c r="J67" i="20"/>
  <c r="R63" i="20"/>
  <c r="O63" i="20"/>
  <c r="E161" i="20" s="1"/>
  <c r="R61" i="20"/>
  <c r="O61" i="20"/>
  <c r="E149" i="20" s="1"/>
  <c r="R59" i="20"/>
  <c r="O59" i="20"/>
  <c r="E137" i="20" s="1"/>
  <c r="R57" i="20"/>
  <c r="O57" i="20"/>
  <c r="E125" i="20" s="1"/>
  <c r="R55" i="20"/>
  <c r="O55" i="20"/>
  <c r="E113" i="20" s="1"/>
  <c r="R53" i="20"/>
  <c r="O53" i="20"/>
  <c r="E85" i="20" s="1"/>
  <c r="N46" i="20"/>
  <c r="F63" i="20" s="1"/>
  <c r="J46" i="20"/>
  <c r="G46" i="20"/>
  <c r="D46" i="20"/>
  <c r="N44" i="20"/>
  <c r="F61" i="20" s="1"/>
  <c r="J44" i="20"/>
  <c r="G44" i="20"/>
  <c r="D44" i="20"/>
  <c r="N42" i="20"/>
  <c r="F59" i="20" s="1"/>
  <c r="J42" i="20"/>
  <c r="G42" i="20"/>
  <c r="D42" i="20"/>
  <c r="N40" i="20"/>
  <c r="F57" i="20" s="1"/>
  <c r="J40" i="20"/>
  <c r="G40" i="20"/>
  <c r="D40" i="20"/>
  <c r="N38" i="20"/>
  <c r="F55" i="20" s="1"/>
  <c r="J38" i="20"/>
  <c r="G38" i="20"/>
  <c r="D38" i="20"/>
  <c r="N36" i="20"/>
  <c r="F53" i="20" s="1"/>
  <c r="J36" i="20"/>
  <c r="G36" i="20"/>
  <c r="D36" i="20"/>
  <c r="H28" i="20"/>
  <c r="B28" i="20"/>
  <c r="R19" i="20"/>
  <c r="E28" i="20" s="1"/>
  <c r="O19" i="20"/>
  <c r="L19" i="20"/>
  <c r="R2" i="20"/>
  <c r="B69" i="19"/>
  <c r="L63" i="19"/>
  <c r="H69" i="19" s="1"/>
  <c r="E49" i="19"/>
  <c r="B49" i="19"/>
  <c r="G37" i="19"/>
  <c r="K21" i="19"/>
  <c r="G16" i="19"/>
  <c r="E69" i="19" s="1"/>
  <c r="N13" i="19"/>
  <c r="J57" i="19" s="1"/>
  <c r="F61" i="19" s="1"/>
  <c r="J7" i="19"/>
  <c r="E7" i="19"/>
  <c r="R2" i="19"/>
  <c r="K293" i="18"/>
  <c r="B293" i="18"/>
  <c r="Q289" i="18"/>
  <c r="H287" i="18"/>
  <c r="K289" i="18" s="1"/>
  <c r="S283" i="18"/>
  <c r="E287" i="18" s="1"/>
  <c r="P283" i="18"/>
  <c r="O281" i="18"/>
  <c r="O279" i="18"/>
  <c r="I281" i="18" s="1"/>
  <c r="K277" i="18"/>
  <c r="L279" i="18" s="1"/>
  <c r="H277" i="18"/>
  <c r="E277" i="18"/>
  <c r="R273" i="18"/>
  <c r="H293" i="18" s="1"/>
  <c r="L273" i="18"/>
  <c r="Q269" i="18"/>
  <c r="K269" i="18"/>
  <c r="H269" i="18"/>
  <c r="E269" i="18"/>
  <c r="M265" i="18"/>
  <c r="S261" i="18"/>
  <c r="F265" i="18" s="1"/>
  <c r="P261" i="18"/>
  <c r="L259" i="18"/>
  <c r="B287" i="18" s="1"/>
  <c r="F259" i="18"/>
  <c r="S255" i="18"/>
  <c r="C259" i="18" s="1"/>
  <c r="P255" i="18"/>
  <c r="R253" i="18"/>
  <c r="J265" i="18" s="1"/>
  <c r="S251" i="18"/>
  <c r="O253" i="18" s="1"/>
  <c r="M251" i="18"/>
  <c r="S247" i="18"/>
  <c r="L253" i="18" s="1"/>
  <c r="M247" i="18"/>
  <c r="K239" i="18"/>
  <c r="B239" i="18"/>
  <c r="Q235" i="18"/>
  <c r="H233" i="18"/>
  <c r="K235" i="18" s="1"/>
  <c r="S229" i="18"/>
  <c r="E233" i="18" s="1"/>
  <c r="P229" i="18"/>
  <c r="O227" i="18"/>
  <c r="O225" i="18"/>
  <c r="I227" i="18" s="1"/>
  <c r="K223" i="18"/>
  <c r="L225" i="18" s="1"/>
  <c r="H223" i="18"/>
  <c r="E223" i="18"/>
  <c r="R219" i="18"/>
  <c r="H239" i="18" s="1"/>
  <c r="L219" i="18"/>
  <c r="Q215" i="18"/>
  <c r="K215" i="18"/>
  <c r="H215" i="18"/>
  <c r="E215" i="18"/>
  <c r="M211" i="18"/>
  <c r="S207" i="18"/>
  <c r="F211" i="18" s="1"/>
  <c r="P207" i="18"/>
  <c r="L205" i="18"/>
  <c r="O219" i="18" s="1"/>
  <c r="F205" i="18"/>
  <c r="S201" i="18"/>
  <c r="C205" i="18" s="1"/>
  <c r="P201" i="18"/>
  <c r="R199" i="18"/>
  <c r="J211" i="18" s="1"/>
  <c r="S197" i="18"/>
  <c r="O199" i="18" s="1"/>
  <c r="M197" i="18"/>
  <c r="S193" i="18"/>
  <c r="L199" i="18" s="1"/>
  <c r="M193" i="18"/>
  <c r="B185" i="18"/>
  <c r="H169" i="18"/>
  <c r="E169" i="18"/>
  <c r="L165" i="18"/>
  <c r="H161" i="18"/>
  <c r="P153" i="18"/>
  <c r="F151" i="18"/>
  <c r="P147" i="18"/>
  <c r="S143" i="18"/>
  <c r="P145" i="18" s="1"/>
  <c r="M139" i="18"/>
  <c r="S139" i="18" s="1"/>
  <c r="M145" i="18" s="1"/>
  <c r="S145" i="18" s="1"/>
  <c r="J157" i="18" s="1"/>
  <c r="B131" i="18"/>
  <c r="P121" i="18"/>
  <c r="H115" i="18"/>
  <c r="E115" i="18"/>
  <c r="L111" i="18"/>
  <c r="H107" i="18"/>
  <c r="P99" i="18"/>
  <c r="P93" i="18"/>
  <c r="S89" i="18"/>
  <c r="P91" i="18" s="1"/>
  <c r="M85" i="18"/>
  <c r="S85" i="18" s="1"/>
  <c r="M91" i="18" s="1"/>
  <c r="J45" i="18"/>
  <c r="F45" i="18"/>
  <c r="E39" i="18"/>
  <c r="O33" i="18"/>
  <c r="U2" i="18"/>
  <c r="F99" i="17"/>
  <c r="E47" i="17"/>
  <c r="D33" i="17"/>
  <c r="D25" i="17"/>
  <c r="G25" i="17"/>
  <c r="N2" i="17"/>
  <c r="M33" i="16"/>
  <c r="K20" i="16"/>
  <c r="Q5" i="16"/>
  <c r="R2" i="16"/>
  <c r="O96" i="15"/>
  <c r="J92" i="15"/>
  <c r="H90" i="15"/>
  <c r="K84" i="15"/>
  <c r="H82" i="15"/>
  <c r="H73" i="15"/>
  <c r="H71" i="15"/>
  <c r="O46" i="15"/>
  <c r="K44" i="15"/>
  <c r="G40" i="15"/>
  <c r="D40" i="15"/>
  <c r="G33" i="15"/>
  <c r="D31" i="15"/>
  <c r="H26" i="15"/>
  <c r="G31" i="15" s="1"/>
  <c r="S2" i="15"/>
  <c r="O94" i="14"/>
  <c r="F92" i="14"/>
  <c r="F86" i="14"/>
  <c r="F77" i="14"/>
  <c r="N49" i="14"/>
  <c r="G47" i="14"/>
  <c r="G43" i="14"/>
  <c r="D43" i="14"/>
  <c r="G36" i="14"/>
  <c r="D34" i="14"/>
  <c r="H28" i="14"/>
  <c r="G34" i="14" s="1"/>
  <c r="P2" i="14"/>
  <c r="M2" i="14"/>
  <c r="J34" i="13"/>
  <c r="D36" i="13" s="1"/>
  <c r="J30" i="13"/>
  <c r="G24" i="13"/>
  <c r="Q2" i="13"/>
  <c r="J59" i="12"/>
  <c r="J54" i="12"/>
  <c r="J39" i="12"/>
  <c r="K32" i="12"/>
  <c r="P8" i="12"/>
  <c r="J42" i="12" s="1"/>
  <c r="Q2" i="12"/>
  <c r="T2" i="11"/>
  <c r="S176" i="10"/>
  <c r="R167" i="10"/>
  <c r="N167" i="10"/>
  <c r="G167" i="10"/>
  <c r="N159" i="10"/>
  <c r="N157" i="10"/>
  <c r="C157" i="10"/>
  <c r="N154" i="10"/>
  <c r="C154" i="10"/>
  <c r="P123" i="10"/>
  <c r="G84" i="10"/>
  <c r="K82" i="10"/>
  <c r="M84" i="10" s="1"/>
  <c r="AC63" i="10"/>
  <c r="S147" i="10" s="1"/>
  <c r="N61" i="10"/>
  <c r="O59" i="10"/>
  <c r="I59" i="10"/>
  <c r="E59" i="10"/>
  <c r="I55" i="10"/>
  <c r="I53" i="10"/>
  <c r="I44" i="10"/>
  <c r="P42" i="10"/>
  <c r="L42" i="10"/>
  <c r="I32" i="10"/>
  <c r="S13" i="10"/>
  <c r="M13" i="10"/>
  <c r="I13" i="10"/>
  <c r="S11" i="10"/>
  <c r="S7" i="10"/>
  <c r="G7" i="10"/>
  <c r="G5" i="10"/>
  <c r="F2" i="26"/>
  <c r="G3" i="10"/>
  <c r="S1" i="10"/>
  <c r="Q101" i="9"/>
  <c r="P101" i="9"/>
  <c r="O101" i="9"/>
  <c r="I101" i="9"/>
  <c r="H101" i="9"/>
  <c r="G101" i="9"/>
  <c r="Q100" i="9"/>
  <c r="P100" i="9"/>
  <c r="O100" i="9"/>
  <c r="I100" i="9"/>
  <c r="H100" i="9"/>
  <c r="G100" i="9"/>
  <c r="Q99" i="9"/>
  <c r="P99" i="9"/>
  <c r="O99" i="9"/>
  <c r="I99" i="9"/>
  <c r="H99" i="9"/>
  <c r="G99" i="9"/>
  <c r="Q98" i="9"/>
  <c r="P98" i="9"/>
  <c r="O98" i="9"/>
  <c r="I98" i="9"/>
  <c r="H98" i="9"/>
  <c r="G98" i="9"/>
  <c r="Q97" i="9"/>
  <c r="P97" i="9"/>
  <c r="O97" i="9"/>
  <c r="J97" i="9"/>
  <c r="I97" i="9"/>
  <c r="H97" i="9"/>
  <c r="G97" i="9"/>
  <c r="A97" i="9"/>
  <c r="Q96" i="9"/>
  <c r="P96" i="9"/>
  <c r="O96" i="9"/>
  <c r="I96" i="9"/>
  <c r="H96" i="9"/>
  <c r="G96" i="9"/>
  <c r="O95" i="9"/>
  <c r="G95" i="9"/>
  <c r="O94" i="9"/>
  <c r="J94" i="9"/>
  <c r="J95" i="9" s="1"/>
  <c r="G94" i="9"/>
  <c r="A94" i="9"/>
  <c r="A95" i="9" s="1"/>
  <c r="Q75" i="9"/>
  <c r="P75" i="9"/>
  <c r="O75" i="9"/>
  <c r="I75" i="9"/>
  <c r="H75" i="9"/>
  <c r="G75" i="9"/>
  <c r="A75" i="9"/>
  <c r="Q74" i="9"/>
  <c r="P74" i="9"/>
  <c r="O74" i="9"/>
  <c r="I74" i="9"/>
  <c r="H74" i="9"/>
  <c r="G74" i="9"/>
  <c r="A74" i="9"/>
  <c r="Q73" i="9"/>
  <c r="P73" i="9"/>
  <c r="O73" i="9"/>
  <c r="I73" i="9"/>
  <c r="H73" i="9"/>
  <c r="G73" i="9"/>
  <c r="A73" i="9"/>
  <c r="Q72" i="9"/>
  <c r="P72" i="9"/>
  <c r="O72" i="9"/>
  <c r="I72" i="9"/>
  <c r="H72" i="9"/>
  <c r="G72" i="9"/>
  <c r="A72" i="9"/>
  <c r="Q71" i="9"/>
  <c r="P71" i="9"/>
  <c r="O71" i="9"/>
  <c r="J71" i="9"/>
  <c r="I71" i="9"/>
  <c r="H71" i="9"/>
  <c r="G71" i="9"/>
  <c r="A71" i="9"/>
  <c r="P70" i="9"/>
  <c r="Q70" i="9" s="1"/>
  <c r="O70" i="9"/>
  <c r="I70" i="9"/>
  <c r="H70" i="9"/>
  <c r="G70" i="9"/>
  <c r="O69" i="9"/>
  <c r="G69" i="9"/>
  <c r="O68" i="9"/>
  <c r="J68" i="9"/>
  <c r="J69" i="9" s="1"/>
  <c r="G68" i="9"/>
  <c r="A68" i="9"/>
  <c r="A69" i="9" s="1"/>
  <c r="M52" i="9"/>
  <c r="E52" i="9"/>
  <c r="Q49" i="9"/>
  <c r="P49" i="9"/>
  <c r="O49" i="9"/>
  <c r="Q48" i="9"/>
  <c r="P48" i="9"/>
  <c r="O48" i="9"/>
  <c r="Q47" i="9"/>
  <c r="P47" i="9"/>
  <c r="O47" i="9"/>
  <c r="Q46" i="9"/>
  <c r="P46" i="9"/>
  <c r="O46" i="9"/>
  <c r="Q45" i="9"/>
  <c r="P45" i="9"/>
  <c r="O45" i="9"/>
  <c r="J45" i="9"/>
  <c r="Q44" i="9"/>
  <c r="P44" i="9"/>
  <c r="O44" i="9"/>
  <c r="O43" i="9"/>
  <c r="O42" i="9"/>
  <c r="J42" i="9"/>
  <c r="J43" i="9" s="1"/>
  <c r="Q26" i="9"/>
  <c r="P26" i="9"/>
  <c r="O26" i="9"/>
  <c r="J26" i="9"/>
  <c r="Q25" i="9"/>
  <c r="P25" i="9"/>
  <c r="O25" i="9"/>
  <c r="Q24" i="9"/>
  <c r="P24" i="9"/>
  <c r="O24" i="9"/>
  <c r="Q23" i="9"/>
  <c r="P23" i="9"/>
  <c r="O23" i="9"/>
  <c r="Q22" i="9"/>
  <c r="P22" i="9"/>
  <c r="O22" i="9"/>
  <c r="Q21" i="9"/>
  <c r="P21" i="9"/>
  <c r="O21" i="9"/>
  <c r="J21" i="9"/>
  <c r="Q20" i="9"/>
  <c r="P20" i="9"/>
  <c r="O20" i="9"/>
  <c r="G20" i="9"/>
  <c r="O19" i="9"/>
  <c r="O18" i="9"/>
  <c r="H14" i="9"/>
  <c r="D4" i="9"/>
  <c r="M2" i="9"/>
  <c r="I2" i="9"/>
  <c r="F2" i="9"/>
  <c r="T2" i="8"/>
  <c r="M2" i="8"/>
  <c r="E5" i="5"/>
  <c r="S3" i="5"/>
  <c r="G3" i="5"/>
  <c r="S1" i="5"/>
  <c r="T1" i="4"/>
  <c r="B1" i="1"/>
  <c r="H57" i="32" l="1"/>
  <c r="L21" i="32"/>
  <c r="R21" i="32" s="1"/>
  <c r="N17" i="32"/>
  <c r="H38" i="11"/>
  <c r="H4" i="67"/>
  <c r="H39" i="67" s="1"/>
  <c r="Q23" i="22"/>
  <c r="P52" i="22"/>
  <c r="AU60" i="22"/>
  <c r="Q25" i="22"/>
  <c r="G21" i="19"/>
  <c r="O21" i="19" s="1"/>
  <c r="H25" i="19" s="1"/>
  <c r="M25" i="19" s="1"/>
  <c r="B37" i="19" s="1"/>
  <c r="M37" i="19" s="1"/>
  <c r="B61" i="19" s="1"/>
  <c r="L61" i="19" s="1"/>
  <c r="K8" i="21" s="1"/>
  <c r="B91" i="20"/>
  <c r="B76" i="20"/>
  <c r="H76" i="20" s="1"/>
  <c r="B81" i="20" s="1"/>
  <c r="G81" i="20" s="1"/>
  <c r="B85" i="20" s="1"/>
  <c r="B125" i="20"/>
  <c r="H4" i="11"/>
  <c r="H49" i="19"/>
  <c r="B53" i="19" s="1"/>
  <c r="H22" i="40"/>
  <c r="M22" i="40" s="1"/>
  <c r="E42" i="40" s="1"/>
  <c r="L69" i="19"/>
  <c r="B73" i="19" s="1"/>
  <c r="G73" i="19" s="1"/>
  <c r="K24" i="40" s="1"/>
  <c r="F8" i="27"/>
  <c r="F6" i="27"/>
  <c r="K39" i="25"/>
  <c r="E42" i="25" s="1"/>
  <c r="H42" i="25" s="1"/>
  <c r="M47" i="25" s="1"/>
  <c r="P47" i="25" s="1"/>
  <c r="J75" i="40"/>
  <c r="K31" i="15"/>
  <c r="J40" i="15"/>
  <c r="L102" i="10"/>
  <c r="F100" i="10"/>
  <c r="S100" i="10"/>
  <c r="L100" i="10"/>
  <c r="J25" i="17"/>
  <c r="K34" i="14"/>
  <c r="J43" i="14"/>
  <c r="F116" i="10" s="1"/>
  <c r="C52" i="42"/>
  <c r="D126" i="26"/>
  <c r="G54" i="42"/>
  <c r="L171" i="18"/>
  <c r="I173" i="18" s="1"/>
  <c r="S91" i="18"/>
  <c r="J103" i="18" s="1"/>
  <c r="K84" i="10"/>
  <c r="C38" i="22"/>
  <c r="J38" i="22" s="1"/>
  <c r="F40" i="22" s="1"/>
  <c r="I40" i="22" s="1"/>
  <c r="C47" i="22" s="1"/>
  <c r="C38" i="42"/>
  <c r="C38" i="40"/>
  <c r="J38" i="40" s="1"/>
  <c r="S57" i="10"/>
  <c r="H172" i="20"/>
  <c r="E5" i="43"/>
  <c r="J172" i="20"/>
  <c r="C54" i="42"/>
  <c r="E8" i="43"/>
  <c r="B86" i="26"/>
  <c r="L172" i="20"/>
  <c r="P49" i="42"/>
  <c r="B43" i="26"/>
  <c r="B30" i="26"/>
  <c r="B69" i="26"/>
  <c r="E6" i="43"/>
  <c r="E10" i="43"/>
  <c r="E9" i="43"/>
  <c r="B113" i="20"/>
  <c r="B103" i="26"/>
  <c r="E7" i="43"/>
  <c r="N24" i="18"/>
  <c r="H6" i="14"/>
  <c r="S104" i="10"/>
  <c r="M4" i="17"/>
  <c r="F110" i="10"/>
  <c r="H8" i="15"/>
  <c r="E62" i="15" s="1"/>
  <c r="H6" i="12"/>
  <c r="K91" i="12" s="1"/>
  <c r="B233" i="18"/>
  <c r="N57" i="10"/>
  <c r="C52" i="22"/>
  <c r="H47" i="17"/>
  <c r="K47" i="17" s="1"/>
  <c r="F129" i="10" s="1"/>
  <c r="G33" i="17"/>
  <c r="J33" i="17" s="1"/>
  <c r="L133" i="10"/>
  <c r="D142" i="10"/>
  <c r="L142" i="10"/>
  <c r="F143" i="10"/>
  <c r="N143" i="10"/>
  <c r="F144" i="10"/>
  <c r="N144" i="10"/>
  <c r="H145" i="10"/>
  <c r="P145" i="10"/>
  <c r="J146" i="10"/>
  <c r="D147" i="10"/>
  <c r="L147" i="10"/>
  <c r="S133" i="10"/>
  <c r="F142" i="10"/>
  <c r="N142" i="10"/>
  <c r="H143" i="10"/>
  <c r="P143" i="10"/>
  <c r="H144" i="10"/>
  <c r="P144" i="10"/>
  <c r="J145" i="10"/>
  <c r="D146" i="10"/>
  <c r="L146" i="10"/>
  <c r="F147" i="10"/>
  <c r="N147" i="10"/>
  <c r="F135" i="10"/>
  <c r="H142" i="10"/>
  <c r="P142" i="10"/>
  <c r="J143" i="10"/>
  <c r="S143" i="10"/>
  <c r="J144" i="10"/>
  <c r="D145" i="10"/>
  <c r="L145" i="10"/>
  <c r="F146" i="10"/>
  <c r="N146" i="10"/>
  <c r="H147" i="10"/>
  <c r="P147" i="10"/>
  <c r="F133" i="10"/>
  <c r="L135" i="10"/>
  <c r="J142" i="10"/>
  <c r="D143" i="10"/>
  <c r="L143" i="10"/>
  <c r="D144" i="10"/>
  <c r="L144" i="10"/>
  <c r="F145" i="10"/>
  <c r="N145" i="10"/>
  <c r="H146" i="10"/>
  <c r="P146" i="10"/>
  <c r="J147" i="10"/>
  <c r="B277" i="18"/>
  <c r="B169" i="18"/>
  <c r="B115" i="18"/>
  <c r="K115" i="18" s="1"/>
  <c r="B223" i="18"/>
  <c r="B28" i="18"/>
  <c r="S102" i="10"/>
  <c r="S108" i="10"/>
  <c r="H4" i="12"/>
  <c r="G42" i="12" s="1"/>
  <c r="N42" i="12" s="1"/>
  <c r="L104" i="10" s="1"/>
  <c r="H8" i="13"/>
  <c r="F11" i="13" s="1"/>
  <c r="H4" i="14"/>
  <c r="D28" i="14" s="1"/>
  <c r="L28" i="14" s="1"/>
  <c r="D36" i="14" s="1"/>
  <c r="J36" i="14" s="1"/>
  <c r="F89" i="14" s="1"/>
  <c r="H6" i="15"/>
  <c r="J13" i="16"/>
  <c r="O273" i="18"/>
  <c r="H8" i="12"/>
  <c r="F12" i="12" s="1"/>
  <c r="H8" i="14"/>
  <c r="E68" i="14" s="1"/>
  <c r="H10" i="15"/>
  <c r="L5" i="16"/>
  <c r="F6" i="17"/>
  <c r="E28" i="18"/>
  <c r="S125" i="10"/>
  <c r="H4" i="13"/>
  <c r="C11" i="13" s="1"/>
  <c r="F104" i="10"/>
  <c r="L108" i="10"/>
  <c r="S110" i="10"/>
  <c r="H6" i="13"/>
  <c r="M60" i="13" s="1"/>
  <c r="H10" i="14"/>
  <c r="H4" i="15"/>
  <c r="D26" i="15" s="1"/>
  <c r="L26" i="15" s="1"/>
  <c r="D33" i="15" s="1"/>
  <c r="J33" i="15" s="1"/>
  <c r="J94" i="15" s="1"/>
  <c r="J107" i="15" s="1"/>
  <c r="M6" i="17"/>
  <c r="F127" i="10" s="1"/>
  <c r="E239" i="18"/>
  <c r="E185" i="18"/>
  <c r="E25" i="22"/>
  <c r="C30" i="22" s="1"/>
  <c r="I4" i="42"/>
  <c r="L227" i="18"/>
  <c r="N235" i="18"/>
  <c r="L281" i="18"/>
  <c r="E293" i="18"/>
  <c r="I4" i="22"/>
  <c r="I4" i="40"/>
  <c r="E25" i="42"/>
  <c r="C30" i="42" s="1"/>
  <c r="S135" i="10"/>
  <c r="J24" i="18"/>
  <c r="R24" i="18" s="1"/>
  <c r="L33" i="18" s="1"/>
  <c r="R33" i="18" s="1"/>
  <c r="B39" i="18" s="1"/>
  <c r="N289" i="18"/>
  <c r="J2" i="12"/>
  <c r="P63" i="12" s="1"/>
  <c r="K2" i="15"/>
  <c r="K2" i="16"/>
  <c r="L92" i="17"/>
  <c r="J2" i="13"/>
  <c r="K2" i="14"/>
  <c r="K2" i="17"/>
  <c r="K2" i="20"/>
  <c r="K2" i="21"/>
  <c r="N2" i="22"/>
  <c r="K2" i="25"/>
  <c r="K2" i="18"/>
  <c r="K2" i="19"/>
  <c r="N2" i="40"/>
  <c r="K2" i="23"/>
  <c r="N2" i="42"/>
  <c r="L114" i="10" l="1"/>
  <c r="M13" i="16"/>
  <c r="K106" i="14"/>
  <c r="F114" i="10" s="1"/>
  <c r="C80" i="14"/>
  <c r="K47" i="22"/>
  <c r="G52" i="22" s="1"/>
  <c r="J52" i="22" s="1"/>
  <c r="R52" i="22"/>
  <c r="M27" i="16"/>
  <c r="M30" i="16" s="1"/>
  <c r="K29" i="17"/>
  <c r="K17" i="16"/>
  <c r="J11" i="13"/>
  <c r="D24" i="13" s="1"/>
  <c r="H62" i="15"/>
  <c r="C64" i="15" s="1"/>
  <c r="O64" i="15" s="1"/>
  <c r="H75" i="15" s="1"/>
  <c r="H68" i="14"/>
  <c r="H51" i="21"/>
  <c r="D57" i="10" s="1"/>
  <c r="E34" i="21"/>
  <c r="B43" i="21" s="1"/>
  <c r="N43" i="21" s="1"/>
  <c r="M48" i="21" s="1"/>
  <c r="P48" i="21" s="1"/>
  <c r="O51" i="21" s="1"/>
  <c r="I57" i="10" s="1"/>
  <c r="Q24" i="40"/>
  <c r="R76" i="40"/>
  <c r="B71" i="40"/>
  <c r="J71" i="40" s="1"/>
  <c r="O76" i="40" s="1"/>
  <c r="I6" i="40"/>
  <c r="C30" i="40" s="1"/>
  <c r="K30" i="40" s="1"/>
  <c r="D57" i="40" s="1"/>
  <c r="F66" i="40"/>
  <c r="F40" i="40"/>
  <c r="I40" i="40" s="1"/>
  <c r="R74" i="40" s="1"/>
  <c r="Q62" i="40"/>
  <c r="E63" i="40" s="1"/>
  <c r="E64" i="40" s="1"/>
  <c r="J64" i="40" s="1"/>
  <c r="S120" i="10"/>
  <c r="H50" i="25"/>
  <c r="F78" i="40"/>
  <c r="M78" i="40" s="1"/>
  <c r="H42" i="40" s="1"/>
  <c r="K42" i="40" s="1"/>
  <c r="R73" i="40" s="1"/>
  <c r="O72" i="40"/>
  <c r="K26" i="40"/>
  <c r="Q26" i="40" s="1"/>
  <c r="C92" i="14"/>
  <c r="K92" i="14" s="1"/>
  <c r="C12" i="12"/>
  <c r="J12" i="12" s="1"/>
  <c r="D47" i="14"/>
  <c r="L47" i="14" s="1"/>
  <c r="I5" i="16"/>
  <c r="P5" i="16" s="1"/>
  <c r="E131" i="18"/>
  <c r="L117" i="18"/>
  <c r="O117" i="18" s="1"/>
  <c r="I119" i="18" s="1"/>
  <c r="H39" i="18"/>
  <c r="C45" i="18" s="1"/>
  <c r="M45" i="18" s="1"/>
  <c r="B269" i="18" s="1"/>
  <c r="I28" i="18"/>
  <c r="E53" i="19"/>
  <c r="H53" i="19" s="1"/>
  <c r="I51" i="17"/>
  <c r="C51" i="17"/>
  <c r="G10" i="17"/>
  <c r="F12" i="17"/>
  <c r="C8" i="17"/>
  <c r="G8" i="17"/>
  <c r="H44" i="15"/>
  <c r="N44" i="15" s="1"/>
  <c r="K73" i="15"/>
  <c r="O73" i="15" s="1"/>
  <c r="K75" i="15" s="1"/>
  <c r="C10" i="17"/>
  <c r="C12" i="17"/>
  <c r="C71" i="14" l="1"/>
  <c r="L116" i="10"/>
  <c r="P49" i="22"/>
  <c r="J24" i="13"/>
  <c r="G30" i="13" s="1"/>
  <c r="M30" i="13" s="1"/>
  <c r="L30" i="12"/>
  <c r="L28" i="12"/>
  <c r="L29" i="12"/>
  <c r="O71" i="14"/>
  <c r="C74" i="14" s="1"/>
  <c r="I74" i="14" s="1"/>
  <c r="F118" i="10" s="1"/>
  <c r="X7" i="16"/>
  <c r="B54" i="40"/>
  <c r="J54" i="40" s="1"/>
  <c r="I66" i="40"/>
  <c r="L66" i="40" s="1"/>
  <c r="P64" i="40"/>
  <c r="Q64" i="40"/>
  <c r="R64" i="40" s="1"/>
  <c r="K50" i="25"/>
  <c r="N53" i="25" s="1"/>
  <c r="R71" i="40"/>
  <c r="O54" i="40"/>
  <c r="P54" i="40" s="1"/>
  <c r="L57" i="40"/>
  <c r="H57" i="40"/>
  <c r="N54" i="40"/>
  <c r="K71" i="15"/>
  <c r="N71" i="15" s="1"/>
  <c r="G92" i="15" s="1"/>
  <c r="F27" i="16"/>
  <c r="P27" i="16" s="1"/>
  <c r="D36" i="16" s="1"/>
  <c r="N75" i="15"/>
  <c r="W7" i="16" s="1"/>
  <c r="K12" i="17"/>
  <c r="C27" i="12"/>
  <c r="L27" i="12" s="1"/>
  <c r="K10" i="17"/>
  <c r="H17" i="16"/>
  <c r="H20" i="16"/>
  <c r="K7" i="16"/>
  <c r="P7" i="16" s="1"/>
  <c r="K9" i="16" s="1"/>
  <c r="P9" i="16" s="1"/>
  <c r="M48" i="16"/>
  <c r="M153" i="18"/>
  <c r="S153" i="18" s="1"/>
  <c r="M255" i="18"/>
  <c r="N47" i="18"/>
  <c r="Q47" i="18" s="1"/>
  <c r="B161" i="18"/>
  <c r="Q161" i="18" s="1"/>
  <c r="B107" i="18"/>
  <c r="Q107" i="18" s="1"/>
  <c r="M261" i="18"/>
  <c r="B215" i="18"/>
  <c r="M147" i="18"/>
  <c r="S147" i="18" s="1"/>
  <c r="C151" i="18" s="1"/>
  <c r="L151" i="18" s="1"/>
  <c r="M201" i="18"/>
  <c r="M99" i="18"/>
  <c r="S99" i="18" s="1"/>
  <c r="M93" i="18"/>
  <c r="S93" i="18" s="1"/>
  <c r="C97" i="18" s="1"/>
  <c r="L97" i="18" s="1"/>
  <c r="M207" i="18"/>
  <c r="K8" i="17"/>
  <c r="P51" i="22"/>
  <c r="C54" i="22"/>
  <c r="J54" i="22" s="1"/>
  <c r="P50" i="22" s="1"/>
  <c r="J30" i="16"/>
  <c r="H84" i="15"/>
  <c r="N84" i="15" s="1"/>
  <c r="K36" i="13" l="1"/>
  <c r="N36" i="13" s="1"/>
  <c r="G39" i="13" s="1"/>
  <c r="L39" i="13" s="1"/>
  <c r="H47" i="13"/>
  <c r="L110" i="10"/>
  <c r="W43" i="16"/>
  <c r="G13" i="16"/>
  <c r="P13" i="16" s="1"/>
  <c r="L23" i="16" s="1"/>
  <c r="D17" i="16"/>
  <c r="O17" i="16" s="1"/>
  <c r="D20" i="16"/>
  <c r="O20" i="16" s="1"/>
  <c r="I23" i="16" s="1"/>
  <c r="J75" i="13"/>
  <c r="L125" i="10"/>
  <c r="P66" i="40"/>
  <c r="Q57" i="40"/>
  <c r="F30" i="16"/>
  <c r="P30" i="16" s="1"/>
  <c r="G36" i="16" s="1"/>
  <c r="V43" i="16"/>
  <c r="K90" i="15"/>
  <c r="N90" i="15" s="1"/>
  <c r="G94" i="15" s="1"/>
  <c r="K82" i="15"/>
  <c r="N82" i="15" s="1"/>
  <c r="K86" i="15" s="1"/>
  <c r="F33" i="16"/>
  <c r="P33" i="16" s="1"/>
  <c r="J36" i="16" s="1"/>
  <c r="C96" i="17"/>
  <c r="F51" i="17"/>
  <c r="L51" i="17" s="1"/>
  <c r="F125" i="10"/>
  <c r="O111" i="18"/>
  <c r="R111" i="18" s="1"/>
  <c r="B125" i="18"/>
  <c r="F103" i="18"/>
  <c r="M103" i="18"/>
  <c r="M229" i="18"/>
  <c r="M283" i="18"/>
  <c r="K175" i="18"/>
  <c r="O175" i="18" s="1"/>
  <c r="E179" i="18" s="1"/>
  <c r="M121" i="18"/>
  <c r="S121" i="18" s="1"/>
  <c r="E125" i="18" s="1"/>
  <c r="O165" i="18"/>
  <c r="R165" i="18" s="1"/>
  <c r="B179" i="18"/>
  <c r="F157" i="18"/>
  <c r="M157" i="18"/>
  <c r="F40" i="17"/>
  <c r="K40" i="17" s="1"/>
  <c r="I96" i="17"/>
  <c r="D35" i="17"/>
  <c r="J35" i="17" s="1"/>
  <c r="L37" i="17" s="1"/>
  <c r="G27" i="17"/>
  <c r="F83" i="14"/>
  <c r="C77" i="14"/>
  <c r="I77" i="14"/>
  <c r="M92" i="15" l="1"/>
  <c r="P92" i="15" s="1"/>
  <c r="L118" i="10"/>
  <c r="R75" i="13"/>
  <c r="F108" i="10" s="1"/>
  <c r="K42" i="17"/>
  <c r="S127" i="10" s="1"/>
  <c r="F116" i="17"/>
  <c r="F108" i="17"/>
  <c r="M36" i="16"/>
  <c r="P36" i="16" s="1"/>
  <c r="D45" i="16"/>
  <c r="L129" i="10"/>
  <c r="L127" i="10"/>
  <c r="Q66" i="40"/>
  <c r="R66" i="40" s="1"/>
  <c r="R57" i="40"/>
  <c r="S57" i="40" s="1"/>
  <c r="O23" i="16"/>
  <c r="L96" i="17"/>
  <c r="C99" i="17" s="1"/>
  <c r="I99" i="17" s="1"/>
  <c r="J108" i="17" s="1"/>
  <c r="M94" i="15"/>
  <c r="P94" i="15" s="1"/>
  <c r="S118" i="10"/>
  <c r="F23" i="16"/>
  <c r="G59" i="12"/>
  <c r="N59" i="12"/>
  <c r="G54" i="12"/>
  <c r="N54" i="12" s="1"/>
  <c r="F51" i="12"/>
  <c r="I68" i="12"/>
  <c r="L68" i="12" s="1"/>
  <c r="P68" i="12" s="1"/>
  <c r="G39" i="12"/>
  <c r="C49" i="17"/>
  <c r="H179" i="18"/>
  <c r="I181" i="18" s="1"/>
  <c r="H125" i="18"/>
  <c r="K127" i="18" s="1"/>
  <c r="L173" i="18"/>
  <c r="L181" i="18"/>
  <c r="H185" i="18"/>
  <c r="L119" i="18"/>
  <c r="O119" i="18" s="1"/>
  <c r="N127" i="18"/>
  <c r="H131" i="18"/>
  <c r="K131" i="18" s="1"/>
  <c r="F49" i="17"/>
  <c r="L77" i="14"/>
  <c r="F80" i="14" s="1"/>
  <c r="I80" i="14" s="1"/>
  <c r="C83" i="14" s="1"/>
  <c r="I83" i="14" s="1"/>
  <c r="J48" i="16" l="1"/>
  <c r="C102" i="17"/>
  <c r="H102" i="17" s="1"/>
  <c r="H104" i="17" s="1"/>
  <c r="L104" i="17" s="1"/>
  <c r="K39" i="16"/>
  <c r="P39" i="16" s="1"/>
  <c r="K41" i="16" s="1"/>
  <c r="P41" i="16" s="1"/>
  <c r="I49" i="17"/>
  <c r="I86" i="14"/>
  <c r="S116" i="10"/>
  <c r="O181" i="18"/>
  <c r="Q127" i="18"/>
  <c r="C86" i="14"/>
  <c r="C89" i="14"/>
  <c r="I89" i="14"/>
  <c r="C116" i="17" l="1"/>
  <c r="K116" i="17" s="1"/>
  <c r="C119" i="17" s="1"/>
  <c r="H119" i="17" s="1"/>
  <c r="G121" i="17" s="1"/>
  <c r="L121" i="17" s="1"/>
  <c r="C108" i="17"/>
  <c r="M108" i="17" s="1"/>
  <c r="C111" i="17" s="1"/>
  <c r="H111" i="17" s="1"/>
  <c r="G113" i="17" s="1"/>
  <c r="L113" i="17" s="1"/>
  <c r="S129" i="10"/>
  <c r="L86" i="14"/>
  <c r="L120" i="10" s="1"/>
  <c r="L89" i="14"/>
  <c r="F120" i="10" s="1"/>
  <c r="J56" i="16" l="1"/>
  <c r="J45" i="16"/>
  <c r="M45" i="16"/>
  <c r="G56" i="16"/>
  <c r="P56" i="16" l="1"/>
  <c r="K58" i="16" s="1"/>
  <c r="P58" i="16" s="1"/>
  <c r="K60" i="16" s="1"/>
  <c r="P60" i="16" s="1"/>
  <c r="P45" i="16"/>
  <c r="G48" i="16" s="1"/>
  <c r="P48" i="16" s="1"/>
  <c r="K50" i="16" s="1"/>
  <c r="P50" i="16" s="1"/>
  <c r="K52" i="16" s="1"/>
  <c r="P52" i="16" s="1"/>
</calcChain>
</file>

<file path=xl/sharedStrings.xml><?xml version="1.0" encoding="utf-8"?>
<sst xmlns="http://schemas.openxmlformats.org/spreadsheetml/2006/main" count="5099" uniqueCount="2150">
  <si>
    <t>Pumping to Gravity or Pressure Distribution:</t>
  </si>
  <si>
    <t>Sidewall Depth</t>
  </si>
  <si>
    <t>Total System Length</t>
  </si>
  <si>
    <t>C = 130</t>
  </si>
  <si>
    <t>(10.5    ÷</t>
  </si>
  <si>
    <r>
      <t>Pipe Diameter</t>
    </r>
    <r>
      <rPr>
        <vertAlign val="superscript"/>
        <sz val="10"/>
        <rFont val="Trebuchet MS"/>
        <family val="2"/>
      </rPr>
      <t xml:space="preserve">4.87 </t>
    </r>
    <r>
      <rPr>
        <sz val="10"/>
        <rFont val="Trebuchet MS"/>
        <family val="2"/>
      </rPr>
      <t>)</t>
    </r>
  </si>
  <si>
    <t>X     (</t>
  </si>
  <si>
    <t>M.</t>
  </si>
  <si>
    <t>N.</t>
  </si>
  <si>
    <t>Endslope Berm Width</t>
  </si>
  <si>
    <t>System Length</t>
  </si>
  <si>
    <t>System Width</t>
  </si>
  <si>
    <t>Upslope Berm Width</t>
  </si>
  <si>
    <t>Perforation Spacing</t>
  </si>
  <si>
    <t>Total Head</t>
  </si>
  <si>
    <t>7/32</t>
  </si>
  <si>
    <t xml:space="preserve">X </t>
  </si>
  <si>
    <t>Calculate Drainback:</t>
  </si>
  <si>
    <t>Length of Supply Pipe =</t>
  </si>
  <si>
    <t>Pump On</t>
  </si>
  <si>
    <t>Pump Off</t>
  </si>
  <si>
    <t>Alarm Depth</t>
  </si>
  <si>
    <r>
      <t>ft</t>
    </r>
    <r>
      <rPr>
        <vertAlign val="superscript"/>
        <sz val="10"/>
        <rFont val="Trebuchet MS"/>
        <family val="2"/>
      </rPr>
      <t>2</t>
    </r>
  </si>
  <si>
    <r>
      <t>ft</t>
    </r>
    <r>
      <rPr>
        <vertAlign val="superscript"/>
        <sz val="10"/>
        <rFont val="Trebuchet MS"/>
        <family val="2"/>
      </rPr>
      <t>2</t>
    </r>
    <r>
      <rPr>
        <sz val="10"/>
        <rFont val="Trebuchet MS"/>
        <family val="2"/>
      </rPr>
      <t xml:space="preserve"> lawn area</t>
    </r>
  </si>
  <si>
    <r>
      <t>ft</t>
    </r>
    <r>
      <rPr>
        <vertAlign val="superscript"/>
        <sz val="10"/>
        <rFont val="Trebuchet MS"/>
        <family val="2"/>
      </rPr>
      <t>3</t>
    </r>
  </si>
  <si>
    <r>
      <t>yd</t>
    </r>
    <r>
      <rPr>
        <vertAlign val="superscript"/>
        <sz val="10"/>
        <rFont val="Trebuchet MS"/>
        <family val="2"/>
      </rPr>
      <t>3</t>
    </r>
  </si>
  <si>
    <t>Bottom Area Multiplier</t>
  </si>
  <si>
    <r>
      <t>GPD/ft</t>
    </r>
    <r>
      <rPr>
        <vertAlign val="superscript"/>
        <sz val="10"/>
        <rFont val="Trebuchet MS"/>
        <family val="2"/>
      </rPr>
      <t xml:space="preserve">2   </t>
    </r>
    <r>
      <rPr>
        <sz val="10"/>
        <rFont val="Trebuchet MS"/>
        <family val="2"/>
      </rPr>
      <t>=</t>
    </r>
  </si>
  <si>
    <t>%   ÷  100 =</t>
  </si>
  <si>
    <t>Property Owner/Client:</t>
  </si>
  <si>
    <t>NA</t>
  </si>
  <si>
    <t>Comments:</t>
  </si>
  <si>
    <r>
      <t>Calculate</t>
    </r>
    <r>
      <rPr>
        <i/>
        <sz val="10"/>
        <rFont val="Trebuchet MS"/>
        <family val="2"/>
      </rPr>
      <t xml:space="preserve"> Clean Sand Volume:</t>
    </r>
  </si>
  <si>
    <t>((</t>
  </si>
  <si>
    <r>
      <t>Endslope Volume</t>
    </r>
    <r>
      <rPr>
        <sz val="10"/>
        <rFont val="Trebuchet MS"/>
        <family val="2"/>
      </rPr>
      <t>: (</t>
    </r>
    <r>
      <rPr>
        <i/>
        <sz val="10"/>
        <rFont val="Trebuchet MS"/>
        <family val="2"/>
      </rPr>
      <t xml:space="preserve">Downslope Mound Height - 1) </t>
    </r>
    <r>
      <rPr>
        <sz val="10"/>
        <rFont val="Trebuchet MS"/>
        <family val="2"/>
      </rPr>
      <t xml:space="preserve">x 3  x </t>
    </r>
    <r>
      <rPr>
        <i/>
        <sz val="10"/>
        <rFont val="Trebuchet MS"/>
        <family val="2"/>
      </rPr>
      <t>Media Width</t>
    </r>
    <r>
      <rPr>
        <sz val="10"/>
        <rFont val="Trebuchet MS"/>
        <family val="2"/>
      </rPr>
      <t xml:space="preserve"> = cubic feet</t>
    </r>
  </si>
  <si>
    <r>
      <t>Total Clean Sand Volume</t>
    </r>
    <r>
      <rPr>
        <sz val="10"/>
        <rFont val="Trebuchet MS"/>
        <family val="2"/>
      </rPr>
      <t xml:space="preserve">: </t>
    </r>
    <r>
      <rPr>
        <i/>
        <sz val="10"/>
        <rFont val="Trebuchet MS"/>
        <family val="2"/>
      </rPr>
      <t>Upslope Volume</t>
    </r>
    <r>
      <rPr>
        <sz val="10"/>
        <rFont val="Trebuchet MS"/>
        <family val="2"/>
      </rPr>
      <t xml:space="preserve"> + </t>
    </r>
    <r>
      <rPr>
        <i/>
        <sz val="10"/>
        <rFont val="Trebuchet MS"/>
        <family val="2"/>
      </rPr>
      <t>Downslope Volume</t>
    </r>
    <r>
      <rPr>
        <sz val="10"/>
        <rFont val="Trebuchet MS"/>
        <family val="2"/>
      </rPr>
      <t xml:space="preserve"> + </t>
    </r>
    <r>
      <rPr>
        <i/>
        <sz val="10"/>
        <rFont val="Trebuchet MS"/>
        <family val="2"/>
      </rPr>
      <t>Endslope Volume</t>
    </r>
    <r>
      <rPr>
        <sz val="10"/>
        <rFont val="Trebuchet MS"/>
        <family val="2"/>
      </rPr>
      <t xml:space="preserve"> + </t>
    </r>
    <r>
      <rPr>
        <i/>
        <sz val="10"/>
        <rFont val="Trebuchet MS"/>
        <family val="2"/>
      </rPr>
      <t>Volume Under Media</t>
    </r>
  </si>
  <si>
    <t xml:space="preserve">  </t>
  </si>
  <si>
    <r>
      <t>Calculate</t>
    </r>
    <r>
      <rPr>
        <i/>
        <sz val="10"/>
        <rFont val="Trebuchet MS"/>
        <family val="2"/>
      </rPr>
      <t xml:space="preserve"> Sandy Berm Volume:</t>
    </r>
  </si>
  <si>
    <r>
      <t xml:space="preserve">Calculate </t>
    </r>
    <r>
      <rPr>
        <i/>
        <sz val="10"/>
        <rFont val="Trebuchet MS"/>
        <family val="2"/>
      </rPr>
      <t>Topsoil Material Volume: Total Mound Width X Total Mound Length X .5 ft</t>
    </r>
  </si>
  <si>
    <t>Total Mound Volume - Clean Sand volume -Rock Volume = cubic feet</t>
  </si>
  <si>
    <t>Fitting Type</t>
  </si>
  <si>
    <t xml:space="preserve">Gate Valve </t>
  </si>
  <si>
    <t>90 Deg Elbow</t>
  </si>
  <si>
    <t>45 Deg Elbow</t>
  </si>
  <si>
    <t>Tee - Flow Thru</t>
  </si>
  <si>
    <t>Tee - Branch Flow</t>
  </si>
  <si>
    <t>Swing Check Valve</t>
  </si>
  <si>
    <t>Angle Valve</t>
  </si>
  <si>
    <t>Globe Valve</t>
  </si>
  <si>
    <t>Butterfly Valve</t>
  </si>
  <si>
    <r>
      <t xml:space="preserve">between pump </t>
    </r>
    <r>
      <rPr>
        <sz val="10"/>
        <rFont val="Arial"/>
        <family val="2"/>
      </rPr>
      <t>and</t>
    </r>
    <r>
      <rPr>
        <sz val="10"/>
        <rFont val="Trebuchet MS"/>
        <family val="2"/>
      </rPr>
      <t xml:space="preserve"> point of discharge:</t>
    </r>
  </si>
  <si>
    <t>Equivalent length of pipe fittings.</t>
  </si>
  <si>
    <r>
      <t xml:space="preserve">B. All other trenches: </t>
    </r>
    <r>
      <rPr>
        <i/>
        <sz val="10"/>
        <rFont val="Trebuchet MS"/>
        <family val="2"/>
      </rPr>
      <t>Pressure Head</t>
    </r>
    <r>
      <rPr>
        <sz val="10"/>
        <rFont val="Trebuchet MS"/>
        <family val="2"/>
      </rPr>
      <t xml:space="preserve"> equals </t>
    </r>
    <r>
      <rPr>
        <i/>
        <sz val="10"/>
        <rFont val="Trebuchet MS"/>
        <family val="2"/>
      </rPr>
      <t>Minimum Average Head</t>
    </r>
    <r>
      <rPr>
        <sz val="10"/>
        <rFont val="Trebuchet MS"/>
        <family val="2"/>
      </rPr>
      <t xml:space="preserve"> (Line 3) plus the </t>
    </r>
    <r>
      <rPr>
        <i/>
        <sz val="10"/>
        <rFont val="Trebuchet MS"/>
        <family val="2"/>
      </rPr>
      <t>Change in Elevation</t>
    </r>
    <r>
      <rPr>
        <sz val="10"/>
        <rFont val="Trebuchet MS"/>
        <family val="2"/>
      </rPr>
      <t xml:space="preserve"> from Lateral 1.</t>
    </r>
  </si>
  <si>
    <r>
      <t>NOTE:</t>
    </r>
    <r>
      <rPr>
        <sz val="10"/>
        <rFont val="Trebuchet MS"/>
        <family val="2"/>
      </rPr>
      <t xml:space="preserve"> System installer should contact system designer if the number of fittings varies from the design to the actual installation.</t>
    </r>
  </si>
  <si>
    <t>Other</t>
  </si>
  <si>
    <t>If other, please specify:</t>
  </si>
  <si>
    <t>Quantity</t>
  </si>
  <si>
    <t>GPD   ÷</t>
  </si>
  <si>
    <t>GPD/ft =</t>
  </si>
  <si>
    <r>
      <t xml:space="preserve">Single-pass sand filters may be covered with soil while recirculating sand filter must have distribution media to the surface.  </t>
    </r>
    <r>
      <rPr>
        <sz val="10"/>
        <rFont val="Trebuchet MS"/>
        <family val="2"/>
      </rPr>
      <t>If soil cover installed, maximum depth of 12 inches of loamy or sandy material with upper six inches of topsoil borrow is required along with appropriate vegetation.</t>
    </r>
  </si>
  <si>
    <t>gpd   X</t>
  </si>
  <si>
    <t xml:space="preserve">ft     = </t>
  </si>
  <si>
    <t xml:space="preserve">ft    + </t>
  </si>
  <si>
    <t>ft +         (</t>
  </si>
  <si>
    <t xml:space="preserve">ft      + </t>
  </si>
  <si>
    <t>Width of liner is equal to the design width (C4) plus the two times the total system height (H1) plus two additional feet for constructability:</t>
  </si>
  <si>
    <t>Length of liner equals the design length (C5) plus two times the total system height (H1) of the filter plus two additional feet for constructability:</t>
  </si>
  <si>
    <t>Drainfield rock &amp; pea gravel</t>
  </si>
  <si>
    <t>Sand</t>
  </si>
  <si>
    <r>
      <t>Divide ft</t>
    </r>
    <r>
      <rPr>
        <vertAlign val="superscript"/>
        <sz val="10"/>
        <rFont val="Trebuchet MS"/>
        <family val="2"/>
      </rPr>
      <t>3</t>
    </r>
    <r>
      <rPr>
        <sz val="10"/>
        <rFont val="Trebuchet MS"/>
        <family val="2"/>
      </rPr>
      <t xml:space="preserve"> by 27 ft</t>
    </r>
    <r>
      <rPr>
        <vertAlign val="superscript"/>
        <sz val="10"/>
        <rFont val="Trebuchet MS"/>
        <family val="2"/>
      </rPr>
      <t>3</t>
    </r>
    <r>
      <rPr>
        <sz val="10"/>
        <rFont val="Trebuchet MS"/>
        <family val="2"/>
      </rPr>
      <t>/yd</t>
    </r>
    <r>
      <rPr>
        <vertAlign val="superscript"/>
        <sz val="10"/>
        <rFont val="Trebuchet MS"/>
        <family val="2"/>
      </rPr>
      <t>3</t>
    </r>
    <r>
      <rPr>
        <sz val="10"/>
        <rFont val="Trebuchet MS"/>
        <family val="2"/>
      </rPr>
      <t xml:space="preserve"> to calculate cubic yards:</t>
    </r>
  </si>
  <si>
    <t>DISPERSAL MEDIA SIZING</t>
  </si>
  <si>
    <t>If a larger dispersal media area is desired, enter size:</t>
  </si>
  <si>
    <t>ft  - 1)</t>
  </si>
  <si>
    <t>ft - 1)</t>
  </si>
  <si>
    <t>ft - 1 )</t>
  </si>
  <si>
    <t>(usually 3.0 or 4.0)</t>
  </si>
  <si>
    <t>Depth to Limiting Condition:</t>
  </si>
  <si>
    <t>Equivalent Length (ft)</t>
  </si>
  <si>
    <t>Equivalent Length Factor</t>
  </si>
  <si>
    <t>Sum of Equivalent Length due to pipe fittings:</t>
  </si>
  <si>
    <r>
      <t>GPD/ft</t>
    </r>
    <r>
      <rPr>
        <vertAlign val="superscript"/>
        <sz val="10"/>
        <rFont val="Trebuchet MS"/>
        <family val="2"/>
      </rPr>
      <t>2</t>
    </r>
    <r>
      <rPr>
        <sz val="10"/>
        <rFont val="Trebuchet MS"/>
        <family val="2"/>
      </rPr>
      <t xml:space="preserve"> ÷</t>
    </r>
  </si>
  <si>
    <r>
      <t xml:space="preserve"> ft</t>
    </r>
    <r>
      <rPr>
        <vertAlign val="superscript"/>
        <sz val="10"/>
        <rFont val="Trebuchet MS"/>
        <family val="2"/>
      </rPr>
      <t>3</t>
    </r>
    <r>
      <rPr>
        <sz val="10"/>
        <rFont val="Trebuchet MS"/>
        <family val="2"/>
      </rPr>
      <t xml:space="preserve">  ÷</t>
    </r>
  </si>
  <si>
    <r>
      <t xml:space="preserve"> yd</t>
    </r>
    <r>
      <rPr>
        <vertAlign val="superscript"/>
        <sz val="10"/>
        <rFont val="Trebuchet MS"/>
        <family val="2"/>
      </rPr>
      <t>3</t>
    </r>
    <r>
      <rPr>
        <sz val="10"/>
        <rFont val="Trebuchet MS"/>
        <family val="2"/>
      </rPr>
      <t xml:space="preserve">  x</t>
    </r>
  </si>
  <si>
    <t>APPROXIMATE VOLUME CALCULATIONS:</t>
  </si>
  <si>
    <r>
      <t>ft</t>
    </r>
    <r>
      <rPr>
        <vertAlign val="superscript"/>
        <sz val="10"/>
        <rFont val="Trebuchet MS"/>
        <family val="2"/>
      </rPr>
      <t xml:space="preserve">3  </t>
    </r>
    <r>
      <rPr>
        <sz val="10"/>
        <rFont val="Trebuchet MS"/>
        <family val="2"/>
      </rPr>
      <t>÷</t>
    </r>
  </si>
  <si>
    <t>GPD ÷</t>
  </si>
  <si>
    <r>
      <t>GPD/ft</t>
    </r>
    <r>
      <rPr>
        <vertAlign val="superscript"/>
        <sz val="10"/>
        <rFont val="Trebuchet MS"/>
        <family val="2"/>
      </rPr>
      <t>2</t>
    </r>
  </si>
  <si>
    <t>ABSORPTION AREA SIZING</t>
  </si>
  <si>
    <t>1.</t>
  </si>
  <si>
    <t>2.</t>
  </si>
  <si>
    <r>
      <t xml:space="preserve">Select </t>
    </r>
    <r>
      <rPr>
        <i/>
        <sz val="10"/>
        <rFont val="Trebuchet MS"/>
        <family val="2"/>
      </rPr>
      <t>Type of Manifold Connection</t>
    </r>
    <r>
      <rPr>
        <sz val="10"/>
        <rFont val="Trebuchet MS"/>
        <family val="2"/>
      </rPr>
      <t xml:space="preserve"> (End or Center):</t>
    </r>
  </si>
  <si>
    <t>5.</t>
  </si>
  <si>
    <t>ft</t>
  </si>
  <si>
    <t>6.</t>
  </si>
  <si>
    <t>in</t>
  </si>
  <si>
    <t>7.</t>
  </si>
  <si>
    <t>Gallons</t>
  </si>
  <si>
    <t>8.</t>
  </si>
  <si>
    <t>- 2 ft =</t>
  </si>
  <si>
    <t>9.</t>
  </si>
  <si>
    <r>
      <t>Volume of Distribution Piping</t>
    </r>
    <r>
      <rPr>
        <sz val="10"/>
        <rFont val="Trebuchet MS"/>
        <family val="2"/>
      </rPr>
      <t xml:space="preserve"> = </t>
    </r>
  </si>
  <si>
    <t>X</t>
  </si>
  <si>
    <t>=</t>
  </si>
  <si>
    <t>10.</t>
  </si>
  <si>
    <r>
      <t xml:space="preserve">Select </t>
    </r>
    <r>
      <rPr>
        <i/>
        <sz val="10"/>
        <rFont val="Trebuchet MS"/>
        <family val="2"/>
      </rPr>
      <t>Perforation Spacing</t>
    </r>
    <r>
      <rPr>
        <sz val="10"/>
        <rFont val="Trebuchet MS"/>
        <family val="2"/>
      </rPr>
      <t>:</t>
    </r>
  </si>
  <si>
    <t>11.</t>
  </si>
  <si>
    <t>ft/</t>
  </si>
  <si>
    <t>ft =</t>
  </si>
  <si>
    <t>Spaces</t>
  </si>
  <si>
    <t>12.</t>
  </si>
  <si>
    <t>13.</t>
  </si>
  <si>
    <r>
      <t xml:space="preserve">Perforations Per Lateral </t>
    </r>
    <r>
      <rPr>
        <sz val="10"/>
        <rFont val="Trebuchet MS"/>
        <family val="2"/>
      </rPr>
      <t>=</t>
    </r>
  </si>
  <si>
    <t>1/4</t>
  </si>
  <si>
    <t>End</t>
  </si>
  <si>
    <t>3/16</t>
  </si>
  <si>
    <t>1/8</t>
  </si>
  <si>
    <t>14.</t>
  </si>
  <si>
    <t>gpd</t>
  </si>
  <si>
    <t>ft    =</t>
  </si>
  <si>
    <t>ft   +</t>
  </si>
  <si>
    <t>ft   =</t>
  </si>
  <si>
    <t>ft  =</t>
  </si>
  <si>
    <t>ft  X</t>
  </si>
  <si>
    <t>ft   X</t>
  </si>
  <si>
    <t>ft    +</t>
  </si>
  <si>
    <t>15.</t>
  </si>
  <si>
    <t>ft X</t>
  </si>
  <si>
    <t>16.</t>
  </si>
  <si>
    <t>17.</t>
  </si>
  <si>
    <t>L in feet</t>
  </si>
  <si>
    <r>
      <t xml:space="preserve">Select </t>
    </r>
    <r>
      <rPr>
        <i/>
        <sz val="10"/>
        <rFont val="Trebuchet MS"/>
        <family val="2"/>
      </rPr>
      <t>Minimum Average Head</t>
    </r>
    <r>
      <rPr>
        <sz val="10"/>
        <rFont val="Trebuchet MS"/>
        <family val="2"/>
      </rPr>
      <t>:</t>
    </r>
  </si>
  <si>
    <t>18.</t>
  </si>
  <si>
    <t>Perforation Diameter</t>
  </si>
  <si>
    <t>Perforations</t>
  </si>
  <si>
    <t>GPM</t>
  </si>
  <si>
    <t>I hereby certify that I have completed this work in accordance with all applicable ordinances, rules and laws.</t>
  </si>
  <si>
    <t>(Designer)</t>
  </si>
  <si>
    <t>(Signature)</t>
  </si>
  <si>
    <t>(License #)</t>
  </si>
  <si>
    <t>(Date)</t>
  </si>
  <si>
    <t>Gravity Distribution</t>
  </si>
  <si>
    <t>3.</t>
  </si>
  <si>
    <t>4.</t>
  </si>
  <si>
    <t>-</t>
  </si>
  <si>
    <t>Inches</t>
  </si>
  <si>
    <t>A pump must be selected to deliver at least</t>
  </si>
  <si>
    <t>GPM (Line 1 or Line 2) with at least</t>
  </si>
  <si>
    <t>A.</t>
  </si>
  <si>
    <t>Rectangle area = Length (L) X Width (W)</t>
  </si>
  <si>
    <t>C.</t>
  </si>
  <si>
    <t>Gallons Per Inch</t>
  </si>
  <si>
    <t>Lat 1</t>
  </si>
  <si>
    <t>Lat 2</t>
  </si>
  <si>
    <t>Lat 3</t>
  </si>
  <si>
    <t>Lat 4</t>
  </si>
  <si>
    <t>Lat 5</t>
  </si>
  <si>
    <t>Calculate the Gallons Per Minute Per Foot for Lateral 1.  This value will then be used to make sure that the gallons per minute per foot is equivalent in each lateral</t>
  </si>
  <si>
    <t>Center</t>
  </si>
  <si>
    <r>
      <t xml:space="preserve">Calculate </t>
    </r>
    <r>
      <rPr>
        <i/>
        <sz val="10"/>
        <rFont val="Trebuchet MS"/>
        <family val="2"/>
      </rPr>
      <t>Change in Elevation</t>
    </r>
    <r>
      <rPr>
        <sz val="10"/>
        <rFont val="Trebuchet MS"/>
        <family val="2"/>
      </rPr>
      <t xml:space="preserve"> over the laterals</t>
    </r>
  </si>
  <si>
    <r>
      <t xml:space="preserve">Calculate the </t>
    </r>
    <r>
      <rPr>
        <i/>
        <sz val="10"/>
        <rFont val="Trebuchet MS"/>
        <family val="2"/>
      </rPr>
      <t>Total Head</t>
    </r>
    <r>
      <rPr>
        <sz val="10"/>
        <rFont val="Trebuchet MS"/>
        <family val="2"/>
      </rPr>
      <t xml:space="preserve"> = </t>
    </r>
    <r>
      <rPr>
        <i/>
        <sz val="10"/>
        <rFont val="Trebuchet MS"/>
        <family val="2"/>
      </rPr>
      <t>Minimum Average Head</t>
    </r>
    <r>
      <rPr>
        <sz val="10"/>
        <rFont val="Trebuchet MS"/>
        <family val="2"/>
      </rPr>
      <t xml:space="preserve"> (Line 3) + </t>
    </r>
    <r>
      <rPr>
        <i/>
        <sz val="10"/>
        <rFont val="Trebuchet MS"/>
        <family val="2"/>
      </rPr>
      <t>Change in Elevation</t>
    </r>
    <r>
      <rPr>
        <sz val="10"/>
        <rFont val="Trebuchet MS"/>
        <family val="2"/>
      </rPr>
      <t xml:space="preserve"> (Line 2)</t>
    </r>
  </si>
  <si>
    <r>
      <t xml:space="preserve">Calculate </t>
    </r>
    <r>
      <rPr>
        <i/>
        <sz val="10"/>
        <rFont val="Trebuchet MS"/>
        <family val="2"/>
      </rPr>
      <t>Pressure Head for Each Lateral</t>
    </r>
  </si>
  <si>
    <r>
      <t xml:space="preserve">Determine the </t>
    </r>
    <r>
      <rPr>
        <i/>
        <sz val="10"/>
        <rFont val="Trebuchet MS"/>
        <family val="2"/>
      </rPr>
      <t>Flow Rate per Hole</t>
    </r>
  </si>
  <si>
    <r>
      <t>Flow Rate for Lateral 1</t>
    </r>
    <r>
      <rPr>
        <sz val="10"/>
        <rFont val="Trebuchet MS"/>
        <family val="2"/>
      </rPr>
      <t xml:space="preserve"> = </t>
    </r>
    <r>
      <rPr>
        <i/>
        <sz val="10"/>
        <rFont val="Trebuchet MS"/>
        <family val="2"/>
      </rPr>
      <t>Number of Perforations</t>
    </r>
    <r>
      <rPr>
        <sz val="10"/>
        <rFont val="Trebuchet MS"/>
        <family val="2"/>
      </rPr>
      <t xml:space="preserve"> X </t>
    </r>
    <r>
      <rPr>
        <i/>
        <sz val="10"/>
        <rFont val="Trebuchet MS"/>
        <family val="2"/>
      </rPr>
      <t>Flow Rate Per Hole for Lateral 1</t>
    </r>
  </si>
  <si>
    <t>Linear, Convex</t>
  </si>
  <si>
    <t>Concave, Convex</t>
  </si>
  <si>
    <t>Concave, Concave</t>
  </si>
  <si>
    <t>Concave, Linear</t>
  </si>
  <si>
    <t>Single grain</t>
  </si>
  <si>
    <t>S1</t>
  </si>
  <si>
    <t>S2</t>
  </si>
  <si>
    <t>S3</t>
  </si>
  <si>
    <t>S4</t>
  </si>
  <si>
    <t>T1</t>
  </si>
  <si>
    <t>T2</t>
  </si>
  <si>
    <t>Rigid</t>
  </si>
  <si>
    <t>T3</t>
  </si>
  <si>
    <t>T4</t>
  </si>
  <si>
    <t>T5</t>
  </si>
  <si>
    <t>T6</t>
  </si>
  <si>
    <t>S1, T6</t>
  </si>
  <si>
    <t>S2, T6</t>
  </si>
  <si>
    <t>S3, T6</t>
  </si>
  <si>
    <t>S4, T1</t>
  </si>
  <si>
    <t>S4, T2</t>
  </si>
  <si>
    <t>S4, T6</t>
  </si>
  <si>
    <t>Bar or lounge (no meals)</t>
  </si>
  <si>
    <r>
      <t xml:space="preserve">Design flow - </t>
    </r>
    <r>
      <rPr>
        <i/>
        <sz val="10"/>
        <rFont val="Trebuchet MS"/>
        <family val="2"/>
      </rPr>
      <t>from Flow &amp; Soil or LISTS Flow worksheet:</t>
    </r>
  </si>
  <si>
    <r>
      <t xml:space="preserve">Type of filter </t>
    </r>
    <r>
      <rPr>
        <i/>
        <sz val="10"/>
        <rFont val="Trebuchet MS"/>
        <family val="2"/>
      </rPr>
      <t>(check</t>
    </r>
    <r>
      <rPr>
        <sz val="10"/>
        <rFont val="Trebuchet MS"/>
        <family val="2"/>
      </rPr>
      <t>)</t>
    </r>
    <r>
      <rPr>
        <b/>
        <sz val="10"/>
        <rFont val="Trebuchet MS"/>
        <family val="2"/>
      </rPr>
      <t>:</t>
    </r>
  </si>
  <si>
    <r>
      <t>Divide cubic feet by 27 ft</t>
    </r>
    <r>
      <rPr>
        <vertAlign val="superscript"/>
        <sz val="10"/>
        <rFont val="Trebuchet MS"/>
        <family val="2"/>
      </rPr>
      <t>3</t>
    </r>
    <r>
      <rPr>
        <sz val="10"/>
        <rFont val="Trebuchet MS"/>
        <family val="2"/>
      </rPr>
      <t>/yd</t>
    </r>
    <r>
      <rPr>
        <vertAlign val="superscript"/>
        <sz val="10"/>
        <rFont val="Trebuchet MS"/>
        <family val="2"/>
      </rPr>
      <t xml:space="preserve">3 </t>
    </r>
    <r>
      <rPr>
        <sz val="10"/>
        <rFont val="Trebuchet MS"/>
        <family val="2"/>
      </rPr>
      <t>to get cubic yards:</t>
    </r>
  </si>
  <si>
    <r>
      <t>Divide cubic feet by 27 ft</t>
    </r>
    <r>
      <rPr>
        <vertAlign val="superscript"/>
        <sz val="10"/>
        <rFont val="Trebuchet MS"/>
        <family val="2"/>
      </rPr>
      <t>3</t>
    </r>
    <r>
      <rPr>
        <sz val="10"/>
        <rFont val="Trebuchet MS"/>
        <family val="2"/>
      </rPr>
      <t>/yd</t>
    </r>
    <r>
      <rPr>
        <vertAlign val="superscript"/>
        <sz val="10"/>
        <rFont val="Trebuchet MS"/>
        <family val="2"/>
      </rPr>
      <t xml:space="preserve">3 </t>
    </r>
    <r>
      <rPr>
        <sz val="10"/>
        <rFont val="Trebuchet MS"/>
        <family val="2"/>
      </rPr>
      <t>to get cubic yards (for sand and gravel only):</t>
    </r>
  </si>
  <si>
    <r>
      <t>Divide cubic feet by 27 ft</t>
    </r>
    <r>
      <rPr>
        <vertAlign val="superscript"/>
        <sz val="10"/>
        <rFont val="Trebuchet MS"/>
        <family val="2"/>
      </rPr>
      <t>3</t>
    </r>
    <r>
      <rPr>
        <sz val="10"/>
        <rFont val="Trebuchet MS"/>
        <family val="2"/>
      </rPr>
      <t>/yd</t>
    </r>
    <r>
      <rPr>
        <vertAlign val="superscript"/>
        <sz val="10"/>
        <rFont val="Trebuchet MS"/>
        <family val="2"/>
      </rPr>
      <t xml:space="preserve">3 </t>
    </r>
    <r>
      <rPr>
        <sz val="10"/>
        <rFont val="Trebuchet MS"/>
        <family val="2"/>
      </rPr>
      <t>to get cubic yards</t>
    </r>
  </si>
  <si>
    <t>Pipe Elevation</t>
  </si>
  <si>
    <t>Length of STA</t>
  </si>
  <si>
    <r>
      <t xml:space="preserve">A. Highest trench elevation (Pipe Elevation 1): </t>
    </r>
    <r>
      <rPr>
        <i/>
        <sz val="10"/>
        <rFont val="Trebuchet MS"/>
        <family val="2"/>
      </rPr>
      <t>Pressure Head</t>
    </r>
    <r>
      <rPr>
        <sz val="10"/>
        <rFont val="Trebuchet MS"/>
        <family val="2"/>
      </rPr>
      <t xml:space="preserve"> equals </t>
    </r>
    <r>
      <rPr>
        <i/>
        <sz val="10"/>
        <rFont val="Trebuchet MS"/>
        <family val="2"/>
      </rPr>
      <t>Minimum Average Head</t>
    </r>
    <r>
      <rPr>
        <sz val="10"/>
        <rFont val="Trebuchet MS"/>
        <family val="2"/>
      </rPr>
      <t xml:space="preserve"> (Line 3)</t>
    </r>
  </si>
  <si>
    <t>i.</t>
  </si>
  <si>
    <t>ii.</t>
  </si>
  <si>
    <t>iii.</t>
  </si>
  <si>
    <t>Design Flow - Grease Trap (kitchen waste only):</t>
  </si>
  <si>
    <t xml:space="preserve">(b) Depth of Pea Gravel: </t>
  </si>
  <si>
    <t>lbs BOD</t>
  </si>
  <si>
    <t>a.</t>
  </si>
  <si>
    <t>b.</t>
  </si>
  <si>
    <t>lbs BOD  ÷</t>
  </si>
  <si>
    <t xml:space="preserve">Divide lbs of BOD by square feet of filter (C2).  </t>
  </si>
  <si>
    <r>
      <t xml:space="preserve">Permitting Flow </t>
    </r>
    <r>
      <rPr>
        <i/>
        <sz val="10"/>
        <rFont val="Trebuchet MS"/>
        <family val="2"/>
      </rPr>
      <t>(from Final Flow worksheet):</t>
    </r>
  </si>
  <si>
    <r>
      <t>Facility with potential elevated levels of BOD</t>
    </r>
    <r>
      <rPr>
        <vertAlign val="subscript"/>
        <sz val="10"/>
        <rFont val="Trebuchet MS"/>
        <family val="2"/>
      </rPr>
      <t>5</t>
    </r>
    <r>
      <rPr>
        <sz val="10"/>
        <rFont val="Trebuchet MS"/>
        <family val="2"/>
      </rPr>
      <t>, TSS or FOG?</t>
    </r>
  </si>
  <si>
    <r>
      <t>BOD</t>
    </r>
    <r>
      <rPr>
        <vertAlign val="subscript"/>
        <sz val="10"/>
        <rFont val="Trebuchet MS"/>
        <family val="2"/>
      </rPr>
      <t>5</t>
    </r>
  </si>
  <si>
    <r>
      <t xml:space="preserve">Number of </t>
    </r>
    <r>
      <rPr>
        <i/>
        <sz val="10"/>
        <rFont val="Trebuchet MS"/>
        <family val="2"/>
      </rPr>
      <t>Septic Tanks/</t>
    </r>
    <r>
      <rPr>
        <i/>
        <sz val="10"/>
        <rFont val="Trebuchet MS"/>
        <family val="2"/>
      </rPr>
      <t>Compartments</t>
    </r>
    <r>
      <rPr>
        <sz val="10"/>
        <rFont val="Trebuchet MS"/>
        <family val="2"/>
      </rPr>
      <t>:</t>
    </r>
  </si>
  <si>
    <r>
      <t xml:space="preserve">Number of </t>
    </r>
    <r>
      <rPr>
        <i/>
        <sz val="10"/>
        <rFont val="Trebuchet MS"/>
        <family val="2"/>
      </rPr>
      <t>Septic Tanks/Compartments</t>
    </r>
    <r>
      <rPr>
        <sz val="10"/>
        <rFont val="Trebuchet MS"/>
        <family val="2"/>
      </rPr>
      <t>:</t>
    </r>
  </si>
  <si>
    <r>
      <t>Percent Land Slope</t>
    </r>
    <r>
      <rPr>
        <sz val="10"/>
        <rFont val="Trebuchet MS"/>
        <family val="2"/>
      </rPr>
      <t>:</t>
    </r>
  </si>
  <si>
    <r>
      <t>Kind of Soil Treatment and Dispersal Area</t>
    </r>
    <r>
      <rPr>
        <sz val="10"/>
        <rFont val="Trebuchet MS"/>
        <family val="2"/>
      </rPr>
      <t>:</t>
    </r>
  </si>
  <si>
    <r>
      <t>Distribution Method</t>
    </r>
    <r>
      <rPr>
        <sz val="10"/>
        <rFont val="Trebuchet MS"/>
        <family val="2"/>
      </rPr>
      <t>:</t>
    </r>
  </si>
  <si>
    <r>
      <t>Initial required trench bottom area (ft</t>
    </r>
    <r>
      <rPr>
        <vertAlign val="superscript"/>
        <sz val="10"/>
        <rFont val="Trebuchet MS"/>
        <family val="2"/>
      </rPr>
      <t>2</t>
    </r>
    <r>
      <rPr>
        <sz val="10"/>
        <rFont val="Trebuchet MS"/>
        <family val="2"/>
      </rPr>
      <t>): (from 1.D)</t>
    </r>
  </si>
  <si>
    <t>Design trench bottom area</t>
  </si>
  <si>
    <t>Note: Pressure distribution must be used for soil treatment systems with flows greater than 2,500 gallons per day.</t>
  </si>
  <si>
    <t>5. SITE EVALUATION OVERVIEW:</t>
  </si>
  <si>
    <t>6. SOIL LOADING RATES: Select method A. or B. below</t>
  </si>
  <si>
    <t>7. SYSTEM OVERVIEW</t>
  </si>
  <si>
    <t>Linear, Linear</t>
  </si>
  <si>
    <t>Linear, Concave</t>
  </si>
  <si>
    <t>Summit</t>
  </si>
  <si>
    <t>S1, T2</t>
  </si>
  <si>
    <t>Convex, Linear</t>
  </si>
  <si>
    <t>Shoulder</t>
  </si>
  <si>
    <t>S1, T3</t>
  </si>
  <si>
    <t>Concentrations</t>
  </si>
  <si>
    <t>`</t>
  </si>
  <si>
    <t>(typically 5 - 12 ft from center to center)</t>
  </si>
  <si>
    <t>Enter soil treatment area (STA) length in order of the Highest Elevation to the Lowest Elevation:</t>
  </si>
  <si>
    <t>Camp, day without meals</t>
  </si>
  <si>
    <t>Convex, Convex</t>
  </si>
  <si>
    <t>Back/ Side Slope</t>
  </si>
  <si>
    <t>S1, T4</t>
  </si>
  <si>
    <t>Depletions</t>
  </si>
  <si>
    <t>Convex, Concave</t>
  </si>
  <si>
    <t>Foot Slope</t>
  </si>
  <si>
    <t>S1, T5</t>
  </si>
  <si>
    <t>Gleyed</t>
  </si>
  <si>
    <t>S2, T2</t>
  </si>
  <si>
    <t>Concentrations, gleyed</t>
  </si>
  <si>
    <t>S2, T3</t>
  </si>
  <si>
    <t>Depletions, gleyed</t>
  </si>
  <si>
    <t>S2, T4</t>
  </si>
  <si>
    <t>Concentrations, depletions, gleyed</t>
  </si>
  <si>
    <t>S2, T5</t>
  </si>
  <si>
    <t>S3, T1</t>
  </si>
  <si>
    <t>in   X</t>
  </si>
  <si>
    <t>gal/in ÷</t>
  </si>
  <si>
    <t>min =</t>
  </si>
  <si>
    <t>min</t>
  </si>
  <si>
    <t>gal/in =</t>
  </si>
  <si>
    <t>in +</t>
  </si>
  <si>
    <t>in  =</t>
  </si>
  <si>
    <t>in =</t>
  </si>
  <si>
    <t>S3, T2</t>
  </si>
  <si>
    <t>S3, T3</t>
  </si>
  <si>
    <t>Blocky</t>
  </si>
  <si>
    <t>S3, T4</t>
  </si>
  <si>
    <t>Extremely Firm</t>
  </si>
  <si>
    <t>S3, T5</t>
  </si>
  <si>
    <t>S4, T3</t>
  </si>
  <si>
    <t>S4, T4</t>
  </si>
  <si>
    <t>S4, T5</t>
  </si>
  <si>
    <t>Length of STA from manifold</t>
  </si>
  <si>
    <r>
      <t xml:space="preserve">Calculate </t>
    </r>
    <r>
      <rPr>
        <i/>
        <sz val="10"/>
        <rFont val="Trebuchet MS"/>
        <family val="2"/>
      </rPr>
      <t>Volume to Cover Pump</t>
    </r>
    <r>
      <rPr>
        <sz val="10"/>
        <rFont val="Trebuchet MS"/>
        <family val="2"/>
      </rPr>
      <t xml:space="preserve"> (The inlet of the pump must be at least 4-inches from the bottom of the pump tank &amp; 2 inches of water covering the pump is recommended)</t>
    </r>
  </si>
  <si>
    <t>Enter the minimum pipe size that allows for even distribution and the volume of liquid in the pipe from the table.</t>
  </si>
  <si>
    <t>c) Flow from I&amp; I in Collection System:</t>
  </si>
  <si>
    <t>mg/l   X    0.00000834   =</t>
  </si>
  <si>
    <t>c.</t>
  </si>
  <si>
    <t>lbs BOD     ÷     0.005   =</t>
  </si>
  <si>
    <t>d.</t>
  </si>
  <si>
    <t>Required filter area is the larger of line C2 and 3c:</t>
  </si>
  <si>
    <t>Length of filter = filter area (C3d) divided by filter width (C3) =</t>
  </si>
  <si>
    <t>Select hydraulic loading rate:</t>
  </si>
  <si>
    <r>
      <t>Organic loading rate must be less then 0.005 lbs BOD/ft</t>
    </r>
    <r>
      <rPr>
        <vertAlign val="superscript"/>
        <sz val="10"/>
        <rFont val="Trebuchet MS"/>
        <family val="2"/>
      </rPr>
      <t>2</t>
    </r>
    <r>
      <rPr>
        <sz val="10"/>
        <rFont val="Trebuchet MS"/>
        <family val="2"/>
      </rPr>
      <t xml:space="preserve">.  </t>
    </r>
    <r>
      <rPr>
        <i/>
        <sz val="10"/>
        <rFont val="Trebuchet MS"/>
        <family val="2"/>
      </rPr>
      <t>Divide lbs of BOD (Line 3a) by 0.005 lbs/ft</t>
    </r>
    <r>
      <rPr>
        <i/>
        <vertAlign val="superscript"/>
        <sz val="10"/>
        <rFont val="Trebuchet MS"/>
        <family val="2"/>
      </rPr>
      <t xml:space="preserve">2 </t>
    </r>
  </si>
  <si>
    <r>
      <t>Flow Rate    ÷   Constant)</t>
    </r>
    <r>
      <rPr>
        <vertAlign val="superscript"/>
        <sz val="10"/>
        <rFont val="Trebuchet MS"/>
        <family val="2"/>
      </rPr>
      <t xml:space="preserve">1.85 </t>
    </r>
  </si>
  <si>
    <r>
      <t>gpm ÷ 130)</t>
    </r>
    <r>
      <rPr>
        <vertAlign val="superscript"/>
        <sz val="10"/>
        <rFont val="Arial"/>
        <family val="2"/>
      </rPr>
      <t xml:space="preserve">1.85   </t>
    </r>
    <r>
      <rPr>
        <sz val="10"/>
        <rFont val="Arial"/>
        <family val="2"/>
      </rPr>
      <t>X</t>
    </r>
  </si>
  <si>
    <t>(10.5   ÷</t>
  </si>
  <si>
    <r>
      <t>Hazen-Williams friction loss due to pipe fittings and supply pipe (h</t>
    </r>
    <r>
      <rPr>
        <vertAlign val="subscript"/>
        <sz val="10"/>
        <rFont val="Trebuchet MS"/>
        <family val="2"/>
      </rPr>
      <t>f</t>
    </r>
    <r>
      <rPr>
        <sz val="10"/>
        <rFont val="Trebuchet MS"/>
        <family val="2"/>
      </rPr>
      <t>):</t>
    </r>
  </si>
  <si>
    <r>
      <t>in</t>
    </r>
    <r>
      <rPr>
        <vertAlign val="superscript"/>
        <sz val="12"/>
        <rFont val="Trebuchet MS"/>
        <family val="2"/>
      </rPr>
      <t>4.87</t>
    </r>
    <r>
      <rPr>
        <sz val="12"/>
        <rFont val="Trebuchet MS"/>
        <family val="2"/>
      </rPr>
      <t xml:space="preserve"> )</t>
    </r>
  </si>
  <si>
    <t>Contour Loading Rate:</t>
  </si>
  <si>
    <t>Highest</t>
  </si>
  <si>
    <t>Lowest</t>
  </si>
  <si>
    <t>2ft</t>
  </si>
  <si>
    <t xml:space="preserve">ft       </t>
  </si>
  <si>
    <t>ft per 100ft</t>
  </si>
  <si>
    <t>Pump Off Float - Measuring from bottom of tank:</t>
  </si>
  <si>
    <t>mg/L X 8.35 ÷ 1,000,000 =</t>
  </si>
  <si>
    <t>3.14     X</t>
  </si>
  <si>
    <t>Drainfield rock</t>
  </si>
  <si>
    <t>in  X</t>
  </si>
  <si>
    <t>Comments/Special Design Considerations:</t>
  </si>
  <si>
    <t>4.  SEPTIC TANKS and STILLING TANK</t>
  </si>
  <si>
    <t>Stilling tank required?</t>
  </si>
  <si>
    <r>
      <t>If Yes, minimum capacity is equal to the Design Flow (Line 1) multiplied by 0.5 (</t>
    </r>
    <r>
      <rPr>
        <i/>
        <sz val="10"/>
        <rFont val="Trebuchet MS"/>
        <family val="2"/>
      </rPr>
      <t>can be greater than 0.5</t>
    </r>
    <r>
      <rPr>
        <sz val="10"/>
        <rFont val="Trebuchet MS"/>
        <family val="2"/>
      </rPr>
      <t xml:space="preserve">)  </t>
    </r>
  </si>
  <si>
    <r>
      <t>Measured Percent Land Slope</t>
    </r>
    <r>
      <rPr>
        <sz val="10"/>
        <rFont val="Trebuchet MS"/>
        <family val="2"/>
      </rPr>
      <t>:</t>
    </r>
  </si>
  <si>
    <t>Absorption Width</t>
  </si>
  <si>
    <t>Clean Sand Lift</t>
  </si>
  <si>
    <t>Soil Texture:</t>
  </si>
  <si>
    <t>Trench Width</t>
  </si>
  <si>
    <t>Total Lineal Feet</t>
  </si>
  <si>
    <t>Bed Length</t>
  </si>
  <si>
    <t>Bed Width</t>
  </si>
  <si>
    <t>Quantity X Equivalent Length Factor = Equivalent Length</t>
  </si>
  <si>
    <t>)ft  X</t>
  </si>
  <si>
    <r>
      <t>Effluent Screen &amp; Alarm</t>
    </r>
    <r>
      <rPr>
        <sz val="10"/>
        <rFont val="Trebuchet MS"/>
        <family val="2"/>
      </rPr>
      <t>?</t>
    </r>
  </si>
  <si>
    <r>
      <t>Depth to Limiting Layer</t>
    </r>
    <r>
      <rPr>
        <sz val="10"/>
        <rFont val="Trebuchet MS"/>
        <family val="2"/>
      </rPr>
      <t>:</t>
    </r>
  </si>
  <si>
    <t>2.  HEAD REQUIREMENTS</t>
  </si>
  <si>
    <t>3.  PUMP SELECTION</t>
  </si>
  <si>
    <t>gpd    X</t>
  </si>
  <si>
    <t>(</t>
  </si>
  <si>
    <t>+</t>
  </si>
  <si>
    <t>Design Flow:</t>
  </si>
  <si>
    <t>GPD</t>
  </si>
  <si>
    <t>Measuring from bottom of tank:</t>
  </si>
  <si>
    <t>Lateral 1</t>
  </si>
  <si>
    <t>Lateral 2</t>
  </si>
  <si>
    <t>Lateral 3</t>
  </si>
  <si>
    <t>Lateral 4</t>
  </si>
  <si>
    <t>Lateral 5</t>
  </si>
  <si>
    <t>= Highest Elevation (Lateral 1) - Lowest Elevation (Last Lateral above)</t>
  </si>
  <si>
    <t>This worksheet cannot be used for a Minimum Average Head of 5.0 feet.  Design must be modified or valving must be used to equalize flow.</t>
  </si>
  <si>
    <t>Pressure Head</t>
  </si>
  <si>
    <t>c=0.60; d=perforation diameter; h=pressure head</t>
  </si>
  <si>
    <t>0.208/resident</t>
  </si>
  <si>
    <t>0.031</t>
  </si>
  <si>
    <t>0.208</t>
  </si>
  <si>
    <t>240 - 400</t>
  </si>
  <si>
    <t>400 - 600</t>
  </si>
  <si>
    <t>0.04/employee</t>
  </si>
  <si>
    <t>600 - 1500</t>
  </si>
  <si>
    <t>0.35/seat</t>
  </si>
  <si>
    <t>0.50/seat</t>
  </si>
  <si>
    <t>0.70/seat</t>
  </si>
  <si>
    <t>0.10/seat</t>
  </si>
  <si>
    <t>400 - 800</t>
  </si>
  <si>
    <t>600 - 800</t>
  </si>
  <si>
    <t>0.70/100 sqft</t>
  </si>
  <si>
    <t>0.80/seat</t>
  </si>
  <si>
    <t>0.40/space</t>
  </si>
  <si>
    <t>0.15/room</t>
  </si>
  <si>
    <t>0.50/toilet or urinal</t>
  </si>
  <si>
    <t>0.30/1000 sqft</t>
  </si>
  <si>
    <t>Factory</t>
  </si>
  <si>
    <t>No showers</t>
  </si>
  <si>
    <t>With showers</t>
  </si>
  <si>
    <t>200 - 600</t>
  </si>
  <si>
    <t>1000 - 2000</t>
  </si>
  <si>
    <t>0.010/car space</t>
  </si>
  <si>
    <t>0.010/seat</t>
  </si>
  <si>
    <t>0.25/space</t>
  </si>
  <si>
    <t>400 - 500</t>
  </si>
  <si>
    <t>500 - 700</t>
  </si>
  <si>
    <t>300 - 500</t>
  </si>
  <si>
    <t>Pressurized Bed</t>
  </si>
  <si>
    <t>2. ORGANIC LOADING</t>
  </si>
  <si>
    <t>TSS</t>
  </si>
  <si>
    <t>FOG</t>
  </si>
  <si>
    <t>If Yes, Estimated or Measured Values</t>
  </si>
  <si>
    <t>mg/l</t>
  </si>
  <si>
    <t>3. GREASE TRAP</t>
  </si>
  <si>
    <t>(1/8 or 1/16 inch)</t>
  </si>
  <si>
    <t>Effluent Screen Minimum Size Slots**</t>
  </si>
  <si>
    <t>Type of Collection System</t>
  </si>
  <si>
    <t>Type of System:</t>
  </si>
  <si>
    <t>Septic Tank capacity:</t>
  </si>
  <si>
    <t>I</t>
  </si>
  <si>
    <t>II</t>
  </si>
  <si>
    <t>III</t>
  </si>
  <si>
    <t>IV</t>
  </si>
  <si>
    <t>Unit</t>
  </si>
  <si>
    <t>square foot</t>
  </si>
  <si>
    <t>Motel</t>
  </si>
  <si>
    <t>Rooming house</t>
  </si>
  <si>
    <t>resident</t>
  </si>
  <si>
    <t>child</t>
  </si>
  <si>
    <t>person</t>
  </si>
  <si>
    <t>Labor camp</t>
  </si>
  <si>
    <t>employee</t>
  </si>
  <si>
    <t>Commercial</t>
  </si>
  <si>
    <t>Retail store</t>
  </si>
  <si>
    <t>customer</t>
  </si>
  <si>
    <t>toilet</t>
  </si>
  <si>
    <t>Shopping center</t>
  </si>
  <si>
    <t>parking space</t>
  </si>
  <si>
    <t>Office</t>
  </si>
  <si>
    <t>Medical office*</t>
  </si>
  <si>
    <t>practitioner</t>
  </si>
  <si>
    <t>patient</t>
  </si>
  <si>
    <t>Industrial building*</t>
  </si>
  <si>
    <t>Laundromat</t>
  </si>
  <si>
    <t>Barber shop*</t>
  </si>
  <si>
    <t>chair</t>
  </si>
  <si>
    <t>Beauty salon*</t>
  </si>
  <si>
    <t>station</t>
  </si>
  <si>
    <t>with food vendor space</t>
  </si>
  <si>
    <t>seat (open 16 hours or less)</t>
  </si>
  <si>
    <t>seat (open more    than 16 hours)</t>
  </si>
  <si>
    <t>seat (open 16  hours or less, single service articles)</t>
  </si>
  <si>
    <t>seat (open more  than 16 hours,  single service   articles)</t>
  </si>
  <si>
    <t>Restaurant (short  order)</t>
  </si>
  <si>
    <t>Restaurant (drive‑ in)</t>
  </si>
  <si>
    <t>car space</t>
  </si>
  <si>
    <t>Restaurant (carry  out including caterers)</t>
  </si>
  <si>
    <t>Institutional meals</t>
  </si>
  <si>
    <t>Cafeteria</t>
  </si>
  <si>
    <t>seat</t>
  </si>
  <si>
    <t>car stall</t>
  </si>
  <si>
    <t>Theater</t>
  </si>
  <si>
    <t>auditorium seat</t>
  </si>
  <si>
    <t>Bowling alley</t>
  </si>
  <si>
    <t>alley</t>
  </si>
  <si>
    <t>Country club</t>
  </si>
  <si>
    <t>visitor</t>
  </si>
  <si>
    <t>Stadium</t>
  </si>
  <si>
    <t>person with hook‑up</t>
  </si>
  <si>
    <t>site with hook‑up</t>
  </si>
  <si>
    <t>site without hook‑up, with central bath</t>
  </si>
  <si>
    <t>site to be served  by dump station</t>
  </si>
  <si>
    <t>Permanent mobile  home</t>
  </si>
  <si>
    <t>Camp, day   without meals</t>
  </si>
  <si>
    <t>Camp, day with meals</t>
  </si>
  <si>
    <t>Camp, day and  night with meals</t>
  </si>
  <si>
    <t>Resort</t>
  </si>
  <si>
    <t>Cabin, resort</t>
  </si>
  <si>
    <t>Retail resort store</t>
  </si>
  <si>
    <t>Park or   swimming pool</t>
  </si>
  <si>
    <t>Visitor center</t>
  </si>
  <si>
    <t>convenience store customer</t>
  </si>
  <si>
    <t>Service station* customer</t>
  </si>
  <si>
    <t>service bay</t>
  </si>
  <si>
    <t>Airport, bus station, rail depot</t>
  </si>
  <si>
    <t>passenger</t>
  </si>
  <si>
    <t>restroom</t>
  </si>
  <si>
    <t>bed</t>
  </si>
  <si>
    <t>Mental health hospital*</t>
  </si>
  <si>
    <t>Prison or jail</t>
  </si>
  <si>
    <t>Nursing home, other adult congregate living</t>
  </si>
  <si>
    <t>Other public institution</t>
  </si>
  <si>
    <t>School (no gym, no cafeteria, and no showers)</t>
  </si>
  <si>
    <t>student</t>
  </si>
  <si>
    <t>School (with cafeteria, no gym and no showers)</t>
  </si>
  <si>
    <t>School (with cafeteria, gym, and showers)</t>
  </si>
  <si>
    <t>School (boarding)</t>
  </si>
  <si>
    <t>Assembly hall</t>
  </si>
  <si>
    <t>Public lavatory</t>
  </si>
  <si>
    <t>user</t>
  </si>
  <si>
    <t>Public shower</t>
  </si>
  <si>
    <t>shower taken</t>
  </si>
  <si>
    <t>Dwelling #</t>
  </si>
  <si>
    <t>Establishment</t>
  </si>
  <si>
    <t>add for each nonresident meal</t>
  </si>
  <si>
    <t>Flow from Dwellings</t>
  </si>
  <si>
    <t>Labor camp (semi permanent)</t>
  </si>
  <si>
    <t>Restaurant (does not include bar or lounge)</t>
  </si>
  <si>
    <t>Type of Facility</t>
  </si>
  <si>
    <t>Assembly hall (no kitchen)</t>
  </si>
  <si>
    <t>Bowling alley (no kitchen)</t>
  </si>
  <si>
    <t>Church (no kitchen)</t>
  </si>
  <si>
    <t>Personnel addition</t>
  </si>
  <si>
    <t>Ordinary restaurant</t>
  </si>
  <si>
    <t>24-Hour restaurant</t>
  </si>
  <si>
    <t>Freeway restaurant</t>
  </si>
  <si>
    <t>Tavern (limited food)</t>
  </si>
  <si>
    <t>Carry-out (single service)</t>
  </si>
  <si>
    <t>Carry-out</t>
  </si>
  <si>
    <t>Fast food chain</t>
  </si>
  <si>
    <t>Mobile home park</t>
  </si>
  <si>
    <t>Motel, Hotel</t>
  </si>
  <si>
    <t>Resort hotel, cottage</t>
  </si>
  <si>
    <t>Add for self-service laundry</t>
  </si>
  <si>
    <t>Service station</t>
  </si>
  <si>
    <t>Day school</t>
  </si>
  <si>
    <t>Add for showers</t>
  </si>
  <si>
    <t>Add for cafeteria</t>
  </si>
  <si>
    <t>Boarding school</t>
  </si>
  <si>
    <t>No water/sewer hook up</t>
  </si>
  <si>
    <t>With water and sewer</t>
  </si>
  <si>
    <t>Travel trailer or RV park</t>
  </si>
  <si>
    <t>2.0/machine</t>
  </si>
  <si>
    <t>Total Avg Daily Flow</t>
  </si>
  <si>
    <t># of Units</t>
  </si>
  <si>
    <t>Airports</t>
  </si>
  <si>
    <t>Per passenger</t>
  </si>
  <si>
    <t>Per employee</t>
  </si>
  <si>
    <t>Camps</t>
  </si>
  <si>
    <t>Day (no meals)</t>
  </si>
  <si>
    <t>Luxury</t>
  </si>
  <si>
    <t>Swimming pool</t>
  </si>
  <si>
    <t>Theaters</t>
  </si>
  <si>
    <t>Drive-in</t>
  </si>
  <si>
    <t>Indoor</t>
  </si>
  <si>
    <t>Apartment houses</t>
  </si>
  <si>
    <t>Country club (resident)</t>
  </si>
  <si>
    <t># of Bedrooms (minimum = 2)</t>
  </si>
  <si>
    <t>Peak Flow</t>
  </si>
  <si>
    <t>Minimum Flow</t>
  </si>
  <si>
    <t xml:space="preserve">Food service                        </t>
  </si>
  <si>
    <t>0.175/multiple family</t>
  </si>
  <si>
    <t>0.01/seat</t>
  </si>
  <si>
    <t>0.15/lane</t>
  </si>
  <si>
    <t>0.140</t>
  </si>
  <si>
    <t>0.052/member</t>
  </si>
  <si>
    <t>day(s)</t>
  </si>
  <si>
    <t xml:space="preserve">Gravity collection to common septic tanks: </t>
  </si>
  <si>
    <t xml:space="preserve">Pressure collection to common septic tanks:  </t>
  </si>
  <si>
    <t xml:space="preserve">3 days       = </t>
  </si>
  <si>
    <t xml:space="preserve">4 days       = </t>
  </si>
  <si>
    <t>Septic tank liquid capacity prior to other treatment devices:</t>
  </si>
  <si>
    <t>Capacity set by manufacturer's requirements, accepted engineering principles, or as identified in the product registration recommended standards and criteria.</t>
  </si>
  <si>
    <t>Number of Septic Tanks/Compartments:</t>
  </si>
  <si>
    <t>From either existing and new development worksheet</t>
  </si>
  <si>
    <t>Permitting Flow from Other Establishments</t>
  </si>
  <si>
    <t>From either Measured or Estimated-OE worksheet</t>
  </si>
  <si>
    <t>See Assessment and Waste Strength Table</t>
  </si>
  <si>
    <t>1.  PERMITTING FLOW</t>
  </si>
  <si>
    <t>Individual septic tanks at each dwelling (7080.1930 minimum)*:</t>
  </si>
  <si>
    <t>Reduction Factor - 0.45                   (if applicable*)</t>
  </si>
  <si>
    <t>7080.1860         Design Flow  (gpd) (See Table 1)</t>
  </si>
  <si>
    <t>LISTS Flow per       Dwelling  (gpd)</t>
  </si>
  <si>
    <r>
      <t xml:space="preserve"> yd</t>
    </r>
    <r>
      <rPr>
        <vertAlign val="superscript"/>
        <sz val="10"/>
        <rFont val="Trebuchet MS"/>
        <family val="2"/>
      </rPr>
      <t>3</t>
    </r>
    <r>
      <rPr>
        <sz val="10"/>
        <rFont val="Trebuchet MS"/>
        <family val="2"/>
      </rPr>
      <t xml:space="preserve"> X</t>
    </r>
  </si>
  <si>
    <r>
      <t>) ÷</t>
    </r>
    <r>
      <rPr>
        <sz val="10"/>
        <rFont val="Trebuchet MS"/>
        <family val="2"/>
      </rPr>
      <t xml:space="preserve"> 2 =</t>
    </r>
  </si>
  <si>
    <r>
      <t>ft</t>
    </r>
    <r>
      <rPr>
        <vertAlign val="superscript"/>
        <sz val="10"/>
        <rFont val="Trebuchet MS"/>
        <family val="2"/>
      </rPr>
      <t>3</t>
    </r>
    <r>
      <rPr>
        <sz val="10"/>
        <rFont val="Trebuchet MS"/>
        <family val="2"/>
      </rPr>
      <t xml:space="preserve">  +</t>
    </r>
  </si>
  <si>
    <r>
      <t>ft</t>
    </r>
    <r>
      <rPr>
        <vertAlign val="superscript"/>
        <sz val="10"/>
        <rFont val="Trebuchet MS"/>
        <family val="2"/>
      </rPr>
      <t>3</t>
    </r>
    <r>
      <rPr>
        <sz val="10"/>
        <rFont val="Trebuchet MS"/>
        <family val="2"/>
      </rPr>
      <t xml:space="preserve"> =</t>
    </r>
  </si>
  <si>
    <r>
      <t>ft</t>
    </r>
    <r>
      <rPr>
        <vertAlign val="superscript"/>
        <sz val="10"/>
        <rFont val="Trebuchet MS"/>
        <family val="2"/>
      </rPr>
      <t>3</t>
    </r>
    <r>
      <rPr>
        <sz val="10"/>
        <rFont val="Trebuchet MS"/>
        <family val="2"/>
      </rPr>
      <t xml:space="preserve">  -</t>
    </r>
  </si>
  <si>
    <r>
      <t>ft</t>
    </r>
    <r>
      <rPr>
        <vertAlign val="superscript"/>
        <sz val="10"/>
        <rFont val="Trebuchet MS"/>
        <family val="2"/>
      </rPr>
      <t>3</t>
    </r>
    <r>
      <rPr>
        <sz val="10"/>
        <rFont val="Trebuchet MS"/>
        <family val="2"/>
      </rPr>
      <t xml:space="preserve">  =</t>
    </r>
  </si>
  <si>
    <t>Spaces +1 =</t>
  </si>
  <si>
    <r>
      <t>ft</t>
    </r>
    <r>
      <rPr>
        <vertAlign val="superscript"/>
        <sz val="10"/>
        <rFont val="Trebuchet MS"/>
        <family val="2"/>
      </rPr>
      <t xml:space="preserve">2        </t>
    </r>
    <r>
      <rPr>
        <sz val="10"/>
        <rFont val="Trebuchet MS"/>
        <family val="2"/>
      </rPr>
      <t>=</t>
    </r>
  </si>
  <si>
    <r>
      <t>lbs BOD/ft</t>
    </r>
    <r>
      <rPr>
        <vertAlign val="superscript"/>
        <sz val="10"/>
        <rFont val="Trebuchet MS"/>
        <family val="2"/>
      </rPr>
      <t>2</t>
    </r>
  </si>
  <si>
    <r>
      <t>ft</t>
    </r>
    <r>
      <rPr>
        <vertAlign val="superscript"/>
        <sz val="10"/>
        <rFont val="Trebuchet MS"/>
        <family val="2"/>
      </rPr>
      <t xml:space="preserve">2      </t>
    </r>
    <r>
      <rPr>
        <sz val="10"/>
        <rFont val="Trebuchet MS"/>
        <family val="2"/>
      </rPr>
      <t>÷</t>
    </r>
  </si>
  <si>
    <r>
      <t>ft</t>
    </r>
    <r>
      <rPr>
        <vertAlign val="superscript"/>
        <sz val="10"/>
        <rFont val="Trebuchet MS"/>
        <family val="2"/>
      </rPr>
      <t xml:space="preserve">2    </t>
    </r>
    <r>
      <rPr>
        <sz val="10"/>
        <rFont val="Trebuchet MS"/>
        <family val="2"/>
      </rPr>
      <t xml:space="preserve"> X</t>
    </r>
  </si>
  <si>
    <r>
      <t>ft</t>
    </r>
    <r>
      <rPr>
        <vertAlign val="superscript"/>
        <sz val="10"/>
        <rFont val="Trebuchet MS"/>
        <family val="2"/>
      </rPr>
      <t xml:space="preserve">3  </t>
    </r>
    <r>
      <rPr>
        <sz val="10"/>
        <rFont val="Trebuchet MS"/>
        <family val="2"/>
      </rPr>
      <t>÷  27 =</t>
    </r>
  </si>
  <si>
    <r>
      <t>ft</t>
    </r>
    <r>
      <rPr>
        <vertAlign val="superscript"/>
        <sz val="10"/>
        <rFont val="Trebuchet MS"/>
        <family val="2"/>
      </rPr>
      <t xml:space="preserve">2   </t>
    </r>
    <r>
      <rPr>
        <sz val="10"/>
        <rFont val="Trebuchet MS"/>
        <family val="2"/>
      </rPr>
      <t xml:space="preserve"> X</t>
    </r>
  </si>
  <si>
    <r>
      <t>ft</t>
    </r>
    <r>
      <rPr>
        <vertAlign val="superscript"/>
        <sz val="10"/>
        <rFont val="Trebuchet MS"/>
        <family val="2"/>
      </rPr>
      <t xml:space="preserve">3 </t>
    </r>
    <r>
      <rPr>
        <sz val="10"/>
        <rFont val="Trebuchet MS"/>
        <family val="2"/>
      </rPr>
      <t>÷  27  =</t>
    </r>
  </si>
  <si>
    <t>Minimum Average Head</t>
  </si>
  <si>
    <t>1.  Flow from Dwellings</t>
  </si>
  <si>
    <t>2.  Flow from Other Establishments</t>
  </si>
  <si>
    <t>3.  Flow from Collection System</t>
  </si>
  <si>
    <t>4. Final Permitting Flow</t>
  </si>
  <si>
    <t>Sum of 1, 2 and 3c.</t>
  </si>
  <si>
    <t>Total Dwelling Flow Estimate</t>
  </si>
  <si>
    <t>Registered Product/pretreatment unit:</t>
  </si>
  <si>
    <t>Minimum capacity is the design flow (1) multiplied by 3 days.</t>
  </si>
  <si>
    <t>Minimum septic tank capacity is the design flow multiplied by 4 days.</t>
  </si>
  <si>
    <t xml:space="preserve">Minimum capacity is equal to the Design Flow for Grease Traps (3A) multiplied by 1.  </t>
  </si>
  <si>
    <t>b) Diameter of Pipe (Minimum of  2 in):</t>
  </si>
  <si>
    <t>a) Total Length of Collection Pipe:</t>
  </si>
  <si>
    <t>Flow Calculations</t>
  </si>
  <si>
    <t>Day             (1-30)</t>
  </si>
  <si>
    <t>Day             (31-60)</t>
  </si>
  <si>
    <t>Day              (61-90)</t>
  </si>
  <si>
    <t>Meter Reading* (gal)</t>
  </si>
  <si>
    <t>GENERAL SPECIFICATIONS</t>
  </si>
  <si>
    <t>A minimum of 24 hours (1 day) of hydraulic retention time is required, but can be greater.</t>
  </si>
  <si>
    <t xml:space="preserve">Minimum capacity is equal to the Design Flow (1) multiplied by 1.  </t>
  </si>
  <si>
    <t>day(s)      =</t>
  </si>
  <si>
    <t>FILTER DIMENSIONS</t>
  </si>
  <si>
    <t>Select width of filter:</t>
  </si>
  <si>
    <t>Number of Zones:</t>
  </si>
  <si>
    <t>1 zone minimum for single family dwelling, minimum of two zones for anything else.</t>
  </si>
  <si>
    <t>DRAINAGE SYSTEM</t>
  </si>
  <si>
    <t>Type(s) of Drainage Media:</t>
  </si>
  <si>
    <t>(a) Total Depth of Drainage Media:</t>
  </si>
  <si>
    <t>Pea Gravel Volume:  Multiply filter area (C2) by drainage depth (2b):</t>
  </si>
  <si>
    <t xml:space="preserve">4. </t>
  </si>
  <si>
    <t>Drainfield Rock Volume:  Multiply filter area (C2) by drainage depth (2c):</t>
  </si>
  <si>
    <t>Number of Drainage Pipes:</t>
  </si>
  <si>
    <t>Number of Inspection Ports:</t>
  </si>
  <si>
    <t xml:space="preserve">  One inspection port per zone is minimum.</t>
  </si>
  <si>
    <t>TREATMENT MEDIA</t>
  </si>
  <si>
    <t>Type (sand, gravel, etc):</t>
  </si>
  <si>
    <t>Depth of Treatment Media:</t>
  </si>
  <si>
    <t>2 feet is required</t>
  </si>
  <si>
    <t>Treatment Media Volume:  Multiply filter area(C2) by treatment depth (E2):</t>
  </si>
  <si>
    <t>DISTRIBUTION MEDIA</t>
  </si>
  <si>
    <t>Type of Distribution Media:</t>
  </si>
  <si>
    <t>Depth of Distribution Media:</t>
  </si>
  <si>
    <t>Minimum depth is 0.67 feet (8 inches = 6 inches below the lateral and 2 inches above).</t>
  </si>
  <si>
    <t>If using rock or gravel, media volume: Multiply filter area (C2) by distribution depth (F2):</t>
  </si>
  <si>
    <t>COVER MATERIAL (if applicable)</t>
  </si>
  <si>
    <t>LINER</t>
  </si>
  <si>
    <t>Total system height is sum of depth of drainage(D2), treatment(E2), distribution(F2) &amp; cover(G):</t>
  </si>
  <si>
    <t>ft x 2) + 2 =</t>
  </si>
  <si>
    <t>Liner size/area is then determined by multiplying the width(H2) and length (H3):</t>
  </si>
  <si>
    <r>
      <t>MINIMUM RECIRCULATION/DOSING TANK CAPACITY</t>
    </r>
    <r>
      <rPr>
        <b/>
        <i/>
        <sz val="10"/>
        <rFont val="Trebuchet MS"/>
        <family val="2"/>
      </rPr>
      <t xml:space="preserve"> (if applicable)</t>
    </r>
  </si>
  <si>
    <t>or Calculate Perforation Discharge (Q) in GPM:</t>
  </si>
  <si>
    <t>Calculate Flow in Gallons Per Minute for Lateral 1</t>
  </si>
  <si>
    <t>Number of Perforations =Number of Perforation Spaces (Line 11) + 1.</t>
  </si>
  <si>
    <t>D.</t>
  </si>
  <si>
    <t>E.</t>
  </si>
  <si>
    <t>Slowest measured percolation rate:</t>
  </si>
  <si>
    <t>GPM for Lateral 1</t>
  </si>
  <si>
    <t>Gallons Per Length =</t>
  </si>
  <si>
    <t>Flow Rate for Lateral 1 divided by Length of Lateral 1</t>
  </si>
  <si>
    <t>GPM/Foot</t>
  </si>
  <si>
    <t>Balance flows for other lateral lengths, spacing, and size.</t>
  </si>
  <si>
    <t>GPM/Ft=</t>
  </si>
  <si>
    <t>Number of Perforations = GPM/Flow Rate for Lateral 2 (Line 6.2)</t>
  </si>
  <si>
    <t>Perforations-1)</t>
  </si>
  <si>
    <t>If you end up with large perforation spacing (3' is max) lower the initial spacing for Lateral 1 (Line 7.A) or the perforation size (Line 6)</t>
  </si>
  <si>
    <t>Calculate Total GPM for system - the total GPM need from the pump.</t>
  </si>
  <si>
    <t>Summary</t>
  </si>
  <si>
    <t>Pipe Size (in)</t>
  </si>
  <si>
    <t>Pipe Volume (gal/ft)</t>
  </si>
  <si>
    <t>Pipe Length (ft)</t>
  </si>
  <si>
    <t>Total Volume to Fill Pipe (gal)</t>
  </si>
  <si>
    <t>Perforation Size (in)</t>
  </si>
  <si>
    <t>Spacing (ft)</t>
  </si>
  <si>
    <t>Total Volume of Distribution Piping =</t>
  </si>
  <si>
    <r>
      <t>Bed Area</t>
    </r>
    <r>
      <rPr>
        <sz val="10"/>
        <rFont val="Trebuchet MS"/>
        <family val="2"/>
      </rPr>
      <t xml:space="preserve">  =  Bed Width (ft) X Bed Length (ft)</t>
    </r>
  </si>
  <si>
    <t>DISPERSAL MEDIA SIZING:</t>
  </si>
  <si>
    <t>BERM SIZING:</t>
  </si>
  <si>
    <t>AT-GRADE DIMENSIONS:</t>
  </si>
  <si>
    <t>Design flow must include 200 gallons of infiltration and inflow per inch of collection pipe diameter per mile per day with a minimum pipe diameter of two inches. Flow values can be further increased if the system employs treatment devices that will infiltrate precipitation.</t>
  </si>
  <si>
    <t>Design Flow per Unit (See Table I)</t>
  </si>
  <si>
    <r>
      <t xml:space="preserve">Calculate </t>
    </r>
    <r>
      <rPr>
        <i/>
        <sz val="10"/>
        <rFont val="Trebuchet MS"/>
        <family val="2"/>
      </rPr>
      <t>Total Tank Volume</t>
    </r>
  </si>
  <si>
    <r>
      <t>Depth from bottom of inlet pipe to tank bottom</t>
    </r>
    <r>
      <rPr>
        <sz val="10"/>
        <rFont val="Trebuchet MS"/>
        <family val="2"/>
      </rPr>
      <t>:</t>
    </r>
  </si>
  <si>
    <r>
      <t>Total Tank Volume</t>
    </r>
    <r>
      <rPr>
        <sz val="10"/>
        <rFont val="Trebuchet MS"/>
        <family val="2"/>
      </rPr>
      <t xml:space="preserve"> = </t>
    </r>
    <r>
      <rPr>
        <i/>
        <sz val="10"/>
        <rFont val="Trebuchet MS"/>
        <family val="2"/>
      </rPr>
      <t>Depth from bottom of inlet pipe</t>
    </r>
    <r>
      <rPr>
        <sz val="10"/>
        <rFont val="Trebuchet MS"/>
        <family val="2"/>
      </rPr>
      <t xml:space="preserve"> (Line 4.A) X </t>
    </r>
    <r>
      <rPr>
        <i/>
        <sz val="10"/>
        <rFont val="Trebuchet MS"/>
        <family val="2"/>
      </rPr>
      <t>Gallons/Inch</t>
    </r>
    <r>
      <rPr>
        <sz val="10"/>
        <rFont val="Trebuchet MS"/>
        <family val="2"/>
      </rPr>
      <t xml:space="preserve"> (Line 2)</t>
    </r>
  </si>
  <si>
    <r>
      <t xml:space="preserve">Calculate </t>
    </r>
    <r>
      <rPr>
        <i/>
        <sz val="10"/>
        <rFont val="Trebuchet MS"/>
        <family val="2"/>
      </rPr>
      <t>Maximum Pumpout Volume</t>
    </r>
    <r>
      <rPr>
        <sz val="10"/>
        <rFont val="Trebuchet MS"/>
        <family val="2"/>
      </rPr>
      <t xml:space="preserve"> (25% of Design Flow)</t>
    </r>
  </si>
  <si>
    <r>
      <t>Diameter of Supply Pipe</t>
    </r>
    <r>
      <rPr>
        <sz val="10"/>
        <rFont val="Trebuchet MS"/>
        <family val="2"/>
      </rPr>
      <t>=</t>
    </r>
  </si>
  <si>
    <r>
      <t>Volume of Liquid Per Lineal Foot of Pipe</t>
    </r>
    <r>
      <rPr>
        <sz val="10"/>
        <rFont val="Trebuchet MS"/>
        <family val="2"/>
      </rPr>
      <t xml:space="preserve"> =</t>
    </r>
  </si>
  <si>
    <r>
      <t>Drainback</t>
    </r>
    <r>
      <rPr>
        <sz val="10"/>
        <rFont val="Trebuchet MS"/>
        <family val="2"/>
      </rPr>
      <t xml:space="preserve"> = </t>
    </r>
    <r>
      <rPr>
        <i/>
        <sz val="10"/>
        <rFont val="Trebuchet MS"/>
        <family val="2"/>
      </rPr>
      <t>Length of Supply Pipe</t>
    </r>
    <r>
      <rPr>
        <sz val="10"/>
        <rFont val="Trebuchet MS"/>
        <family val="2"/>
      </rPr>
      <t xml:space="preserve"> X </t>
    </r>
    <r>
      <rPr>
        <i/>
        <sz val="10"/>
        <rFont val="Trebuchet MS"/>
        <family val="2"/>
      </rPr>
      <t>Volume of Liquid Per Lineal Foot of Pipe</t>
    </r>
  </si>
  <si>
    <t>)    ÷   (</t>
  </si>
  <si>
    <r>
      <t>Length of Laterals</t>
    </r>
    <r>
      <rPr>
        <sz val="10"/>
        <rFont val="Trebuchet MS"/>
        <family val="2"/>
      </rPr>
      <t xml:space="preserve"> = Length of STA (Line 1) - 2 Feet</t>
    </r>
  </si>
  <si>
    <t>Spacing = (Length of Lateral)/(Number of Perforations -1)</t>
  </si>
  <si>
    <t>Elevation of Lateral</t>
  </si>
  <si>
    <t>Elevation of Lateral 1</t>
  </si>
  <si>
    <r>
      <t xml:space="preserve">Calculate </t>
    </r>
    <r>
      <rPr>
        <i/>
        <sz val="10"/>
        <rFont val="Trebuchet MS"/>
        <family val="2"/>
      </rPr>
      <t>Float Separation Distance</t>
    </r>
    <r>
      <rPr>
        <sz val="10"/>
        <rFont val="Trebuchet MS"/>
        <family val="2"/>
      </rPr>
      <t xml:space="preserve"> using </t>
    </r>
    <r>
      <rPr>
        <i/>
        <sz val="10"/>
        <rFont val="Trebuchet MS"/>
        <family val="2"/>
      </rPr>
      <t>Dosing Volume</t>
    </r>
    <r>
      <rPr>
        <sz val="10"/>
        <rFont val="Trebuchet MS"/>
        <family val="2"/>
      </rPr>
      <t>.</t>
    </r>
  </si>
  <si>
    <r>
      <t xml:space="preserve">Required </t>
    </r>
    <r>
      <rPr>
        <i/>
        <sz val="10"/>
        <rFont val="Trebuchet MS"/>
        <family val="2"/>
      </rPr>
      <t>Flow Rate</t>
    </r>
    <r>
      <rPr>
        <sz val="10"/>
        <rFont val="Trebuchet MS"/>
        <family val="2"/>
      </rPr>
      <t>:</t>
    </r>
  </si>
  <si>
    <t>feet</t>
  </si>
  <si>
    <t>%</t>
  </si>
  <si>
    <t>B.</t>
  </si>
  <si>
    <t>Select Soil Loading Rate:</t>
  </si>
  <si>
    <t>Design Loading Rate:</t>
  </si>
  <si>
    <t>SYSTEM SIZING:</t>
  </si>
  <si>
    <t>Sidewall Absorption (inches)</t>
  </si>
  <si>
    <t>Bottom Area Reduction</t>
  </si>
  <si>
    <t>6 to 11</t>
  </si>
  <si>
    <t>12 to 17</t>
  </si>
  <si>
    <t>18 to 23</t>
  </si>
  <si>
    <t>inches</t>
  </si>
  <si>
    <t>F.</t>
  </si>
  <si>
    <t>G.</t>
  </si>
  <si>
    <t>H.</t>
  </si>
  <si>
    <t>I.</t>
  </si>
  <si>
    <t>Q in gpm</t>
  </si>
  <si>
    <t>D in inches</t>
  </si>
  <si>
    <t xml:space="preserve">ft    - </t>
  </si>
  <si>
    <t>ft     =</t>
  </si>
  <si>
    <t>ft  +  [</t>
  </si>
  <si>
    <t>ft     -</t>
  </si>
  <si>
    <t>ft]    =</t>
  </si>
  <si>
    <t>ft        Perforation Diameter</t>
  </si>
  <si>
    <t>gpd ÷</t>
  </si>
  <si>
    <r>
      <t>GPD</t>
    </r>
    <r>
      <rPr>
        <sz val="10"/>
        <rFont val="AmerType Md BT"/>
        <family val="1"/>
      </rPr>
      <t xml:space="preserve"> ÷</t>
    </r>
  </si>
  <si>
    <t>ft )  X</t>
  </si>
  <si>
    <r>
      <t>ft</t>
    </r>
    <r>
      <rPr>
        <vertAlign val="superscript"/>
        <sz val="10"/>
        <rFont val="Trebuchet MS"/>
        <family val="2"/>
      </rPr>
      <t>2</t>
    </r>
    <r>
      <rPr>
        <sz val="10"/>
        <rFont val="Trebuchet MS"/>
        <family val="2"/>
      </rPr>
      <t xml:space="preserve">   =</t>
    </r>
  </si>
  <si>
    <t>ft)</t>
  </si>
  <si>
    <r>
      <t>ft</t>
    </r>
    <r>
      <rPr>
        <vertAlign val="superscript"/>
        <sz val="10"/>
        <rFont val="Trebuchet MS"/>
        <family val="2"/>
      </rPr>
      <t>3</t>
    </r>
    <r>
      <rPr>
        <sz val="10"/>
        <rFont val="Trebuchet MS"/>
        <family val="2"/>
      </rPr>
      <t xml:space="preserve">   ÷     27    =</t>
    </r>
  </si>
  <si>
    <t>ft    X</t>
  </si>
  <si>
    <t>Perfs. Per Lateral</t>
  </si>
  <si>
    <t>Gallons/ft</t>
  </si>
  <si>
    <r>
      <t>Circle area = 3.14r</t>
    </r>
    <r>
      <rPr>
        <vertAlign val="superscript"/>
        <sz val="10"/>
        <rFont val="Trebuchet MS"/>
        <family val="2"/>
      </rPr>
      <t>2</t>
    </r>
    <r>
      <rPr>
        <sz val="10"/>
        <rFont val="Trebuchet MS"/>
        <family val="2"/>
      </rPr>
      <t xml:space="preserve"> (3.14 X radius X radius)</t>
    </r>
  </si>
  <si>
    <t>in  +</t>
  </si>
  <si>
    <t>Doses</t>
  </si>
  <si>
    <t>gal/ft     =</t>
  </si>
  <si>
    <t>gal +</t>
  </si>
  <si>
    <t xml:space="preserve">gal = </t>
  </si>
  <si>
    <t>7080 Table IX</t>
  </si>
  <si>
    <t>Texture</t>
  </si>
  <si>
    <t>Structure</t>
  </si>
  <si>
    <t>Grade</t>
  </si>
  <si>
    <t>Consistence</t>
  </si>
  <si>
    <t>Fine Sand</t>
  </si>
  <si>
    <t>Loam</t>
  </si>
  <si>
    <t>Silt Loam</t>
  </si>
  <si>
    <t>Clay Loam</t>
  </si>
  <si>
    <t>Silty Clay Loam</t>
  </si>
  <si>
    <t>Sandy Clay Loam</t>
  </si>
  <si>
    <t>Silty Clay</t>
  </si>
  <si>
    <t>Sandy Clay</t>
  </si>
  <si>
    <t>Clay</t>
  </si>
  <si>
    <t>Coarse Sand</t>
  </si>
  <si>
    <t>Granular</t>
  </si>
  <si>
    <t>Prismatic</t>
  </si>
  <si>
    <t>Massive</t>
  </si>
  <si>
    <t>Weak</t>
  </si>
  <si>
    <t>Moderate</t>
  </si>
  <si>
    <t>Strong</t>
  </si>
  <si>
    <t>Loose</t>
  </si>
  <si>
    <t>Friable</t>
  </si>
  <si>
    <t>Firm</t>
  </si>
  <si>
    <t>Soil Texture</t>
  </si>
  <si>
    <t xml:space="preserve">Design Flow per Unit </t>
  </si>
  <si>
    <r>
      <t>NON 7081</t>
    </r>
    <r>
      <rPr>
        <b/>
        <sz val="10"/>
        <color indexed="8"/>
        <rFont val="Trebuchet MS"/>
        <family val="2"/>
      </rPr>
      <t xml:space="preserve"> Specified Type of Establishment</t>
    </r>
  </si>
  <si>
    <r>
      <t xml:space="preserve">Total Flow Non-7081 Establishments </t>
    </r>
    <r>
      <rPr>
        <sz val="10"/>
        <color indexed="8"/>
        <rFont val="Trebuchet MS"/>
        <family val="2"/>
      </rPr>
      <t>(gpd)</t>
    </r>
  </si>
  <si>
    <r>
      <t xml:space="preserve">Total Flow 7081 and Non 7081 Establishments </t>
    </r>
    <r>
      <rPr>
        <sz val="10"/>
        <color indexed="8"/>
        <rFont val="Trebuchet MS"/>
        <family val="2"/>
      </rPr>
      <t>(gpd)</t>
    </r>
  </si>
  <si>
    <r>
      <t xml:space="preserve">Total Flow 7081 Establishments </t>
    </r>
    <r>
      <rPr>
        <sz val="10"/>
        <color indexed="8"/>
        <rFont val="Trebuchet MS"/>
        <family val="2"/>
      </rPr>
      <t>(gpd)</t>
    </r>
  </si>
  <si>
    <r>
      <t>7081</t>
    </r>
    <r>
      <rPr>
        <b/>
        <sz val="10"/>
        <color indexed="8"/>
        <rFont val="Trebuchet MS"/>
        <family val="2"/>
      </rPr>
      <t xml:space="preserve"> Specified Type of Establishment</t>
    </r>
  </si>
  <si>
    <t>Total Number of Perf.</t>
  </si>
  <si>
    <t xml:space="preserve">Check Table to ensure the maximum number of perforations is not exceeded.  </t>
  </si>
  <si>
    <t xml:space="preserve">Select Type of Manifold Connection (End or Center): </t>
  </si>
  <si>
    <t>Gallons per inch</t>
  </si>
  <si>
    <t>2 inches)   X</t>
  </si>
  <si>
    <t>Mound</t>
  </si>
  <si>
    <t>At-Grade</t>
  </si>
  <si>
    <t>GPD/ft</t>
  </si>
  <si>
    <t>x</t>
  </si>
  <si>
    <t>mpi</t>
  </si>
  <si>
    <t>Add 20% for constructability:</t>
  </si>
  <si>
    <t>J.</t>
  </si>
  <si>
    <t>K.</t>
  </si>
  <si>
    <t>L.</t>
  </si>
  <si>
    <t>MOUND SIZING</t>
  </si>
  <si>
    <t>ft   -</t>
  </si>
  <si>
    <t>ft  +</t>
  </si>
  <si>
    <t>GPM/ft=</t>
  </si>
  <si>
    <t>Structureless</t>
  </si>
  <si>
    <t>Yes</t>
  </si>
  <si>
    <t>No</t>
  </si>
  <si>
    <t>Design Media Loading Rate:</t>
  </si>
  <si>
    <t>÷</t>
  </si>
  <si>
    <t>feet of total head.</t>
  </si>
  <si>
    <t>Distribution Head Loss:</t>
  </si>
  <si>
    <t>Elevation Difference</t>
  </si>
  <si>
    <t>ft per 100ft of pipe</t>
  </si>
  <si>
    <t>Friction Loss =</t>
  </si>
  <si>
    <t>Supply Friction Loss =</t>
  </si>
  <si>
    <t>Additional Head Loss:</t>
  </si>
  <si>
    <r>
      <t xml:space="preserve">Hazen-Williams Equation for </t>
    </r>
    <r>
      <rPr>
        <b/>
        <i/>
        <sz val="12"/>
        <rFont val="Trebuchet MS"/>
        <family val="2"/>
      </rPr>
      <t>h</t>
    </r>
  </si>
  <si>
    <t>Assumes vertical walls.  If sloped additional liner will be needed.</t>
  </si>
  <si>
    <t>Toe Slope</t>
  </si>
  <si>
    <t xml:space="preserve"> 3.0 ft            X</t>
  </si>
  <si>
    <t>3.0  ft            X</t>
  </si>
  <si>
    <t>1/16</t>
  </si>
  <si>
    <t>Rock</t>
  </si>
  <si>
    <t>2. SOILS</t>
  </si>
  <si>
    <t>Depth to restricting layer:</t>
  </si>
  <si>
    <t>Depth of System:</t>
  </si>
  <si>
    <t>Soil Hydraulic Loading Rate (SHLR):</t>
  </si>
  <si>
    <t>laterals</t>
  </si>
  <si>
    <t>Gal</t>
  </si>
  <si>
    <t>minutes</t>
  </si>
  <si>
    <t>0.02</t>
  </si>
  <si>
    <t>0.05</t>
  </si>
  <si>
    <t>Slope</t>
  </si>
  <si>
    <t>Tank Size</t>
  </si>
  <si>
    <t>SHLR</t>
  </si>
  <si>
    <t>DepthPipe</t>
  </si>
  <si>
    <t>SizeMult</t>
  </si>
  <si>
    <t>MediaLoadRate</t>
  </si>
  <si>
    <t>DispersalMedia</t>
  </si>
  <si>
    <t>AtGradeUp</t>
  </si>
  <si>
    <t>PipeDia</t>
  </si>
  <si>
    <t>VolumePipe</t>
  </si>
  <si>
    <t>Laterals</t>
  </si>
  <si>
    <t>PerfSpace</t>
  </si>
  <si>
    <t>PerfDia</t>
  </si>
  <si>
    <t>DistType</t>
  </si>
  <si>
    <t>MinHead</t>
  </si>
  <si>
    <t>DistHeadLoss</t>
  </si>
  <si>
    <t>DepthAlarm</t>
  </si>
  <si>
    <t>DistMedia</t>
  </si>
  <si>
    <t>Bedrooms</t>
  </si>
  <si>
    <t>FlowClass</t>
  </si>
  <si>
    <t>Reduction</t>
  </si>
  <si>
    <t>EfflScreen</t>
  </si>
  <si>
    <t>STA</t>
  </si>
  <si>
    <t>EndCenter</t>
  </si>
  <si>
    <t>SoilTexture7080</t>
  </si>
  <si>
    <t>SlopeShape</t>
  </si>
  <si>
    <t>LandscapePosition</t>
  </si>
  <si>
    <t>SoilTextureOSTP</t>
  </si>
  <si>
    <t>StructureShape</t>
  </si>
  <si>
    <t>RedoxKind</t>
  </si>
  <si>
    <t>StructureGrade</t>
  </si>
  <si>
    <t>StructureConsistence</t>
  </si>
  <si>
    <t>RedoxIndicators</t>
  </si>
  <si>
    <t>OtherEstabType</t>
  </si>
  <si>
    <t>OtherEstabUnit</t>
  </si>
  <si>
    <t>CLR</t>
  </si>
  <si>
    <t>YN</t>
  </si>
  <si>
    <t>Site Address:</t>
  </si>
  <si>
    <r>
      <t>Volume Under Rock bed</t>
    </r>
    <r>
      <rPr>
        <sz val="10"/>
        <rFont val="Trebuchet MS"/>
        <family val="2"/>
      </rPr>
      <t xml:space="preserve">: </t>
    </r>
    <r>
      <rPr>
        <i/>
        <sz val="10"/>
        <rFont val="Trebuchet MS"/>
        <family val="2"/>
      </rPr>
      <t>Average Sand Depth</t>
    </r>
    <r>
      <rPr>
        <sz val="10"/>
        <rFont val="Trebuchet MS"/>
        <family val="2"/>
      </rPr>
      <t xml:space="preserve"> x </t>
    </r>
    <r>
      <rPr>
        <i/>
        <sz val="10"/>
        <rFont val="Trebuchet MS"/>
        <family val="2"/>
      </rPr>
      <t>Media Width</t>
    </r>
    <r>
      <rPr>
        <sz val="10"/>
        <rFont val="Trebuchet MS"/>
        <family val="2"/>
      </rPr>
      <t xml:space="preserve"> x </t>
    </r>
    <r>
      <rPr>
        <i/>
        <sz val="10"/>
        <rFont val="Trebuchet MS"/>
        <family val="2"/>
      </rPr>
      <t>Media Length</t>
    </r>
    <r>
      <rPr>
        <sz val="10"/>
        <rFont val="Trebuchet MS"/>
        <family val="2"/>
      </rPr>
      <t xml:space="preserve"> = cubic feet</t>
    </r>
  </si>
  <si>
    <t xml:space="preserve">Verify organic loading rate is acceptable </t>
  </si>
  <si>
    <r>
      <t>Take design flow (A1) multiplied by estimated BOD</t>
    </r>
    <r>
      <rPr>
        <vertAlign val="subscript"/>
        <sz val="10"/>
        <rFont val="Trebuchet MS"/>
        <family val="2"/>
      </rPr>
      <t>5</t>
    </r>
    <r>
      <rPr>
        <sz val="10"/>
        <rFont val="Trebuchet MS"/>
        <family val="2"/>
      </rPr>
      <t xml:space="preserve"> multiplied by conversion factor (0.00000834).</t>
    </r>
  </si>
  <si>
    <t>* Daily flow data collected during peak season of usage.  Meter calibrated monthly. Data could also be gathered from event counter or running time clock and converted to gallons.</t>
  </si>
  <si>
    <t>Use 70% of permitted flow to size the grease trap if using estimated design flows are being used.</t>
  </si>
  <si>
    <t>Select a Perforation Diameter and the corresponding gallons per minute from the Perforation Discharge table below, adjusting as needed.</t>
  </si>
  <si>
    <t>MoundAbsorptionRatio</t>
  </si>
  <si>
    <r>
      <t xml:space="preserve">Design Flow </t>
    </r>
    <r>
      <rPr>
        <i/>
        <sz val="9"/>
        <rFont val="Trebuchet MS"/>
        <family val="2"/>
      </rPr>
      <t>(Design Sum.1A)</t>
    </r>
    <r>
      <rPr>
        <sz val="8"/>
        <rFont val="Trebuchet MS"/>
        <family val="2"/>
      </rPr>
      <t>:</t>
    </r>
  </si>
  <si>
    <t>ft)  =</t>
  </si>
  <si>
    <t>ft  X  (</t>
  </si>
  <si>
    <t>Lateral Diameter</t>
  </si>
  <si>
    <t>Lateral 6</t>
  </si>
  <si>
    <t>Lat 6</t>
  </si>
  <si>
    <t>Lateral 6 GPM = Length of Lateral X Gallons Per Minute Per Foot (Line 8)</t>
  </si>
  <si>
    <t>Number of Perforations = GPM/Flow Rate for Lateral 3 (Line 6.3)</t>
  </si>
  <si>
    <t>Number of Perforations = GPM/Flow Rate for Lateral 4 (Line 6.4)</t>
  </si>
  <si>
    <t>Number of Perforations = GPM/Flow Rate for Lateral 5 (Line 6.5)</t>
  </si>
  <si>
    <t>Number of Perforations = GPM/Flow Rate for Lateral 6 (Line 6.6)</t>
  </si>
  <si>
    <t>Lateral 1 Flow + Lateral 2 Flow + Lateral 3 Flow+ Lateral 4 Flow + Lateral 5 Flow + Lateral 6 Flow</t>
  </si>
  <si>
    <t>Total GPM</t>
  </si>
  <si>
    <t>Concentrations, depletions</t>
  </si>
  <si>
    <t>MediaDepth</t>
  </si>
  <si>
    <t>Optional</t>
  </si>
  <si>
    <t>YN-Optional</t>
  </si>
  <si>
    <t>Percent Land Slope:</t>
  </si>
  <si>
    <r>
      <t>Downslope Volume</t>
    </r>
    <r>
      <rPr>
        <sz val="10"/>
        <rFont val="Trebuchet MS"/>
        <family val="2"/>
      </rPr>
      <t>: ((</t>
    </r>
    <r>
      <rPr>
        <i/>
        <sz val="10"/>
        <rFont val="Trebuchet MS"/>
        <family val="2"/>
      </rPr>
      <t xml:space="preserve">Downslope Height - 1) </t>
    </r>
    <r>
      <rPr>
        <sz val="10"/>
        <rFont val="Trebuchet MS"/>
        <family val="2"/>
      </rPr>
      <t xml:space="preserve">x Downslope Absorption Width  x </t>
    </r>
    <r>
      <rPr>
        <i/>
        <sz val="10"/>
        <rFont val="Trebuchet MS"/>
        <family val="2"/>
      </rPr>
      <t>Media Length</t>
    </r>
    <r>
      <rPr>
        <sz val="10"/>
        <rFont val="Trebuchet MS"/>
        <family val="2"/>
      </rPr>
      <t xml:space="preserve">) </t>
    </r>
    <r>
      <rPr>
        <sz val="10"/>
        <rFont val="Arial"/>
        <family val="2"/>
      </rPr>
      <t>÷</t>
    </r>
    <r>
      <rPr>
        <sz val="10"/>
        <rFont val="Trebuchet MS"/>
        <family val="2"/>
      </rPr>
      <t xml:space="preserve"> 2 = cubic feet</t>
    </r>
  </si>
  <si>
    <r>
      <t>Upslope Volume</t>
    </r>
    <r>
      <rPr>
        <sz val="10"/>
        <rFont val="Trebuchet MS"/>
        <family val="2"/>
      </rPr>
      <t>: ((</t>
    </r>
    <r>
      <rPr>
        <i/>
        <sz val="10"/>
        <rFont val="Trebuchet MS"/>
        <family val="2"/>
      </rPr>
      <t xml:space="preserve">Upslope Mound Height </t>
    </r>
    <r>
      <rPr>
        <i/>
        <sz val="10"/>
        <rFont val="Trebuchet MS"/>
        <family val="2"/>
      </rPr>
      <t>- 1</t>
    </r>
    <r>
      <rPr>
        <sz val="10"/>
        <rFont val="Trebuchet MS"/>
        <family val="2"/>
      </rPr>
      <t xml:space="preserve">) x 3 x </t>
    </r>
    <r>
      <rPr>
        <i/>
        <sz val="10"/>
        <rFont val="Trebuchet MS"/>
        <family val="2"/>
      </rPr>
      <t>Bed Length</t>
    </r>
    <r>
      <rPr>
        <sz val="10"/>
        <rFont val="Trebuchet MS"/>
        <family val="2"/>
      </rPr>
      <t xml:space="preserve">) </t>
    </r>
    <r>
      <rPr>
        <sz val="10"/>
        <rFont val="Arial"/>
        <family val="2"/>
      </rPr>
      <t>÷</t>
    </r>
    <r>
      <rPr>
        <sz val="10"/>
        <rFont val="Trebuchet MS"/>
        <family val="2"/>
      </rPr>
      <t xml:space="preserve"> 2 = cubic feet</t>
    </r>
  </si>
  <si>
    <r>
      <t xml:space="preserve">if number is negative (&lt;0), value is </t>
    </r>
    <r>
      <rPr>
        <b/>
        <sz val="10"/>
        <rFont val="Trebuchet MS"/>
        <family val="2"/>
      </rPr>
      <t>ZERO</t>
    </r>
  </si>
  <si>
    <t>)   /</t>
  </si>
  <si>
    <t>For a Mound on a slope from 0-1%</t>
  </si>
  <si>
    <t>Volume from Length = ((Upslope Mound Height - 1) X Absorption Width Beyond Bed X Media Bed Length)</t>
  </si>
  <si>
    <t xml:space="preserve">Volume from Width = ((Upslope Mound Height - 1) X Absorption Width Beyond Bed X Media Bed Width) </t>
  </si>
  <si>
    <t>For a Mound on a slope greater than 1%</t>
  </si>
  <si>
    <r>
      <t>Total Clean Sand Volume</t>
    </r>
    <r>
      <rPr>
        <sz val="10"/>
        <rFont val="Trebuchet MS"/>
        <family val="2"/>
      </rPr>
      <t xml:space="preserve">: </t>
    </r>
    <r>
      <rPr>
        <i/>
        <sz val="10"/>
        <rFont val="Trebuchet MS"/>
        <family val="2"/>
      </rPr>
      <t>Volume from Length + Volume from Width + Volume Under Media</t>
    </r>
  </si>
  <si>
    <r>
      <t>On Slopes &gt;1% Upslope Width</t>
    </r>
    <r>
      <rPr>
        <sz val="10"/>
        <rFont val="Trebuchet MS"/>
        <family val="2"/>
      </rPr>
      <t xml:space="preserve"> = </t>
    </r>
    <r>
      <rPr>
        <i/>
        <sz val="10"/>
        <rFont val="Trebuchet MS"/>
        <family val="2"/>
      </rPr>
      <t>Upslope Multiplier</t>
    </r>
    <r>
      <rPr>
        <sz val="10"/>
        <rFont val="Trebuchet MS"/>
        <family val="2"/>
      </rPr>
      <t xml:space="preserve"> (2.B) X </t>
    </r>
    <r>
      <rPr>
        <i/>
        <sz val="10"/>
        <rFont val="Trebuchet MS"/>
        <family val="2"/>
      </rPr>
      <t>System Height</t>
    </r>
    <r>
      <rPr>
        <sz val="10"/>
        <rFont val="Trebuchet MS"/>
        <family val="2"/>
      </rPr>
      <t xml:space="preserve"> (2.A)</t>
    </r>
  </si>
  <si>
    <t>On Slopes &lt;1%, Upslope Width = (0.5 X Absorption Bed Width (1.E)) +5 ft</t>
  </si>
  <si>
    <t>Determine Upslope Berm Width</t>
  </si>
  <si>
    <t>Choose B.2 or B.3 depending on slope</t>
  </si>
  <si>
    <t>Absorption Bed Width + 5 feet</t>
  </si>
  <si>
    <t>On slopes &lt;1%, Downslope Berm Width equals 0.5 X Absorption Bed Width + 5 feet</t>
  </si>
  <si>
    <t>Choose C.4 or C.5 depending on slope:</t>
  </si>
  <si>
    <t>Determine Downslope Berm Width</t>
  </si>
  <si>
    <t>Design Sand Lift (optional):</t>
  </si>
  <si>
    <t xml:space="preserve">     </t>
  </si>
  <si>
    <t>gallons</t>
  </si>
  <si>
    <t>Lateral Spacing:</t>
  </si>
  <si>
    <r>
      <t xml:space="preserve">Is the system covered with geotextile and soil </t>
    </r>
    <r>
      <rPr>
        <i/>
        <sz val="10"/>
        <rFont val="Trebuchet MS"/>
        <family val="2"/>
      </rPr>
      <t>(check box)</t>
    </r>
    <r>
      <rPr>
        <sz val="10"/>
        <rFont val="Trebuchet MS"/>
        <family val="2"/>
      </rPr>
      <t>?</t>
    </r>
  </si>
  <si>
    <t>(c) Depth of Drainfield Rock:</t>
  </si>
  <si>
    <t>O.</t>
  </si>
  <si>
    <t>P.</t>
  </si>
  <si>
    <t>Q.</t>
  </si>
  <si>
    <t>1. FLOW</t>
  </si>
  <si>
    <t xml:space="preserve">C. </t>
  </si>
  <si>
    <t xml:space="preserve">E. </t>
  </si>
  <si>
    <t>Soil Porosity:</t>
  </si>
  <si>
    <t>3. DRIP SYSTEM SPECS</t>
  </si>
  <si>
    <t>Tubing Diameter:</t>
  </si>
  <si>
    <t>Volume Per Foot:</t>
  </si>
  <si>
    <t>Flow Per Emitter:</t>
  </si>
  <si>
    <t>gallons per hour</t>
  </si>
  <si>
    <t>System Area = Design Flow (1.A) ÷ Soil Hydraulic Loading Rate (2.C)</t>
  </si>
  <si>
    <t>Minimum System Length = Design Flow (1.A.) ÷ Contour Loading Rate (2.D)</t>
  </si>
  <si>
    <t>See Drip Configuration 1 and Drip Configuration 2 below</t>
  </si>
  <si>
    <t>System Width = System Area (3.C) ÷ System Design Length (3.E)</t>
  </si>
  <si>
    <t>Zone Lateral Length = [Total Number of Laterals (3.H) ÷ Number of Zones (3.I)] X System Design Length (3.E)</t>
  </si>
  <si>
    <t>[</t>
  </si>
  <si>
    <t>]</t>
  </si>
  <si>
    <t>Drip Configuration 1:</t>
  </si>
  <si>
    <t>Drip Configuration 2:</t>
  </si>
  <si>
    <t>This configuration should be used if the length available between the Supply and the Return is 151 to 300 feet.</t>
  </si>
  <si>
    <t>This configuration should be used if the length available between the Supply and the Return is 150 feet or less.</t>
  </si>
  <si>
    <t>Total Lateral Length = Length A + Length B in configurations</t>
  </si>
  <si>
    <t>4. ZONE 1 FLOW</t>
  </si>
  <si>
    <t>Emitter Spacing:</t>
  </si>
  <si>
    <t>Supply Pipe Length:</t>
  </si>
  <si>
    <t>Supply Pipe Diameter:</t>
  </si>
  <si>
    <t>Supply Pipe Volume = Supply Pipe Length X Supply Pipe Volume Per Foot</t>
  </si>
  <si>
    <t>Flush Pipe Length:</t>
  </si>
  <si>
    <t>Flush Pipe Diameter:</t>
  </si>
  <si>
    <t>Flush Pipe Volume = Flush Pipe Length X Flush Pipe Volume Per Foot</t>
  </si>
  <si>
    <t>Drainback = Supply Pipe Volume (4.B) + Flush Pipe Volume (4.C)</t>
  </si>
  <si>
    <t>Number of Emitters = Zone Lateral Length (3.J) ÷ Emitter Spacing (4.A)</t>
  </si>
  <si>
    <t>emitters</t>
  </si>
  <si>
    <t>Zone Discharge Rate = [Number of Emitters (4.E) X Flow Per Emitter (3.B)] ÷ 60 minutes per hour</t>
  </si>
  <si>
    <t>gpm</t>
  </si>
  <si>
    <t>Zone Lateral Volume = Zone Lateral Length (3.J) X Volume Per Foot</t>
  </si>
  <si>
    <t>Minimum Dose Volume = [4 X Zone Lateral Volume (4.F)] + Drainback (4.D)</t>
  </si>
  <si>
    <t>Max Dose Volume = Zone Lat. Length (3.J) X Depth of System (ft) (2.B) X Tubing Dia. (ft) (3.A) X Soil Porosity (%) X 7.5</t>
  </si>
  <si>
    <t>Dose Volume: Must be value between minimum and maximum dose volume</t>
  </si>
  <si>
    <t>On-Time = Dose Volume (4.I) ÷ Zone Discharge Rate (4.E)</t>
  </si>
  <si>
    <t>Number of Doses = Design Flow (1.A) ÷ Number of Zones (3.I) ÷ Dose Volume (4.I)</t>
  </si>
  <si>
    <t>doses</t>
  </si>
  <si>
    <t>Cycle Time = 1440 ÷ Number of Doses (4.K)</t>
  </si>
  <si>
    <t>Off Time = Cycle Time (4.L) - On-Time (4.J)</t>
  </si>
  <si>
    <t>Minimum Flushing Volume = Number of Connections (3.K) X 1.6 gpm</t>
  </si>
  <si>
    <t>Required Flush Flow Rate = Zone Discharge Rate (4.E) + Minimum Flushing Flow (4.N)</t>
  </si>
  <si>
    <t>Flush Volume = Flush Flow Rate (4.O) X On-Time (4.J)</t>
  </si>
  <si>
    <t>Total Cycle Time = Number of Zones (3.I) X Number of Doses X On Time</t>
  </si>
  <si>
    <t>5. ZONE 2 FLOW</t>
  </si>
  <si>
    <t>Drainback = Supply Pipe Volume (5.B) + Flush Pipe Volume (5.C)</t>
  </si>
  <si>
    <t>Number of Emitters = Zone Lateral Length (3.J) ÷ Emitter Spacing (5.A)</t>
  </si>
  <si>
    <t>Minimum Dose Volume = [4 X Zone Lateral Volume (5.F)] + Drainback (5.D)</t>
  </si>
  <si>
    <t>On-Time = Dose Volume (5.I) ÷ Zone Discharge Rate (5.E)</t>
  </si>
  <si>
    <t>Off Time = Cycle Time (5.L) - On-Time (5.J)</t>
  </si>
  <si>
    <t>Required Flush Flow Rate = Zone Discharge Rate (5.E) + Minimum Flushing Flow (5.N)</t>
  </si>
  <si>
    <t>Flush Volume = Flush Flow Rate (5.O) X On-Time (5.J)</t>
  </si>
  <si>
    <t>6. ZONE 3 FLOW</t>
  </si>
  <si>
    <t>Drainback = Supply Pipe Volume (6.B) + Flush Pipe Volume (6.C)</t>
  </si>
  <si>
    <t>Number of Emitters = Zone Lateral Length (3.J) ÷ Emitter Spacing (6.A)</t>
  </si>
  <si>
    <t>Zone Discharge Rate = [Number of Emitters (6.E) X Flow Per Emitter (3.B)] ÷ 60 minutes per hour</t>
  </si>
  <si>
    <t>7. ZONE 4 FLOW</t>
  </si>
  <si>
    <t>Drainback = Supply Pipe Volume (7.B) + Flush Pipe Volume (7.C)</t>
  </si>
  <si>
    <t>Number of Emitters = Zone Lateral Length (3.J) ÷ Emitter Spacing (7.A)</t>
  </si>
  <si>
    <t>Zone Discharge Rate = [Number of Emitters (7.E) X Flow Per Emitter (3.B)] ÷ 60 minutes per hour</t>
  </si>
  <si>
    <t>Number of Connections = 2 X Total Number of Laterals</t>
  </si>
  <si>
    <t xml:space="preserve">Number of Doses = Design Flow (1.A) ÷ Number of Zones (3.I) ÷ Dose Volume (5.I) </t>
  </si>
  <si>
    <t>Minimum Number of Doses is 4</t>
  </si>
  <si>
    <t>gals   X     4    =</t>
  </si>
  <si>
    <t>Min. Delivered Dose Volume = Four X the Total Volume of Piping =</t>
  </si>
  <si>
    <t>campsite without sewer hook-up, with central toilet or shower facility, served by dump station (per site)</t>
  </si>
  <si>
    <t>campsite without sewer hook-up, with central toilet or shower facility (per site)</t>
  </si>
  <si>
    <t>campsite with sewer hook-up (per site/space)</t>
  </si>
  <si>
    <t>campsite with sewer hook-up (per person)</t>
  </si>
  <si>
    <t>If concentrations of BOD, TSS, and O&amp;G are expected to be higher than 170 mg/1, 60 mg/1, or 25 mg/1 respectively, an estimated or measured average concentration must be determined.</t>
  </si>
  <si>
    <t xml:space="preserve">Grease trap recommended for facilities with high levels of O&amp;G.  If a grease trap is installed, a minimum of 24 hours (1 day) of hydraulic retention time is recommended, but can be up 4 days or more.  The outlet baffle must extended to 50 - 70% of liquid depth.  </t>
  </si>
  <si>
    <t xml:space="preserve">*  When septic tanks are installed at each dwelling an effluent screen and alarm should either be located at each dwelling or a the common treatment area. </t>
  </si>
  <si>
    <t>Location:</t>
  </si>
  <si>
    <t>** 1/16 inch screen slots should be used when downstream distribution components utilize 1/8 inch diameter orifices.</t>
  </si>
  <si>
    <t xml:space="preserve">DETAILED SOIL DESCRIPTIONS </t>
  </si>
  <si>
    <t>Loamy Coarse Sand</t>
  </si>
  <si>
    <t>Very Fine Sand</t>
  </si>
  <si>
    <t>Loamy Fine Sand</t>
  </si>
  <si>
    <t>Loamy Very Fine Sand</t>
  </si>
  <si>
    <t>Silt</t>
  </si>
  <si>
    <t xml:space="preserve">1.  </t>
  </si>
  <si>
    <t>PUMP CAPACITY</t>
  </si>
  <si>
    <t>35-50%</t>
  </si>
  <si>
    <t>&gt;50%</t>
  </si>
  <si>
    <t>Use 1.0 ft for dwellings using 3/16 to 1/4  inch perforations.</t>
  </si>
  <si>
    <t>Use 2.0 ft for dwellings using 1/8 inch perforations; or, for MSTS or other establishments using 3/16 to 1/4 inch perforations.</t>
  </si>
  <si>
    <t>Location and Elevation of Limiting Layer:</t>
  </si>
  <si>
    <t>MPI</t>
  </si>
  <si>
    <t>Dispersal Area</t>
  </si>
  <si>
    <t>Probe</t>
  </si>
  <si>
    <t>Auger</t>
  </si>
  <si>
    <t xml:space="preserve">ObservationType </t>
  </si>
  <si>
    <t>ft ÷</t>
  </si>
  <si>
    <t xml:space="preserve">ft  = </t>
  </si>
  <si>
    <t>(10 - 45 gpm)</t>
  </si>
  <si>
    <t>( 0.5</t>
  </si>
  <si>
    <r>
      <t>ft</t>
    </r>
    <r>
      <rPr>
        <vertAlign val="superscript"/>
        <sz val="10"/>
        <rFont val="Trebuchet MS"/>
        <family val="2"/>
      </rPr>
      <t>3</t>
    </r>
    <r>
      <rPr>
        <sz val="10"/>
        <rFont val="Trebuchet MS"/>
        <family val="2"/>
      </rPr>
      <t xml:space="preserve">    =</t>
    </r>
  </si>
  <si>
    <t>If rock is used as the distribution media:</t>
  </si>
  <si>
    <r>
      <t>GPD/ft</t>
    </r>
    <r>
      <rPr>
        <vertAlign val="superscript"/>
        <sz val="10"/>
        <color indexed="8"/>
        <rFont val="Trebuchet MS"/>
        <family val="2"/>
      </rPr>
      <t xml:space="preserve">2    </t>
    </r>
    <r>
      <rPr>
        <sz val="10"/>
        <color indexed="8"/>
        <rFont val="Trebuchet MS"/>
        <family val="2"/>
      </rPr>
      <t xml:space="preserve"> =</t>
    </r>
  </si>
  <si>
    <t xml:space="preserve">GPD/ft    =  </t>
  </si>
  <si>
    <t>System Design Length (must be equal to or greater than Min. System Length (3.D) and divisible by 150)   =</t>
  </si>
  <si>
    <t>zones</t>
  </si>
  <si>
    <t xml:space="preserve">ft = </t>
  </si>
  <si>
    <t>connections</t>
  </si>
  <si>
    <t xml:space="preserve">gpf = </t>
  </si>
  <si>
    <t>gal =</t>
  </si>
  <si>
    <t xml:space="preserve">H. </t>
  </si>
  <si>
    <t>ft +</t>
  </si>
  <si>
    <t>ft -</t>
  </si>
  <si>
    <t>ft  -</t>
  </si>
  <si>
    <t>If pumping to gravity enter the gallon per minute of the pump:</t>
  </si>
  <si>
    <t>GPM (Line 1) with at least</t>
  </si>
  <si>
    <t>*Systems with these values are not Type I systems.  Contour Loading Rate (linear loading rate) is a recommended value.</t>
  </si>
  <si>
    <t>If pumping to pressure:</t>
  </si>
  <si>
    <r>
      <t xml:space="preserve">Enter the </t>
    </r>
    <r>
      <rPr>
        <i/>
        <sz val="10"/>
        <rFont val="Trebuchet MS"/>
        <family val="2"/>
      </rPr>
      <t xml:space="preserve">n </t>
    </r>
    <r>
      <rPr>
        <sz val="10"/>
        <rFont val="Trebuchet MS"/>
        <family val="2"/>
      </rPr>
      <t>value:</t>
    </r>
  </si>
  <si>
    <t xml:space="preserve">Enter the peak value (PV): </t>
  </si>
  <si>
    <r>
      <t xml:space="preserve">Flow = PV multiplied by </t>
    </r>
    <r>
      <rPr>
        <i/>
        <sz val="10"/>
        <rFont val="Trebuchet MS"/>
        <family val="2"/>
      </rPr>
      <t>n</t>
    </r>
    <r>
      <rPr>
        <i/>
        <sz val="10"/>
        <rFont val="Trebuchet MS"/>
        <family val="2"/>
      </rPr>
      <t xml:space="preserve"> = </t>
    </r>
  </si>
  <si>
    <t>GPM X</t>
  </si>
  <si>
    <t>pumps</t>
  </si>
  <si>
    <t xml:space="preserve">feet    Elevation:  </t>
  </si>
  <si>
    <t xml:space="preserve">pumps     = </t>
  </si>
  <si>
    <t>To protect the liner, 6 in. of 3/8- media must be installed under the liner and 2 in. of pea gravel on top of the liner. Drainfield rock must surround the collection pipe.  The upper 2 in. must be pea gravel to limit migration of treatment media into drainage media.</t>
  </si>
  <si>
    <t>Elevations of pump supply line to filter and return line to recirculation or pump tank should be specified on design plan and confirmed by Installer.</t>
  </si>
  <si>
    <t>1. Tank Specifications</t>
  </si>
  <si>
    <t>Tank Manufacturer:</t>
  </si>
  <si>
    <t>Tank Model:</t>
  </si>
  <si>
    <t>Outside Tank Dimensions and Specifications:</t>
  </si>
  <si>
    <t>Length:</t>
  </si>
  <si>
    <t>Width:</t>
  </si>
  <si>
    <t>Height:</t>
  </si>
  <si>
    <t xml:space="preserve"> Diameter:</t>
  </si>
  <si>
    <t>Radius of Tank:</t>
  </si>
  <si>
    <t>2. Outside Volume of Tank</t>
  </si>
  <si>
    <t>Rectangular Tank</t>
  </si>
  <si>
    <t>Circular Tank</t>
  </si>
  <si>
    <t>Area of Tank = Length (ft) X Width (ft)</t>
  </si>
  <si>
    <r>
      <t xml:space="preserve">Area of Tank = </t>
    </r>
    <r>
      <rPr>
        <sz val="12"/>
        <color indexed="8"/>
        <rFont val="Calibri"/>
        <family val="2"/>
      </rPr>
      <t>πr</t>
    </r>
    <r>
      <rPr>
        <vertAlign val="superscript"/>
        <sz val="12"/>
        <color indexed="8"/>
        <rFont val="Calibri"/>
        <family val="2"/>
      </rPr>
      <t>2</t>
    </r>
    <r>
      <rPr>
        <sz val="12"/>
        <color indexed="8"/>
        <rFont val="Calibri"/>
        <family val="2"/>
      </rPr>
      <t xml:space="preserve"> (</t>
    </r>
    <r>
      <rPr>
        <sz val="12"/>
        <color indexed="8"/>
        <rFont val="Trebuchet MS"/>
        <family val="2"/>
      </rPr>
      <t>3.14 X (Radius of Tank)</t>
    </r>
    <r>
      <rPr>
        <vertAlign val="superscript"/>
        <sz val="12"/>
        <color indexed="8"/>
        <rFont val="Trebuchet MS"/>
        <family val="2"/>
      </rPr>
      <t>2)</t>
    </r>
  </si>
  <si>
    <r>
      <t>ft</t>
    </r>
    <r>
      <rPr>
        <vertAlign val="superscript"/>
        <sz val="12"/>
        <color indexed="8"/>
        <rFont val="Trebuchet MS"/>
        <family val="2"/>
      </rPr>
      <t>2</t>
    </r>
  </si>
  <si>
    <t>Volume of Tank = Area of Tank (2.A) X Height (ft)</t>
  </si>
  <si>
    <t>Volume of Tank = Area of Tank X Height (ft)</t>
  </si>
  <si>
    <r>
      <t>ft</t>
    </r>
    <r>
      <rPr>
        <vertAlign val="superscript"/>
        <sz val="12"/>
        <color indexed="8"/>
        <rFont val="Trebuchet MS"/>
        <family val="2"/>
      </rPr>
      <t>3</t>
    </r>
  </si>
  <si>
    <r>
      <t>ft</t>
    </r>
    <r>
      <rPr>
        <vertAlign val="superscript"/>
        <sz val="12"/>
        <color indexed="8"/>
        <rFont val="Trebuchet MS"/>
        <family val="2"/>
      </rPr>
      <t>2</t>
    </r>
    <r>
      <rPr>
        <sz val="12"/>
        <color indexed="8"/>
        <rFont val="Trebuchet MS"/>
        <family val="2"/>
      </rPr>
      <t xml:space="preserve">  X</t>
    </r>
  </si>
  <si>
    <r>
      <t>3. Force of Tank Weight (F</t>
    </r>
    <r>
      <rPr>
        <b/>
        <vertAlign val="subscript"/>
        <sz val="12"/>
        <color indexed="8"/>
        <rFont val="Trebuchet MS"/>
        <family val="2"/>
      </rPr>
      <t>TW</t>
    </r>
    <r>
      <rPr>
        <b/>
        <sz val="12"/>
        <color indexed="8"/>
        <rFont val="Trebuchet MS"/>
        <family val="2"/>
      </rPr>
      <t>)</t>
    </r>
  </si>
  <si>
    <r>
      <t>lbs/ft</t>
    </r>
    <r>
      <rPr>
        <vertAlign val="superscript"/>
        <sz val="12"/>
        <color indexed="8"/>
        <rFont val="Trebuchet MS"/>
        <family val="2"/>
      </rPr>
      <t>3</t>
    </r>
  </si>
  <si>
    <r>
      <t>4. Force of Soil Weight Over Tank (F</t>
    </r>
    <r>
      <rPr>
        <b/>
        <vertAlign val="subscript"/>
        <sz val="12"/>
        <color indexed="8"/>
        <rFont val="Trebuchet MS"/>
        <family val="2"/>
      </rPr>
      <t>SW</t>
    </r>
    <r>
      <rPr>
        <b/>
        <sz val="12"/>
        <color indexed="8"/>
        <rFont val="Trebuchet MS"/>
        <family val="2"/>
      </rPr>
      <t>)</t>
    </r>
  </si>
  <si>
    <t>Soil Type</t>
  </si>
  <si>
    <r>
      <t>Weight of Soil (lbs/ft</t>
    </r>
    <r>
      <rPr>
        <b/>
        <vertAlign val="superscript"/>
        <sz val="12"/>
        <color indexed="8"/>
        <rFont val="Trebuchet MS"/>
        <family val="2"/>
      </rPr>
      <t>3</t>
    </r>
    <r>
      <rPr>
        <b/>
        <sz val="12"/>
        <color indexed="8"/>
        <rFont val="Trebuchet MS"/>
        <family val="2"/>
      </rPr>
      <t>)</t>
    </r>
  </si>
  <si>
    <t>Depth of Cover Over Tank:</t>
  </si>
  <si>
    <t>Weight of Soil Per Cubic Foot:</t>
  </si>
  <si>
    <t>Sandy</t>
  </si>
  <si>
    <r>
      <t>Volume of Soil Over Tank = Depth of Cover (ft) X Area of  Tank (ft</t>
    </r>
    <r>
      <rPr>
        <vertAlign val="superscript"/>
        <sz val="12"/>
        <color indexed="8"/>
        <rFont val="Trebuchet MS"/>
        <family val="2"/>
      </rPr>
      <t>2</t>
    </r>
    <r>
      <rPr>
        <sz val="12"/>
        <color indexed="8"/>
        <rFont val="Trebuchet MS"/>
        <family val="2"/>
      </rPr>
      <t>)</t>
    </r>
  </si>
  <si>
    <t>Loamy</t>
  </si>
  <si>
    <r>
      <t>ft</t>
    </r>
    <r>
      <rPr>
        <vertAlign val="superscript"/>
        <sz val="12"/>
        <color indexed="8"/>
        <rFont val="Trebuchet MS"/>
        <family val="2"/>
      </rPr>
      <t>2</t>
    </r>
    <r>
      <rPr>
        <sz val="12"/>
        <color indexed="8"/>
        <rFont val="Trebuchet MS"/>
        <family val="2"/>
      </rPr>
      <t xml:space="preserve">   =</t>
    </r>
  </si>
  <si>
    <t>lbs</t>
  </si>
  <si>
    <r>
      <t>5.Buoyant Force (F</t>
    </r>
    <r>
      <rPr>
        <b/>
        <vertAlign val="subscript"/>
        <sz val="12"/>
        <color indexed="8"/>
        <rFont val="Trebuchet MS"/>
        <family val="2"/>
      </rPr>
      <t>B</t>
    </r>
    <r>
      <rPr>
        <b/>
        <sz val="12"/>
        <color indexed="8"/>
        <rFont val="Trebuchet MS"/>
        <family val="2"/>
      </rPr>
      <t>)</t>
    </r>
  </si>
  <si>
    <r>
      <t>X   62.4 lbs/ft</t>
    </r>
    <r>
      <rPr>
        <vertAlign val="superscript"/>
        <sz val="12"/>
        <color indexed="8"/>
        <rFont val="Trebuchet MS"/>
        <family val="2"/>
      </rPr>
      <t>3</t>
    </r>
    <r>
      <rPr>
        <sz val="12"/>
        <color indexed="8"/>
        <rFont val="Trebuchet MS"/>
        <family val="2"/>
      </rPr>
      <t xml:space="preserve">  X  1.2   =</t>
    </r>
  </si>
  <si>
    <t>6. Evaluation of Net Forces</t>
  </si>
  <si>
    <r>
      <t>Downward Force = Force of Tank Weight (F</t>
    </r>
    <r>
      <rPr>
        <vertAlign val="subscript"/>
        <sz val="12"/>
        <color indexed="8"/>
        <rFont val="Trebuchet MS"/>
        <family val="2"/>
      </rPr>
      <t>TW</t>
    </r>
    <r>
      <rPr>
        <sz val="12"/>
        <color indexed="8"/>
        <rFont val="Trebuchet MS"/>
        <family val="2"/>
      </rPr>
      <t>) +  Force of Soil Weight of Soil (F</t>
    </r>
    <r>
      <rPr>
        <vertAlign val="subscript"/>
        <sz val="12"/>
        <color indexed="8"/>
        <rFont val="Trebuchet MS"/>
        <family val="2"/>
      </rPr>
      <t>SW</t>
    </r>
    <r>
      <rPr>
        <sz val="12"/>
        <color indexed="8"/>
        <rFont val="Trebuchet MS"/>
        <family val="2"/>
      </rPr>
      <t>)</t>
    </r>
  </si>
  <si>
    <t xml:space="preserve"> lbs   +</t>
  </si>
  <si>
    <t>lbs    =</t>
  </si>
  <si>
    <t xml:space="preserve">Net Difference = Downward Force - Buoyant Force Including Safety Factor </t>
  </si>
  <si>
    <t>lbs   -</t>
  </si>
  <si>
    <t>If the Net Difference is negative, countermeasures will need to be taken to prevent the tank from floating out of the ground.</t>
  </si>
  <si>
    <t>Comments/Solution:</t>
  </si>
  <si>
    <t>Weight of Tank (provided by manufacturer)</t>
  </si>
  <si>
    <t>1. Supply Pipe Diameter:</t>
  </si>
  <si>
    <t>2. Supply Pipe Length:</t>
  </si>
  <si>
    <t>1.  Pipe Diameter:</t>
  </si>
  <si>
    <t>2.  Pipe Length:</t>
  </si>
  <si>
    <r>
      <t>Total Head</t>
    </r>
    <r>
      <rPr>
        <sz val="10"/>
        <rFont val="Trebuchet MS"/>
        <family val="2"/>
      </rPr>
      <t xml:space="preserve"> requirement is the sum of the </t>
    </r>
    <r>
      <rPr>
        <i/>
        <sz val="10"/>
        <rFont val="Trebuchet MS"/>
        <family val="2"/>
      </rPr>
      <t>Elevation Difference</t>
    </r>
    <r>
      <rPr>
        <sz val="10"/>
        <rFont val="Trebuchet MS"/>
        <family val="2"/>
      </rPr>
      <t xml:space="preserve"> (Line 2.A) and the Friction Loss from the Supply Pipe and Pipe Fittings for collection systems (Line F)</t>
    </r>
  </si>
  <si>
    <t>feet of total head (Line G).</t>
  </si>
  <si>
    <t>Tank Buoyancy Calculation Performed?</t>
  </si>
  <si>
    <t xml:space="preserve">1.0 = pressurized or 1.5 = gravity </t>
  </si>
  <si>
    <r>
      <t>ft</t>
    </r>
    <r>
      <rPr>
        <vertAlign val="superscript"/>
        <sz val="10"/>
        <rFont val="Trebuchet MS"/>
        <family val="2"/>
      </rPr>
      <t>2</t>
    </r>
    <r>
      <rPr>
        <sz val="10"/>
        <rFont val="Trebuchet MS"/>
        <family val="2"/>
      </rPr>
      <t xml:space="preserve"> X</t>
    </r>
  </si>
  <si>
    <r>
      <rPr>
        <b/>
        <sz val="10"/>
        <rFont val="Trebuchet MS"/>
        <family val="2"/>
      </rPr>
      <t>Friction Loss in Plastic Pipe per 100ft</t>
    </r>
    <r>
      <rPr>
        <sz val="10"/>
        <rFont val="Trebuchet MS"/>
        <family val="2"/>
      </rPr>
      <t xml:space="preserve"> from Table I:</t>
    </r>
  </si>
  <si>
    <r>
      <t>Number of Perforation Spaces</t>
    </r>
    <r>
      <rPr>
        <sz val="10"/>
        <rFont val="Trebuchet MS"/>
        <family val="2"/>
      </rPr>
      <t xml:space="preserve"> = Divide the Length of Lateral 1 (7.B) by  the Perforation Spacing (Line 7.A) and round down to the nearest whole number.  Check Table II to ensure the maximum number of perforations is not exceeded.</t>
    </r>
  </si>
  <si>
    <t>in  ÷  12 =</t>
  </si>
  <si>
    <t>Bedrock</t>
  </si>
  <si>
    <t>Project ID:</t>
  </si>
  <si>
    <t xml:space="preserve">Project ID:  </t>
  </si>
  <si>
    <r>
      <t>Length of Laterals</t>
    </r>
    <r>
      <rPr>
        <sz val="10"/>
        <rFont val="Trebuchet MS"/>
        <family val="2"/>
      </rPr>
      <t xml:space="preserve"> = Media Bed Length - 2 Feet.   </t>
    </r>
  </si>
  <si>
    <t>Perforation can not be closer then 1 foot from edge.</t>
  </si>
  <si>
    <t>Designed Bottom Area:</t>
  </si>
  <si>
    <r>
      <t>BOD</t>
    </r>
    <r>
      <rPr>
        <b/>
        <vertAlign val="subscript"/>
        <sz val="10"/>
        <rFont val="Trebuchet MS"/>
        <family val="2"/>
      </rPr>
      <t>5</t>
    </r>
    <r>
      <rPr>
        <b/>
        <sz val="10"/>
        <rFont val="Trebuchet MS"/>
        <family val="2"/>
      </rPr>
      <t xml:space="preserve"> (mg/L)</t>
    </r>
  </si>
  <si>
    <r>
      <t>BOD</t>
    </r>
    <r>
      <rPr>
        <b/>
        <vertAlign val="subscript"/>
        <sz val="10"/>
        <rFont val="Trebuchet MS"/>
        <family val="2"/>
      </rPr>
      <t>5</t>
    </r>
    <r>
      <rPr>
        <b/>
        <sz val="10"/>
        <rFont val="Trebuchet MS"/>
        <family val="2"/>
      </rPr>
      <t xml:space="preserve"> (lbs/unit/day)</t>
    </r>
  </si>
  <si>
    <t>0.208/student</t>
  </si>
  <si>
    <t>Construction (Semi-permanent)</t>
  </si>
  <si>
    <t>Country club (member)</t>
  </si>
  <si>
    <t>0.02/seat</t>
  </si>
  <si>
    <t>0.208/member</t>
  </si>
  <si>
    <t>0.031/student</t>
  </si>
  <si>
    <t>0.011/student</t>
  </si>
  <si>
    <t>0.031/meal</t>
  </si>
  <si>
    <t>0.073/employee</t>
  </si>
  <si>
    <t>0.083/employee</t>
  </si>
  <si>
    <t>Kitchen Waste</t>
  </si>
  <si>
    <t>0.015/meal</t>
  </si>
  <si>
    <t>Toilet and Kitchen Waste</t>
  </si>
  <si>
    <t>0.021/customer</t>
  </si>
  <si>
    <t>Additional for bars &amp; cocktail lounges</t>
  </si>
  <si>
    <t>0.01/customer</t>
  </si>
  <si>
    <t>Hospital (not including personnel)</t>
  </si>
  <si>
    <t>0.518/bed</t>
  </si>
  <si>
    <t>0.140/person</t>
  </si>
  <si>
    <t>0.083/bed</t>
  </si>
  <si>
    <t>0.14/person</t>
  </si>
  <si>
    <t>Nursing home  (not including kitchen or laundry)</t>
  </si>
  <si>
    <t>0.26/bed</t>
  </si>
  <si>
    <t>Office building (per 8 hour shift)</t>
  </si>
  <si>
    <t>0.05/employee</t>
  </si>
  <si>
    <t>Park, toilets only</t>
  </si>
  <si>
    <t>0.01/person</t>
  </si>
  <si>
    <t>Park, bathhouse and flush toilets</t>
  </si>
  <si>
    <t>0.021/person</t>
  </si>
  <si>
    <t>0.021vehicle served</t>
  </si>
  <si>
    <t>Shopping center (no food service or laundry)</t>
  </si>
  <si>
    <t>0.050/employee</t>
  </si>
  <si>
    <t>Sports Stadium</t>
  </si>
  <si>
    <t>0.20/person</t>
  </si>
  <si>
    <t>0.35/space</t>
  </si>
  <si>
    <t xml:space="preserve">a. </t>
  </si>
  <si>
    <t>Type of High Level Alarm:</t>
  </si>
  <si>
    <t>Media Bed Width:</t>
  </si>
  <si>
    <r>
      <t xml:space="preserve">Select </t>
    </r>
    <r>
      <rPr>
        <i/>
        <sz val="10"/>
        <rFont val="Trebuchet MS"/>
        <family val="2"/>
      </rPr>
      <t>Perforation Diameter Size:</t>
    </r>
  </si>
  <si>
    <r>
      <t xml:space="preserve">Designer Selected </t>
    </r>
    <r>
      <rPr>
        <i/>
        <sz val="10"/>
        <rFont val="Trebuchet MS"/>
        <family val="2"/>
      </rPr>
      <t>Number of  Laterals</t>
    </r>
    <r>
      <rPr>
        <sz val="10"/>
        <rFont val="Trebuchet MS"/>
        <family val="2"/>
      </rPr>
      <t>:</t>
    </r>
  </si>
  <si>
    <t>DETERMINE TANK CAPACITY AND DIMENSIONS</t>
  </si>
  <si>
    <t>DETERMINE DOSING VOLUME</t>
  </si>
  <si>
    <t xml:space="preserve">Minimum Alarm Volume = Depth of alarm (2 or 3 inches) X gallons per inch of tank </t>
  </si>
  <si>
    <r>
      <t>Minutes Per Day (1440)/</t>
    </r>
    <r>
      <rPr>
        <i/>
        <sz val="10"/>
        <rFont val="Trebuchet MS"/>
        <family val="2"/>
      </rPr>
      <t xml:space="preserve">Doses Per Day - </t>
    </r>
    <r>
      <rPr>
        <sz val="10"/>
        <rFont val="Trebuchet MS"/>
        <family val="2"/>
      </rPr>
      <t xml:space="preserve">Minutes On </t>
    </r>
  </si>
  <si>
    <t>Gallons per inch from manufacturer:</t>
  </si>
  <si>
    <t>Liquid depth of tank from manufacturer:</t>
  </si>
  <si>
    <t xml:space="preserve">Total Dosing Volume /Gallons Per Inch </t>
  </si>
  <si>
    <t>Distance to set Pump Off Float=Gallons to Cover Pump  / Gallons Per Inch:</t>
  </si>
  <si>
    <t xml:space="preserve">Distance to set Pump On Float=Distance to Set Pump-Off Float  + Float Separation Distance </t>
  </si>
  <si>
    <r>
      <t>Distance to set Alarm Float</t>
    </r>
    <r>
      <rPr>
        <sz val="10"/>
        <rFont val="Trebuchet MS"/>
        <family val="2"/>
      </rPr>
      <t xml:space="preserve"> = </t>
    </r>
    <r>
      <rPr>
        <i/>
        <sz val="10"/>
        <rFont val="Trebuchet MS"/>
        <family val="2"/>
      </rPr>
      <t>Distance to set Pump-On Float</t>
    </r>
    <r>
      <rPr>
        <sz val="10"/>
        <rFont val="Trebuchet MS"/>
        <family val="2"/>
      </rPr>
      <t xml:space="preserve">  + </t>
    </r>
    <r>
      <rPr>
        <i/>
        <sz val="10"/>
        <rFont val="Trebuchet MS"/>
        <family val="2"/>
      </rPr>
      <t>Alarm Depth</t>
    </r>
    <r>
      <rPr>
        <sz val="10"/>
        <rFont val="Trebuchet MS"/>
        <family val="2"/>
      </rPr>
      <t xml:space="preserve"> (2-3 inches)</t>
    </r>
  </si>
  <si>
    <r>
      <t>Volume of Liquid Per Foot of Distribution Piping (Table II)</t>
    </r>
    <r>
      <rPr>
        <sz val="10"/>
        <rFont val="Trebuchet MS"/>
        <family val="2"/>
      </rPr>
      <t>:</t>
    </r>
  </si>
  <si>
    <t>Perfs     X</t>
  </si>
  <si>
    <t>GPM per Perforation =</t>
  </si>
  <si>
    <t>Coarse Sandy Loam</t>
  </si>
  <si>
    <t>Fine Sandy Loam</t>
  </si>
  <si>
    <t>Very Fine Sandy Loam</t>
  </si>
  <si>
    <r>
      <t>Select Lateral Diameter (See Table)</t>
    </r>
    <r>
      <rPr>
        <sz val="10"/>
        <rFont val="Trebuchet MS"/>
        <family val="2"/>
      </rPr>
      <t>:</t>
    </r>
  </si>
  <si>
    <t xml:space="preserve">ft </t>
  </si>
  <si>
    <t>Tanks or Compartments</t>
  </si>
  <si>
    <t>Recommended</t>
  </si>
  <si>
    <t>&lt;35%</t>
  </si>
  <si>
    <t>MEASURED TANK CAPACITY (existing tanks):</t>
  </si>
  <si>
    <t>Capacity from manufacturer:</t>
  </si>
  <si>
    <t>Note: Design calculations are based on this specific tank. Substituting a different tank model will change the pump float or timer settings. Contact designer if changes are necessary.</t>
  </si>
  <si>
    <t>Date:</t>
  </si>
  <si>
    <t>gal</t>
  </si>
  <si>
    <t>Registered Product:</t>
  </si>
  <si>
    <t>Soil Loading Rate:</t>
  </si>
  <si>
    <t>% Land Slope:</t>
  </si>
  <si>
    <t>On slopes &gt;1%, Downslope Berm Width equals greater of C.2 and C.3 =</t>
  </si>
  <si>
    <r>
      <t>GPD/ft</t>
    </r>
    <r>
      <rPr>
        <vertAlign val="superscript"/>
        <sz val="10"/>
        <rFont val="Trebuchet MS"/>
        <family val="2"/>
      </rPr>
      <t>2</t>
    </r>
    <r>
      <rPr>
        <sz val="10"/>
        <rFont val="Trebuchet MS"/>
        <family val="2"/>
      </rPr>
      <t xml:space="preserve">             =</t>
    </r>
  </si>
  <si>
    <r>
      <t xml:space="preserve">Upslope Multiplier </t>
    </r>
    <r>
      <rPr>
        <sz val="10"/>
        <rFont val="Trebuchet MS"/>
        <family val="2"/>
      </rPr>
      <t>based on percent slope (see Slope Multipler Table)</t>
    </r>
  </si>
  <si>
    <r>
      <t>yd</t>
    </r>
    <r>
      <rPr>
        <vertAlign val="superscript"/>
        <sz val="10"/>
        <rFont val="Trebuchet MS"/>
        <family val="2"/>
      </rPr>
      <t>3</t>
    </r>
    <r>
      <rPr>
        <sz val="10"/>
        <rFont val="Trebuchet MS"/>
        <family val="2"/>
      </rPr>
      <t xml:space="preserve">  x</t>
    </r>
  </si>
  <si>
    <r>
      <t>Downslope Multiplier</t>
    </r>
    <r>
      <rPr>
        <sz val="10"/>
        <rFont val="Trebuchet MS"/>
        <family val="2"/>
      </rPr>
      <t xml:space="preserve"> based on percent slope (see Table):</t>
    </r>
  </si>
  <si>
    <t>Cannot exceed 15 feet</t>
  </si>
  <si>
    <t xml:space="preserve">ft ) + 5 ft = </t>
  </si>
  <si>
    <t>(  0.5  X</t>
  </si>
  <si>
    <t xml:space="preserve">5 ft  = </t>
  </si>
  <si>
    <r>
      <t xml:space="preserve"> yd</t>
    </r>
    <r>
      <rPr>
        <vertAlign val="superscript"/>
        <sz val="10"/>
        <rFont val="Trebuchet MS"/>
        <family val="2"/>
      </rPr>
      <t>3</t>
    </r>
    <r>
      <rPr>
        <sz val="10"/>
        <rFont val="Trebuchet MS"/>
        <family val="2"/>
      </rPr>
      <t xml:space="preserve"> </t>
    </r>
  </si>
  <si>
    <t>÷ 2 -</t>
  </si>
  <si>
    <t>ft  X 1.5</t>
  </si>
  <si>
    <r>
      <t xml:space="preserve"> yd</t>
    </r>
    <r>
      <rPr>
        <vertAlign val="superscript"/>
        <sz val="10"/>
        <rFont val="Trebuchet MS"/>
        <family val="2"/>
      </rPr>
      <t>3</t>
    </r>
    <r>
      <rPr>
        <sz val="10"/>
        <rFont val="Trebuchet MS"/>
        <family val="2"/>
      </rPr>
      <t xml:space="preserve">  x 1.2 = </t>
    </r>
  </si>
  <si>
    <t>Downlsope Width = Downslope Multiplier X System Height</t>
  </si>
  <si>
    <r>
      <t>GPD/ft</t>
    </r>
    <r>
      <rPr>
        <vertAlign val="superscript"/>
        <sz val="10"/>
        <color indexed="8"/>
        <rFont val="Trebuchet MS"/>
        <family val="2"/>
      </rPr>
      <t>2</t>
    </r>
  </si>
  <si>
    <r>
      <t>ft</t>
    </r>
    <r>
      <rPr>
        <vertAlign val="superscript"/>
        <sz val="10"/>
        <color indexed="8"/>
        <rFont val="Trebuchet MS"/>
        <family val="2"/>
      </rPr>
      <t>2</t>
    </r>
  </si>
  <si>
    <r>
      <t>ft</t>
    </r>
    <r>
      <rPr>
        <vertAlign val="superscript"/>
        <sz val="10"/>
        <color indexed="8"/>
        <rFont val="Trebuchet MS"/>
        <family val="2"/>
      </rPr>
      <t>2</t>
    </r>
    <r>
      <rPr>
        <sz val="10"/>
        <color indexed="8"/>
        <rFont val="Trebuchet MS"/>
        <family val="2"/>
      </rPr>
      <t xml:space="preserve">  ÷</t>
    </r>
  </si>
  <si>
    <r>
      <t xml:space="preserve">Total Number of Laterals = System Width (3.F) ÷ Lateral Spacing (3.G) </t>
    </r>
    <r>
      <rPr>
        <i/>
        <sz val="10"/>
        <color indexed="8"/>
        <rFont val="Trebuchet MS"/>
        <family val="2"/>
      </rPr>
      <t>Round up to nearest whole number</t>
    </r>
  </si>
  <si>
    <t>gph]</t>
  </si>
  <si>
    <t xml:space="preserve">gal </t>
  </si>
  <si>
    <t>]     +</t>
  </si>
  <si>
    <t>There are two ways you can utilize this workbook:</t>
  </si>
  <si>
    <t>2. You can print blank copies of the worksheets and fill them out by hand.</t>
  </si>
  <si>
    <t>SECURITY LEVEL &amp; MACROS</t>
  </si>
  <si>
    <t>This file contains macros which are imbedded formulas to do some of the calculations.  In order for these to work:</t>
  </si>
  <si>
    <t>2.  If prompted enable the macros.</t>
  </si>
  <si>
    <t>INPUTS</t>
  </si>
  <si>
    <t>CHECK BOXES</t>
  </si>
  <si>
    <t>DROP DOWN MENUS</t>
  </si>
  <si>
    <t xml:space="preserve">PRINTING </t>
  </si>
  <si>
    <t>SAVING</t>
  </si>
  <si>
    <t>CREDITS</t>
  </si>
  <si>
    <t>1. Preliminary Evaluation</t>
  </si>
  <si>
    <t>5. Site Evaluation Map</t>
  </si>
  <si>
    <t>2. Field Evaluation</t>
  </si>
  <si>
    <t>6. Percolation Test</t>
  </si>
  <si>
    <t>1. Contact Information</t>
  </si>
  <si>
    <t>Date</t>
  </si>
  <si>
    <t>BOD:</t>
  </si>
  <si>
    <t>mg/L</t>
  </si>
  <si>
    <t>5.  Local Government Unit Information</t>
  </si>
  <si>
    <t>2.  Utility and Structure Information</t>
  </si>
  <si>
    <t>Utility Locations Identified</t>
  </si>
  <si>
    <r>
      <t>Locate and Verify (</t>
    </r>
    <r>
      <rPr>
        <i/>
        <sz val="10"/>
        <rFont val="Trebuchet MS"/>
        <family val="2"/>
      </rPr>
      <t>see Site Evaluation map</t>
    </r>
    <r>
      <rPr>
        <sz val="10"/>
        <rFont val="Trebuchet MS"/>
        <family val="2"/>
      </rPr>
      <t>)</t>
    </r>
  </si>
  <si>
    <t>3.  Site Information</t>
  </si>
  <si>
    <t>5.  Phase I. Reporting Information</t>
  </si>
  <si>
    <t>min/inch</t>
  </si>
  <si>
    <r>
      <t>gpd/ft</t>
    </r>
    <r>
      <rPr>
        <vertAlign val="superscript"/>
        <sz val="10"/>
        <rFont val="Trebuchet MS"/>
        <family val="2"/>
      </rPr>
      <t>2</t>
    </r>
  </si>
  <si>
    <t>Soil parent material(s): (Check all that apply)</t>
  </si>
  <si>
    <t>Slope shape</t>
  </si>
  <si>
    <t>Weather Conditions/Time of Day:</t>
  </si>
  <si>
    <t>Observation #/Location:</t>
  </si>
  <si>
    <t>Observation Type:</t>
  </si>
  <si>
    <t>Depth (in)</t>
  </si>
  <si>
    <t>Rock Frag. %</t>
  </si>
  <si>
    <t>Matrix Color(s)</t>
  </si>
  <si>
    <t>Mottle Color(s)</t>
  </si>
  <si>
    <t>Redox Kind(s)</t>
  </si>
  <si>
    <t>Indicator(s)</t>
  </si>
  <si>
    <t>I-------- Structure-----------I</t>
  </si>
  <si>
    <t>Shape</t>
  </si>
  <si>
    <t>Comments</t>
  </si>
  <si>
    <t>Textures:</t>
  </si>
  <si>
    <t>Subsoil Indicator(s) of Saturation:</t>
  </si>
  <si>
    <t>Consistence:</t>
  </si>
  <si>
    <t>Intact specimen not available</t>
  </si>
  <si>
    <t>Slight force between fingers</t>
  </si>
  <si>
    <t>S3. 5Y chroma &lt;/= 3</t>
  </si>
  <si>
    <t>Moderate force between fingers</t>
  </si>
  <si>
    <t>S4. 7.5 YR or redder faint redox concentrations or redox depletions</t>
  </si>
  <si>
    <t>Moderate force between hands or slight foot pressure</t>
  </si>
  <si>
    <t>Foot pressure</t>
  </si>
  <si>
    <t>Topsoil Indicator(s) of Saturation:</t>
  </si>
  <si>
    <t>Slope Shape:</t>
  </si>
  <si>
    <t>T1. Wetland Vegetation</t>
  </si>
  <si>
    <t>T2. Depressional Landscape</t>
  </si>
  <si>
    <t>T3. Organic texture or organic modifiers</t>
  </si>
  <si>
    <t>T4. N 2.5/ 0 color</t>
  </si>
  <si>
    <t>T5. Redox features in topsoil</t>
  </si>
  <si>
    <t>Grade:</t>
  </si>
  <si>
    <t>No observable aggregates, or no orderly arrangement of natural lines of weakness</t>
  </si>
  <si>
    <t>Poorly formed, indistinct peds, barely observable in place</t>
  </si>
  <si>
    <t>Well formed, distinct peds, moderately durable and evident, but not distinct in undisturbed soil</t>
  </si>
  <si>
    <t>Durable peds that are quite evident in un-displaced soil, adhere weakly to one another, withstand displacement, and become separated when soil is disturbed</t>
  </si>
  <si>
    <t>No peds, sandy soil</t>
  </si>
  <si>
    <t>Shape:</t>
  </si>
  <si>
    <t>The peds are approximately spherical or polyhedral and are commonly found in topsoil. These are the small, rounded peds that hang onto roots when soil is turned over.</t>
  </si>
  <si>
    <t>The peds are flat and plate like. They are oriented horizontally and are usually overlapping. Platy structure is commonly found in forested areas just below the leaf litter or shallow topsoil.</t>
  </si>
  <si>
    <t>The structure found in a sandy soil. The individual particles are not held together.</t>
  </si>
  <si>
    <t>Contact Information</t>
  </si>
  <si>
    <t>Mapping Checklist</t>
  </si>
  <si>
    <t>Map scale:</t>
  </si>
  <si>
    <t>Locate</t>
  </si>
  <si>
    <t>Easements</t>
  </si>
  <si>
    <t>Setbacks</t>
  </si>
  <si>
    <t>Elevations</t>
  </si>
  <si>
    <t xml:space="preserve">Elevation:  </t>
  </si>
  <si>
    <t>Depth**:</t>
  </si>
  <si>
    <t>2.  General Percolation Information</t>
  </si>
  <si>
    <t>** 12 in. for mounds &amp; at-grades, depth of absorption area for trenches and beds</t>
  </si>
  <si>
    <t>Soil texture description:</t>
  </si>
  <si>
    <t>Diameter</t>
  </si>
  <si>
    <t>Date prepared and/or soaked:</t>
  </si>
  <si>
    <t>Method of scratching sidewall:</t>
  </si>
  <si>
    <t>Is pre-soak required*?</t>
  </si>
  <si>
    <t>Soak* start time:</t>
  </si>
  <si>
    <t>Soak* end time:</t>
  </si>
  <si>
    <t>hrs of soak</t>
  </si>
  <si>
    <t>Reading</t>
  </si>
  <si>
    <t>Start Time</t>
  </si>
  <si>
    <t>End Time</t>
  </si>
  <si>
    <t>Start Reading (in)</t>
  </si>
  <si>
    <t>End Reading (in)</t>
  </si>
  <si>
    <t>Perc rate (mpi)</t>
  </si>
  <si>
    <t>% Difference Last 3 Rates</t>
  </si>
  <si>
    <t>Pass</t>
  </si>
  <si>
    <t>Method to maintain 12 in of water during soak</t>
  </si>
  <si>
    <t>Chosen Percolation Rate for Test Hole #2</t>
  </si>
  <si>
    <t>Chosen Percolation Rate for Test Hole #4</t>
  </si>
  <si>
    <t>Chosen Percolation Rate for Test Hole #1</t>
  </si>
  <si>
    <t>Elevations in feet</t>
  </si>
  <si>
    <t>System Corners:</t>
  </si>
  <si>
    <t xml:space="preserve">  NW:</t>
  </si>
  <si>
    <t xml:space="preserve">  NE:</t>
  </si>
  <si>
    <t xml:space="preserve">  SW:</t>
  </si>
  <si>
    <t xml:space="preserve">  SE:</t>
  </si>
  <si>
    <t>Soil Borings:</t>
  </si>
  <si>
    <t xml:space="preserve">  #1:</t>
  </si>
  <si>
    <t xml:space="preserve">  #2:</t>
  </si>
  <si>
    <t xml:space="preserve">  #3:</t>
  </si>
  <si>
    <t>Tank Outlet:</t>
  </si>
  <si>
    <t>Designers Maximum Depth:</t>
  </si>
  <si>
    <r>
      <t xml:space="preserve"> GPD/ft</t>
    </r>
    <r>
      <rPr>
        <vertAlign val="superscript"/>
        <sz val="10"/>
        <rFont val="Trebuchet MS"/>
        <family val="2"/>
      </rPr>
      <t xml:space="preserve">2    </t>
    </r>
    <r>
      <rPr>
        <sz val="10"/>
        <rFont val="Trebuchet MS"/>
        <family val="2"/>
      </rPr>
      <t>=</t>
    </r>
  </si>
  <si>
    <r>
      <t>Design Flow</t>
    </r>
    <r>
      <rPr>
        <sz val="8"/>
        <rFont val="Trebuchet MS"/>
        <family val="2"/>
      </rPr>
      <t>:</t>
    </r>
  </si>
  <si>
    <t>Design Flow :</t>
  </si>
  <si>
    <t>CoarseFragments</t>
  </si>
  <si>
    <t>Fill Soil</t>
  </si>
  <si>
    <t>Parcel ID:</t>
  </si>
  <si>
    <t>Hue</t>
  </si>
  <si>
    <t>ValueChroma</t>
  </si>
  <si>
    <t>10R</t>
  </si>
  <si>
    <t>2.5YR</t>
  </si>
  <si>
    <t>5YR</t>
  </si>
  <si>
    <t>7.5YR</t>
  </si>
  <si>
    <t>10YR</t>
  </si>
  <si>
    <t>5Y</t>
  </si>
  <si>
    <t>2/1</t>
  </si>
  <si>
    <t>2/2</t>
  </si>
  <si>
    <t>2.5/1</t>
  </si>
  <si>
    <t>2.5/2</t>
  </si>
  <si>
    <t>2.5/3</t>
  </si>
  <si>
    <t>3/1</t>
  </si>
  <si>
    <t>3/2</t>
  </si>
  <si>
    <t>3/3</t>
  </si>
  <si>
    <t>3/4</t>
  </si>
  <si>
    <t>3/6</t>
  </si>
  <si>
    <t>4/1</t>
  </si>
  <si>
    <t>4/2</t>
  </si>
  <si>
    <t>4/3</t>
  </si>
  <si>
    <t>4/4</t>
  </si>
  <si>
    <t>4/6</t>
  </si>
  <si>
    <t>4/8</t>
  </si>
  <si>
    <t>5/1</t>
  </si>
  <si>
    <t>5/2</t>
  </si>
  <si>
    <t>5/3</t>
  </si>
  <si>
    <t>5/4</t>
  </si>
  <si>
    <t>5/6</t>
  </si>
  <si>
    <t>5/8</t>
  </si>
  <si>
    <t>6/1</t>
  </si>
  <si>
    <t>6/2</t>
  </si>
  <si>
    <t>6/3</t>
  </si>
  <si>
    <t>6/4</t>
  </si>
  <si>
    <t>6/6</t>
  </si>
  <si>
    <t>6/8</t>
  </si>
  <si>
    <t>7/1</t>
  </si>
  <si>
    <t>7/2</t>
  </si>
  <si>
    <t>7/3</t>
  </si>
  <si>
    <t>7/4</t>
  </si>
  <si>
    <t>7/6</t>
  </si>
  <si>
    <t>7/8</t>
  </si>
  <si>
    <t>8/1</t>
  </si>
  <si>
    <t>8/2</t>
  </si>
  <si>
    <t>8/3</t>
  </si>
  <si>
    <t>8/4</t>
  </si>
  <si>
    <t>8/6</t>
  </si>
  <si>
    <t>8/8</t>
  </si>
  <si>
    <t>GLEY</t>
  </si>
  <si>
    <t>2.5/0</t>
  </si>
  <si>
    <t>N</t>
  </si>
  <si>
    <t>Spacing (in)</t>
  </si>
  <si>
    <t>Camp, day and night with meals</t>
  </si>
  <si>
    <t>Elevation (ft)</t>
  </si>
  <si>
    <t xml:space="preserve">Inches for Dose:  </t>
  </si>
  <si>
    <t>PumpType</t>
  </si>
  <si>
    <t>Equalization/Time Dosing</t>
  </si>
  <si>
    <r>
      <t xml:space="preserve">ft </t>
    </r>
    <r>
      <rPr>
        <sz val="8"/>
        <rFont val="Trebuchet MS"/>
        <family val="2"/>
      </rPr>
      <t>(due to special equipment, etc.)</t>
    </r>
  </si>
  <si>
    <t>PumpTankType</t>
  </si>
  <si>
    <t>Supply Pipe Dia.</t>
  </si>
  <si>
    <t>Organic</t>
  </si>
  <si>
    <t>Contour Loading Rate</t>
  </si>
  <si>
    <t>Berm Width  (0-1%)</t>
  </si>
  <si>
    <t>gal/ft</t>
  </si>
  <si>
    <t>Select Trench Spacing :</t>
  </si>
  <si>
    <t>Select Depth Required to Cover Distribution Pipe:</t>
  </si>
  <si>
    <t>Select Dispersal Media:</t>
  </si>
  <si>
    <t>Select Distribution Method:</t>
  </si>
  <si>
    <t>Select Sidewall Height:</t>
  </si>
  <si>
    <r>
      <t>Soil Loading Rate</t>
    </r>
    <r>
      <rPr>
        <sz val="9"/>
        <rFont val="Trebuchet MS"/>
        <family val="2"/>
      </rPr>
      <t>:</t>
    </r>
  </si>
  <si>
    <r>
      <t>ft</t>
    </r>
    <r>
      <rPr>
        <vertAlign val="superscript"/>
        <sz val="10"/>
        <rFont val="Trebuchet MS"/>
        <family val="2"/>
      </rPr>
      <t>2</t>
    </r>
    <r>
      <rPr>
        <sz val="10"/>
        <rFont val="Trebuchet MS"/>
        <family val="2"/>
      </rPr>
      <t xml:space="preserve">   </t>
    </r>
    <r>
      <rPr>
        <sz val="10"/>
        <rFont val="Arial"/>
        <family val="2"/>
      </rPr>
      <t>÷</t>
    </r>
  </si>
  <si>
    <t>Select size Multiplier:</t>
  </si>
  <si>
    <t>Select Bed Width:</t>
  </si>
  <si>
    <t>Calculate Bed Length: Designed Bottom Area  ÷ Bed Width  = Bed Length</t>
  </si>
  <si>
    <t>Calculate Volume in cubic yards: Media volume in cubic feet  ÷ 27 = cubic yards</t>
  </si>
  <si>
    <r>
      <t>ft</t>
    </r>
    <r>
      <rPr>
        <vertAlign val="superscript"/>
        <sz val="10"/>
        <rFont val="Trebuchet MS"/>
        <family val="2"/>
      </rPr>
      <t>2</t>
    </r>
    <r>
      <rPr>
        <sz val="10"/>
        <rFont val="Trebuchet MS"/>
        <family val="2"/>
      </rPr>
      <t xml:space="preserve"> </t>
    </r>
    <r>
      <rPr>
        <sz val="10"/>
        <rFont val="Arial"/>
        <family val="2"/>
      </rPr>
      <t>÷</t>
    </r>
  </si>
  <si>
    <r>
      <t>Media Volume: (Media Depth  + depth to cover pipe) X Designed Bottom Area = ft</t>
    </r>
    <r>
      <rPr>
        <vertAlign val="superscript"/>
        <sz val="10"/>
        <rFont val="Trebuchet MS"/>
        <family val="2"/>
      </rPr>
      <t>3</t>
    </r>
  </si>
  <si>
    <t>MATERIAL CALCULATION: ROCK</t>
  </si>
  <si>
    <t>MATERIAL CALCULATION: REGISTERED PRODUCTS - CHAMBERS AND EZFLOW</t>
  </si>
  <si>
    <t>Mound Absorption Ratio:</t>
  </si>
  <si>
    <t>For slopes from 0 to 1%, the Absorption Width is measured from the bed equally in both directions.</t>
  </si>
  <si>
    <t xml:space="preserve">Enter Dispersal Bed Width: </t>
  </si>
  <si>
    <t>Can not exceed Table 1</t>
  </si>
  <si>
    <t xml:space="preserve">Total Landscape Width = Berm Width  + Dispersal Bed Width + Berm Width </t>
  </si>
  <si>
    <t xml:space="preserve">Final Berm Width = Additional Berm Width  + Berm Width </t>
  </si>
  <si>
    <t xml:space="preserve">Total Mound Width = Final Berm Width  + Dispersal Bed Width  + Final Berm Width </t>
  </si>
  <si>
    <t>Total Mound Length = Final Berm Width  + Dispersal Bed Length  + Final Berm Width</t>
  </si>
  <si>
    <t>Setbacks from the Bed: Absorption Width  - Dispersal Bed Width divided by 2</t>
  </si>
  <si>
    <t xml:space="preserve">ABSORPTION AREA SIZING </t>
  </si>
  <si>
    <t>Additional Berm Width necessary for absorption -  Absorption Width - Total Landscape Width</t>
  </si>
  <si>
    <t>ft)  ÷</t>
  </si>
  <si>
    <t>GPD    ÷</t>
  </si>
  <si>
    <t>For slopes &gt;1%, the Absorption Width is measured downhill from the upslope edge of the Bed.</t>
  </si>
  <si>
    <t>Design Downslope Berm = greater of 4H and 4I:</t>
  </si>
  <si>
    <t>Select Endslope Berm Multiplier:</t>
  </si>
  <si>
    <t>Select Upslope Berm Multiplier (based on land slope):</t>
  </si>
  <si>
    <t>Select Downslope Berm Multiplier (based on land slope):</t>
  </si>
  <si>
    <t>Calculate Minimum Berm to Cover Absorption Area: Downslope Absorption Width + 4 feet</t>
  </si>
  <si>
    <t>Calculate Mound Width: Upslope Berm Width + Bed Width + Downslope Berm Width</t>
  </si>
  <si>
    <t xml:space="preserve">Calculate Mound Length: Endslope Berm Width  + Bed Length  + Endslope Berm Width </t>
  </si>
  <si>
    <t xml:space="preserve">Calculate Downslope Absorption Width: Absorption Width  - Bed Width </t>
  </si>
  <si>
    <t>Calculate Drop in Elevation Under Bed: Bed Width X Land Slope ÷ 100 = Drop (ft)</t>
  </si>
  <si>
    <t>Calculate Endslope Berm  X Downslope Mound Height  = Endslope Berm Width</t>
  </si>
  <si>
    <r>
      <t>ft</t>
    </r>
    <r>
      <rPr>
        <vertAlign val="superscript"/>
        <sz val="10"/>
        <rFont val="Trebuchet MS"/>
        <family val="2"/>
      </rPr>
      <t>2</t>
    </r>
    <r>
      <rPr>
        <sz val="10"/>
        <rFont val="Trebuchet MS"/>
        <family val="2"/>
      </rPr>
      <t xml:space="preserve">  ÷</t>
    </r>
  </si>
  <si>
    <r>
      <t>lbs/ft</t>
    </r>
    <r>
      <rPr>
        <vertAlign val="superscript"/>
        <sz val="12"/>
        <color indexed="8"/>
        <rFont val="Trebuchet MS"/>
        <family val="2"/>
      </rPr>
      <t xml:space="preserve">3  </t>
    </r>
    <r>
      <rPr>
        <sz val="12"/>
        <color indexed="8"/>
        <rFont val="Trebuchet MS"/>
        <family val="2"/>
      </rPr>
      <t>=</t>
    </r>
  </si>
  <si>
    <r>
      <t>ft</t>
    </r>
    <r>
      <rPr>
        <vertAlign val="superscript"/>
        <sz val="10"/>
        <rFont val="Trebuchet MS"/>
        <family val="2"/>
      </rPr>
      <t>2</t>
    </r>
    <r>
      <rPr>
        <sz val="10"/>
        <rFont val="Trebuchet MS"/>
        <family val="2"/>
      </rPr>
      <t xml:space="preserve">  X</t>
    </r>
  </si>
  <si>
    <t xml:space="preserve">Calculate Contour Loading Rate: Bed Width  X Design Media Loading Rate </t>
  </si>
  <si>
    <t>(0.33 ft for pressure, 0.5 ft for gravity)</t>
  </si>
  <si>
    <t>Can not exceed 10 feet.</t>
  </si>
  <si>
    <t>Can not exceed 10 feet</t>
  </si>
  <si>
    <t>R.</t>
  </si>
  <si>
    <t>Cycle Time = 1440 ÷ Number of Doses (5.K)</t>
  </si>
  <si>
    <t>Lateral 2 GPM = (Length of Lateral - 2) X Gallons Per Minute Per Foot (Line 8)</t>
  </si>
  <si>
    <t>Lateral 3 GPM = (Length of Lateral - 2) X Gallons Per Minute Per Foot (Line 8)</t>
  </si>
  <si>
    <t>Lateral 4 GPM = (Length of Lateral - 2) X Gallons Per Minute Per Foot (Line 8)</t>
  </si>
  <si>
    <t>Lateral 5 GPM = (Length of Lateral - 2) X Gallons Per Minute Per Foot (Line 8)</t>
  </si>
  <si>
    <r>
      <t xml:space="preserve">Determine the </t>
    </r>
    <r>
      <rPr>
        <i/>
        <sz val="10"/>
        <rFont val="Trebuchet MS"/>
        <family val="2"/>
      </rPr>
      <t>Number of Perforation Spaces</t>
    </r>
    <r>
      <rPr>
        <sz val="10"/>
        <rFont val="Trebuchet MS"/>
        <family val="2"/>
      </rPr>
      <t xml:space="preserve">.  Divide the </t>
    </r>
    <r>
      <rPr>
        <i/>
        <sz val="10"/>
        <rFont val="Trebuchet MS"/>
        <family val="2"/>
      </rPr>
      <t>Length of Laterals</t>
    </r>
    <r>
      <rPr>
        <sz val="10"/>
        <rFont val="Trebuchet MS"/>
        <family val="2"/>
      </rPr>
      <t xml:space="preserve"> by  the </t>
    </r>
    <r>
      <rPr>
        <i/>
        <sz val="10"/>
        <rFont val="Trebuchet MS"/>
        <family val="2"/>
      </rPr>
      <t>Perforation Spacing</t>
    </r>
    <r>
      <rPr>
        <sz val="10"/>
        <rFont val="Trebuchet MS"/>
        <family val="2"/>
      </rPr>
      <t xml:space="preserve"> and round down to the nearest whole number.</t>
    </r>
  </si>
  <si>
    <t>Spaces    +   1 =</t>
  </si>
  <si>
    <r>
      <t>Total Number of Perforations</t>
    </r>
    <r>
      <rPr>
        <sz val="10"/>
        <rFont val="Trebuchet MS"/>
        <family val="2"/>
      </rPr>
      <t xml:space="preserve"> equals the </t>
    </r>
    <r>
      <rPr>
        <i/>
        <sz val="10"/>
        <rFont val="Trebuchet MS"/>
        <family val="2"/>
      </rPr>
      <t>Number of Perforations per Lateral</t>
    </r>
    <r>
      <rPr>
        <sz val="10"/>
        <rFont val="Trebuchet MS"/>
        <family val="2"/>
      </rPr>
      <t xml:space="preserve"> multiplied by the </t>
    </r>
    <r>
      <rPr>
        <i/>
        <sz val="10"/>
        <rFont val="Trebuchet MS"/>
        <family val="2"/>
      </rPr>
      <t>Number of Perforated Laterals.</t>
    </r>
  </si>
  <si>
    <r>
      <t>Number of Perforations per Lateral</t>
    </r>
    <r>
      <rPr>
        <sz val="10"/>
        <rFont val="Trebuchet MS"/>
        <family val="2"/>
      </rPr>
      <t xml:space="preserve"> is equal to 1.0 plus the </t>
    </r>
    <r>
      <rPr>
        <i/>
        <sz val="10"/>
        <rFont val="Trebuchet MS"/>
        <family val="2"/>
      </rPr>
      <t>Number of Perforation Spaces</t>
    </r>
    <r>
      <rPr>
        <sz val="10"/>
        <rFont val="Trebuchet MS"/>
        <family val="2"/>
      </rPr>
      <t xml:space="preserve">.  Check table below to verify the number of perforations per lateral guarantees less than a 10% discharge variation.  The value is double with a center manifold.  </t>
    </r>
  </si>
  <si>
    <t>Perf. Per Lat.   X</t>
  </si>
  <si>
    <t>Number of Perf. Lat. =</t>
  </si>
  <si>
    <r>
      <t>= [</t>
    </r>
    <r>
      <rPr>
        <i/>
        <sz val="10"/>
        <rFont val="Trebuchet MS"/>
        <family val="2"/>
      </rPr>
      <t>Number of Perforated Laterals</t>
    </r>
    <r>
      <rPr>
        <sz val="10"/>
        <rFont val="Trebuchet MS"/>
        <family val="2"/>
      </rPr>
      <t xml:space="preserve"> X </t>
    </r>
    <r>
      <rPr>
        <i/>
        <sz val="10"/>
        <rFont val="Trebuchet MS"/>
        <family val="2"/>
      </rPr>
      <t>Length of Laterals</t>
    </r>
    <r>
      <rPr>
        <sz val="10"/>
        <rFont val="Trebuchet MS"/>
        <family val="2"/>
      </rPr>
      <t xml:space="preserve">  X (Volume of Liquid Per Foot of Distribution Piping] </t>
    </r>
  </si>
  <si>
    <t>gal/ft       =</t>
  </si>
  <si>
    <t>Minimum Delivered Volume = Volume of Distribution Piping  X 4</t>
  </si>
  <si>
    <r>
      <t xml:space="preserve">Calculate </t>
    </r>
    <r>
      <rPr>
        <i/>
        <sz val="10"/>
        <rFont val="Trebuchet MS"/>
        <family val="2"/>
      </rPr>
      <t>Doses Per Day</t>
    </r>
    <r>
      <rPr>
        <sz val="10"/>
        <rFont val="Trebuchet MS"/>
        <family val="2"/>
      </rPr>
      <t xml:space="preserve"> = Design Flow </t>
    </r>
    <r>
      <rPr>
        <sz val="12"/>
        <rFont val="Trebuchet MS"/>
        <family val="2"/>
      </rPr>
      <t>÷</t>
    </r>
    <r>
      <rPr>
        <sz val="10"/>
        <rFont val="Trebuchet MS"/>
        <family val="2"/>
      </rPr>
      <t xml:space="preserve"> </t>
    </r>
    <r>
      <rPr>
        <i/>
        <sz val="10"/>
        <rFont val="Trebuchet MS"/>
        <family val="2"/>
      </rPr>
      <t>Delivered Volume</t>
    </r>
  </si>
  <si>
    <r>
      <t>Total Dosing Volume</t>
    </r>
    <r>
      <rPr>
        <sz val="10"/>
        <rFont val="Trebuchet MS"/>
        <family val="2"/>
      </rPr>
      <t xml:space="preserve"> = </t>
    </r>
    <r>
      <rPr>
        <i/>
        <sz val="10"/>
        <rFont val="Trebuchet MS"/>
        <family val="2"/>
      </rPr>
      <t>Delivered Volume</t>
    </r>
    <r>
      <rPr>
        <sz val="10"/>
        <rFont val="Trebuchet MS"/>
        <family val="2"/>
      </rPr>
      <t xml:space="preserve">  plus </t>
    </r>
    <r>
      <rPr>
        <i/>
        <sz val="10"/>
        <rFont val="Trebuchet MS"/>
        <family val="2"/>
      </rPr>
      <t>Drainback</t>
    </r>
    <r>
      <rPr>
        <sz val="10"/>
        <rFont val="Trebuchet MS"/>
        <family val="2"/>
      </rPr>
      <t xml:space="preserve"> </t>
    </r>
  </si>
  <si>
    <r>
      <t xml:space="preserve">Distance to set Pump Off Float </t>
    </r>
    <r>
      <rPr>
        <sz val="10"/>
        <rFont val="Trebuchet MS"/>
        <family val="2"/>
      </rPr>
      <t>= Pump + block height + 2 inches</t>
    </r>
  </si>
  <si>
    <r>
      <t xml:space="preserve"> </t>
    </r>
    <r>
      <rPr>
        <i/>
        <sz val="10"/>
        <rFont val="Trebuchet MS"/>
        <family val="2"/>
      </rPr>
      <t>Minimum Delivered Volume</t>
    </r>
    <r>
      <rPr>
        <sz val="10"/>
        <rFont val="Trebuchet MS"/>
        <family val="2"/>
      </rPr>
      <t xml:space="preserve"> =  4 X Volume of Distribution Piping: </t>
    </r>
  </si>
  <si>
    <t xml:space="preserve">Total Pipe Length (2.E) </t>
  </si>
  <si>
    <r>
      <t>Total Pipe Length</t>
    </r>
    <r>
      <rPr>
        <sz val="10"/>
        <rFont val="Trebuchet MS"/>
        <family val="2"/>
      </rPr>
      <t xml:space="preserve"> = Supply Pipe Length (2.B.2) + Equivalent Pipe Length (2.D)</t>
    </r>
  </si>
  <si>
    <t>Minimum depth is 1 foot with bottom sloped 1% to drainage pipe unless pump is part of filter drainage.  Drainage material total should be 18” for pump vault and 12” for gravity drainage</t>
  </si>
  <si>
    <t xml:space="preserve">ft, </t>
  </si>
  <si>
    <t xml:space="preserve">      Upper 2" of drainage must be pea rock to support the treatment media</t>
  </si>
  <si>
    <t xml:space="preserve">      Drain field rock should cover the drainage piping.</t>
  </si>
  <si>
    <t>Minimum Dose Volume = [4 X Zone Lateral Volume (6.G)] + Drainback (6.D)</t>
  </si>
  <si>
    <t>On-Time = Dose Volume (6.J) ÷ Zone Discharge Rate (6.F)</t>
  </si>
  <si>
    <t>Number of Doses = Design Flow (1.A) ÷ Number of Zones (3.I) ÷ Dose Volume (6.J)</t>
  </si>
  <si>
    <t>Cycle Time = 1660 ÷ Number of Doses (6.L)</t>
  </si>
  <si>
    <t>Off Time = Cycle Time (6.M) - On-Time (6.K)</t>
  </si>
  <si>
    <t>Required Flush Flow Rate = Zone Discharge Rate (6.F) + Minimum Flushing Flow (6.O)</t>
  </si>
  <si>
    <t>Flush Volume = Flush Flow Rate (6.P) X On-Time (6.K)</t>
  </si>
  <si>
    <t>Minimum Dose Volume = [4 X Zone Lateral Volume (7.G)] + Drainback (7.D)</t>
  </si>
  <si>
    <t>On-Time = Dose Volume (7.J) ÷ Zone Discharge Rate (7.F)</t>
  </si>
  <si>
    <t>Number of Doses = Design Flow (1.A) ÷ Number of Zones (3.I) ÷ Dose Volume (7.J)</t>
  </si>
  <si>
    <t>Cycle Time = 1770 ÷ Number of Doses (7.L)</t>
  </si>
  <si>
    <t>Off Time = Cycle Time (7.M) - On-Time (7.K)</t>
  </si>
  <si>
    <t>Minimum Flushing Volume = Number of Connections (3.L) X 1.6 gpm</t>
  </si>
  <si>
    <t>Required Flush Flow Rate = Zone Discharge Rate (7.F) + Minimum Flushing Flow (7.O)</t>
  </si>
  <si>
    <t>Flush Volume = Flush Flow Rate (7.P) X On-Time (7.K)</t>
  </si>
  <si>
    <t>indicate distribution or treatment method:</t>
  </si>
  <si>
    <t>5 feet of separation</t>
  </si>
  <si>
    <t>Serial distribution in 15% sections</t>
  </si>
  <si>
    <t>SandySoilOptions</t>
  </si>
  <si>
    <t>Pressure distribution</t>
  </si>
  <si>
    <t>Code Maximum Depth:</t>
  </si>
  <si>
    <t>(Designer/Inspector)</t>
  </si>
  <si>
    <t>Min. required pump tank capacity:</t>
  </si>
  <si>
    <r>
      <t>7.5  gal/ft</t>
    </r>
    <r>
      <rPr>
        <vertAlign val="superscript"/>
        <sz val="10"/>
        <rFont val="Trebuchet MS"/>
        <family val="2"/>
      </rPr>
      <t>3</t>
    </r>
    <r>
      <rPr>
        <sz val="10"/>
        <rFont val="Trebuchet MS"/>
        <family val="2"/>
      </rPr>
      <t xml:space="preserve">  ÷ 12 in/ft</t>
    </r>
  </si>
  <si>
    <t>Calculate Gallons Per Inch.  Multiply the area from 1.A or 1.B,  by 7.5 to determine the gallons per foot the tank holds and divide by 12 to calculate the gallons per inch.</t>
  </si>
  <si>
    <t xml:space="preserve">Gallons Per Inch = </t>
  </si>
  <si>
    <t>gal  =</t>
  </si>
  <si>
    <t>gal/ft    =</t>
  </si>
  <si>
    <t xml:space="preserve">gal/in   = </t>
  </si>
  <si>
    <t>Select a pumpout volume that meets both Minimum and Maximum:</t>
  </si>
  <si>
    <t>gal   ÷</t>
  </si>
  <si>
    <t>*Note:  This value must be adjusted after installation based on pump calibration.</t>
  </si>
  <si>
    <t>Zone Discharge Rate = Number of Emitters (5.E) X (Flow Per Emitter (3.B)] ÷ 60 minutes per hour)</t>
  </si>
  <si>
    <t>)</t>
  </si>
  <si>
    <t>X     1.6    =</t>
  </si>
  <si>
    <t>Does not apply to at-grades</t>
  </si>
  <si>
    <t xml:space="preserve">Benchmark Location: </t>
  </si>
  <si>
    <t>Soil Hyd. Loading Rate:</t>
  </si>
  <si>
    <t>Gallons (maximum dose)</t>
  </si>
  <si>
    <t>Gallons (minimum dose)</t>
  </si>
  <si>
    <t>Pump 1</t>
  </si>
  <si>
    <t>Pump 2</t>
  </si>
  <si>
    <t>PumpTankDesc</t>
  </si>
  <si>
    <t>Time to Pressure</t>
  </si>
  <si>
    <t>Time to Gravity</t>
  </si>
  <si>
    <t>Demand to Pressure</t>
  </si>
  <si>
    <t>Demand to Gravity</t>
  </si>
  <si>
    <t>Equalization</t>
  </si>
  <si>
    <t xml:space="preserve">Time to Treatment </t>
  </si>
  <si>
    <t>Time Dosing Soil Treatment</t>
  </si>
  <si>
    <t>Time Dosing Treatment Unit</t>
  </si>
  <si>
    <t xml:space="preserve">Demand Dosing </t>
  </si>
  <si>
    <t>Demand Dosing Soil Treatment</t>
  </si>
  <si>
    <t>Demand Dosing Treatment Unit</t>
  </si>
  <si>
    <t>2.5Y</t>
  </si>
  <si>
    <t>None</t>
  </si>
  <si>
    <r>
      <t>gpd/ft</t>
    </r>
    <r>
      <rPr>
        <vertAlign val="superscript"/>
        <sz val="10"/>
        <rFont val="Trebuchet MS"/>
        <family val="2"/>
      </rPr>
      <t xml:space="preserve">2    </t>
    </r>
    <r>
      <rPr>
        <sz val="10"/>
        <rFont val="Trebuchet MS"/>
        <family val="2"/>
      </rPr>
      <t xml:space="preserve"> =</t>
    </r>
  </si>
  <si>
    <t>Minimum Number of Laterals in system/zone = Rounded up number of [(Media Bed Width - 4) ÷ 3] + 1.</t>
  </si>
  <si>
    <r>
      <t>Maximum hydraulic loading rate for single-pass is 1.0 gpd/ft</t>
    </r>
    <r>
      <rPr>
        <i/>
        <vertAlign val="superscript"/>
        <sz val="10"/>
        <rFont val="Trebuchet MS"/>
        <family val="2"/>
      </rPr>
      <t>2</t>
    </r>
    <r>
      <rPr>
        <i/>
        <sz val="10"/>
        <rFont val="Trebuchet MS"/>
        <family val="2"/>
      </rPr>
      <t xml:space="preserve"> and 5.0 gpd/ft</t>
    </r>
    <r>
      <rPr>
        <i/>
        <vertAlign val="superscript"/>
        <sz val="10"/>
        <rFont val="Trebuchet MS"/>
        <family val="2"/>
      </rPr>
      <t>2</t>
    </r>
    <r>
      <rPr>
        <i/>
        <sz val="10"/>
        <rFont val="Trebuchet MS"/>
        <family val="2"/>
      </rPr>
      <t xml:space="preserve"> for recirculating.</t>
    </r>
  </si>
  <si>
    <t>Filter area based on hydraulic loading rate = flow rate (A1) dividied by the loading rate (C1):</t>
  </si>
  <si>
    <t>gpd        ÷</t>
  </si>
  <si>
    <t>Friction Loss in Plastic Pipe per 100ft from Table I:</t>
  </si>
  <si>
    <r>
      <t>Buoyant Force (F</t>
    </r>
    <r>
      <rPr>
        <vertAlign val="subscript"/>
        <sz val="12"/>
        <color indexed="8"/>
        <rFont val="Trebuchet MS"/>
        <family val="2"/>
      </rPr>
      <t>B</t>
    </r>
    <r>
      <rPr>
        <sz val="12"/>
        <color indexed="8"/>
        <rFont val="Trebuchet MS"/>
        <family val="2"/>
      </rPr>
      <t>) = Outside Volume of Tank X Weight of Water Per Cubic Foot (62.4 lbs/ft</t>
    </r>
    <r>
      <rPr>
        <vertAlign val="superscript"/>
        <sz val="12"/>
        <color indexed="8"/>
        <rFont val="Trebuchet MS"/>
        <family val="2"/>
      </rPr>
      <t>3</t>
    </r>
    <r>
      <rPr>
        <sz val="12"/>
        <color indexed="8"/>
        <rFont val="Trebuchet MS"/>
        <family val="2"/>
      </rPr>
      <t>) X 1.2 (Safety Fctr)</t>
    </r>
  </si>
  <si>
    <t>Weight of Soil Over Tank = Volume of Soil Over Tank X Weight of Soil Per Cubic Foot</t>
  </si>
  <si>
    <t>Note: Assumes saturation does not get over the lid of the tank</t>
  </si>
  <si>
    <t>0</t>
  </si>
  <si>
    <t xml:space="preserve">D.  </t>
  </si>
  <si>
    <t xml:space="preserve">Component depth (louver or depth of sidewall loading) </t>
  </si>
  <si>
    <t>One drainage pipe per zone or every twenty feet is minimum,             5' on center is recommended to facilitate system recovery.</t>
  </si>
  <si>
    <t>[(</t>
  </si>
  <si>
    <t xml:space="preserve">- 4 ) ÷ 3] + 1 = </t>
  </si>
  <si>
    <t>Treatment Level:</t>
  </si>
  <si>
    <t>Treatment Level</t>
  </si>
  <si>
    <t>C</t>
  </si>
  <si>
    <t>B</t>
  </si>
  <si>
    <t>B2</t>
  </si>
  <si>
    <t>A</t>
  </si>
  <si>
    <t>A2</t>
  </si>
  <si>
    <t>Type of Wastewater</t>
  </si>
  <si>
    <t>Residential</t>
  </si>
  <si>
    <t>High-Strength</t>
  </si>
  <si>
    <t>Number of Bedrooms (Residential):</t>
  </si>
  <si>
    <t>Soil Treatment Area Type</t>
  </si>
  <si>
    <t>Trench</t>
  </si>
  <si>
    <t>Bed</t>
  </si>
  <si>
    <t>Drip</t>
  </si>
  <si>
    <t>SYSTEM  AND DISTRIBUTION TYPE</t>
  </si>
  <si>
    <t>Distribution Type:</t>
  </si>
  <si>
    <t>Distribution Type</t>
  </si>
  <si>
    <t>Pressure Distribution-Level</t>
  </si>
  <si>
    <t>Pressure Distribution-Unlevel</t>
  </si>
  <si>
    <t>Gravity or Pressure</t>
  </si>
  <si>
    <t>Gravity</t>
  </si>
  <si>
    <t>Pressure</t>
  </si>
  <si>
    <t>DEMAND DOSE FLOAT SETTINGS</t>
  </si>
  <si>
    <t>Nitrogen</t>
  </si>
  <si>
    <t>Phosphorus</t>
  </si>
  <si>
    <t>Nitrogen &amp; Phosphorus</t>
  </si>
  <si>
    <t>Nutrients</t>
  </si>
  <si>
    <t>A-2</t>
  </si>
  <si>
    <t>B-2</t>
  </si>
  <si>
    <t>Type I</t>
  </si>
  <si>
    <t>Type II</t>
  </si>
  <si>
    <t>Type III</t>
  </si>
  <si>
    <t>Type IV</t>
  </si>
  <si>
    <t>Type V</t>
  </si>
  <si>
    <t>MPCA Type</t>
  </si>
  <si>
    <t>Max. Delivered Dose Volume = Design Flow X  0.25 =</t>
  </si>
  <si>
    <t>Dia of Pipe +1 in</t>
  </si>
  <si>
    <t>÷ 27</t>
  </si>
  <si>
    <t>Version</t>
  </si>
  <si>
    <t>Waste received by:</t>
  </si>
  <si>
    <t>Minimum Capacity: Residential =400 gal/bedroom, Other Establishment = Design Flow x 5.0,  Minimum size 1000 gallons</t>
  </si>
  <si>
    <t xml:space="preserve">In each worksheet, you will notice each cell is colored either blue (or grey depending on your system settings) or yellow. </t>
  </si>
  <si>
    <t>Yellow cells are user input cells, that is, these are the cells where you as the designer must manually enter the value that the worksheet is requesting.  If you begin on each sheet on the first yellow cell, you can then Tab through the rest of the form and you will tab only through cells that require you to enter information.</t>
  </si>
  <si>
    <t>Number of Trenches:</t>
  </si>
  <si>
    <t>ft    ÷</t>
  </si>
  <si>
    <t xml:space="preserve">         =</t>
  </si>
  <si>
    <t>Alarm Float - Measuring from bottom of tank (90% recommended):</t>
  </si>
  <si>
    <t>Email Address:</t>
  </si>
  <si>
    <t>If drainfield rock is being used, select sidewall height</t>
  </si>
  <si>
    <t>MPCA System Type:</t>
  </si>
  <si>
    <t>#</t>
  </si>
  <si>
    <t>Surge Volume (gal)</t>
  </si>
  <si>
    <t>Time Dose  Volume (gal)</t>
  </si>
  <si>
    <t>Total Weekly Flow</t>
  </si>
  <si>
    <t>Peak Daily Flow</t>
  </si>
  <si>
    <t>Average Daily Value</t>
  </si>
  <si>
    <t>Peak to Average Flow</t>
  </si>
  <si>
    <t>Maximum Surge Volume</t>
  </si>
  <si>
    <t>Minimum Surge Volume</t>
  </si>
  <si>
    <t>(Max - Min Surge Volume) + Timed Dose Volume</t>
  </si>
  <si>
    <t>Max - Min Surge Volume</t>
  </si>
  <si>
    <t>Surge + Peaking Factor</t>
  </si>
  <si>
    <t>3.  Enter gallons to cover pump</t>
  </si>
  <si>
    <t xml:space="preserve">2.  Choose peaking factor </t>
  </si>
  <si>
    <t>1. Enter the peak 7 days measured or estimated flow:</t>
  </si>
  <si>
    <t>VegType</t>
  </si>
  <si>
    <t>Lawn</t>
  </si>
  <si>
    <t>Forest</t>
  </si>
  <si>
    <t>Row Crops</t>
  </si>
  <si>
    <t>Grass</t>
  </si>
  <si>
    <t>Ag. Land</t>
  </si>
  <si>
    <t>Alfalfa</t>
  </si>
  <si>
    <t>A. Client-Provided Information</t>
  </si>
  <si>
    <t xml:space="preserve"> TSS:</t>
  </si>
  <si>
    <t>B.  Designer-determined flow Information</t>
  </si>
  <si>
    <t>Phone:</t>
  </si>
  <si>
    <t>Email:</t>
  </si>
  <si>
    <t>Client signature &amp; date</t>
  </si>
  <si>
    <t>LGU-specific installation requirements:</t>
  </si>
  <si>
    <t xml:space="preserve">4.  General Soils Information </t>
  </si>
  <si>
    <t>LGU-specific design requirements:</t>
  </si>
  <si>
    <t>LGU-specific setbacks:</t>
  </si>
  <si>
    <t>LGU Contact:</t>
  </si>
  <si>
    <t>Name of LGU:</t>
  </si>
  <si>
    <t>3.  Summary of Percolation Test Data</t>
  </si>
  <si>
    <t xml:space="preserve">Design Percolation Rate (maximum of all tests attached) = </t>
  </si>
  <si>
    <t>Percolation Test Data</t>
  </si>
  <si>
    <t>Chosen Percolation Rate for Test Hole #3</t>
  </si>
  <si>
    <t>Chosen Percolation Rate for Test Hole #5</t>
  </si>
  <si>
    <t>Chosen Percolation Rate for Test Hole #6</t>
  </si>
  <si>
    <t>Additional Perc. Test Data</t>
  </si>
  <si>
    <t>Blue cells are cells that will fill in automatically as you enter values into the yellow cells.</t>
  </si>
  <si>
    <t>1. You can use the Excel worksheet on a computer and fill in the values on a computer &amp; print out the results or email them.  Using this function you must be sure to enable macros if asked by Excel, or</t>
  </si>
  <si>
    <t>7. Design Summary</t>
  </si>
  <si>
    <t>8. Design Sketch</t>
  </si>
  <si>
    <t>9. Trench &amp; Bed</t>
  </si>
  <si>
    <t xml:space="preserve">10.  Mound </t>
  </si>
  <si>
    <t>11.  Mound Materials</t>
  </si>
  <si>
    <t>12.  At-Grade</t>
  </si>
  <si>
    <t>13.  Drip Distribution</t>
  </si>
  <si>
    <t>14. Pressure Distribution</t>
  </si>
  <si>
    <t>15. Non-Level Pressure Distribution</t>
  </si>
  <si>
    <t>16. Pump Selection (2)</t>
  </si>
  <si>
    <t>17. Pump Tank Demand (2)</t>
  </si>
  <si>
    <t>18. Pump Tank Time Dose (2)</t>
  </si>
  <si>
    <t xml:space="preserve">19. Pump Selection - Collection </t>
  </si>
  <si>
    <t>20. Flow equalization</t>
  </si>
  <si>
    <t>21. Filter</t>
  </si>
  <si>
    <t>22. Flow Estimate for Existing Dwellings</t>
  </si>
  <si>
    <t>23. Measured Flow-Other Establishment</t>
  </si>
  <si>
    <t>24. Estimated Flow-Other Establishment</t>
  </si>
  <si>
    <t>25. Final Flow Total</t>
  </si>
  <si>
    <t>26. LISTS &amp; MSTS Flow &amp; System Summary</t>
  </si>
  <si>
    <t>Depth</t>
  </si>
  <si>
    <t>Elevation</t>
  </si>
  <si>
    <t>2.  Flow and General System Information</t>
  </si>
  <si>
    <t>* Not required in fast perc soils</t>
  </si>
  <si>
    <t>Other Est. - At-Risk</t>
  </si>
  <si>
    <t>Other Est. - HSW</t>
  </si>
  <si>
    <t>Slopedir</t>
  </si>
  <si>
    <t>north</t>
  </si>
  <si>
    <t>south</t>
  </si>
  <si>
    <t>east</t>
  </si>
  <si>
    <t>west</t>
  </si>
  <si>
    <t>southeast</t>
  </si>
  <si>
    <t>southwest</t>
  </si>
  <si>
    <t>northeast</t>
  </si>
  <si>
    <t>northwest</t>
  </si>
  <si>
    <t>* Clear water source - should not go into system</t>
  </si>
  <si>
    <t>E. ID distance of relevant setbacks on map:</t>
  </si>
  <si>
    <t>Plain</t>
  </si>
  <si>
    <t>Depression</t>
  </si>
  <si>
    <t>Stream/Terrace</t>
  </si>
  <si>
    <t>Manmade</t>
  </si>
  <si>
    <t>Parent Material</t>
  </si>
  <si>
    <t>Alluvium</t>
  </si>
  <si>
    <t>Cut/Fill</t>
  </si>
  <si>
    <t>Colluvium</t>
  </si>
  <si>
    <t>Lacustrine</t>
  </si>
  <si>
    <t>Loess</t>
  </si>
  <si>
    <t>Outwash</t>
  </si>
  <si>
    <t>Till</t>
  </si>
  <si>
    <t>Manifold Connection</t>
  </si>
  <si>
    <t xml:space="preserve">Center </t>
  </si>
  <si>
    <t>If yes, describe:</t>
  </si>
  <si>
    <t>Legal Description:</t>
  </si>
  <si>
    <t>Source:</t>
  </si>
  <si>
    <t>List landforms:</t>
  </si>
  <si>
    <t>Map Units:</t>
  </si>
  <si>
    <t>Slope Range:</t>
  </si>
  <si>
    <t>Landform position(s):</t>
  </si>
  <si>
    <t>Parent materials:</t>
  </si>
  <si>
    <t xml:space="preserve">          Soil survey map units:</t>
  </si>
  <si>
    <t>Vegetation:</t>
  </si>
  <si>
    <t>Slope %:</t>
  </si>
  <si>
    <t>Platy</t>
  </si>
  <si>
    <t>SOIL TREATMENT AREA DESIGN SUMMARY</t>
  </si>
  <si>
    <t>Additional Info for  At-Risk, HSW or Type IV Design</t>
  </si>
  <si>
    <t>lbs. BOD/day</t>
  </si>
  <si>
    <r>
      <t>lbs./day/ft</t>
    </r>
    <r>
      <rPr>
        <vertAlign val="superscript"/>
        <sz val="10"/>
        <rFont val="Trebuchet MS"/>
        <family val="2"/>
      </rPr>
      <t>2</t>
    </r>
  </si>
  <si>
    <t>Filter only</t>
  </si>
  <si>
    <t>SITE EVALUATION SUMMARY:</t>
  </si>
  <si>
    <t>Measured Land Slope:</t>
  </si>
  <si>
    <t>in   +</t>
  </si>
  <si>
    <t>Yes, source:</t>
  </si>
  <si>
    <t>Yes, name:</t>
  </si>
  <si>
    <t xml:space="preserve"> Dwelling Sq.ft.:</t>
  </si>
  <si>
    <t>Gallons per inch:</t>
  </si>
  <si>
    <t>Recommended capacity:</t>
  </si>
  <si>
    <r>
      <t>Total Dosing Volume</t>
    </r>
    <r>
      <rPr>
        <sz val="10"/>
        <rFont val="Trebuchet MS"/>
        <family val="2"/>
      </rPr>
      <t xml:space="preserve"> = </t>
    </r>
    <r>
      <rPr>
        <i/>
        <sz val="10"/>
        <rFont val="Trebuchet MS"/>
        <family val="2"/>
      </rPr>
      <t>Delivered Volume</t>
    </r>
    <r>
      <rPr>
        <sz val="10"/>
        <rFont val="Trebuchet MS"/>
        <family val="2"/>
      </rPr>
      <t xml:space="preserve"> plus </t>
    </r>
    <r>
      <rPr>
        <i/>
        <sz val="10"/>
        <rFont val="Trebuchet MS"/>
        <family val="2"/>
      </rPr>
      <t>Drainback</t>
    </r>
    <r>
      <rPr>
        <sz val="10"/>
        <rFont val="Trebuchet MS"/>
        <family val="2"/>
      </rPr>
      <t xml:space="preserve"> </t>
    </r>
  </si>
  <si>
    <r>
      <t>Design Flow (Design Sum.1A)</t>
    </r>
    <r>
      <rPr>
        <sz val="10"/>
        <rFont val="Trebuchet MS"/>
        <family val="2"/>
      </rPr>
      <t>:</t>
    </r>
  </si>
  <si>
    <t xml:space="preserve">If distribution media is installed in contact with sand or loamy sand or with a percolation rate of 0.1 to 5 mpi </t>
  </si>
  <si>
    <t>Other Est. - Resid.</t>
  </si>
  <si>
    <t>Pressure (non-level)</t>
  </si>
  <si>
    <t>Depth to Bedrock/Restrictive Feature:</t>
  </si>
  <si>
    <t>Depth to Watertable:</t>
  </si>
  <si>
    <t>To use these calculations the worksheet must be unprotected under the Review Tab</t>
  </si>
  <si>
    <t>Minimum flow equalization tank volume</t>
  </si>
  <si>
    <t>Add 30% for constructability:</t>
  </si>
  <si>
    <t>Mailing Address:</t>
  </si>
  <si>
    <t>Project Type:</t>
  </si>
  <si>
    <t>Project Use:</t>
  </si>
  <si>
    <t>Unfinished Sq. Ft.:</t>
  </si>
  <si>
    <t>Residential use:</t>
  </si>
  <si>
    <t># Adults:</t>
  </si>
  <si>
    <t># Children:</t>
  </si>
  <si>
    <t># Teenagers:</t>
  </si>
  <si>
    <t xml:space="preserve">In-home business (Y/N): </t>
  </si>
  <si>
    <r>
      <t xml:space="preserve">Water-using devices:                           </t>
    </r>
    <r>
      <rPr>
        <i/>
        <sz val="9"/>
        <rFont val="Trebuchet MS"/>
        <family val="2"/>
      </rPr>
      <t>(check all that apply)</t>
    </r>
  </si>
  <si>
    <t>Additional current or future uses:</t>
  </si>
  <si>
    <t>Anticipated non-domestic waste:</t>
  </si>
  <si>
    <t>The above is complete &amp; accurate:</t>
  </si>
  <si>
    <t>Oil &amp; Grease:</t>
  </si>
  <si>
    <t>Site within 200' of noncommunity transient well (Y/N)</t>
  </si>
  <si>
    <t>Site within a drinking water supply management area (Y/N)</t>
  </si>
  <si>
    <t>B. Site located in a shoreland district/area?</t>
  </si>
  <si>
    <t>C. Site located in a floodplain?</t>
  </si>
  <si>
    <t>Elevation of ordinary high water level:</t>
  </si>
  <si>
    <t>Tank Setback:</t>
  </si>
  <si>
    <t>Classification:</t>
  </si>
  <si>
    <t>ft.</t>
  </si>
  <si>
    <t>4.  Preliminary Soil Profile Information From Web Soil Survey (attach map &amp; description)</t>
  </si>
  <si>
    <t>Septic Tank Absorption Field- At-grade:</t>
  </si>
  <si>
    <t>Septic Tank Absorption Field- Trench:</t>
  </si>
  <si>
    <t>Septic Tank Absorption Field- Mound:</t>
  </si>
  <si>
    <t>Map Unit 
Ratings</t>
  </si>
  <si>
    <t>Notes:</t>
  </si>
  <si>
    <r>
      <t># Bedrooms</t>
    </r>
    <r>
      <rPr>
        <i/>
        <sz val="10"/>
        <rFont val="Trebuchet MS"/>
        <family val="2"/>
      </rPr>
      <t xml:space="preserve">: </t>
    </r>
    <r>
      <rPr>
        <sz val="12"/>
        <rFont val="Times New Roman"/>
        <family val="1"/>
      </rPr>
      <t/>
    </r>
  </si>
  <si>
    <t>D. Property Line Id / Source:</t>
  </si>
  <si>
    <t>Estimate of Waste Strengths 
from Other Establishments</t>
  </si>
  <si>
    <t>These worksheets were created in Microsoft Excel. 
You must have a software program that can open .xls documents to use these forms.</t>
  </si>
  <si>
    <t>Some of the yellow cells have a drop-down menu function.  A small arrow pointing downwards will appear in the lower right corner of the cells with a drop-down menu.  You MUST choose one of the values in the drop-down menu.  
To erase the value, simply highlight the cell and press the Delete key on your keyboard.</t>
  </si>
  <si>
    <t xml:space="preserve">1.  Your security level must be medium or low (not the default of high). This can be changed under Tools, Macro, Security. 
In Office 2007, click the Microsoft Office Button, then click the Excel Options. Select the Trust Center, Settings, and then click Macro Settings to enable. </t>
  </si>
  <si>
    <t xml:space="preserve">The worksheets should display and print at 100%. This makes the worksheets readable and able to be filled in by hand.  
The worksheets can be printed in either color or black and white.  You may need to set your computer/printer to grayscale option or you may wish to change the colored portions of the worksheets. </t>
  </si>
  <si>
    <t>Each design should be saved with a unique file name. Keep an original version of the workbook with no data entered.  
To produce a version that can not be altered you can create a PDF.  Creating a PDF requires the full version of Adobe Acrobat which is software you may not have.  
The other option is to go to "Tools"..."Protection"..."Protect Worksheet" and save the file for that particular job.</t>
  </si>
  <si>
    <t>There are many check boxes within the worksheets.  If they are not working, you are most likely is in "design mode" in excel.  To fix this, from the menu, select View, Toolbars, and then select "Control Toolbox".  A new toolbar will appear in your menu bar, click the button that looks like a ruler and a speed square to get out of design mode.  Now the check boxes should work.</t>
  </si>
  <si>
    <t>Vegetation type(s):</t>
  </si>
  <si>
    <t>Slope direction:</t>
  </si>
  <si>
    <t>Percent slope:</t>
  </si>
  <si>
    <t>Landscape position:</t>
  </si>
  <si>
    <t>Slope shape:</t>
  </si>
  <si>
    <t>Describe the flooding or run-on potential of site:</t>
  </si>
  <si>
    <t>Describe the need for Type III or Type IV system:</t>
  </si>
  <si>
    <t>Proposed soil treatment area protected? (Y/N):</t>
  </si>
  <si>
    <t>Soil observations were conducted in the proposed system location (Y/N):</t>
  </si>
  <si>
    <t>A soil observation in the most limiting area of the proposed system (Y/N):</t>
  </si>
  <si>
    <t>Standing water:</t>
  </si>
  <si>
    <t>Bedrock:</t>
  </si>
  <si>
    <t>Periodically saturated soil:</t>
  </si>
  <si>
    <t>Percolation Rate:</t>
  </si>
  <si>
    <t>Differences between soil survey and field evaluation:</t>
  </si>
  <si>
    <t>Site evaluation issues / comments:</t>
  </si>
  <si>
    <t>Anticipated construction issues:</t>
  </si>
  <si>
    <t>Percolation tests performed &amp; attached (Y/N):</t>
  </si>
  <si>
    <t>Soil observation logs attached (Y/N):</t>
  </si>
  <si>
    <t>Number of soil observations:</t>
  </si>
  <si>
    <t>Attach additional information as necessary.</t>
  </si>
  <si>
    <t>Description</t>
  </si>
  <si>
    <t>Mn. ID#</t>
  </si>
  <si>
    <t>Confining Layer</t>
  </si>
  <si>
    <t>Casing Depth (ft.)</t>
  </si>
  <si>
    <t>Well Depth (ft.)</t>
  </si>
  <si>
    <t>STA Setback</t>
  </si>
  <si>
    <t>Source</t>
  </si>
  <si>
    <t>Yes, Type(s):</t>
  </si>
  <si>
    <t>DESIGN FLOW &amp; WASTE STRENGTH</t>
  </si>
  <si>
    <t>Select Treatment Level C for 
residential septic tank effluent</t>
  </si>
  <si>
    <t xml:space="preserve"> Anticipated Waste Type:</t>
  </si>
  <si>
    <t>Attach data / estimate basis for Other Establishments</t>
  </si>
  <si>
    <t>Disinfection Technology:</t>
  </si>
  <si>
    <t>SEPTIC TANK SIZING</t>
  </si>
  <si>
    <t>Other Establishments:</t>
  </si>
  <si>
    <t>Residential dwellings:</t>
  </si>
  <si>
    <t>GPD x</t>
  </si>
  <si>
    <t>In</t>
  </si>
  <si>
    <t>HOLDING TANK SIZING</t>
  </si>
  <si>
    <t>(Set @ 75% tank capacity)</t>
  </si>
  <si>
    <t>Effluent Screen &amp; Alarm (Y/N):</t>
  </si>
  <si>
    <t>Model/Type:</t>
  </si>
  <si>
    <t>PUMP TANK SIZING</t>
  </si>
  <si>
    <t>Days Hyd. Retention Time</t>
  </si>
  <si>
    <t>Pump Tank 2 Capacity (Minimum):</t>
  </si>
  <si>
    <t>Pump Tank 2 Capacity (Recommended):</t>
  </si>
  <si>
    <t>Pump Tank 1 Capacity (Minimum):</t>
  </si>
  <si>
    <t>Pump Tank 1 Capacity (Recommended):</t>
  </si>
  <si>
    <t>Dose Vol:</t>
  </si>
  <si>
    <t>Distribution Media:</t>
  </si>
  <si>
    <t xml:space="preserve">Elevation Benchmark: </t>
  </si>
  <si>
    <t>Soil Treatment Type:</t>
  </si>
  <si>
    <t>Minimum Req'd Separation:</t>
  </si>
  <si>
    <t>Layers with &gt;35% Rock Fragments? (yes/no)</t>
  </si>
  <si>
    <t>Limiting Condition:</t>
  </si>
  <si>
    <t>Describe Limiting Condition:</t>
  </si>
  <si>
    <t>Code Max System Depth:</t>
  </si>
  <si>
    <t>Critical for system compliance</t>
  </si>
  <si>
    <t>Maximum Bed Depth</t>
  </si>
  <si>
    <t>Designed Bed Depth</t>
  </si>
  <si>
    <t>No. of Trenches</t>
  </si>
  <si>
    <t>Code Max. Trench Depth</t>
  </si>
  <si>
    <t>Downslope Berm</t>
  </si>
  <si>
    <t>Trench:</t>
  </si>
  <si>
    <t>Bed:</t>
  </si>
  <si>
    <t>Mound:</t>
  </si>
  <si>
    <t>At-Grade:</t>
  </si>
  <si>
    <t>Level &amp; Equal Pressure Distribution</t>
  </si>
  <si>
    <t>Non-Level and Unequal Pressure Distribution</t>
  </si>
  <si>
    <t>Upslope Berm</t>
  </si>
  <si>
    <t>Endslope Berm</t>
  </si>
  <si>
    <t>Finished Height</t>
  </si>
  <si>
    <t>No. of Laterals</t>
  </si>
  <si>
    <t>Perf Size (in)</t>
  </si>
  <si>
    <t xml:space="preserve">Starting BOD Concentration = Design Flow X Starting BOD (mg/L) X 8.35 ÷ 1,000,000 </t>
  </si>
  <si>
    <t xml:space="preserve">Target BOD Concentration  = Design Flow X Target BOD (mg/L) X 8.35 ÷ 1,000,000 </t>
  </si>
  <si>
    <t>Lbs. BOD To Be Removed:</t>
  </si>
  <si>
    <t>PreTreatment Technology:</t>
  </si>
  <si>
    <t>*Required for Levels A &amp; B</t>
  </si>
  <si>
    <t>Organic Loading to Soil Treatment Area:</t>
  </si>
  <si>
    <t>*Must Meet or Exceed Target</t>
  </si>
  <si>
    <t>PROJECT INFORMATION</t>
  </si>
  <si>
    <t>Additional Well Information:</t>
  </si>
  <si>
    <t>1. Project Information</t>
  </si>
  <si>
    <t>Min Dose Volume</t>
  </si>
  <si>
    <t>Max Dose Volume</t>
  </si>
  <si>
    <t>Minimum Dose Volume</t>
  </si>
  <si>
    <t>Maximum Dose Volume</t>
  </si>
  <si>
    <t>mg/L X</t>
  </si>
  <si>
    <t>x 8.35 ÷ 1,000,000 ÷</t>
  </si>
  <si>
    <r>
      <t xml:space="preserve">Safety Factor  </t>
    </r>
    <r>
      <rPr>
        <sz val="10"/>
        <color indexed="8"/>
        <rFont val="Trebuchet MS"/>
        <family val="2"/>
      </rPr>
      <t>(gpd)</t>
    </r>
  </si>
  <si>
    <t>Note:</t>
  </si>
  <si>
    <t>Non-Level &amp; Unequal Pressure Distribution Design Worksheet</t>
  </si>
  <si>
    <t>Soil Observation Log</t>
  </si>
  <si>
    <t>Site  Evalulation Map</t>
  </si>
  <si>
    <t xml:space="preserve"> Proposed Design Map</t>
  </si>
  <si>
    <t xml:space="preserve"> Trench Design Worksheet</t>
  </si>
  <si>
    <t>Bed Design Worksheet</t>
  </si>
  <si>
    <r>
      <t xml:space="preserve">Mound Design Worksheet               </t>
    </r>
    <r>
      <rPr>
        <sz val="14"/>
        <rFont val="Calibri"/>
        <family val="2"/>
      </rPr>
      <t>≥</t>
    </r>
    <r>
      <rPr>
        <sz val="14"/>
        <rFont val="Trebuchet MS"/>
        <family val="2"/>
      </rPr>
      <t xml:space="preserve">1% Slope                                                      </t>
    </r>
  </si>
  <si>
    <t xml:space="preserve">Mound Materials Worksheet                                                          </t>
  </si>
  <si>
    <t xml:space="preserve"> At-Grade Design Worksheet</t>
  </si>
  <si>
    <t>Drip Distribution Design Worksheet</t>
  </si>
  <si>
    <t xml:space="preserve"> Basic Pump Selection Design Worksheet</t>
  </si>
  <si>
    <t>Pump Tank Design Worksheet (Demand Dose)</t>
  </si>
  <si>
    <t>Pump Tank Design Worksheet (Time Dose)</t>
  </si>
  <si>
    <t>Basic Pump Selection Design Worksheet</t>
  </si>
  <si>
    <t>Collection Pump Selection Design Worksheet</t>
  </si>
  <si>
    <t xml:space="preserve">Single-Pass &amp; Recirculating Sand Filter Worksheet </t>
  </si>
  <si>
    <t>Flow Equalization Tank Worksheet</t>
  </si>
  <si>
    <t xml:space="preserve"> Flow Estimation:                                               Existing Dwellings</t>
  </si>
  <si>
    <t>Final Permitting Flow Worksheet</t>
  </si>
  <si>
    <t xml:space="preserve"> Measured Flow: Other Establishments</t>
  </si>
  <si>
    <t>Flow Estimation: Other Establishments</t>
  </si>
  <si>
    <t xml:space="preserve">LISTS &amp; MSTS Design Flow and System Summary </t>
  </si>
  <si>
    <t>Tank Buoyancy Worksheet</t>
  </si>
  <si>
    <t xml:space="preserve">Mound Design Worksheet                   &lt;1% Slope                                                          </t>
  </si>
  <si>
    <t xml:space="preserve"> Pressure Distribution                                    Design Worksheet</t>
  </si>
  <si>
    <r>
      <t>Minimum Design Flow for soil dispersal system</t>
    </r>
    <r>
      <rPr>
        <i/>
        <sz val="10"/>
        <rFont val="Trebuchet MS"/>
        <family val="2"/>
      </rPr>
      <t xml:space="preserve"> </t>
    </r>
  </si>
  <si>
    <r>
      <t>Minimum Design flow based on</t>
    </r>
    <r>
      <rPr>
        <u/>
        <sz val="10"/>
        <rFont val="Trebuchet MS"/>
        <family val="2"/>
      </rPr>
      <t xml:space="preserve"> 70% use</t>
    </r>
    <r>
      <rPr>
        <sz val="10"/>
        <rFont val="Trebuchet MS"/>
        <family val="2"/>
      </rPr>
      <t xml:space="preserve"> from time dose volume</t>
    </r>
  </si>
  <si>
    <r>
      <t xml:space="preserve">Rock </t>
    </r>
    <r>
      <rPr>
        <i/>
        <sz val="10"/>
        <rFont val="Trebuchet MS"/>
        <family val="2"/>
      </rPr>
      <t>Volume</t>
    </r>
    <r>
      <rPr>
        <sz val="10"/>
        <rFont val="Trebuchet MS"/>
        <family val="2"/>
      </rPr>
      <t>: (Rock Below Pipe + Rock to cover pipe (</t>
    </r>
    <r>
      <rPr>
        <i/>
        <sz val="8"/>
        <rFont val="Trebuchet MS"/>
        <family val="2"/>
      </rPr>
      <t>pipe outside dia + ~2 inch)</t>
    </r>
    <r>
      <rPr>
        <sz val="10"/>
        <rFont val="Trebuchet MS"/>
        <family val="2"/>
      </rPr>
      <t xml:space="preserve">) X </t>
    </r>
    <r>
      <rPr>
        <i/>
        <sz val="10"/>
        <rFont val="Trebuchet MS"/>
        <family val="2"/>
      </rPr>
      <t>Bed Length</t>
    </r>
    <r>
      <rPr>
        <sz val="10"/>
        <rFont val="Trebuchet MS"/>
        <family val="2"/>
      </rPr>
      <t xml:space="preserve"> X </t>
    </r>
    <r>
      <rPr>
        <i/>
        <sz val="10"/>
        <rFont val="Trebuchet MS"/>
        <family val="2"/>
      </rPr>
      <t>Bed Width</t>
    </r>
    <r>
      <rPr>
        <sz val="10"/>
        <rFont val="Trebuchet MS"/>
        <family val="2"/>
      </rPr>
      <t xml:space="preserve"> = </t>
    </r>
    <r>
      <rPr>
        <i/>
        <sz val="10"/>
        <rFont val="Trebuchet MS"/>
        <family val="2"/>
      </rPr>
      <t>Volume</t>
    </r>
    <r>
      <rPr>
        <sz val="10"/>
        <rFont val="Trebuchet MS"/>
        <family val="2"/>
      </rPr>
      <t/>
    </r>
  </si>
  <si>
    <r>
      <t>Total Berm Volume (approx)</t>
    </r>
    <r>
      <rPr>
        <sz val="10"/>
        <rFont val="Trebuchet MS"/>
        <family val="2"/>
      </rPr>
      <t xml:space="preserve">: ((Avg. Mound Height - 0.5 ft topsoil) x Mound Width x Mound Length) </t>
    </r>
    <r>
      <rPr>
        <sz val="10"/>
        <rFont val="Arial"/>
        <family val="2"/>
      </rPr>
      <t>÷</t>
    </r>
    <r>
      <rPr>
        <sz val="10"/>
        <rFont val="Trebuchet MS"/>
        <family val="2"/>
      </rPr>
      <t xml:space="preserve"> 2 </t>
    </r>
  </si>
  <si>
    <t>Client:</t>
  </si>
  <si>
    <t>Location / Address:</t>
  </si>
  <si>
    <t xml:space="preserve">in   +   2 in  = </t>
  </si>
  <si>
    <t>Buried water supply pipes within 50 ft of proposed system (Y/N)</t>
  </si>
  <si>
    <t>Date Completed:</t>
  </si>
  <si>
    <t>TWP:</t>
  </si>
  <si>
    <t>SEC:</t>
  </si>
  <si>
    <t>RNG:</t>
  </si>
  <si>
    <t>Filled, Compacted, Disturbed areas (Y/N):</t>
  </si>
  <si>
    <t>Depth to Limiting Condition</t>
  </si>
  <si>
    <t>Cannot be less than line 2 (Except in at-grades)</t>
  </si>
  <si>
    <r>
      <t>Number of Perforation Spaces</t>
    </r>
    <r>
      <rPr>
        <sz val="10"/>
        <rFont val="Trebuchet MS"/>
        <family val="2"/>
      </rPr>
      <t xml:space="preserve">= </t>
    </r>
  </si>
  <si>
    <t>Calculated GPM = Change in Depth (in) x Gallons Per Inch / Time Interval in Minutes</t>
  </si>
  <si>
    <t>D.   Recommended pump tank capacity:</t>
  </si>
  <si>
    <t>Pump Tank Type</t>
  </si>
  <si>
    <t>Dosing</t>
  </si>
  <si>
    <t>Tank Use:</t>
  </si>
  <si>
    <t>To use these calculations you must unprotect the worksheet under the Review Tab.</t>
  </si>
  <si>
    <t xml:space="preserve"> -Item 18 of the Pressure Distribution or Item 11 of Non-level</t>
  </si>
  <si>
    <t>Recirculation</t>
  </si>
  <si>
    <t>If yes, describe below:  % rock and layer thickness, amount of</t>
  </si>
  <si>
    <t xml:space="preserve"> soil credit and any additional information for addressing the rock fragments in this design.</t>
  </si>
  <si>
    <t>Limiting Condition</t>
  </si>
  <si>
    <t>Redoximorphic Features/Saturated Soils</t>
  </si>
  <si>
    <t>Bed Rock (including soild with &gt;50% course fragments</t>
  </si>
  <si>
    <t>Flood Elevation</t>
  </si>
  <si>
    <t>Restricted percolation rates/high clay content soils</t>
  </si>
  <si>
    <t>Check registered product information for specific application details and design</t>
  </si>
  <si>
    <t>Oil &amp; Grease</t>
  </si>
  <si>
    <t>Test hole:   #2</t>
  </si>
  <si>
    <t>Test hole:  #6</t>
  </si>
  <si>
    <t>Test hole:  #1</t>
  </si>
  <si>
    <t>Test hole:  #5</t>
  </si>
  <si>
    <t>Test hole:   #3</t>
  </si>
  <si>
    <t>Test hole:   #4</t>
  </si>
  <si>
    <t>Map of Perc Test Locations</t>
  </si>
  <si>
    <t>Rock Below Pipe Inches</t>
  </si>
  <si>
    <t>Distribution Media</t>
  </si>
  <si>
    <t>Chamber</t>
  </si>
  <si>
    <t>EzFlow</t>
  </si>
  <si>
    <t>.</t>
  </si>
  <si>
    <t>Spacing of laterals;  Must be greater than 1 foot and no more than 3 feet:</t>
  </si>
  <si>
    <t>Buoancy Tanks</t>
  </si>
  <si>
    <t>Septic</t>
  </si>
  <si>
    <t>C.   Tank Use:</t>
  </si>
  <si>
    <t xml:space="preserve">Project ID:   </t>
  </si>
  <si>
    <t>ft  ÷ 2  =</t>
  </si>
  <si>
    <r>
      <t xml:space="preserve">Loamy or Sandy Loam </t>
    </r>
    <r>
      <rPr>
        <b/>
        <i/>
        <sz val="10"/>
        <rFont val="Trebuchet MS"/>
        <family val="2"/>
      </rPr>
      <t>Cover Material Volume</t>
    </r>
    <r>
      <rPr>
        <i/>
        <sz val="10"/>
        <rFont val="Trebuchet MS"/>
        <family val="2"/>
      </rPr>
      <t xml:space="preserve">: </t>
    </r>
  </si>
  <si>
    <t xml:space="preserve"> Rock Depth Below Distribution Pipe</t>
  </si>
  <si>
    <t>If No, how long for 12" to soak away</t>
  </si>
  <si>
    <t>Depth of Observation</t>
  </si>
  <si>
    <t>Gallons (Minimum dose)</t>
  </si>
  <si>
    <t>Gallons (Maximum dose)</t>
  </si>
  <si>
    <t>inches/dose</t>
  </si>
  <si>
    <r>
      <t xml:space="preserve">Calculate </t>
    </r>
    <r>
      <rPr>
        <b/>
        <i/>
        <sz val="10"/>
        <rFont val="Trebuchet MS"/>
        <family val="2"/>
      </rPr>
      <t>Maximum</t>
    </r>
    <r>
      <rPr>
        <i/>
        <sz val="10"/>
        <rFont val="Trebuchet MS"/>
        <family val="2"/>
      </rPr>
      <t xml:space="preserve"> Pumpout Volume</t>
    </r>
    <r>
      <rPr>
        <sz val="10"/>
        <rFont val="Trebuchet MS"/>
        <family val="2"/>
      </rPr>
      <t xml:space="preserve"> (25% of Design Flow)</t>
    </r>
  </si>
  <si>
    <r>
      <t xml:space="preserve"> </t>
    </r>
    <r>
      <rPr>
        <b/>
        <i/>
        <sz val="10"/>
        <rFont val="Trebuchet MS"/>
        <family val="2"/>
      </rPr>
      <t>Minimum</t>
    </r>
    <r>
      <rPr>
        <i/>
        <sz val="10"/>
        <rFont val="Trebuchet MS"/>
        <family val="2"/>
      </rPr>
      <t xml:space="preserve"> Delivered Volume</t>
    </r>
    <r>
      <rPr>
        <sz val="10"/>
        <rFont val="Trebuchet MS"/>
        <family val="2"/>
      </rPr>
      <t xml:space="preserve"> =  4 X Volume of Distribution Piping: </t>
    </r>
  </si>
  <si>
    <r>
      <t>ft</t>
    </r>
    <r>
      <rPr>
        <vertAlign val="superscript"/>
        <sz val="12"/>
        <color indexed="8"/>
        <rFont val="Trebuchet MS"/>
        <family val="2"/>
      </rPr>
      <t xml:space="preserve">3  </t>
    </r>
    <r>
      <rPr>
        <sz val="12"/>
        <color indexed="8"/>
        <rFont val="Trebuchet MS"/>
        <family val="2"/>
      </rPr>
      <t xml:space="preserve"> X  </t>
    </r>
  </si>
  <si>
    <t>STA Setbk:</t>
  </si>
  <si>
    <t>Floodplain designation/elevation (10 Year):</t>
  </si>
  <si>
    <t>Floodplain designation/elevation (100 Year):</t>
  </si>
  <si>
    <t>Soil Hyd Loading Rate:</t>
  </si>
  <si>
    <r>
      <rPr>
        <i/>
        <sz val="10"/>
        <rFont val="Trebuchet MS"/>
        <family val="2"/>
      </rPr>
      <t>Code Minimum</t>
    </r>
    <r>
      <rPr>
        <sz val="10"/>
        <rFont val="Trebuchet MS"/>
        <family val="2"/>
      </rPr>
      <t xml:space="preserve"> </t>
    </r>
    <r>
      <rPr>
        <b/>
        <sz val="10"/>
        <rFont val="Trebuchet MS"/>
        <family val="2"/>
      </rPr>
      <t xml:space="preserve">Holding Tank </t>
    </r>
    <r>
      <rPr>
        <sz val="10"/>
        <rFont val="Trebuchet MS"/>
        <family val="2"/>
      </rPr>
      <t>Capacity:</t>
    </r>
  </si>
  <si>
    <r>
      <rPr>
        <i/>
        <sz val="10"/>
        <rFont val="Trebuchet MS"/>
        <family val="2"/>
      </rPr>
      <t>Recommended</t>
    </r>
    <r>
      <rPr>
        <sz val="10"/>
        <rFont val="Trebuchet MS"/>
        <family val="2"/>
      </rPr>
      <t xml:space="preserve"> </t>
    </r>
    <r>
      <rPr>
        <b/>
        <sz val="10"/>
        <rFont val="Trebuchet MS"/>
        <family val="2"/>
      </rPr>
      <t>Holding Tank</t>
    </r>
    <r>
      <rPr>
        <sz val="10"/>
        <rFont val="Trebuchet MS"/>
        <family val="2"/>
      </rPr>
      <t xml:space="preserve"> Capacity:</t>
    </r>
  </si>
  <si>
    <r>
      <rPr>
        <i/>
        <sz val="10"/>
        <rFont val="Trebuchet MS"/>
        <family val="2"/>
      </rPr>
      <t>Code Minimum</t>
    </r>
    <r>
      <rPr>
        <sz val="10"/>
        <rFont val="Trebuchet MS"/>
        <family val="2"/>
      </rPr>
      <t xml:space="preserve"> </t>
    </r>
    <r>
      <rPr>
        <b/>
        <sz val="10"/>
        <rFont val="Trebuchet MS"/>
        <family val="2"/>
      </rPr>
      <t>Septic Tank</t>
    </r>
    <r>
      <rPr>
        <sz val="10"/>
        <rFont val="Trebuchet MS"/>
        <family val="2"/>
      </rPr>
      <t xml:space="preserve"> Capacity:</t>
    </r>
  </si>
  <si>
    <r>
      <rPr>
        <i/>
        <sz val="10"/>
        <rFont val="Trebuchet MS"/>
        <family val="2"/>
      </rPr>
      <t>Recommended</t>
    </r>
    <r>
      <rPr>
        <sz val="10"/>
        <rFont val="Trebuchet MS"/>
        <family val="2"/>
      </rPr>
      <t xml:space="preserve"> </t>
    </r>
    <r>
      <rPr>
        <b/>
        <sz val="10"/>
        <rFont val="Trebuchet MS"/>
        <family val="2"/>
      </rPr>
      <t>Septic Tank</t>
    </r>
    <r>
      <rPr>
        <sz val="10"/>
        <rFont val="Trebuchet MS"/>
        <family val="2"/>
      </rPr>
      <t xml:space="preserve"> Capacity:</t>
    </r>
  </si>
  <si>
    <r>
      <t xml:space="preserve"> </t>
    </r>
    <r>
      <rPr>
        <i/>
        <sz val="10"/>
        <rFont val="Trebuchet MS"/>
        <family val="2"/>
      </rPr>
      <t>Code Minimum</t>
    </r>
    <r>
      <rPr>
        <sz val="10"/>
        <rFont val="Trebuchet MS"/>
        <family val="2"/>
      </rPr>
      <t xml:space="preserve"> </t>
    </r>
    <r>
      <rPr>
        <b/>
        <sz val="10"/>
        <rFont val="Trebuchet MS"/>
        <family val="2"/>
      </rPr>
      <t xml:space="preserve">Septic Tank </t>
    </r>
    <r>
      <rPr>
        <sz val="10"/>
        <rFont val="Trebuchet MS"/>
        <family val="2"/>
      </rPr>
      <t>Capacity:</t>
    </r>
  </si>
  <si>
    <r>
      <rPr>
        <i/>
        <sz val="10"/>
        <rFont val="Trebuchet MS"/>
        <family val="2"/>
      </rPr>
      <t>Recommended</t>
    </r>
    <r>
      <rPr>
        <b/>
        <sz val="10"/>
        <rFont val="Trebuchet MS"/>
        <family val="2"/>
      </rPr>
      <t xml:space="preserve"> Septic Tank</t>
    </r>
    <r>
      <rPr>
        <sz val="10"/>
        <rFont val="Trebuchet MS"/>
        <family val="2"/>
      </rPr>
      <t xml:space="preserve"> Capacity:</t>
    </r>
  </si>
  <si>
    <r>
      <t xml:space="preserve">gpd     </t>
    </r>
    <r>
      <rPr>
        <sz val="12"/>
        <rFont val="Trebuchet MS"/>
        <family val="2"/>
      </rPr>
      <t>÷</t>
    </r>
  </si>
  <si>
    <t>WebSoil Survey Rating</t>
  </si>
  <si>
    <t>Not Limited</t>
  </si>
  <si>
    <t>Slightly Limited</t>
  </si>
  <si>
    <t>Moderately Limited</t>
  </si>
  <si>
    <t>Very Limited</t>
  </si>
  <si>
    <t>Extremely Limited</t>
  </si>
  <si>
    <t>27. Tank Buoyancy (2)</t>
  </si>
  <si>
    <t>Developed by the University of Minnesota:  Sara Heger, Dave Gustafson and Dan Wheeler; Pete Otterness, Nicollet County; Tim Haeg, Watab Inc.; Chris LeClair, Ottertail County;  and the Minnesota Pollution Control Agency.  Thanks to the many that provided comments and feedback during the development process.</t>
  </si>
  <si>
    <t>Shoreland Classification</t>
  </si>
  <si>
    <t>Lake - General Development</t>
  </si>
  <si>
    <t>Lake- Recreational</t>
  </si>
  <si>
    <t>Lake - Natural Environment</t>
  </si>
  <si>
    <t>River - Agricultural</t>
  </si>
  <si>
    <t>River - Tributary</t>
  </si>
  <si>
    <t>River - Forested</t>
  </si>
  <si>
    <t>River - Urban</t>
  </si>
  <si>
    <t>River - Transition</t>
  </si>
  <si>
    <t>River - Remote</t>
  </si>
  <si>
    <t>A.  Water Supply Wells</t>
  </si>
  <si>
    <t>3.  Preliminary Site Information</t>
  </si>
  <si>
    <r>
      <t xml:space="preserve">Required Bottom Area: Design Flow </t>
    </r>
    <r>
      <rPr>
        <sz val="10"/>
        <rFont val="AmerType Md BT"/>
        <family val="1"/>
      </rPr>
      <t>÷</t>
    </r>
    <r>
      <rPr>
        <sz val="10"/>
        <rFont val="Trebuchet MS"/>
        <family val="2"/>
      </rPr>
      <t xml:space="preserve"> Soil Loading Rate </t>
    </r>
  </si>
  <si>
    <t>Design Bottom Area:</t>
  </si>
  <si>
    <t>Calculate Rock Volume: (Sidewall Height  + Depth to Cover Pipe  X Bottom Area  = cubic feet ÷ 27 = cubic yards</t>
  </si>
  <si>
    <t xml:space="preserve">Total Designed Trench Length: Bottom Area  ÷ Trench Width </t>
  </si>
  <si>
    <t xml:space="preserve">Calculate Minimum length of each trench based on Contour Loading Rate: Design Flow ÷ CLR = </t>
  </si>
  <si>
    <t>Calculate Lawn Area: Trench Length X Trench Spacing</t>
  </si>
  <si>
    <r>
      <t xml:space="preserve">Required Bottom Area: Design Flow </t>
    </r>
    <r>
      <rPr>
        <sz val="10"/>
        <rFont val="AmerType Md BT"/>
        <family val="1"/>
      </rPr>
      <t>÷</t>
    </r>
    <r>
      <rPr>
        <sz val="10"/>
        <rFont val="Trebuchet MS"/>
        <family val="2"/>
      </rPr>
      <t xml:space="preserve"> Soil Loading Rate</t>
    </r>
  </si>
  <si>
    <t xml:space="preserve">Req'd Bottom Area = Bottom Area X Size Multiplier = </t>
  </si>
  <si>
    <t xml:space="preserve">    = </t>
  </si>
  <si>
    <t>Calculate Dispersal Bed Area: Design Flow (1.A) ÷ Design Media Loading Rate</t>
  </si>
  <si>
    <t xml:space="preserve">Calculate Minimum Dispersal Bed Length: Dispersal Bed Area ÷ Bed Width </t>
  </si>
  <si>
    <t>Calculate Absorption Width: Bed Width  X Mound Absorption Ratio</t>
  </si>
  <si>
    <r>
      <t xml:space="preserve">Absorption Width Beyond the Bed: Absorption Width  - Bed Width  </t>
    </r>
    <r>
      <rPr>
        <sz val="10"/>
        <rFont val="Arial"/>
        <family val="2"/>
      </rPr>
      <t>÷</t>
    </r>
    <r>
      <rPr>
        <sz val="10"/>
        <rFont val="Trebuchet MS"/>
        <family val="2"/>
      </rPr>
      <t xml:space="preserve"> 2 </t>
    </r>
  </si>
  <si>
    <t>Berm Width = Upslope Mound Height  X 4 (4 is recommended, but could be 3-12)</t>
  </si>
  <si>
    <t>Calculate Dispersal Bed Area: Design Flow ÷ Design Media Loading Rate</t>
  </si>
  <si>
    <t xml:space="preserve">Calculate Minimum Dispersal Bed Length: Dispersal Bed Area  ÷ Bed Width </t>
  </si>
  <si>
    <t xml:space="preserve">Calculate Absorption Width: Bed Width  X Mound Absorption Ratio  </t>
  </si>
  <si>
    <r>
      <t>Absorption Bed Width</t>
    </r>
    <r>
      <rPr>
        <sz val="10"/>
        <rFont val="Trebuchet MS"/>
        <family val="2"/>
      </rPr>
      <t xml:space="preserve"> = </t>
    </r>
    <r>
      <rPr>
        <i/>
        <sz val="10"/>
        <rFont val="Trebuchet MS"/>
        <family val="2"/>
      </rPr>
      <t>Contour Loading Rate</t>
    </r>
    <r>
      <rPr>
        <sz val="10"/>
        <rFont val="Trebuchet MS"/>
        <family val="2"/>
      </rPr>
      <t xml:space="preserve"> ÷ </t>
    </r>
    <r>
      <rPr>
        <i/>
        <sz val="10"/>
        <rFont val="Trebuchet MS"/>
        <family val="2"/>
      </rPr>
      <t xml:space="preserve">Soil Loading Rate </t>
    </r>
  </si>
  <si>
    <r>
      <t>Absorption Bed Length</t>
    </r>
    <r>
      <rPr>
        <sz val="10"/>
        <rFont val="Trebuchet MS"/>
        <family val="2"/>
      </rPr>
      <t xml:space="preserve"> = </t>
    </r>
    <r>
      <rPr>
        <i/>
        <sz val="10"/>
        <rFont val="Trebuchet MS"/>
        <family val="2"/>
      </rPr>
      <t>Design Flow</t>
    </r>
    <r>
      <rPr>
        <sz val="10"/>
        <rFont val="Trebuchet MS"/>
        <family val="2"/>
      </rPr>
      <t xml:space="preserve">  ÷ </t>
    </r>
    <r>
      <rPr>
        <i/>
        <sz val="10"/>
        <rFont val="Trebuchet MS"/>
        <family val="2"/>
      </rPr>
      <t xml:space="preserve">Contour Loading Rate </t>
    </r>
  </si>
  <si>
    <t xml:space="preserve">Required Absorption Bed Area = Design Flow ÷ Soil Loading Rate </t>
  </si>
  <si>
    <r>
      <t>Endslope Width</t>
    </r>
    <r>
      <rPr>
        <sz val="10"/>
        <rFont val="Trebuchet MS"/>
        <family val="2"/>
      </rPr>
      <t xml:space="preserve"> = </t>
    </r>
    <r>
      <rPr>
        <i/>
        <sz val="10"/>
        <rFont val="Trebuchet MS"/>
        <family val="2"/>
      </rPr>
      <t>Endslope Multiplier</t>
    </r>
    <r>
      <rPr>
        <sz val="10"/>
        <rFont val="Trebuchet MS"/>
        <family val="2"/>
      </rPr>
      <t xml:space="preserve">  X </t>
    </r>
    <r>
      <rPr>
        <i/>
        <sz val="10"/>
        <rFont val="Trebuchet MS"/>
        <family val="2"/>
      </rPr>
      <t>System Height</t>
    </r>
    <r>
      <rPr>
        <sz val="10"/>
        <rFont val="Trebuchet MS"/>
        <family val="2"/>
      </rPr>
      <t xml:space="preserve"> </t>
    </r>
  </si>
  <si>
    <r>
      <t>System Width</t>
    </r>
    <r>
      <rPr>
        <sz val="10"/>
        <rFont val="Trebuchet MS"/>
        <family val="2"/>
      </rPr>
      <t xml:space="preserve"> = The sum of the </t>
    </r>
    <r>
      <rPr>
        <i/>
        <sz val="10"/>
        <rFont val="Trebuchet MS"/>
        <family val="2"/>
      </rPr>
      <t xml:space="preserve">Upslope Width </t>
    </r>
    <r>
      <rPr>
        <sz val="10"/>
        <rFont val="Trebuchet MS"/>
        <family val="2"/>
      </rPr>
      <t xml:space="preserve"> + </t>
    </r>
    <r>
      <rPr>
        <i/>
        <sz val="10"/>
        <rFont val="Trebuchet MS"/>
        <family val="2"/>
      </rPr>
      <t>Downslope Width</t>
    </r>
  </si>
  <si>
    <r>
      <t>System Length</t>
    </r>
    <r>
      <rPr>
        <sz val="10"/>
        <rFont val="Trebuchet MS"/>
        <family val="2"/>
      </rPr>
      <t xml:space="preserve"> = Sum of the </t>
    </r>
    <r>
      <rPr>
        <i/>
        <sz val="10"/>
        <rFont val="Trebuchet MS"/>
        <family val="2"/>
      </rPr>
      <t>Endslope Width</t>
    </r>
    <r>
      <rPr>
        <sz val="10"/>
        <rFont val="Trebuchet MS"/>
        <family val="2"/>
      </rPr>
      <t xml:space="preserve"> +</t>
    </r>
    <r>
      <rPr>
        <i/>
        <sz val="10"/>
        <rFont val="Trebuchet MS"/>
        <family val="2"/>
      </rPr>
      <t xml:space="preserve"> Absorption Bed Length</t>
    </r>
    <r>
      <rPr>
        <sz val="10"/>
        <rFont val="Trebuchet MS"/>
        <family val="2"/>
      </rPr>
      <t xml:space="preserve"> + End</t>
    </r>
    <r>
      <rPr>
        <i/>
        <sz val="10"/>
        <rFont val="Trebuchet MS"/>
        <family val="2"/>
      </rPr>
      <t>slope Width</t>
    </r>
  </si>
  <si>
    <t xml:space="preserve">Calculate Upslope Berm Width: Multiplier  X Upslope Mound Height  </t>
  </si>
  <si>
    <t xml:space="preserve">Calculate Downslope Mound Height: Upslope Height + Drop in Elevation  </t>
  </si>
  <si>
    <t xml:space="preserve">Calculate Downslope Berm Width: Downslope Multiplier  X Downslope Height  </t>
  </si>
  <si>
    <t>19.</t>
  </si>
  <si>
    <t xml:space="preserve">Volume in Cubic Feet = System Width  X System Length  X 1.5 ÷ 2, minus rock volume </t>
  </si>
  <si>
    <r>
      <t>Loamy or Sandy Loam Cover Volume in Cubic Yards</t>
    </r>
    <r>
      <rPr>
        <sz val="10"/>
        <rFont val="Trebuchet MS"/>
        <family val="2"/>
      </rPr>
      <t xml:space="preserve"> = </t>
    </r>
    <r>
      <rPr>
        <i/>
        <sz val="10"/>
        <rFont val="Trebuchet MS"/>
        <family val="2"/>
      </rPr>
      <t>Volume in Cubic Feet ÷</t>
    </r>
    <r>
      <rPr>
        <sz val="10"/>
        <rFont val="Trebuchet MS"/>
        <family val="2"/>
      </rPr>
      <t xml:space="preserve"> by 27</t>
    </r>
  </si>
  <si>
    <r>
      <rPr>
        <b/>
        <sz val="10"/>
        <rFont val="Trebuchet MS"/>
        <family val="2"/>
      </rPr>
      <t>Topsoil Volume</t>
    </r>
    <r>
      <rPr>
        <sz val="10"/>
        <rFont val="Trebuchet MS"/>
        <family val="2"/>
      </rPr>
      <t xml:space="preserve"> in Cubic Feet = System width X System Length x 0.5</t>
    </r>
  </si>
  <si>
    <r>
      <t>Topsoil Volume in Cubic Yards</t>
    </r>
    <r>
      <rPr>
        <sz val="10"/>
        <rFont val="Trebuchet MS"/>
        <family val="2"/>
      </rPr>
      <t xml:space="preserve"> = </t>
    </r>
    <r>
      <rPr>
        <i/>
        <sz val="10"/>
        <rFont val="Trebuchet MS"/>
        <family val="2"/>
      </rPr>
      <t>Volume in Cubic Feet</t>
    </r>
    <r>
      <rPr>
        <sz val="10"/>
        <rFont val="Trebuchet MS"/>
        <family val="2"/>
      </rPr>
      <t xml:space="preserve"> ÷ by 27</t>
    </r>
  </si>
  <si>
    <r>
      <rPr>
        <b/>
        <i/>
        <sz val="10"/>
        <rFont val="Trebuchet MS"/>
        <family val="2"/>
      </rPr>
      <t>Rock Volume</t>
    </r>
    <r>
      <rPr>
        <i/>
        <sz val="10"/>
        <rFont val="Trebuchet MS"/>
        <family val="2"/>
      </rPr>
      <t xml:space="preserve"> in Cubic Yards</t>
    </r>
    <r>
      <rPr>
        <sz val="10"/>
        <rFont val="Trebuchet MS"/>
        <family val="2"/>
      </rPr>
      <t xml:space="preserve"> = </t>
    </r>
    <r>
      <rPr>
        <i/>
        <sz val="10"/>
        <rFont val="Trebuchet MS"/>
        <family val="2"/>
      </rPr>
      <t>Volume in Cubic Feet</t>
    </r>
    <r>
      <rPr>
        <sz val="10"/>
        <rFont val="Trebuchet MS"/>
        <family val="2"/>
      </rPr>
      <t xml:space="preserve"> ÷ 27</t>
    </r>
  </si>
  <si>
    <r>
      <t>Rock Volume in Cubic Feet</t>
    </r>
    <r>
      <rPr>
        <sz val="10"/>
        <rFont val="Trebuchet MS"/>
        <family val="2"/>
      </rPr>
      <t xml:space="preserve"> = </t>
    </r>
    <r>
      <rPr>
        <i/>
        <sz val="10"/>
        <rFont val="Trebuchet MS"/>
        <family val="2"/>
      </rPr>
      <t>Rock Aeaa  X Depth of Media (Rock)</t>
    </r>
    <r>
      <rPr>
        <sz val="10"/>
        <rFont val="Trebuchet MS"/>
        <family val="2"/>
      </rPr>
      <t xml:space="preserve"> and ÷ X 2</t>
    </r>
  </si>
  <si>
    <r>
      <t>Rock Area</t>
    </r>
    <r>
      <rPr>
        <sz val="10"/>
        <rFont val="Trebuchet MS"/>
        <family val="2"/>
      </rPr>
      <t xml:space="preserve"> = Absorption Bed Length  X  (Additional rock upslope of lateral + </t>
    </r>
    <r>
      <rPr>
        <i/>
        <sz val="10"/>
        <rFont val="Trebuchet MS"/>
        <family val="2"/>
      </rPr>
      <t>Absorption Bed Width)</t>
    </r>
  </si>
  <si>
    <r>
      <t>ft</t>
    </r>
    <r>
      <rPr>
        <vertAlign val="superscript"/>
        <sz val="10"/>
        <rFont val="Trebuchet MS"/>
        <family val="2"/>
      </rPr>
      <t xml:space="preserve">2        </t>
    </r>
    <r>
      <rPr>
        <sz val="10"/>
        <rFont val="Trebuchet MS"/>
        <family val="2"/>
      </rPr>
      <t xml:space="preserve">X      </t>
    </r>
  </si>
  <si>
    <t>If pumping to a pressurized distribution system:</t>
  </si>
  <si>
    <t>Enter pump description:</t>
  </si>
  <si>
    <r>
      <t xml:space="preserve">Determine </t>
    </r>
    <r>
      <rPr>
        <i/>
        <sz val="10"/>
        <rFont val="Trebuchet MS"/>
        <family val="2"/>
      </rPr>
      <t>Equivalent Pipe Length</t>
    </r>
    <r>
      <rPr>
        <sz val="10"/>
        <rFont val="Trebuchet MS"/>
        <family val="2"/>
      </rPr>
      <t xml:space="preserve"> from pump discharge to soil dispersal area discharge point.  Estimate by adding 25% to supply pipe length for fitting loss.  </t>
    </r>
    <r>
      <rPr>
        <i/>
        <sz val="10"/>
        <rFont val="Trebuchet MS"/>
        <family val="2"/>
      </rPr>
      <t xml:space="preserve">Supply Pipe Length </t>
    </r>
    <r>
      <rPr>
        <sz val="10"/>
        <rFont val="Trebuchet MS"/>
        <family val="2"/>
      </rPr>
      <t xml:space="preserve">X 1.25 = </t>
    </r>
    <r>
      <rPr>
        <i/>
        <sz val="10"/>
        <rFont val="Trebuchet MS"/>
        <family val="2"/>
      </rPr>
      <t>Equivalent Pipe Length</t>
    </r>
  </si>
  <si>
    <r>
      <t xml:space="preserve">Calculate </t>
    </r>
    <r>
      <rPr>
        <i/>
        <sz val="10"/>
        <rFont val="Trebuchet MS"/>
        <family val="2"/>
      </rPr>
      <t>Supply Friction Loss</t>
    </r>
    <r>
      <rPr>
        <sz val="10"/>
        <rFont val="Trebuchet MS"/>
        <family val="2"/>
      </rPr>
      <t xml:space="preserve"> by multiplying </t>
    </r>
    <r>
      <rPr>
        <i/>
        <sz val="10"/>
        <rFont val="Trebuchet MS"/>
        <family val="2"/>
      </rPr>
      <t>Friction Loss Per 100ft</t>
    </r>
    <r>
      <rPr>
        <sz val="10"/>
        <rFont val="Trebuchet MS"/>
        <family val="2"/>
      </rPr>
      <t xml:space="preserve"> by the </t>
    </r>
    <r>
      <rPr>
        <i/>
        <sz val="10"/>
        <rFont val="Trebuchet MS"/>
        <family val="2"/>
      </rPr>
      <t>Equivalent Pipe Length</t>
    </r>
    <r>
      <rPr>
        <sz val="10"/>
        <rFont val="Trebuchet MS"/>
        <family val="2"/>
      </rPr>
      <t xml:space="preserve"> and divide by 100.</t>
    </r>
  </si>
  <si>
    <t>GPM  with at least</t>
  </si>
  <si>
    <r>
      <t>ft</t>
    </r>
    <r>
      <rPr>
        <vertAlign val="superscript"/>
        <sz val="10"/>
        <rFont val="Trebuchet MS"/>
        <family val="2"/>
      </rPr>
      <t xml:space="preserve">2 </t>
    </r>
    <r>
      <rPr>
        <sz val="10"/>
        <rFont val="Trebuchet MS"/>
        <family val="2"/>
      </rPr>
      <t>÷</t>
    </r>
  </si>
  <si>
    <t>perf =</t>
  </si>
  <si>
    <r>
      <t xml:space="preserve">Calculate the </t>
    </r>
    <r>
      <rPr>
        <i/>
        <sz val="10"/>
        <rFont val="Trebuchet MS"/>
        <family val="2"/>
      </rPr>
      <t xml:space="preserve">Square Feet per Perforation.  </t>
    </r>
  </si>
  <si>
    <t>Recommended value is 4-11 ft2 per perforation, Does not apply to At-Grades</t>
  </si>
  <si>
    <r>
      <t>Square Foot per Perforation</t>
    </r>
    <r>
      <rPr>
        <sz val="10"/>
        <rFont val="Trebuchet MS"/>
        <family val="2"/>
      </rPr>
      <t xml:space="preserve"> = </t>
    </r>
    <r>
      <rPr>
        <i/>
        <sz val="10"/>
        <rFont val="Trebuchet MS"/>
        <family val="2"/>
      </rPr>
      <t>Bed Area</t>
    </r>
    <r>
      <rPr>
        <sz val="10"/>
        <rFont val="Trebuchet MS"/>
        <family val="2"/>
      </rPr>
      <t xml:space="preserve"> ÷ by the </t>
    </r>
    <r>
      <rPr>
        <i/>
        <sz val="10"/>
        <rFont val="Trebuchet MS"/>
        <family val="2"/>
      </rPr>
      <t>Total Number of Perfs</t>
    </r>
  </si>
  <si>
    <t>GPM per Perf</t>
  </si>
  <si>
    <r>
      <rPr>
        <i/>
        <sz val="10"/>
        <rFont val="Trebuchet MS"/>
        <family val="2"/>
      </rPr>
      <t>Flow Rate</t>
    </r>
    <r>
      <rPr>
        <sz val="10"/>
        <rFont val="Trebuchet MS"/>
        <family val="2"/>
      </rPr>
      <t xml:space="preserve"> = </t>
    </r>
    <r>
      <rPr>
        <i/>
        <sz val="10"/>
        <rFont val="Trebuchet MS"/>
        <family val="2"/>
      </rPr>
      <t xml:space="preserve">Total Number of Perfs X </t>
    </r>
    <r>
      <rPr>
        <i/>
        <sz val="10"/>
        <rFont val="Trebuchet MS"/>
        <family val="2"/>
      </rPr>
      <t>Perforation Discharge.</t>
    </r>
  </si>
  <si>
    <r>
      <t xml:space="preserve">Select </t>
    </r>
    <r>
      <rPr>
        <i/>
        <sz val="10"/>
        <rFont val="Trebuchet MS"/>
        <family val="2"/>
      </rPr>
      <t xml:space="preserve">Perforation Discharge </t>
    </r>
    <r>
      <rPr>
        <sz val="10"/>
        <rFont val="Trebuchet MS"/>
        <family val="2"/>
      </rPr>
      <t>based on Table:</t>
    </r>
  </si>
  <si>
    <r>
      <t>ft</t>
    </r>
    <r>
      <rPr>
        <vertAlign val="superscript"/>
        <sz val="10"/>
        <rFont val="Trebuchet MS"/>
        <family val="2"/>
      </rPr>
      <t>2</t>
    </r>
    <r>
      <rPr>
        <sz val="10"/>
        <rFont val="Trebuchet MS"/>
        <family val="2"/>
      </rPr>
      <t>/perf</t>
    </r>
  </si>
  <si>
    <t xml:space="preserve"> If pumping to a pressurized distribution system:</t>
  </si>
  <si>
    <r>
      <t xml:space="preserve">Determine </t>
    </r>
    <r>
      <rPr>
        <i/>
        <sz val="10"/>
        <rFont val="Trebuchet MS"/>
        <family val="2"/>
      </rPr>
      <t>Equivalent Pipe Length</t>
    </r>
    <r>
      <rPr>
        <sz val="10"/>
        <rFont val="Trebuchet MS"/>
        <family val="2"/>
      </rPr>
      <t xml:space="preserve"> from pump discharge to soil dispersal area discharge point.  Estimate by adding 25% to supply pipe length for fitting loss.                        </t>
    </r>
    <r>
      <rPr>
        <i/>
        <sz val="10"/>
        <rFont val="Trebuchet MS"/>
        <family val="2"/>
      </rPr>
      <t>Supply Pipe Length</t>
    </r>
    <r>
      <rPr>
        <sz val="10"/>
        <rFont val="Trebuchet MS"/>
        <family val="2"/>
      </rPr>
      <t xml:space="preserve"> X 1.25 = </t>
    </r>
    <r>
      <rPr>
        <i/>
        <sz val="10"/>
        <rFont val="Trebuchet MS"/>
        <family val="2"/>
      </rPr>
      <t>Equivalent Pipe Length</t>
    </r>
  </si>
  <si>
    <r>
      <t xml:space="preserve">Calculate </t>
    </r>
    <r>
      <rPr>
        <i/>
        <sz val="10"/>
        <rFont val="Trebuchet MS"/>
        <family val="2"/>
      </rPr>
      <t>Supply Friction Loss</t>
    </r>
    <r>
      <rPr>
        <sz val="10"/>
        <rFont val="Trebuchet MS"/>
        <family val="2"/>
      </rPr>
      <t xml:space="preserve"> by multiplying </t>
    </r>
    <r>
      <rPr>
        <i/>
        <sz val="10"/>
        <rFont val="Trebuchet MS"/>
        <family val="2"/>
      </rPr>
      <t>Friction Loss Per 100ft</t>
    </r>
    <r>
      <rPr>
        <sz val="10"/>
        <rFont val="Trebuchet MS"/>
        <family val="2"/>
      </rPr>
      <t xml:space="preserve">  by the </t>
    </r>
    <r>
      <rPr>
        <i/>
        <sz val="10"/>
        <rFont val="Trebuchet MS"/>
        <family val="2"/>
      </rPr>
      <t>Equivalent Pipe Length</t>
    </r>
    <r>
      <rPr>
        <sz val="10"/>
        <rFont val="Trebuchet MS"/>
        <family val="2"/>
      </rPr>
      <t xml:space="preserve"> divide by 100.</t>
    </r>
  </si>
  <si>
    <r>
      <t>Total Head</t>
    </r>
    <r>
      <rPr>
        <sz val="10"/>
        <rFont val="Trebuchet MS"/>
        <family val="2"/>
      </rPr>
      <t xml:space="preserve"> requirement is the sum of the </t>
    </r>
    <r>
      <rPr>
        <i/>
        <sz val="10"/>
        <rFont val="Trebuchet MS"/>
        <family val="2"/>
      </rPr>
      <t>Elevation Difference</t>
    </r>
    <r>
      <rPr>
        <sz val="10"/>
        <rFont val="Trebuchet MS"/>
        <family val="2"/>
      </rPr>
      <t xml:space="preserve"> + the Distribution Head Loss Additional Head Loss + Supply Friction Loss</t>
    </r>
  </si>
  <si>
    <r>
      <t>Total Head</t>
    </r>
    <r>
      <rPr>
        <sz val="10"/>
        <rFont val="Trebuchet MS"/>
        <family val="2"/>
      </rPr>
      <t xml:space="preserve"> requirement is the sum of the </t>
    </r>
    <r>
      <rPr>
        <i/>
        <sz val="10"/>
        <rFont val="Trebuchet MS"/>
        <family val="2"/>
      </rPr>
      <t xml:space="preserve">Elevation Difference + </t>
    </r>
    <r>
      <rPr>
        <sz val="10"/>
        <rFont val="Trebuchet MS"/>
        <family val="2"/>
      </rPr>
      <t>Distribution Head Loss, + Additional Head Loss + Supply Friction Loss</t>
    </r>
  </si>
  <si>
    <r>
      <t xml:space="preserve">(Pump and block height + 2 inches) X </t>
    </r>
    <r>
      <rPr>
        <i/>
        <sz val="10"/>
        <rFont val="Trebuchet MS"/>
        <family val="2"/>
      </rPr>
      <t>Gallons Per Inch</t>
    </r>
  </si>
  <si>
    <t>in)         X</t>
  </si>
  <si>
    <t>in         +</t>
  </si>
  <si>
    <t>Landscape Position</t>
  </si>
  <si>
    <t>Back/Side Slope</t>
  </si>
  <si>
    <t>Landscape Position: (select one)</t>
  </si>
  <si>
    <t>Elevation-relative to benchmark:</t>
  </si>
  <si>
    <t>S1. Distinct gray or red redox features</t>
  </si>
  <si>
    <t>S2. Depleted matrix (value &gt;/=4 and chroma &lt;/=2)</t>
  </si>
  <si>
    <t>Limiting Layer Elevation:</t>
  </si>
  <si>
    <t>Elevation of Limiting Condition</t>
  </si>
  <si>
    <t>TRENCH CONFIGURATION</t>
  </si>
  <si>
    <t>Chamber Low Profile</t>
  </si>
  <si>
    <t>Chamber High Capacity</t>
  </si>
  <si>
    <t>Eljen GSF</t>
  </si>
  <si>
    <t>Select Trench/Registered Width:</t>
  </si>
  <si>
    <t>Check registered product information for specific application details  and design</t>
  </si>
  <si>
    <t>ROCK MATERIALS</t>
  </si>
  <si>
    <t>REGISTERED PRODUCTS MATERIALS</t>
  </si>
  <si>
    <t>Model:</t>
  </si>
  <si>
    <t>Percentge of Design Flow</t>
  </si>
  <si>
    <t>0%</t>
  </si>
  <si>
    <t>Up to 75% design flow is normal for Design percentage</t>
  </si>
  <si>
    <t>%       =</t>
  </si>
  <si>
    <t>in        X</t>
  </si>
  <si>
    <t>gal/in    =</t>
  </si>
  <si>
    <t>Reserve Capacity in gallons = (Tank Depth - Alarm Depth) X GPI</t>
  </si>
  <si>
    <t>HR</t>
  </si>
  <si>
    <t>MIN</t>
  </si>
  <si>
    <t>SEC</t>
  </si>
  <si>
    <t>Reserve Capacity</t>
  </si>
  <si>
    <t>Storage Capacity</t>
  </si>
  <si>
    <t>gal    -</t>
  </si>
  <si>
    <t>If yes, Indicate distribution or treatment method:</t>
  </si>
  <si>
    <t>Rapidly Permiable Soil Design Considerations:</t>
  </si>
  <si>
    <t>15% Trench Distribution = Required Bottom Area x 15%.</t>
  </si>
  <si>
    <t>Designed Number of Trenches:</t>
  </si>
  <si>
    <t>Length Trenches at 15 %: Trench area ÷ Trench Width</t>
  </si>
  <si>
    <r>
      <t>ft</t>
    </r>
    <r>
      <rPr>
        <vertAlign val="superscript"/>
        <sz val="10"/>
        <rFont val="Trebuchet MS"/>
        <family val="2"/>
      </rPr>
      <t>2</t>
    </r>
    <r>
      <rPr>
        <sz val="10"/>
        <rFont val="Trebuchet MS"/>
        <family val="2"/>
      </rPr>
      <t xml:space="preserve">   x</t>
    </r>
  </si>
  <si>
    <t>Based on 15% sections</t>
  </si>
  <si>
    <t>Based on CLR minimum length</t>
  </si>
  <si>
    <t>Equal Length per Trench = Actual Trench Length  ÷ Number of Trenches</t>
  </si>
  <si>
    <t>Trench Distribution</t>
  </si>
  <si>
    <t>Gravity - Drop Box</t>
  </si>
  <si>
    <t>Gravity - Other</t>
  </si>
  <si>
    <t>Bed Dristribution</t>
  </si>
  <si>
    <t>Product:</t>
  </si>
  <si>
    <t>Note:  For 0 to 1% slopes, Absorbtion Width is measured from the pipe and divided equally in both directions.  For slopes . 1%, Absorption Width is measured dowhill from the pipe.</t>
  </si>
  <si>
    <r>
      <t xml:space="preserve">Calculate </t>
    </r>
    <r>
      <rPr>
        <i/>
        <sz val="10"/>
        <rFont val="Trebuchet MS"/>
        <family val="2"/>
      </rPr>
      <t>Doses Per Day</t>
    </r>
    <r>
      <rPr>
        <sz val="10"/>
        <rFont val="Trebuchet MS"/>
        <family val="2"/>
      </rPr>
      <t xml:space="preserve"> = Percentage Design Flow </t>
    </r>
    <r>
      <rPr>
        <sz val="12"/>
        <rFont val="Trebuchet MS"/>
        <family val="2"/>
      </rPr>
      <t>÷</t>
    </r>
    <r>
      <rPr>
        <sz val="10"/>
        <rFont val="Trebuchet MS"/>
        <family val="2"/>
      </rPr>
      <t xml:space="preserve"> </t>
    </r>
    <r>
      <rPr>
        <i/>
        <sz val="10"/>
        <rFont val="Trebuchet MS"/>
        <family val="2"/>
      </rPr>
      <t>Delivered Volume</t>
    </r>
  </si>
  <si>
    <r>
      <t>GPM</t>
    </r>
    <r>
      <rPr>
        <b/>
        <sz val="10"/>
        <rFont val="Trebuchet MS"/>
        <family val="2"/>
      </rPr>
      <t>*</t>
    </r>
  </si>
  <si>
    <t>gal            ÷</t>
  </si>
  <si>
    <t>Holding Tank</t>
  </si>
  <si>
    <t>Septic/Dosing Combo</t>
  </si>
  <si>
    <r>
      <t>GPD/ft</t>
    </r>
    <r>
      <rPr>
        <vertAlign val="superscript"/>
        <sz val="10"/>
        <rFont val="Trebuchet MS"/>
        <family val="2"/>
      </rPr>
      <t xml:space="preserve">2     </t>
    </r>
    <r>
      <rPr>
        <sz val="10"/>
        <rFont val="Trebuchet MS"/>
        <family val="2"/>
      </rPr>
      <t>=</t>
    </r>
  </si>
  <si>
    <t>Registered Media</t>
  </si>
  <si>
    <t>Total Dosing Volume ÷ GPM</t>
  </si>
  <si>
    <t>gpm         =</t>
  </si>
  <si>
    <t>Is distribution media installed in contact with sand or loamy sand or with a percolation rate of 0.1 to 5 mpi?</t>
  </si>
  <si>
    <t>in ) ÷ 12    X</t>
  </si>
  <si>
    <t>Pipe Diameter</t>
  </si>
  <si>
    <t>(Bedroom +1)*38)+66</t>
  </si>
  <si>
    <t>* See Code Book</t>
  </si>
  <si>
    <r>
      <t xml:space="preserve">Dwelling Classification ** </t>
    </r>
    <r>
      <rPr>
        <sz val="10"/>
        <color indexed="8"/>
        <rFont val="Trebuchet MS"/>
        <family val="2"/>
      </rPr>
      <t>(see Table IV)</t>
    </r>
  </si>
  <si>
    <t>(Bedroom +1)*75</t>
  </si>
  <si>
    <t>* Use 1.0 for the flow from the ten highest flow dwellings and 0.45 for remaining dwellings   ** See Code Book for Type IV House Class Flows</t>
  </si>
  <si>
    <t>House Class</t>
  </si>
  <si>
    <t>Per Bedroom Flow Determination</t>
  </si>
  <si>
    <t>Site in Well Head Protection inner wellhead management zone (Y/N)</t>
  </si>
  <si>
    <t>Benchmark Elevation:</t>
  </si>
  <si>
    <t>Benchmark Elevation Location:</t>
  </si>
  <si>
    <t>Elevations and Benchmark on map? (Y/N):</t>
  </si>
  <si>
    <t>Pit</t>
  </si>
  <si>
    <t>Single Grain</t>
  </si>
  <si>
    <t xml:space="preserve">Slope shape is described in two directions: 
up and down slope (perpendicular to the contour), and across slope (along the horizontal contour); 
e.g. Linear, Convex or LV'. </t>
  </si>
  <si>
    <t>Flat or slightly rounded vertical faces bound the individual peds.  Peds are distinctly longer vertically, and faces are typically casts or molds of adjoining peds. Prismatic structure is commonly found in the lower subsoil.</t>
  </si>
  <si>
    <t>The peds are block-like or polyhedral, and are bounded by flat or slightly rounded surface that are castings of the faces of surrounding peds. Blocky structure is commonly found in the lower topsoil and subsoil.</t>
  </si>
  <si>
    <t>Sand*</t>
  </si>
  <si>
    <t>S</t>
  </si>
  <si>
    <t>Loamy Sand*</t>
  </si>
  <si>
    <t>LS</t>
  </si>
  <si>
    <t>Sandy Loam*</t>
  </si>
  <si>
    <t>SL</t>
  </si>
  <si>
    <t>L</t>
  </si>
  <si>
    <t>SiL</t>
  </si>
  <si>
    <t>Si</t>
  </si>
  <si>
    <t>T6. Hydraulic indicators</t>
  </si>
  <si>
    <t>SCL</t>
  </si>
  <si>
    <t>SiCL</t>
  </si>
  <si>
    <t>Very Fine</t>
  </si>
  <si>
    <t>VF</t>
  </si>
  <si>
    <t>CL</t>
  </si>
  <si>
    <t>Fine</t>
  </si>
  <si>
    <t>F</t>
  </si>
  <si>
    <t>SC</t>
  </si>
  <si>
    <t>Medium</t>
  </si>
  <si>
    <t>M</t>
  </si>
  <si>
    <t>SiC</t>
  </si>
  <si>
    <t>Coarse</t>
  </si>
  <si>
    <t>Co</t>
  </si>
  <si>
    <t>*Sand Modifiers:</t>
  </si>
  <si>
    <t>Peak Percentage of Design Flow</t>
  </si>
  <si>
    <t>DrainBack</t>
  </si>
  <si>
    <t>gal    +</t>
  </si>
  <si>
    <t>Peak TIMER ON</t>
  </si>
  <si>
    <t>gpm =</t>
  </si>
  <si>
    <t>gal ÷</t>
  </si>
  <si>
    <r>
      <rPr>
        <i/>
        <sz val="10"/>
        <rFont val="Trebuchet MS"/>
        <family val="2"/>
      </rPr>
      <t>Volume to Cover Pump</t>
    </r>
    <r>
      <rPr>
        <sz val="10"/>
        <rFont val="Trebuchet MS"/>
        <family val="2"/>
      </rPr>
      <t xml:space="preserve"> (The inlet of pump should be 4 in from the bottom of the tank &amp; 2 in covering the pump recommended)</t>
    </r>
  </si>
  <si>
    <t>doses/day  -</t>
  </si>
  <si>
    <t>min On</t>
  </si>
  <si>
    <t>Peak TIMER OFF:1440 min ÷</t>
  </si>
  <si>
    <t>min ON</t>
  </si>
  <si>
    <t>min Off</t>
  </si>
  <si>
    <t>Peak Dose Volume</t>
  </si>
  <si>
    <t>20.</t>
  </si>
  <si>
    <t>21.</t>
  </si>
  <si>
    <t>22.</t>
  </si>
  <si>
    <t>NORMAL OPERATION TIMER  SETTINGS*</t>
  </si>
  <si>
    <t>Peak Pump out Volume that meets both Minimum and Maximum Volume</t>
  </si>
  <si>
    <t>FLOAT SETTINGS</t>
  </si>
  <si>
    <t>Normal Dose Volume</t>
  </si>
  <si>
    <r>
      <t xml:space="preserve">OPTIONAL PEAK ENABLE DOSING* - </t>
    </r>
    <r>
      <rPr>
        <b/>
        <i/>
        <sz val="10"/>
        <rFont val="Trebuchet MS"/>
        <family val="2"/>
      </rPr>
      <t>Desingers option for peak flow operation</t>
    </r>
  </si>
  <si>
    <t>1440 min  ÷</t>
  </si>
  <si>
    <t xml:space="preserve"> 1.</t>
  </si>
  <si>
    <t xml:space="preserve"> 2.</t>
  </si>
  <si>
    <t xml:space="preserve"> 3.</t>
  </si>
  <si>
    <t xml:space="preserve"> 4.</t>
  </si>
  <si>
    <t xml:space="preserve"> 5.</t>
  </si>
  <si>
    <t xml:space="preserve"> 6.</t>
  </si>
  <si>
    <t xml:space="preserve"> 7.</t>
  </si>
  <si>
    <t xml:space="preserve"> 8.</t>
  </si>
  <si>
    <t xml:space="preserve"> 9.</t>
  </si>
  <si>
    <r>
      <t xml:space="preserve">Calculate </t>
    </r>
    <r>
      <rPr>
        <b/>
        <u/>
        <sz val="10"/>
        <rFont val="Trebuchet MS"/>
        <family val="2"/>
      </rPr>
      <t>TIMER ON</t>
    </r>
    <r>
      <rPr>
        <sz val="10"/>
        <rFont val="Trebuchet MS"/>
        <family val="2"/>
      </rPr>
      <t xml:space="preserve"> setting</t>
    </r>
    <r>
      <rPr>
        <b/>
        <sz val="10"/>
        <rFont val="Trebuchet MS"/>
        <family val="2"/>
      </rPr>
      <t>*</t>
    </r>
    <r>
      <rPr>
        <sz val="10"/>
        <rFont val="Trebuchet MS"/>
        <family val="2"/>
      </rPr>
      <t xml:space="preserve">: </t>
    </r>
  </si>
  <si>
    <r>
      <t>Calculated</t>
    </r>
    <r>
      <rPr>
        <b/>
        <sz val="10"/>
        <rFont val="Trebuchet MS"/>
        <family val="2"/>
      </rPr>
      <t xml:space="preserve"> </t>
    </r>
    <r>
      <rPr>
        <b/>
        <u/>
        <sz val="10"/>
        <rFont val="Trebuchet MS"/>
        <family val="2"/>
      </rPr>
      <t>TIMER OFF</t>
    </r>
    <r>
      <rPr>
        <sz val="10"/>
        <rFont val="Trebuchet MS"/>
        <family val="2"/>
      </rPr>
      <t xml:space="preserve"> setting</t>
    </r>
    <r>
      <rPr>
        <b/>
        <sz val="10"/>
        <rFont val="Trebuchet MS"/>
        <family val="2"/>
      </rPr>
      <t>*</t>
    </r>
    <r>
      <rPr>
        <sz val="10"/>
        <rFont val="Trebuchet MS"/>
        <family val="2"/>
      </rPr>
      <t>:</t>
    </r>
  </si>
  <si>
    <r>
      <t xml:space="preserve">Minutes </t>
    </r>
    <r>
      <rPr>
        <b/>
        <sz val="10"/>
        <rFont val="Trebuchet MS"/>
        <family val="2"/>
      </rPr>
      <t>ON</t>
    </r>
    <r>
      <rPr>
        <sz val="10"/>
        <rFont val="Trebuchet MS"/>
        <family val="2"/>
      </rPr>
      <t>*</t>
    </r>
  </si>
  <si>
    <r>
      <t xml:space="preserve">Minutes </t>
    </r>
    <r>
      <rPr>
        <b/>
        <sz val="10"/>
        <rFont val="Trebuchet MS"/>
        <family val="2"/>
      </rPr>
      <t>OFF</t>
    </r>
    <r>
      <rPr>
        <sz val="10"/>
        <rFont val="Trebuchet MS"/>
        <family val="2"/>
      </rPr>
      <t>*</t>
    </r>
  </si>
  <si>
    <t>From Pump Curve - Must verify after Install:</t>
  </si>
  <si>
    <t>Select Flow Rate from Line 11.A or 11.B:</t>
  </si>
  <si>
    <t>GPM*</t>
  </si>
  <si>
    <t>Working Storage Volume = Tank Volume -Volume to Cover Pump - Reserve Capacity</t>
  </si>
  <si>
    <t>Peak Pump Volume that meets both Minimum and Maximum Volume</t>
  </si>
  <si>
    <r>
      <t xml:space="preserve">Endslope Multiplier </t>
    </r>
    <r>
      <rPr>
        <sz val="10"/>
        <rFont val="Trebuchet MS"/>
        <family val="2"/>
      </rPr>
      <t>(Minimum 4.0)</t>
    </r>
  </si>
  <si>
    <t>(Endslope Minimum of 6 feet)</t>
  </si>
  <si>
    <r>
      <t xml:space="preserve">Determine </t>
    </r>
    <r>
      <rPr>
        <i/>
        <sz val="10"/>
        <rFont val="Trebuchet MS"/>
        <family val="2"/>
      </rPr>
      <t>System Height</t>
    </r>
    <r>
      <rPr>
        <sz val="10"/>
        <rFont val="Trebuchet MS"/>
        <family val="2"/>
      </rPr>
      <t xml:space="preserve"> = Full depth of media +  12" cover)</t>
    </r>
  </si>
  <si>
    <t>1. a</t>
  </si>
  <si>
    <t>1. b</t>
  </si>
  <si>
    <r>
      <t xml:space="preserve">Registered Media Size + 12" Cover   </t>
    </r>
    <r>
      <rPr>
        <i/>
        <sz val="10"/>
        <color rgb="FFFF0000"/>
        <rFont val="Trebuchet MS"/>
        <family val="2"/>
      </rPr>
      <t>See product registration information</t>
    </r>
  </si>
  <si>
    <t>+  1 foot required cover</t>
  </si>
  <si>
    <t>Media Depth (ft)      +</t>
  </si>
  <si>
    <t>Media Depth (in)</t>
  </si>
  <si>
    <t>This is the maximimum depth to the bottom of the distribution media for required separation.  Negative Depth (ft) means it must be a mound.</t>
  </si>
  <si>
    <t xml:space="preserve">% Capacity       </t>
  </si>
  <si>
    <t>7 Day Avg</t>
  </si>
  <si>
    <t xml:space="preserve">% Capacity        </t>
  </si>
  <si>
    <t>Day             (91-120)</t>
  </si>
  <si>
    <t>Day             (121-150)</t>
  </si>
  <si>
    <t>Day              (151-180)</t>
  </si>
  <si>
    <t xml:space="preserve">% Capacity      </t>
  </si>
  <si>
    <t>Full capacity flow from 7 busiest consecutive days:</t>
  </si>
  <si>
    <t>Average Flow (Do not include days with no flow)</t>
  </si>
  <si>
    <t>*Most Restrictive Depth Identified from List Below</t>
  </si>
  <si>
    <t>Limiting Condition*:</t>
  </si>
  <si>
    <t>Designed Trench Depth</t>
  </si>
  <si>
    <t xml:space="preserve">ft   </t>
  </si>
  <si>
    <t>Upslope Height = Clean Sand Lift  + Depth of Media + Depth to Cover Pipe + Depth of Cover (1 ft)</t>
  </si>
  <si>
    <t xml:space="preserve">Upslope Height: Clean Sand Lift  + Depth of Media +Depth to Cover Pipe+ Depth of Cover (1 ft) </t>
  </si>
  <si>
    <t>*Start with Highest daily flow value</t>
  </si>
  <si>
    <t>Daily Flow Volume*(gal)</t>
  </si>
  <si>
    <t>Separation Distance</t>
  </si>
  <si>
    <t>Clean Sand Lift: Required Separation - Depth to Limiting Condition = Clean Sand Lift (1 ft minimum)</t>
  </si>
  <si>
    <t>Distance to set Alarm Float = Tank Depth  X  % of Tank Depth (90% recommended)</t>
  </si>
  <si>
    <t xml:space="preserve">ft required   = </t>
  </si>
  <si>
    <t>Total ft   -</t>
  </si>
  <si>
    <t>Sidewall Height (in)</t>
  </si>
  <si>
    <t>Required Separation (in)</t>
  </si>
  <si>
    <t>Trench Width (in)</t>
  </si>
  <si>
    <t>Minimum 12 inch cover</t>
  </si>
  <si>
    <t>Total Feet</t>
  </si>
  <si>
    <t>Number of Trenchs</t>
  </si>
  <si>
    <t>One 4" Inspection pipe per trench</t>
  </si>
  <si>
    <t>Dimension Summary</t>
  </si>
  <si>
    <t>Max Depth (in)- Design</t>
  </si>
  <si>
    <t>Max Depth (in) - Code</t>
  </si>
  <si>
    <t>End View</t>
  </si>
  <si>
    <t>Top View</t>
  </si>
  <si>
    <t>Bed Width  (ft)</t>
  </si>
  <si>
    <t>Bed Length  (ft)</t>
  </si>
  <si>
    <t>Manifold Conntection:</t>
  </si>
  <si>
    <t>One 4" Inspection pipe per bed required</t>
  </si>
  <si>
    <t>BED CONFIGURATION: (Less than 6% slope required)</t>
  </si>
  <si>
    <t>Bottom Area (sq ft)</t>
  </si>
  <si>
    <t>Minimum</t>
  </si>
  <si>
    <t>Distribution Pipes must be no less 12 inches and no more than 24 inches from the edge</t>
  </si>
  <si>
    <t>DISTRIBUTION MEDIA:</t>
  </si>
  <si>
    <t>Specific Media Comments:</t>
  </si>
  <si>
    <t>Enter Either A. or B.</t>
  </si>
  <si>
    <t>Registered Media Depth</t>
  </si>
  <si>
    <t>If a larger dispersal media Length is desired, enter size:</t>
  </si>
  <si>
    <t>MOUND DIMENSIONS (Feet)</t>
  </si>
  <si>
    <t>If registered media depth to cover pipe is 0</t>
  </si>
  <si>
    <t>(Feet)</t>
  </si>
  <si>
    <t>Minimum Length</t>
  </si>
  <si>
    <t>Optional upsizing of bed area to be larger than 2.B.</t>
  </si>
  <si>
    <t>Alt Phone:</t>
  </si>
  <si>
    <t>v 03.01.2021</t>
  </si>
  <si>
    <t xml:space="preserve">Required Separation </t>
  </si>
  <si>
    <t>(in)</t>
  </si>
  <si>
    <t xml:space="preserve">Media Depth </t>
  </si>
  <si>
    <t>Required Separation</t>
  </si>
  <si>
    <t>Media Depth</t>
  </si>
  <si>
    <t>ft + 1ft</t>
  </si>
  <si>
    <t>Benchmark:</t>
  </si>
  <si>
    <t>Other:</t>
  </si>
  <si>
    <t>Medium Sand</t>
  </si>
  <si>
    <t>Medium Loamy Sand</t>
  </si>
  <si>
    <t>Medium Sandy Loam</t>
  </si>
  <si>
    <t>Total Length to be Installed:</t>
  </si>
  <si>
    <t xml:space="preserve"> Total Designed for Install  - Total Trench Required (must be a positive number)</t>
  </si>
  <si>
    <r>
      <t xml:space="preserve">Rock below pipe  + (Dia pipe + Rock above pipe (total 3 inches))      </t>
    </r>
    <r>
      <rPr>
        <b/>
        <sz val="10"/>
        <rFont val="Trebuchet MS"/>
        <family val="2"/>
      </rPr>
      <t>OR</t>
    </r>
  </si>
  <si>
    <t>Perferation Size:</t>
  </si>
  <si>
    <t>Perferation Spacing</t>
  </si>
  <si>
    <t>If Split and Non-Level Pressure Distribution Used: See Non-Level Pressure Distribution Form</t>
  </si>
  <si>
    <t>Perforation Size:</t>
  </si>
  <si>
    <t>Perforation Spacing:</t>
  </si>
  <si>
    <t>Media Depth:</t>
  </si>
  <si>
    <t>Required Separation:</t>
  </si>
  <si>
    <t>Manifold Connection:</t>
  </si>
  <si>
    <t>If Registered Media</t>
  </si>
  <si>
    <r>
      <t>ft</t>
    </r>
    <r>
      <rPr>
        <sz val="14"/>
        <color indexed="8"/>
        <rFont val="Trebuchet MS"/>
        <family val="2"/>
      </rPr>
      <t>)</t>
    </r>
    <r>
      <rPr>
        <sz val="12"/>
        <color indexed="8"/>
        <rFont val="Trebuchet MS"/>
        <family val="2"/>
      </rPr>
      <t xml:space="preserve"> </t>
    </r>
    <r>
      <rPr>
        <vertAlign val="superscript"/>
        <sz val="12"/>
        <color indexed="8"/>
        <rFont val="Trebuchet MS"/>
        <family val="2"/>
      </rPr>
      <t>2</t>
    </r>
    <r>
      <rPr>
        <sz val="12"/>
        <color indexed="8"/>
        <rFont val="Trebuchet MS"/>
        <family val="2"/>
      </rPr>
      <t xml:space="preserve">  =</t>
    </r>
  </si>
  <si>
    <t xml:space="preserve"> 3.14  X       (</t>
  </si>
  <si>
    <t>v 04.01.2021</t>
  </si>
  <si>
    <t>3. Soil Observation Log</t>
  </si>
  <si>
    <t>4. Ad. Soil Logs (5)</t>
  </si>
  <si>
    <t>The 2021 Design forms included in this file are intended to meet the 2021 Chapter 7080 Rules.  
Please check back to the website frequently and download the most current version.  
There are 37 worksheets and additional supporting information in the 2021 SSTS Design Form Workbook, they are:</t>
  </si>
  <si>
    <t>Type III/IV/V Details: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</si>
</sst>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164" formatCode="0.000"/>
    <numFmt numFmtId="165" formatCode="0.0"/>
    <numFmt numFmtId="166" formatCode="[$-409]mmmm\ d\,\ yyyy;@"/>
    <numFmt numFmtId="167" formatCode="0;\-0;;@"/>
    <numFmt numFmtId="168" formatCode="0.0;\-0;;@"/>
    <numFmt numFmtId="169" formatCode="0.00;\-0;;@"/>
    <numFmt numFmtId="170" formatCode="0.0%"/>
    <numFmt numFmtId="171" formatCode="0.0;\-0.000;;@"/>
    <numFmt numFmtId="172" formatCode="m/d/yy;@"/>
    <numFmt numFmtId="173" formatCode="_([$€-2]* #,##0.00_);_([$€-2]* \(#,##0.00\);_([$€-2]* &quot;-&quot;??_)"/>
    <numFmt numFmtId="174" formatCode="mm/dd/yy;@"/>
    <numFmt numFmtId="175" formatCode=";;;"/>
    <numFmt numFmtId="176" formatCode="0.00000"/>
    <numFmt numFmtId="177" formatCode="#,##0.0"/>
    <numFmt numFmtId="178" formatCode="[$-409]h:mm\ AM/PM;@"/>
    <numFmt numFmtId="179" formatCode="0.0;\-0.0;;@"/>
    <numFmt numFmtId="180" formatCode="0.0_);[Red]\(0.0\)"/>
    <numFmt numFmtId="181" formatCode="0.00;\-0.00;;@"/>
  </numFmts>
  <fonts count="14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font>
    <font>
      <sz val="10"/>
      <name val="Arial"/>
      <family val="2"/>
    </font>
    <font>
      <b/>
      <sz val="16"/>
      <name val="Trebuchet MS"/>
      <family val="2"/>
    </font>
    <font>
      <sz val="10"/>
      <name val="Trebuchet MS"/>
      <family val="2"/>
    </font>
    <font>
      <i/>
      <sz val="10"/>
      <name val="Trebuchet MS"/>
      <family val="2"/>
    </font>
    <font>
      <b/>
      <sz val="10"/>
      <name val="Trebuchet MS"/>
      <family val="2"/>
    </font>
    <font>
      <b/>
      <sz val="12"/>
      <name val="Trebuchet MS"/>
      <family val="2"/>
    </font>
    <font>
      <sz val="12"/>
      <name val="Trebuchet MS"/>
      <family val="2"/>
    </font>
    <font>
      <sz val="10"/>
      <color indexed="9"/>
      <name val="Trebuchet MS"/>
      <family val="2"/>
    </font>
    <font>
      <b/>
      <vertAlign val="superscript"/>
      <sz val="10"/>
      <name val="Trebuchet MS"/>
      <family val="2"/>
    </font>
    <font>
      <b/>
      <i/>
      <sz val="10"/>
      <name val="Trebuchet MS"/>
      <family val="2"/>
    </font>
    <font>
      <sz val="9"/>
      <name val="Trebuchet MS"/>
      <family val="2"/>
    </font>
    <font>
      <vertAlign val="superscript"/>
      <sz val="10"/>
      <name val="Trebuchet MS"/>
      <family val="2"/>
    </font>
    <font>
      <sz val="10"/>
      <name val="Arial"/>
      <family val="2"/>
    </font>
    <font>
      <b/>
      <sz val="20"/>
      <name val="Trebuchet MS"/>
      <family val="2"/>
    </font>
    <font>
      <sz val="8"/>
      <name val="Arial"/>
      <family val="2"/>
    </font>
    <font>
      <sz val="10"/>
      <name val="Arial Narrow"/>
      <family val="2"/>
    </font>
    <font>
      <b/>
      <sz val="10"/>
      <name val="Arial"/>
      <family val="2"/>
    </font>
    <font>
      <sz val="11"/>
      <color indexed="8"/>
      <name val="Calibri"/>
      <family val="2"/>
    </font>
    <font>
      <sz val="20"/>
      <name val="Trebuchet MS"/>
      <family val="2"/>
    </font>
    <font>
      <sz val="20"/>
      <name val="Arial"/>
      <family val="2"/>
    </font>
    <font>
      <b/>
      <sz val="22"/>
      <name val="Trebuchet MS"/>
      <family val="2"/>
    </font>
    <font>
      <sz val="10"/>
      <name val="Trebuchet MS"/>
      <family val="2"/>
    </font>
    <font>
      <sz val="10"/>
      <name val="AmerType Md BT"/>
      <family val="1"/>
    </font>
    <font>
      <sz val="14"/>
      <name val="Trebuchet MS"/>
      <family val="2"/>
    </font>
    <font>
      <sz val="9"/>
      <name val="Arial"/>
      <family val="2"/>
    </font>
    <font>
      <b/>
      <sz val="20"/>
      <color indexed="8"/>
      <name val="Trebuchet MS"/>
      <family val="2"/>
    </font>
    <font>
      <sz val="10"/>
      <color indexed="8"/>
      <name val="Trebuchet MS"/>
      <family val="2"/>
    </font>
    <font>
      <b/>
      <sz val="10"/>
      <color indexed="8"/>
      <name val="Trebuchet MS"/>
      <family val="2"/>
    </font>
    <font>
      <sz val="10"/>
      <color indexed="54"/>
      <name val="Trebuchet MS"/>
      <family val="2"/>
    </font>
    <font>
      <sz val="10"/>
      <color indexed="9"/>
      <name val="Arial"/>
      <family val="2"/>
    </font>
    <font>
      <b/>
      <sz val="10"/>
      <color indexed="9"/>
      <name val="Trebuchet MS"/>
      <family val="2"/>
    </font>
    <font>
      <sz val="8"/>
      <name val="Trebuchet MS"/>
      <family val="2"/>
    </font>
    <font>
      <sz val="10"/>
      <color indexed="10"/>
      <name val="Trebuchet MS"/>
      <family val="2"/>
    </font>
    <font>
      <i/>
      <vertAlign val="superscript"/>
      <sz val="10"/>
      <name val="Trebuchet MS"/>
      <family val="2"/>
    </font>
    <font>
      <b/>
      <sz val="14"/>
      <name val="Trebuchet MS"/>
      <family val="2"/>
    </font>
    <font>
      <b/>
      <sz val="14"/>
      <name val="Arial"/>
      <family val="2"/>
    </font>
    <font>
      <sz val="11"/>
      <color indexed="8"/>
      <name val="Trebuchet MS"/>
      <family val="2"/>
    </font>
    <font>
      <sz val="16"/>
      <color indexed="8"/>
      <name val="Trebuchet MS"/>
      <family val="2"/>
    </font>
    <font>
      <i/>
      <sz val="10"/>
      <color indexed="8"/>
      <name val="Trebuchet MS"/>
      <family val="2"/>
    </font>
    <font>
      <vertAlign val="subscript"/>
      <sz val="10"/>
      <name val="Trebuchet MS"/>
      <family val="2"/>
    </font>
    <font>
      <i/>
      <sz val="11"/>
      <color indexed="8"/>
      <name val="Trebuchet MS"/>
      <family val="2"/>
    </font>
    <font>
      <sz val="11"/>
      <name val="Trebuchet MS"/>
      <family val="2"/>
    </font>
    <font>
      <i/>
      <sz val="9"/>
      <name val="Trebuchet MS"/>
      <family val="2"/>
    </font>
    <font>
      <i/>
      <sz val="10"/>
      <name val="Arial"/>
      <family val="2"/>
    </font>
    <font>
      <vertAlign val="superscript"/>
      <sz val="12"/>
      <name val="Trebuchet MS"/>
      <family val="2"/>
    </font>
    <font>
      <sz val="10"/>
      <color indexed="22"/>
      <name val="Trebuchet MS"/>
      <family val="2"/>
    </font>
    <font>
      <b/>
      <sz val="18"/>
      <color indexed="8"/>
      <name val="Trebuchet MS"/>
      <family val="2"/>
    </font>
    <font>
      <b/>
      <vertAlign val="subscript"/>
      <sz val="10"/>
      <name val="Trebuchet MS"/>
      <family val="2"/>
    </font>
    <font>
      <b/>
      <sz val="11"/>
      <name val="Trebuchet MS"/>
      <family val="2"/>
    </font>
    <font>
      <i/>
      <u/>
      <sz val="10"/>
      <name val="Trebuchet MS"/>
      <family val="2"/>
    </font>
    <font>
      <vertAlign val="superscript"/>
      <sz val="10"/>
      <name val="Arial"/>
      <family val="2"/>
    </font>
    <font>
      <b/>
      <i/>
      <sz val="10"/>
      <color indexed="8"/>
      <name val="Trebuchet MS"/>
      <family val="2"/>
    </font>
    <font>
      <sz val="9"/>
      <name val="Arial"/>
      <family val="2"/>
    </font>
    <font>
      <sz val="10"/>
      <color indexed="60"/>
      <name val="Trebuchet MS"/>
      <family val="2"/>
    </font>
    <font>
      <sz val="12"/>
      <name val="Arial"/>
      <family val="2"/>
    </font>
    <font>
      <b/>
      <sz val="12"/>
      <color indexed="8"/>
      <name val="Trebuchet MS"/>
      <family val="2"/>
    </font>
    <font>
      <sz val="12"/>
      <color indexed="8"/>
      <name val="Trebuchet MS"/>
      <family val="2"/>
    </font>
    <font>
      <b/>
      <i/>
      <sz val="12"/>
      <name val="Trebuchet MS"/>
      <family val="2"/>
    </font>
    <font>
      <sz val="11"/>
      <color indexed="9"/>
      <name val="Trebuchet MS"/>
      <family val="2"/>
    </font>
    <font>
      <b/>
      <sz val="10"/>
      <color indexed="10"/>
      <name val="Trebuchet MS"/>
      <family val="2"/>
    </font>
    <font>
      <vertAlign val="superscript"/>
      <sz val="10"/>
      <color indexed="8"/>
      <name val="Trebuchet MS"/>
      <family val="2"/>
    </font>
    <font>
      <sz val="10"/>
      <name val="Arial"/>
      <family val="2"/>
    </font>
    <font>
      <vertAlign val="superscript"/>
      <sz val="12"/>
      <color indexed="8"/>
      <name val="Trebuchet MS"/>
      <family val="2"/>
    </font>
    <font>
      <sz val="11"/>
      <color indexed="8"/>
      <name val="Trebuchet MS"/>
      <family val="2"/>
    </font>
    <font>
      <sz val="12"/>
      <color indexed="8"/>
      <name val="Trebuchet MS"/>
      <family val="2"/>
    </font>
    <font>
      <i/>
      <sz val="11"/>
      <color indexed="8"/>
      <name val="Trebuchet MS"/>
      <family val="2"/>
    </font>
    <font>
      <sz val="14"/>
      <color indexed="8"/>
      <name val="Trebuchet MS"/>
      <family val="2"/>
    </font>
    <font>
      <b/>
      <sz val="11"/>
      <color indexed="8"/>
      <name val="Trebuchet MS"/>
      <family val="2"/>
    </font>
    <font>
      <sz val="10"/>
      <color indexed="8"/>
      <name val="Trebuchet MS"/>
      <family val="2"/>
    </font>
    <font>
      <sz val="10"/>
      <color indexed="9"/>
      <name val="Trebuchet MS"/>
      <family val="2"/>
    </font>
    <font>
      <i/>
      <sz val="10"/>
      <color indexed="8"/>
      <name val="Trebuchet MS"/>
      <family val="2"/>
    </font>
    <font>
      <b/>
      <sz val="10"/>
      <color indexed="47"/>
      <name val="Trebuchet MS"/>
      <family val="2"/>
    </font>
    <font>
      <sz val="12"/>
      <color indexed="8"/>
      <name val="Calibri"/>
      <family val="2"/>
    </font>
    <font>
      <vertAlign val="superscript"/>
      <sz val="12"/>
      <color indexed="8"/>
      <name val="Calibri"/>
      <family val="2"/>
    </font>
    <font>
      <b/>
      <vertAlign val="subscript"/>
      <sz val="12"/>
      <color indexed="8"/>
      <name val="Trebuchet MS"/>
      <family val="2"/>
    </font>
    <font>
      <b/>
      <vertAlign val="superscript"/>
      <sz val="12"/>
      <color indexed="8"/>
      <name val="Trebuchet MS"/>
      <family val="2"/>
    </font>
    <font>
      <vertAlign val="subscript"/>
      <sz val="12"/>
      <color indexed="8"/>
      <name val="Trebuchet MS"/>
      <family val="2"/>
    </font>
    <font>
      <sz val="16"/>
      <name val="Trebuchet MS"/>
      <family val="2"/>
    </font>
    <font>
      <sz val="12"/>
      <color indexed="8"/>
      <name val="Trebuchet MS"/>
      <family val="2"/>
    </font>
    <font>
      <sz val="10"/>
      <color indexed="8"/>
      <name val="Trebuchet MS"/>
      <family val="2"/>
    </font>
    <font>
      <b/>
      <sz val="12"/>
      <color indexed="8"/>
      <name val="Trebuchet MS"/>
      <family val="2"/>
    </font>
    <font>
      <b/>
      <sz val="10"/>
      <color indexed="8"/>
      <name val="Trebuchet MS"/>
      <family val="2"/>
    </font>
    <font>
      <i/>
      <sz val="10"/>
      <color indexed="8"/>
      <name val="Trebuchet MS"/>
      <family val="2"/>
    </font>
    <font>
      <sz val="12"/>
      <color indexed="8"/>
      <name val="Calibri"/>
      <family val="2"/>
    </font>
    <font>
      <sz val="10"/>
      <color indexed="8"/>
      <name val="Arial"/>
      <family val="2"/>
    </font>
    <font>
      <u/>
      <sz val="10"/>
      <color indexed="12"/>
      <name val="Arial"/>
      <family val="2"/>
    </font>
    <font>
      <sz val="12"/>
      <name val="Times New Roman"/>
      <family val="1"/>
    </font>
    <font>
      <sz val="10"/>
      <color indexed="63"/>
      <name val="Trebuchet MS"/>
      <family val="2"/>
    </font>
    <font>
      <b/>
      <sz val="10"/>
      <color indexed="63"/>
      <name val="Trebuchet MS"/>
      <family val="2"/>
    </font>
    <font>
      <u/>
      <sz val="10"/>
      <color indexed="8"/>
      <name val="Trebuchet MS"/>
      <family val="2"/>
    </font>
    <font>
      <i/>
      <sz val="9.5"/>
      <name val="Trebuchet MS"/>
      <family val="2"/>
    </font>
    <font>
      <sz val="9.8000000000000007"/>
      <name val="Trebuchet MS"/>
      <family val="2"/>
    </font>
    <font>
      <sz val="11"/>
      <name val="Calibri"/>
      <family val="2"/>
    </font>
    <font>
      <sz val="9.5"/>
      <name val="Trebuchet MS"/>
      <family val="2"/>
    </font>
    <font>
      <b/>
      <sz val="10"/>
      <color indexed="9"/>
      <name val="Trebuchet MS"/>
      <family val="2"/>
    </font>
    <font>
      <sz val="10"/>
      <color indexed="8"/>
      <name val="Trebuchet MS"/>
      <family val="2"/>
    </font>
    <font>
      <sz val="10"/>
      <color indexed="9"/>
      <name val="Trebuchet MS"/>
      <family val="2"/>
    </font>
    <font>
      <sz val="10"/>
      <color indexed="10"/>
      <name val="Trebuchet MS"/>
      <family val="2"/>
    </font>
    <font>
      <sz val="10"/>
      <color indexed="8"/>
      <name val="Trebuchet MS"/>
      <family val="2"/>
    </font>
    <font>
      <sz val="10"/>
      <color indexed="10"/>
      <name val="Trebuchet MS"/>
      <family val="2"/>
    </font>
    <font>
      <i/>
      <sz val="8"/>
      <name val="Trebuchet MS"/>
      <family val="2"/>
    </font>
    <font>
      <sz val="11"/>
      <color theme="1"/>
      <name val="Calibri"/>
      <family val="2"/>
      <scheme val="minor"/>
    </font>
    <font>
      <sz val="10"/>
      <color rgb="FFFF0000"/>
      <name val="Trebuchet MS"/>
      <family val="2"/>
    </font>
    <font>
      <sz val="10"/>
      <color theme="0" tint="-4.9989318521683403E-2"/>
      <name val="Trebuchet MS"/>
      <family val="2"/>
    </font>
    <font>
      <sz val="10"/>
      <color theme="0" tint="-0.249977111117893"/>
      <name val="Trebuchet MS"/>
      <family val="2"/>
    </font>
    <font>
      <sz val="8"/>
      <color rgb="FF000000"/>
      <name val="Tahoma"/>
      <family val="2"/>
    </font>
    <font>
      <sz val="10"/>
      <name val="Calibri"/>
      <family val="2"/>
    </font>
    <font>
      <sz val="11"/>
      <color indexed="22"/>
      <name val="Trebuchet MS"/>
      <family val="2"/>
    </font>
    <font>
      <sz val="10"/>
      <color theme="1"/>
      <name val="Trebuchet MS"/>
      <family val="2"/>
    </font>
    <font>
      <i/>
      <sz val="8"/>
      <color theme="9" tint="-0.249977111117893"/>
      <name val="Trebuchet MS"/>
      <family val="2"/>
    </font>
    <font>
      <i/>
      <sz val="10"/>
      <color theme="9" tint="-0.249977111117893"/>
      <name val="Trebuchet MS"/>
      <family val="2"/>
    </font>
    <font>
      <sz val="10"/>
      <color theme="9" tint="-0.249977111117893"/>
      <name val="Trebuchet MS"/>
      <family val="2"/>
    </font>
    <font>
      <b/>
      <i/>
      <sz val="9"/>
      <name val="Trebuchet MS"/>
      <family val="2"/>
    </font>
    <font>
      <b/>
      <i/>
      <sz val="8"/>
      <color theme="9" tint="-0.249977111117893"/>
      <name val="Trebuchet MS"/>
      <family val="2"/>
    </font>
    <font>
      <b/>
      <i/>
      <sz val="10"/>
      <color rgb="FFFF0000"/>
      <name val="Trebuchet MS"/>
      <family val="2"/>
    </font>
    <font>
      <sz val="10"/>
      <color theme="8"/>
      <name val="Trebuchet MS"/>
      <family val="2"/>
    </font>
    <font>
      <i/>
      <sz val="9"/>
      <color theme="9" tint="-0.249977111117893"/>
      <name val="Trebuchet MS"/>
      <family val="2"/>
    </font>
    <font>
      <sz val="14"/>
      <name val="Calibri"/>
      <family val="2"/>
    </font>
    <font>
      <u/>
      <sz val="10"/>
      <name val="Trebuchet MS"/>
      <family val="2"/>
    </font>
    <font>
      <sz val="8"/>
      <color rgb="FFFF0000"/>
      <name val="Trebuchet MS"/>
      <family val="2"/>
    </font>
    <font>
      <i/>
      <sz val="11"/>
      <name val="Trebuchet MS"/>
      <family val="2"/>
    </font>
    <font>
      <sz val="9"/>
      <color indexed="8"/>
      <name val="Trebuchet MS"/>
      <family val="2"/>
    </font>
    <font>
      <sz val="10"/>
      <color rgb="FFFF6600"/>
      <name val="Trebuchet MS"/>
      <family val="2"/>
    </font>
    <font>
      <b/>
      <sz val="12"/>
      <name val="Arial"/>
      <family val="2"/>
    </font>
    <font>
      <b/>
      <u/>
      <sz val="10"/>
      <name val="Trebuchet MS"/>
      <family val="2"/>
    </font>
    <font>
      <b/>
      <i/>
      <sz val="10"/>
      <color theme="9" tint="-0.249977111117893"/>
      <name val="Trebuchet MS"/>
      <family val="2"/>
    </font>
    <font>
      <sz val="10"/>
      <color theme="0"/>
      <name val="Trebuchet MS"/>
      <family val="2"/>
    </font>
    <font>
      <i/>
      <sz val="10"/>
      <color theme="0"/>
      <name val="Trebuchet MS"/>
      <family val="2"/>
    </font>
    <font>
      <b/>
      <sz val="10"/>
      <color theme="0"/>
      <name val="Trebuchet MS"/>
      <family val="2"/>
    </font>
    <font>
      <i/>
      <sz val="10"/>
      <color rgb="FFFF0000"/>
      <name val="Trebuchet MS"/>
      <family val="2"/>
    </font>
    <font>
      <sz val="10"/>
      <color theme="1"/>
      <name val="Calibri"/>
      <family val="2"/>
      <scheme val="minor"/>
    </font>
    <font>
      <b/>
      <sz val="10"/>
      <color theme="1"/>
      <name val="Calibri"/>
      <family val="2"/>
      <scheme val="minor"/>
    </font>
    <font>
      <i/>
      <sz val="9"/>
      <color rgb="FFFF0000"/>
      <name val="Trebuchet MS"/>
      <family val="2"/>
    </font>
    <font>
      <sz val="14"/>
      <name val="Calibri"/>
      <family val="2"/>
      <scheme val="minor"/>
    </font>
    <font>
      <sz val="8"/>
      <color rgb="FF000000"/>
      <name val="Segoe UI"/>
      <family val="2"/>
    </font>
  </fonts>
  <fills count="17">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43"/>
        <bgColor indexed="64"/>
      </patternFill>
    </fill>
    <fill>
      <patternFill patternType="solid">
        <fgColor theme="9" tint="0.59999389629810485"/>
        <bgColor indexed="64"/>
      </patternFill>
    </fill>
    <fill>
      <patternFill patternType="solid">
        <fgColor rgb="FFFFFF99"/>
        <bgColor indexed="64"/>
      </patternFill>
    </fill>
    <fill>
      <patternFill patternType="solid">
        <fgColor rgb="FFCEE5ED"/>
        <bgColor indexed="64"/>
      </patternFill>
    </fill>
    <fill>
      <patternFill patternType="solid">
        <fgColor theme="8" tint="0.79998168889431442"/>
        <bgColor indexed="64"/>
      </patternFill>
    </fill>
    <fill>
      <patternFill patternType="solid">
        <fgColor theme="0"/>
        <bgColor indexed="64"/>
      </patternFill>
    </fill>
    <fill>
      <patternFill patternType="solid">
        <fgColor rgb="FFCFE5E9"/>
        <bgColor indexed="64"/>
      </patternFill>
    </fill>
    <fill>
      <patternFill patternType="solid">
        <fgColor rgb="FFFFC000"/>
        <bgColor indexed="64"/>
      </patternFill>
    </fill>
    <fill>
      <patternFill patternType="solid">
        <fgColor rgb="FFFFFF00"/>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rgb="FFFF66FF"/>
        <bgColor indexed="64"/>
      </patternFill>
    </fill>
  </fills>
  <borders count="104">
    <border>
      <left/>
      <right/>
      <top/>
      <bottom/>
      <diagonal/>
    </border>
    <border>
      <left/>
      <right style="medium">
        <color indexed="64"/>
      </right>
      <top/>
      <bottom/>
      <diagonal/>
    </border>
    <border>
      <left/>
      <right/>
      <top/>
      <bottom style="medium">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style="medium">
        <color indexed="64"/>
      </left>
      <right/>
      <top/>
      <bottom style="medium">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style="medium">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dotted">
        <color rgb="FFFF0000"/>
      </left>
      <right/>
      <top style="dotted">
        <color rgb="FFFF0000"/>
      </top>
      <bottom/>
      <diagonal/>
    </border>
    <border>
      <left/>
      <right/>
      <top style="dotted">
        <color rgb="FFFF0000"/>
      </top>
      <bottom/>
      <diagonal/>
    </border>
    <border>
      <left/>
      <right style="dotted">
        <color rgb="FFFF0000"/>
      </right>
      <top style="dotted">
        <color rgb="FFFF0000"/>
      </top>
      <bottom/>
      <diagonal/>
    </border>
    <border>
      <left style="dotted">
        <color rgb="FFFF0000"/>
      </left>
      <right/>
      <top/>
      <bottom/>
      <diagonal/>
    </border>
    <border>
      <left/>
      <right style="dotted">
        <color rgb="FFFF0000"/>
      </right>
      <top/>
      <bottom/>
      <diagonal/>
    </border>
    <border>
      <left style="dotted">
        <color rgb="FFFF0000"/>
      </left>
      <right/>
      <top/>
      <bottom style="dotted">
        <color rgb="FFFF0000"/>
      </bottom>
      <diagonal/>
    </border>
    <border>
      <left/>
      <right/>
      <top/>
      <bottom style="dotted">
        <color rgb="FFFF0000"/>
      </bottom>
      <diagonal/>
    </border>
    <border>
      <left/>
      <right style="dotted">
        <color rgb="FFFF0000"/>
      </right>
      <top/>
      <bottom style="dotted">
        <color rgb="FFFF0000"/>
      </bottom>
      <diagonal/>
    </border>
    <border>
      <left/>
      <right style="dotted">
        <color indexed="64"/>
      </right>
      <top/>
      <bottom style="medium">
        <color indexed="64"/>
      </bottom>
      <diagonal/>
    </border>
    <border>
      <left style="thin">
        <color indexed="64"/>
      </left>
      <right style="medium">
        <color indexed="64"/>
      </right>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hair">
        <color indexed="64"/>
      </right>
      <top style="thin">
        <color indexed="64"/>
      </top>
      <bottom/>
      <diagonal/>
    </border>
    <border>
      <left style="hair">
        <color indexed="64"/>
      </left>
      <right style="hair">
        <color indexed="64"/>
      </right>
      <top style="thin">
        <color indexed="64"/>
      </top>
      <bottom/>
      <diagonal/>
    </border>
    <border>
      <left style="medium">
        <color indexed="64"/>
      </left>
      <right style="hair">
        <color indexed="64"/>
      </right>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bottom style="medium">
        <color indexed="64"/>
      </bottom>
      <diagonal/>
    </border>
    <border>
      <left/>
      <right style="hair">
        <color indexed="64"/>
      </right>
      <top/>
      <bottom style="medium">
        <color indexed="64"/>
      </bottom>
      <diagonal/>
    </border>
    <border>
      <left style="medium">
        <color indexed="64"/>
      </left>
      <right style="hair">
        <color indexed="64"/>
      </right>
      <top/>
      <bottom/>
      <diagonal/>
    </border>
    <border>
      <left style="hair">
        <color indexed="64"/>
      </left>
      <right style="hair">
        <color indexed="64"/>
      </right>
      <top/>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style="medium">
        <color indexed="64"/>
      </right>
      <top style="thin">
        <color indexed="64"/>
      </top>
      <bottom style="double">
        <color indexed="64"/>
      </bottom>
      <diagonal/>
    </border>
    <border>
      <left style="hair">
        <color indexed="64"/>
      </left>
      <right/>
      <top style="thin">
        <color indexed="64"/>
      </top>
      <bottom/>
      <diagonal/>
    </border>
    <border>
      <left style="hair">
        <color indexed="64"/>
      </left>
      <right/>
      <top style="double">
        <color indexed="64"/>
      </top>
      <bottom/>
      <diagonal/>
    </border>
    <border>
      <left/>
      <right style="medium">
        <color indexed="64"/>
      </right>
      <top style="double">
        <color indexed="64"/>
      </top>
      <bottom/>
      <diagonal/>
    </border>
  </borders>
  <cellStyleXfs count="300">
    <xf numFmtId="0" fontId="0" fillId="0" borderId="0"/>
    <xf numFmtId="173" fontId="8" fillId="0" borderId="0" applyFont="0" applyFill="0" applyBorder="0" applyAlignment="0" applyProtection="0"/>
    <xf numFmtId="173" fontId="20" fillId="0" borderId="0" applyFont="0" applyFill="0" applyBorder="0" applyAlignment="0" applyProtection="0"/>
    <xf numFmtId="173" fontId="8" fillId="0" borderId="0" applyFont="0" applyFill="0" applyBorder="0" applyAlignment="0" applyProtection="0"/>
    <xf numFmtId="173" fontId="20" fillId="0" borderId="0" applyFont="0" applyFill="0" applyBorder="0" applyAlignment="0" applyProtection="0"/>
    <xf numFmtId="173" fontId="8" fillId="0" borderId="0" applyFont="0" applyFill="0" applyBorder="0" applyAlignment="0" applyProtection="0"/>
    <xf numFmtId="173" fontId="20" fillId="0" borderId="0" applyFont="0" applyFill="0" applyBorder="0" applyAlignment="0" applyProtection="0"/>
    <xf numFmtId="173" fontId="8" fillId="0" borderId="0" applyFont="0" applyFill="0" applyBorder="0" applyAlignment="0" applyProtection="0"/>
    <xf numFmtId="0" fontId="93" fillId="0" borderId="0" applyNumberFormat="0" applyFill="0" applyBorder="0" applyAlignment="0" applyProtection="0">
      <alignment vertical="top"/>
      <protection locked="0"/>
    </xf>
    <xf numFmtId="0" fontId="25" fillId="0" borderId="0"/>
    <xf numFmtId="0" fontId="20" fillId="0" borderId="0"/>
    <xf numFmtId="0" fontId="25" fillId="0" borderId="0"/>
    <xf numFmtId="0" fontId="7" fillId="0" borderId="0"/>
    <xf numFmtId="0" fontId="6" fillId="0" borderId="0"/>
    <xf numFmtId="0" fontId="7" fillId="0" borderId="0"/>
    <xf numFmtId="0" fontId="6" fillId="0" borderId="0"/>
    <xf numFmtId="0" fontId="6" fillId="0" borderId="0"/>
    <xf numFmtId="0" fontId="25" fillId="0" borderId="0"/>
    <xf numFmtId="0" fontId="7" fillId="0" borderId="0"/>
    <xf numFmtId="0" fontId="6" fillId="0" borderId="0"/>
    <xf numFmtId="0" fontId="7"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25" fillId="0" borderId="0"/>
    <xf numFmtId="0" fontId="7" fillId="0" borderId="0"/>
    <xf numFmtId="0" fontId="6" fillId="0" borderId="0"/>
    <xf numFmtId="0" fontId="7" fillId="0" borderId="0"/>
    <xf numFmtId="0" fontId="6" fillId="0" borderId="0"/>
    <xf numFmtId="0" fontId="6" fillId="0" borderId="0"/>
    <xf numFmtId="0" fontId="20" fillId="0" borderId="0"/>
    <xf numFmtId="0" fontId="8" fillId="0" borderId="0"/>
    <xf numFmtId="0" fontId="7" fillId="0" borderId="0"/>
    <xf numFmtId="0" fontId="7" fillId="0" borderId="0"/>
    <xf numFmtId="0" fontId="6" fillId="0" borderId="0"/>
    <xf numFmtId="0" fontId="6" fillId="0" borderId="0"/>
    <xf numFmtId="0" fontId="7" fillId="0" borderId="0"/>
    <xf numFmtId="0" fontId="6" fillId="0" borderId="0"/>
    <xf numFmtId="0" fontId="69" fillId="0" borderId="0"/>
    <xf numFmtId="0" fontId="8" fillId="0" borderId="0"/>
    <xf numFmtId="0" fontId="8" fillId="0" borderId="0"/>
    <xf numFmtId="0" fontId="6" fillId="0" borderId="0"/>
    <xf numFmtId="0" fontId="109" fillId="0" borderId="0"/>
    <xf numFmtId="0" fontId="109" fillId="0" borderId="0"/>
    <xf numFmtId="0" fontId="109" fillId="0" borderId="0"/>
    <xf numFmtId="0" fontId="109" fillId="0" borderId="0"/>
    <xf numFmtId="0" fontId="109" fillId="0" borderId="0"/>
    <xf numFmtId="0" fontId="20" fillId="0" borderId="0"/>
    <xf numFmtId="0" fontId="8" fillId="0" borderId="0"/>
    <xf numFmtId="0" fontId="8" fillId="0" borderId="0"/>
    <xf numFmtId="0" fontId="8" fillId="0" borderId="0"/>
    <xf numFmtId="0" fontId="8" fillId="0" borderId="0"/>
    <xf numFmtId="0" fontId="8"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4135">
    <xf numFmtId="0" fontId="0" fillId="0" borderId="0" xfId="0"/>
    <xf numFmtId="0" fontId="10" fillId="0" borderId="0" xfId="0" applyFont="1"/>
    <xf numFmtId="0" fontId="10" fillId="0" borderId="0" xfId="0" applyFont="1" applyBorder="1"/>
    <xf numFmtId="0" fontId="10" fillId="0" borderId="1" xfId="0" applyFont="1" applyBorder="1"/>
    <xf numFmtId="0" fontId="10" fillId="0" borderId="0" xfId="0" applyFont="1" applyBorder="1" applyAlignment="1">
      <alignment vertical="center"/>
    </xf>
    <xf numFmtId="0" fontId="10" fillId="0" borderId="0" xfId="0" applyFont="1" applyFill="1" applyBorder="1"/>
    <xf numFmtId="0" fontId="10" fillId="0" borderId="0" xfId="0" applyFont="1" applyBorder="1" applyAlignment="1">
      <alignment horizontal="center" vertical="center"/>
    </xf>
    <xf numFmtId="0" fontId="10" fillId="0" borderId="0" xfId="0" applyFont="1" applyFill="1"/>
    <xf numFmtId="0" fontId="11" fillId="0" borderId="0" xfId="0" applyFont="1" applyBorder="1" applyAlignment="1">
      <alignment vertical="center"/>
    </xf>
    <xf numFmtId="0" fontId="10" fillId="0" borderId="0" xfId="0" applyFont="1" applyBorder="1" applyAlignment="1">
      <alignment horizontal="center"/>
    </xf>
    <xf numFmtId="0" fontId="11" fillId="0" borderId="0" xfId="0" applyFont="1" applyBorder="1" applyAlignment="1">
      <alignment horizontal="left" vertical="center"/>
    </xf>
    <xf numFmtId="0" fontId="10" fillId="0" borderId="0" xfId="0" applyFont="1" applyBorder="1" applyAlignment="1">
      <alignment horizontal="left" vertical="center"/>
    </xf>
    <xf numFmtId="0" fontId="10" fillId="0" borderId="0" xfId="0" quotePrefix="1" applyFont="1" applyBorder="1" applyAlignment="1">
      <alignment horizontal="center" vertical="center"/>
    </xf>
    <xf numFmtId="0" fontId="10" fillId="0" borderId="0" xfId="0" applyFont="1" applyBorder="1" applyAlignment="1">
      <alignment horizontal="left" vertical="center" wrapText="1"/>
    </xf>
    <xf numFmtId="0" fontId="10" fillId="0" borderId="2" xfId="0" applyFont="1" applyBorder="1"/>
    <xf numFmtId="0" fontId="15" fillId="0" borderId="0" xfId="0" applyFont="1" applyBorder="1"/>
    <xf numFmtId="0" fontId="16" fillId="0" borderId="0" xfId="0" applyFont="1" applyBorder="1" applyAlignment="1">
      <alignment horizontal="center"/>
    </xf>
    <xf numFmtId="164" fontId="10" fillId="0" borderId="0" xfId="0" applyNumberFormat="1" applyFont="1" applyBorder="1" applyAlignment="1">
      <alignment horizontal="center" vertical="center"/>
    </xf>
    <xf numFmtId="0" fontId="10" fillId="0" borderId="0" xfId="0" applyFont="1" applyBorder="1" applyAlignment="1">
      <alignment horizontal="left" wrapText="1"/>
    </xf>
    <xf numFmtId="0" fontId="20" fillId="0" borderId="0" xfId="0" applyFont="1" applyBorder="1" applyAlignment="1">
      <alignment horizontal="center" vertical="center"/>
    </xf>
    <xf numFmtId="0" fontId="20" fillId="0" borderId="0" xfId="0" applyFont="1" applyBorder="1"/>
    <xf numFmtId="0" fontId="20" fillId="0" borderId="0" xfId="0" applyFont="1" applyBorder="1" applyAlignment="1">
      <alignment horizontal="center"/>
    </xf>
    <xf numFmtId="0" fontId="10" fillId="0" borderId="0" xfId="0" applyFont="1" applyAlignment="1">
      <alignment horizontal="left" vertical="center"/>
    </xf>
    <xf numFmtId="0" fontId="10" fillId="0" borderId="0" xfId="0" applyFont="1" applyAlignment="1">
      <alignment horizontal="center" vertical="center"/>
    </xf>
    <xf numFmtId="0" fontId="12" fillId="0" borderId="0" xfId="0" applyFont="1" applyBorder="1" applyAlignment="1">
      <alignment horizontal="left" vertical="center"/>
    </xf>
    <xf numFmtId="0" fontId="10" fillId="0" borderId="0" xfId="0" applyFont="1" applyFill="1" applyBorder="1" applyAlignment="1">
      <alignment horizontal="left" vertical="center"/>
    </xf>
    <xf numFmtId="2" fontId="10" fillId="0" borderId="0" xfId="0" applyNumberFormat="1" applyFont="1" applyFill="1" applyBorder="1" applyAlignment="1">
      <alignment horizontal="center" vertical="center"/>
    </xf>
    <xf numFmtId="0" fontId="10" fillId="0" borderId="0" xfId="0" applyFont="1" applyBorder="1" applyAlignment="1">
      <alignment horizontal="left"/>
    </xf>
    <xf numFmtId="0" fontId="11" fillId="0" borderId="0" xfId="0" applyFont="1" applyBorder="1" applyAlignment="1">
      <alignment horizontal="left"/>
    </xf>
    <xf numFmtId="0" fontId="10" fillId="0" borderId="0" xfId="0" applyFont="1" applyFill="1" applyBorder="1" applyAlignment="1">
      <alignment horizontal="center" vertical="center"/>
    </xf>
    <xf numFmtId="165" fontId="10" fillId="0" borderId="0" xfId="0" applyNumberFormat="1" applyFont="1" applyBorder="1" applyAlignment="1">
      <alignment horizontal="center" vertical="center"/>
    </xf>
    <xf numFmtId="0" fontId="20" fillId="0" borderId="0" xfId="0" applyFont="1" applyBorder="1" applyAlignment="1">
      <alignment vertical="center"/>
    </xf>
    <xf numFmtId="165" fontId="10" fillId="0" borderId="0" xfId="0" applyNumberFormat="1" applyFont="1" applyAlignment="1">
      <alignment horizontal="center"/>
    </xf>
    <xf numFmtId="0" fontId="10" fillId="0" borderId="0" xfId="0" applyFont="1" applyFill="1" applyBorder="1" applyAlignment="1">
      <alignment vertical="center"/>
    </xf>
    <xf numFmtId="2" fontId="10" fillId="0" borderId="0" xfId="0" applyNumberFormat="1" applyFont="1" applyFill="1" applyBorder="1" applyAlignment="1">
      <alignment horizontal="center"/>
    </xf>
    <xf numFmtId="0" fontId="10" fillId="0" borderId="0" xfId="0" quotePrefix="1" applyFont="1" applyFill="1" applyBorder="1" applyAlignment="1">
      <alignment horizontal="center" vertical="center"/>
    </xf>
    <xf numFmtId="0" fontId="10" fillId="0" borderId="0" xfId="0" applyFont="1" applyFill="1" applyBorder="1" applyAlignment="1">
      <alignment horizontal="left"/>
    </xf>
    <xf numFmtId="0" fontId="10" fillId="0" borderId="2" xfId="0" applyFont="1" applyFill="1" applyBorder="1"/>
    <xf numFmtId="49" fontId="10" fillId="0" borderId="0" xfId="0" applyNumberFormat="1" applyFont="1" applyFill="1" applyBorder="1" applyAlignment="1">
      <alignment horizontal="left"/>
    </xf>
    <xf numFmtId="0" fontId="10" fillId="0" borderId="0" xfId="0" applyFont="1" applyFill="1" applyBorder="1" applyAlignment="1">
      <alignment horizontal="center"/>
    </xf>
    <xf numFmtId="0" fontId="10" fillId="0" borderId="0" xfId="0" applyFont="1" applyAlignment="1">
      <alignment vertical="center"/>
    </xf>
    <xf numFmtId="165" fontId="10" fillId="0" borderId="0" xfId="0" applyNumberFormat="1" applyFont="1"/>
    <xf numFmtId="0" fontId="10" fillId="0" borderId="0" xfId="0" applyFont="1" applyFill="1" applyBorder="1" applyAlignment="1">
      <alignment horizontal="right" vertical="center"/>
    </xf>
    <xf numFmtId="0" fontId="10" fillId="0" borderId="4" xfId="0" applyFont="1" applyFill="1" applyBorder="1"/>
    <xf numFmtId="0" fontId="10" fillId="0" borderId="7" xfId="0" applyFont="1" applyFill="1" applyBorder="1"/>
    <xf numFmtId="165" fontId="10" fillId="0" borderId="0" xfId="0" applyNumberFormat="1" applyFont="1" applyFill="1" applyBorder="1" applyAlignment="1">
      <alignment horizontal="center" vertical="center"/>
    </xf>
    <xf numFmtId="0" fontId="10" fillId="0" borderId="0" xfId="0" applyFont="1" applyBorder="1" applyAlignment="1"/>
    <xf numFmtId="0" fontId="11" fillId="0" borderId="0" xfId="0" applyFont="1" applyBorder="1" applyAlignment="1">
      <alignment horizontal="left" vertical="center" wrapText="1"/>
    </xf>
    <xf numFmtId="0" fontId="10" fillId="0" borderId="0" xfId="0" applyFont="1" applyFill="1" applyAlignment="1">
      <alignment horizontal="left" vertical="center"/>
    </xf>
    <xf numFmtId="2" fontId="12" fillId="0" borderId="0" xfId="0" applyNumberFormat="1" applyFont="1" applyBorder="1" applyAlignment="1">
      <alignment horizontal="center" vertical="center"/>
    </xf>
    <xf numFmtId="0" fontId="11" fillId="0" borderId="0" xfId="0" applyFont="1" applyFill="1" applyBorder="1" applyAlignment="1">
      <alignment horizontal="left" vertical="center" wrapText="1"/>
    </xf>
    <xf numFmtId="0" fontId="10" fillId="0" borderId="0" xfId="0" applyFont="1" applyFill="1" applyBorder="1" applyAlignment="1">
      <alignment horizontal="center" vertical="center" wrapText="1"/>
    </xf>
    <xf numFmtId="0" fontId="11" fillId="0" borderId="0" xfId="0" applyFont="1" applyBorder="1" applyAlignment="1"/>
    <xf numFmtId="0" fontId="12" fillId="0" borderId="0" xfId="0" applyFont="1" applyBorder="1" applyAlignment="1">
      <alignment horizontal="center" vertical="center"/>
    </xf>
    <xf numFmtId="1" fontId="12" fillId="0" borderId="0" xfId="0" applyNumberFormat="1" applyFont="1" applyFill="1" applyBorder="1" applyAlignment="1">
      <alignment horizontal="center" vertical="center"/>
    </xf>
    <xf numFmtId="165" fontId="12" fillId="0" borderId="0" xfId="0" applyNumberFormat="1" applyFont="1" applyFill="1" applyBorder="1" applyAlignment="1">
      <alignment horizontal="center" vertical="center"/>
    </xf>
    <xf numFmtId="168" fontId="12" fillId="0" borderId="0" xfId="0" applyNumberFormat="1" applyFont="1" applyFill="1" applyBorder="1" applyAlignment="1">
      <alignment horizontal="center" vertical="center"/>
    </xf>
    <xf numFmtId="2" fontId="12" fillId="0" borderId="0" xfId="0" applyNumberFormat="1" applyFont="1" applyFill="1" applyBorder="1" applyAlignment="1">
      <alignment horizontal="center" vertical="center"/>
    </xf>
    <xf numFmtId="1" fontId="10" fillId="0" borderId="0" xfId="0" applyNumberFormat="1" applyFont="1" applyFill="1" applyBorder="1" applyAlignment="1">
      <alignment horizontal="left" vertical="center"/>
    </xf>
    <xf numFmtId="0" fontId="12" fillId="0" borderId="0" xfId="0" applyFont="1" applyFill="1" applyBorder="1" applyAlignment="1">
      <alignment horizontal="left" vertical="center"/>
    </xf>
    <xf numFmtId="0" fontId="10" fillId="0" borderId="0" xfId="0" applyFont="1" applyFill="1" applyBorder="1" applyAlignment="1">
      <alignment horizontal="left" vertical="center" wrapText="1"/>
    </xf>
    <xf numFmtId="0" fontId="11" fillId="0" borderId="0" xfId="0" applyFont="1" applyFill="1" applyBorder="1"/>
    <xf numFmtId="0" fontId="12" fillId="0" borderId="0" xfId="0" applyFont="1" applyFill="1" applyBorder="1" applyAlignment="1">
      <alignment horizontal="center"/>
    </xf>
    <xf numFmtId="0" fontId="10" fillId="0" borderId="0" xfId="0" applyFont="1" applyFill="1" applyBorder="1" applyAlignment="1"/>
    <xf numFmtId="0" fontId="10" fillId="0" borderId="4" xfId="0" applyFont="1" applyBorder="1"/>
    <xf numFmtId="0" fontId="11" fillId="0" borderId="0" xfId="0" applyFont="1" applyFill="1" applyBorder="1" applyAlignment="1">
      <alignment horizontal="center"/>
    </xf>
    <xf numFmtId="0" fontId="10" fillId="0" borderId="9" xfId="0" applyFont="1" applyBorder="1"/>
    <xf numFmtId="0" fontId="10" fillId="0" borderId="7" xfId="0" applyFont="1" applyBorder="1"/>
    <xf numFmtId="0" fontId="10" fillId="0" borderId="5" xfId="0" applyFont="1" applyBorder="1"/>
    <xf numFmtId="0" fontId="10" fillId="0" borderId="4" xfId="0" applyFont="1" applyBorder="1" applyAlignment="1">
      <alignment horizontal="center" vertical="center"/>
    </xf>
    <xf numFmtId="0" fontId="10" fillId="0" borderId="3" xfId="0" applyFont="1" applyBorder="1"/>
    <xf numFmtId="0" fontId="12" fillId="0" borderId="4" xfId="0" applyFont="1" applyFill="1" applyBorder="1" applyAlignment="1">
      <alignment horizontal="center" vertical="center"/>
    </xf>
    <xf numFmtId="0" fontId="10" fillId="0" borderId="7" xfId="0" applyFont="1" applyBorder="1" applyAlignment="1">
      <alignment horizontal="left" vertical="center"/>
    </xf>
    <xf numFmtId="0" fontId="10" fillId="0" borderId="6" xfId="0" applyFont="1" applyBorder="1" applyAlignment="1">
      <alignment horizontal="right"/>
    </xf>
    <xf numFmtId="0" fontId="10" fillId="0" borderId="9" xfId="0" applyFont="1" applyBorder="1" applyAlignment="1">
      <alignment horizontal="left" vertical="center"/>
    </xf>
    <xf numFmtId="0" fontId="26" fillId="0" borderId="0" xfId="0" applyFont="1" applyBorder="1"/>
    <xf numFmtId="0" fontId="26" fillId="0" borderId="0" xfId="0" applyFont="1"/>
    <xf numFmtId="0" fontId="11" fillId="0" borderId="0" xfId="0" applyFont="1" applyFill="1" applyBorder="1" applyAlignment="1">
      <alignment vertical="center"/>
    </xf>
    <xf numFmtId="0" fontId="10" fillId="0" borderId="0" xfId="0" quotePrefix="1" applyFont="1" applyFill="1" applyBorder="1" applyAlignment="1">
      <alignment vertical="center"/>
    </xf>
    <xf numFmtId="0" fontId="10" fillId="0" borderId="0" xfId="0" applyFont="1" applyFill="1" applyBorder="1" applyAlignment="1">
      <alignment horizontal="left" wrapText="1"/>
    </xf>
    <xf numFmtId="2" fontId="23" fillId="0" borderId="0" xfId="0" applyNumberFormat="1" applyFont="1" applyFill="1" applyBorder="1" applyAlignment="1">
      <alignment horizontal="center" vertical="center"/>
    </xf>
    <xf numFmtId="165" fontId="12" fillId="0" borderId="0" xfId="0" applyNumberFormat="1" applyFont="1" applyFill="1" applyBorder="1" applyAlignment="1">
      <alignment horizontal="center" vertical="center" wrapText="1"/>
    </xf>
    <xf numFmtId="1" fontId="11" fillId="0" borderId="0" xfId="0" applyNumberFormat="1" applyFont="1" applyFill="1" applyBorder="1" applyAlignment="1">
      <alignment horizontal="left" vertical="center"/>
    </xf>
    <xf numFmtId="0" fontId="10" fillId="0" borderId="6" xfId="0" applyFont="1" applyBorder="1"/>
    <xf numFmtId="16" fontId="16" fillId="0" borderId="0" xfId="0" quotePrefix="1" applyNumberFormat="1" applyFont="1" applyBorder="1" applyAlignment="1">
      <alignment horizontal="center"/>
    </xf>
    <xf numFmtId="0" fontId="16" fillId="0" borderId="0" xfId="0" quotePrefix="1" applyFont="1" applyBorder="1" applyAlignment="1">
      <alignment horizontal="center"/>
    </xf>
    <xf numFmtId="0" fontId="10" fillId="0" borderId="6" xfId="0" applyFont="1" applyBorder="1" applyAlignment="1">
      <alignment vertical="center"/>
    </xf>
    <xf numFmtId="164" fontId="12" fillId="0" borderId="0" xfId="0" applyNumberFormat="1" applyFont="1" applyFill="1" applyBorder="1" applyAlignment="1">
      <alignment horizontal="center" vertical="center"/>
    </xf>
    <xf numFmtId="49" fontId="12" fillId="0" borderId="0" xfId="0" applyNumberFormat="1" applyFont="1" applyFill="1" applyBorder="1" applyAlignment="1">
      <alignment horizontal="left" vertical="center" wrapText="1"/>
    </xf>
    <xf numFmtId="2" fontId="10" fillId="0" borderId="0" xfId="0" applyNumberFormat="1" applyFont="1" applyBorder="1" applyAlignment="1">
      <alignment horizontal="center" vertical="center"/>
    </xf>
    <xf numFmtId="166" fontId="12" fillId="0" borderId="0" xfId="0" applyNumberFormat="1" applyFont="1" applyBorder="1" applyAlignment="1">
      <alignment horizontal="center" vertical="center"/>
    </xf>
    <xf numFmtId="0" fontId="12" fillId="0" borderId="0" xfId="0" applyFont="1" applyAlignment="1">
      <alignment horizontal="left" vertical="center"/>
    </xf>
    <xf numFmtId="0" fontId="16" fillId="0" borderId="0" xfId="0" applyFont="1" applyFill="1" applyBorder="1" applyAlignment="1">
      <alignment horizontal="left" vertical="top"/>
    </xf>
    <xf numFmtId="0" fontId="11" fillId="0" borderId="0" xfId="0" applyFont="1" applyBorder="1" applyAlignment="1">
      <alignment horizontal="center"/>
    </xf>
    <xf numFmtId="165" fontId="10" fillId="0" borderId="0" xfId="0" applyNumberFormat="1" applyFont="1" applyBorder="1" applyAlignment="1">
      <alignment horizontal="center"/>
    </xf>
    <xf numFmtId="0" fontId="12" fillId="0" borderId="6" xfId="0" applyFont="1" applyBorder="1" applyAlignment="1">
      <alignment horizontal="center" vertical="center"/>
    </xf>
    <xf numFmtId="0" fontId="10" fillId="0" borderId="0" xfId="0" quotePrefix="1" applyFont="1" applyAlignment="1">
      <alignment horizontal="center"/>
    </xf>
    <xf numFmtId="0" fontId="27" fillId="0" borderId="0" xfId="0" applyFont="1" applyBorder="1" applyAlignment="1"/>
    <xf numFmtId="0" fontId="0" fillId="0" borderId="0" xfId="0" applyBorder="1" applyAlignment="1">
      <alignment vertical="center"/>
    </xf>
    <xf numFmtId="0" fontId="14" fillId="0" borderId="0" xfId="0" applyFont="1" applyBorder="1" applyAlignment="1">
      <alignment horizontal="center" vertical="center"/>
    </xf>
    <xf numFmtId="0" fontId="0" fillId="0" borderId="0" xfId="0" applyBorder="1" applyAlignment="1">
      <alignment horizontal="left" vertical="center"/>
    </xf>
    <xf numFmtId="0" fontId="0" fillId="0" borderId="0" xfId="0" applyBorder="1"/>
    <xf numFmtId="1" fontId="10" fillId="0" borderId="0" xfId="0" applyNumberFormat="1" applyFont="1" applyFill="1" applyBorder="1" applyAlignment="1">
      <alignment horizontal="center" vertical="center"/>
    </xf>
    <xf numFmtId="0" fontId="10" fillId="0" borderId="4" xfId="0" applyFont="1" applyBorder="1" applyAlignment="1">
      <alignment horizontal="left" vertical="center"/>
    </xf>
    <xf numFmtId="0" fontId="15" fillId="0" borderId="0" xfId="0" applyFont="1" applyBorder="1" applyAlignment="1">
      <alignment horizontal="center" vertical="center"/>
    </xf>
    <xf numFmtId="0" fontId="36" fillId="0" borderId="0" xfId="0" applyFont="1"/>
    <xf numFmtId="0" fontId="36" fillId="0" borderId="0" xfId="0" applyFont="1" applyFill="1" applyBorder="1"/>
    <xf numFmtId="0" fontId="36" fillId="0" borderId="0" xfId="0" applyFont="1" applyFill="1" applyBorder="1" applyAlignment="1">
      <alignment vertical="center"/>
    </xf>
    <xf numFmtId="2" fontId="36" fillId="0" borderId="0" xfId="0" applyNumberFormat="1" applyFont="1" applyFill="1" applyBorder="1" applyAlignment="1">
      <alignment horizontal="center"/>
    </xf>
    <xf numFmtId="2" fontId="36" fillId="0" borderId="0" xfId="0" applyNumberFormat="1" applyFont="1" applyFill="1" applyBorder="1" applyAlignment="1">
      <alignment horizontal="center" vertical="center"/>
    </xf>
    <xf numFmtId="0" fontId="15" fillId="0" borderId="0" xfId="0" applyFont="1"/>
    <xf numFmtId="0" fontId="37" fillId="0" borderId="0" xfId="0" applyFont="1"/>
    <xf numFmtId="1" fontId="15" fillId="0" borderId="0" xfId="0" applyNumberFormat="1" applyFont="1" applyAlignment="1">
      <alignment horizontal="center"/>
    </xf>
    <xf numFmtId="0" fontId="15" fillId="0" borderId="0" xfId="0" applyFont="1" applyBorder="1" applyAlignment="1">
      <alignment horizontal="left" vertical="center"/>
    </xf>
    <xf numFmtId="0" fontId="15" fillId="0" borderId="0" xfId="0" applyFont="1" applyBorder="1" applyAlignment="1">
      <alignment horizontal="left"/>
    </xf>
    <xf numFmtId="2" fontId="15" fillId="0" borderId="0" xfId="0" applyNumberFormat="1" applyFont="1"/>
    <xf numFmtId="1" fontId="15" fillId="0" borderId="0" xfId="0" applyNumberFormat="1" applyFont="1" applyBorder="1" applyAlignment="1">
      <alignment horizontal="center"/>
    </xf>
    <xf numFmtId="0" fontId="15" fillId="0" borderId="0" xfId="0" applyFont="1" applyBorder="1" applyAlignment="1">
      <alignment horizontal="center"/>
    </xf>
    <xf numFmtId="0" fontId="15" fillId="0" borderId="0" xfId="0" applyFont="1" applyAlignment="1">
      <alignment horizontal="left"/>
    </xf>
    <xf numFmtId="0" fontId="10" fillId="0" borderId="0" xfId="0" applyFont="1" applyFill="1" applyBorder="1" applyAlignment="1">
      <alignment horizontal="center" vertical="top"/>
    </xf>
    <xf numFmtId="49" fontId="10" fillId="0" borderId="0" xfId="0" applyNumberFormat="1" applyFont="1" applyFill="1" applyBorder="1" applyAlignment="1">
      <alignment horizontal="left" vertical="center"/>
    </xf>
    <xf numFmtId="2" fontId="10" fillId="2" borderId="0" xfId="0" applyNumberFormat="1" applyFont="1" applyFill="1" applyBorder="1" applyAlignment="1">
      <alignment horizontal="center"/>
    </xf>
    <xf numFmtId="2" fontId="10" fillId="2" borderId="0" xfId="0" applyNumberFormat="1" applyFont="1" applyFill="1" applyBorder="1" applyAlignment="1">
      <alignment horizontal="center" vertical="center"/>
    </xf>
    <xf numFmtId="2" fontId="10" fillId="0" borderId="0" xfId="0" applyNumberFormat="1" applyFont="1"/>
    <xf numFmtId="167" fontId="10" fillId="0" borderId="0" xfId="0" applyNumberFormat="1" applyFont="1"/>
    <xf numFmtId="49" fontId="21" fillId="0" borderId="9" xfId="0" applyNumberFormat="1" applyFont="1" applyBorder="1" applyAlignment="1">
      <alignment horizontal="center" vertical="center" wrapText="1"/>
    </xf>
    <xf numFmtId="0" fontId="10" fillId="0" borderId="6" xfId="0" quotePrefix="1" applyFont="1" applyBorder="1" applyAlignment="1">
      <alignment horizontal="center"/>
    </xf>
    <xf numFmtId="1" fontId="12" fillId="0" borderId="4" xfId="0" applyNumberFormat="1" applyFont="1" applyFill="1" applyBorder="1" applyAlignment="1">
      <alignment horizontal="center" vertical="center"/>
    </xf>
    <xf numFmtId="0" fontId="10" fillId="0" borderId="4" xfId="0" applyFont="1" applyBorder="1" applyAlignment="1">
      <alignment vertical="center"/>
    </xf>
    <xf numFmtId="0" fontId="42" fillId="0" borderId="0" xfId="0" applyFont="1" applyBorder="1" applyAlignment="1">
      <alignment horizontal="center" vertical="center"/>
    </xf>
    <xf numFmtId="0" fontId="42" fillId="0" borderId="0" xfId="0" applyFont="1" applyFill="1" applyBorder="1" applyAlignment="1">
      <alignment horizontal="center" vertical="center"/>
    </xf>
    <xf numFmtId="0" fontId="42" fillId="0" borderId="0" xfId="0" applyFont="1" applyFill="1" applyBorder="1" applyAlignment="1">
      <alignment horizontal="left" vertical="center"/>
    </xf>
    <xf numFmtId="0" fontId="10" fillId="0" borderId="0" xfId="0" quotePrefix="1" applyFont="1" applyFill="1"/>
    <xf numFmtId="0" fontId="27" fillId="0" borderId="9" xfId="0" applyFont="1" applyBorder="1" applyAlignment="1"/>
    <xf numFmtId="0" fontId="10" fillId="0" borderId="0" xfId="0" quotePrefix="1" applyFont="1" applyFill="1" applyBorder="1" applyAlignment="1">
      <alignment horizontal="right" vertical="center"/>
    </xf>
    <xf numFmtId="0" fontId="12" fillId="0" borderId="4" xfId="0" applyFont="1" applyFill="1" applyBorder="1" applyAlignment="1">
      <alignment horizontal="center" vertical="center" wrapText="1"/>
    </xf>
    <xf numFmtId="0" fontId="10" fillId="0" borderId="9" xfId="0" applyFont="1" applyBorder="1" applyAlignment="1">
      <alignment vertical="center"/>
    </xf>
    <xf numFmtId="0" fontId="10" fillId="0" borderId="7" xfId="0" applyFont="1" applyBorder="1" applyAlignment="1">
      <alignment vertical="center"/>
    </xf>
    <xf numFmtId="0" fontId="10" fillId="0" borderId="7" xfId="0" applyFont="1" applyBorder="1" applyAlignment="1">
      <alignment horizontal="center" vertical="center"/>
    </xf>
    <xf numFmtId="0" fontId="12" fillId="0" borderId="7" xfId="0" applyFont="1" applyFill="1" applyBorder="1" applyAlignment="1">
      <alignment horizontal="center" vertical="center"/>
    </xf>
    <xf numFmtId="0" fontId="12" fillId="0" borderId="9" xfId="0" applyFont="1" applyFill="1" applyBorder="1" applyAlignment="1">
      <alignment horizontal="center" vertical="center"/>
    </xf>
    <xf numFmtId="164" fontId="10" fillId="0" borderId="0" xfId="0" applyNumberFormat="1" applyFont="1" applyFill="1" applyBorder="1" applyAlignment="1">
      <alignment horizontal="center" vertical="center"/>
    </xf>
    <xf numFmtId="0" fontId="10" fillId="0" borderId="4" xfId="0" applyFont="1" applyFill="1" applyBorder="1" applyAlignment="1">
      <alignment horizontal="left" vertical="center"/>
    </xf>
    <xf numFmtId="165" fontId="12" fillId="0" borderId="4" xfId="0" applyNumberFormat="1" applyFont="1" applyFill="1" applyBorder="1" applyAlignment="1">
      <alignment horizontal="center" vertical="center"/>
    </xf>
    <xf numFmtId="165" fontId="10" fillId="0" borderId="0" xfId="0" applyNumberFormat="1" applyFont="1" applyBorder="1" applyAlignment="1">
      <alignment horizontal="left"/>
    </xf>
    <xf numFmtId="165" fontId="12" fillId="0" borderId="0" xfId="0" applyNumberFormat="1" applyFont="1" applyBorder="1" applyAlignment="1">
      <alignment horizontal="center" vertical="center"/>
    </xf>
    <xf numFmtId="0" fontId="10" fillId="0" borderId="1" xfId="0" applyFont="1" applyBorder="1" applyAlignment="1">
      <alignment horizontal="left" vertical="center" wrapText="1"/>
    </xf>
    <xf numFmtId="0" fontId="12" fillId="0" borderId="9" xfId="0" applyFont="1" applyFill="1" applyBorder="1" applyAlignment="1">
      <alignment horizontal="left" vertical="center"/>
    </xf>
    <xf numFmtId="0" fontId="10" fillId="0" borderId="9" xfId="0" applyFont="1" applyFill="1" applyBorder="1" applyAlignment="1">
      <alignment horizontal="center" vertical="center" wrapText="1"/>
    </xf>
    <xf numFmtId="0" fontId="17" fillId="0" borderId="0" xfId="0" applyFont="1" applyFill="1" applyBorder="1" applyAlignment="1">
      <alignment horizontal="left" vertical="center"/>
    </xf>
    <xf numFmtId="0" fontId="10" fillId="0" borderId="9" xfId="0" applyFont="1" applyFill="1" applyBorder="1" applyAlignment="1">
      <alignment horizontal="left" vertical="center"/>
    </xf>
    <xf numFmtId="165" fontId="9" fillId="0" borderId="0" xfId="0" applyNumberFormat="1" applyFont="1" applyFill="1" applyBorder="1" applyAlignment="1">
      <alignment horizontal="center" vertical="center"/>
    </xf>
    <xf numFmtId="0" fontId="12" fillId="0" borderId="6" xfId="0" applyFont="1" applyFill="1" applyBorder="1" applyAlignment="1">
      <alignment horizontal="center" vertical="center"/>
    </xf>
    <xf numFmtId="0" fontId="16" fillId="0" borderId="0" xfId="0" applyFont="1" applyFill="1" applyBorder="1" applyAlignment="1">
      <alignment horizontal="center"/>
    </xf>
    <xf numFmtId="165" fontId="12" fillId="0" borderId="0" xfId="0" applyNumberFormat="1" applyFont="1" applyFill="1" applyBorder="1" applyAlignment="1">
      <alignment horizontal="center"/>
    </xf>
    <xf numFmtId="0" fontId="42" fillId="0" borderId="0" xfId="0" applyFont="1" applyFill="1" applyBorder="1"/>
    <xf numFmtId="0" fontId="31" fillId="0" borderId="0" xfId="0" applyFont="1" applyFill="1" applyBorder="1" applyAlignment="1">
      <alignment horizontal="center" vertical="center"/>
    </xf>
    <xf numFmtId="0" fontId="10" fillId="0" borderId="4" xfId="0" applyFont="1" applyFill="1" applyBorder="1" applyAlignment="1">
      <alignment vertical="center"/>
    </xf>
    <xf numFmtId="0" fontId="10" fillId="0" borderId="4" xfId="0" quotePrefix="1" applyFont="1" applyFill="1" applyBorder="1" applyAlignment="1">
      <alignment horizontal="right" vertical="center"/>
    </xf>
    <xf numFmtId="165" fontId="12" fillId="0" borderId="4" xfId="0" applyNumberFormat="1" applyFont="1" applyFill="1" applyBorder="1" applyAlignment="1">
      <alignment horizontal="center" vertical="center" wrapText="1"/>
    </xf>
    <xf numFmtId="0" fontId="12" fillId="0" borderId="4" xfId="0" applyFont="1" applyFill="1" applyBorder="1" applyAlignment="1">
      <alignment horizontal="left" vertical="center" wrapText="1"/>
    </xf>
    <xf numFmtId="0" fontId="10" fillId="0" borderId="0" xfId="0" quotePrefix="1" applyFont="1" applyBorder="1" applyAlignment="1">
      <alignment vertical="center"/>
    </xf>
    <xf numFmtId="0" fontId="42" fillId="0" borderId="0" xfId="0" quotePrefix="1" applyFont="1" applyFill="1" applyBorder="1" applyAlignment="1">
      <alignment horizontal="center" vertical="center"/>
    </xf>
    <xf numFmtId="0" fontId="42" fillId="0" borderId="0" xfId="0" applyFont="1" applyFill="1" applyBorder="1" applyAlignment="1">
      <alignment vertical="center"/>
    </xf>
    <xf numFmtId="0" fontId="10" fillId="0" borderId="4" xfId="0" applyFont="1" applyFill="1" applyBorder="1" applyAlignment="1">
      <alignment horizontal="right" vertical="center"/>
    </xf>
    <xf numFmtId="0" fontId="42" fillId="0" borderId="4" xfId="0" quotePrefix="1" applyFont="1" applyFill="1" applyBorder="1" applyAlignment="1">
      <alignment horizontal="center" vertical="center"/>
    </xf>
    <xf numFmtId="0" fontId="42" fillId="0" borderId="4" xfId="0" applyFont="1" applyFill="1" applyBorder="1" applyAlignment="1">
      <alignment horizontal="center" vertical="center"/>
    </xf>
    <xf numFmtId="0" fontId="42" fillId="0" borderId="4" xfId="0" applyFont="1" applyFill="1" applyBorder="1" applyAlignment="1">
      <alignment vertical="center"/>
    </xf>
    <xf numFmtId="0" fontId="0" fillId="0" borderId="0" xfId="0" applyAlignment="1"/>
    <xf numFmtId="0" fontId="33" fillId="0" borderId="0" xfId="58" applyFont="1" applyFill="1" applyBorder="1" applyAlignment="1">
      <alignment vertical="center"/>
    </xf>
    <xf numFmtId="0" fontId="44" fillId="0" borderId="0" xfId="58" applyFill="1"/>
    <xf numFmtId="0" fontId="44" fillId="0" borderId="0" xfId="58"/>
    <xf numFmtId="0" fontId="34" fillId="0" borderId="8" xfId="58" applyFont="1" applyBorder="1" applyAlignment="1">
      <alignment horizontal="center" vertical="center" wrapText="1"/>
    </xf>
    <xf numFmtId="0" fontId="44" fillId="0" borderId="0" xfId="58" applyFill="1" applyProtection="1">
      <protection hidden="1"/>
    </xf>
    <xf numFmtId="0" fontId="44" fillId="0" borderId="0" xfId="58" applyProtection="1">
      <protection hidden="1"/>
    </xf>
    <xf numFmtId="0" fontId="34" fillId="0" borderId="0" xfId="58" applyFont="1" applyFill="1"/>
    <xf numFmtId="165" fontId="44" fillId="0" borderId="0" xfId="58" applyNumberFormat="1" applyFill="1"/>
    <xf numFmtId="0" fontId="34" fillId="0" borderId="0" xfId="58" applyFont="1"/>
    <xf numFmtId="0" fontId="44" fillId="0" borderId="0" xfId="62" applyFill="1" applyBorder="1"/>
    <xf numFmtId="0" fontId="44" fillId="0" borderId="0" xfId="62" applyBorder="1"/>
    <xf numFmtId="0" fontId="33" fillId="0" borderId="0" xfId="57" applyFont="1" applyFill="1" applyBorder="1" applyAlignment="1">
      <alignment vertical="center"/>
    </xf>
    <xf numFmtId="0" fontId="34" fillId="0" borderId="0" xfId="57" applyFont="1" applyFill="1" applyAlignment="1">
      <alignment horizontal="center" vertical="center"/>
    </xf>
    <xf numFmtId="0" fontId="44" fillId="0" borderId="0" xfId="57" applyFill="1"/>
    <xf numFmtId="0" fontId="35" fillId="0" borderId="0" xfId="57" applyFont="1" applyFill="1" applyAlignment="1">
      <alignment horizontal="center"/>
    </xf>
    <xf numFmtId="0" fontId="34" fillId="0" borderId="13" xfId="57" applyFont="1" applyBorder="1" applyAlignment="1">
      <alignment horizontal="center" vertical="center"/>
    </xf>
    <xf numFmtId="0" fontId="34" fillId="0" borderId="0" xfId="57" applyFont="1" applyAlignment="1">
      <alignment horizontal="center" vertical="center"/>
    </xf>
    <xf numFmtId="0" fontId="44" fillId="0" borderId="0" xfId="57"/>
    <xf numFmtId="0" fontId="34" fillId="0" borderId="0" xfId="60" applyFont="1" applyFill="1" applyAlignment="1">
      <alignment horizontal="center" vertical="center"/>
    </xf>
    <xf numFmtId="0" fontId="34" fillId="0" borderId="0" xfId="60" applyFont="1" applyFill="1"/>
    <xf numFmtId="0" fontId="44" fillId="0" borderId="0" xfId="60" applyFill="1"/>
    <xf numFmtId="0" fontId="44" fillId="0" borderId="0" xfId="60"/>
    <xf numFmtId="0" fontId="34" fillId="0" borderId="0" xfId="60" applyFont="1" applyBorder="1" applyAlignment="1">
      <alignment horizontal="left" vertical="center"/>
    </xf>
    <xf numFmtId="0" fontId="10" fillId="0" borderId="0" xfId="60" applyFont="1" applyFill="1" applyBorder="1" applyAlignment="1">
      <alignment horizontal="center" vertical="center"/>
    </xf>
    <xf numFmtId="0" fontId="34" fillId="0" borderId="0" xfId="60" applyFont="1" applyBorder="1" applyAlignment="1">
      <alignment horizontal="center" vertical="center"/>
    </xf>
    <xf numFmtId="0" fontId="34" fillId="0" borderId="0" xfId="60" applyFont="1" applyBorder="1" applyAlignment="1">
      <alignment horizontal="center" vertical="center" wrapText="1"/>
    </xf>
    <xf numFmtId="0" fontId="34" fillId="0" borderId="0" xfId="60" applyFont="1" applyFill="1" applyBorder="1" applyAlignment="1">
      <alignment horizontal="center" vertical="center"/>
    </xf>
    <xf numFmtId="0" fontId="34" fillId="0" borderId="0" xfId="60" applyFont="1" applyFill="1" applyBorder="1"/>
    <xf numFmtId="0" fontId="44" fillId="0" borderId="0" xfId="60" applyFill="1" applyBorder="1"/>
    <xf numFmtId="0" fontId="35" fillId="3" borderId="8" xfId="60" applyFont="1" applyFill="1" applyBorder="1" applyAlignment="1">
      <alignment horizontal="left" vertical="center" wrapText="1"/>
    </xf>
    <xf numFmtId="0" fontId="10" fillId="0" borderId="14" xfId="60" applyFont="1" applyFill="1" applyBorder="1" applyAlignment="1">
      <alignment horizontal="center" vertical="center"/>
    </xf>
    <xf numFmtId="0" fontId="34" fillId="0" borderId="8" xfId="60" applyFont="1" applyFill="1" applyBorder="1" applyAlignment="1">
      <alignment horizontal="left" vertical="center"/>
    </xf>
    <xf numFmtId="0" fontId="34" fillId="0" borderId="0" xfId="60" applyFont="1" applyAlignment="1">
      <alignment horizontal="center" vertical="center"/>
    </xf>
    <xf numFmtId="0" fontId="34" fillId="0" borderId="0" xfId="60" applyFont="1"/>
    <xf numFmtId="0" fontId="10" fillId="0" borderId="14" xfId="60" applyFont="1" applyFill="1" applyBorder="1" applyAlignment="1">
      <alignment horizontal="center" vertical="center" wrapText="1"/>
    </xf>
    <xf numFmtId="0" fontId="10" fillId="0" borderId="8" xfId="60" applyFont="1" applyFill="1" applyBorder="1" applyAlignment="1">
      <alignment horizontal="center" vertical="center" wrapText="1"/>
    </xf>
    <xf numFmtId="0" fontId="10" fillId="0" borderId="8" xfId="60" applyFont="1" applyFill="1" applyBorder="1" applyAlignment="1">
      <alignment horizontal="left" vertical="center"/>
    </xf>
    <xf numFmtId="0" fontId="10" fillId="0" borderId="15" xfId="60" applyFont="1" applyFill="1" applyBorder="1" applyAlignment="1">
      <alignment horizontal="center" vertical="center" wrapText="1"/>
    </xf>
    <xf numFmtId="0" fontId="10" fillId="0" borderId="15" xfId="60" applyFont="1" applyFill="1" applyBorder="1" applyAlignment="1">
      <alignment horizontal="left" vertical="center"/>
    </xf>
    <xf numFmtId="0" fontId="10" fillId="0" borderId="8" xfId="60" applyFont="1" applyFill="1" applyBorder="1" applyAlignment="1">
      <alignment horizontal="left" vertical="center" wrapText="1"/>
    </xf>
    <xf numFmtId="0" fontId="34" fillId="0" borderId="16" xfId="60" applyFont="1" applyFill="1" applyBorder="1" applyAlignment="1">
      <alignment horizontal="left" vertical="center"/>
    </xf>
    <xf numFmtId="0" fontId="34" fillId="0" borderId="0" xfId="60" applyFont="1" applyFill="1" applyAlignment="1">
      <alignment horizontal="left" vertical="center"/>
    </xf>
    <xf numFmtId="0" fontId="34" fillId="0" borderId="0" xfId="60" applyFont="1" applyAlignment="1">
      <alignment horizontal="left" vertical="center"/>
    </xf>
    <xf numFmtId="49" fontId="21" fillId="0" borderId="0" xfId="61" applyNumberFormat="1" applyFont="1" applyFill="1" applyBorder="1" applyAlignment="1">
      <alignment horizontal="center" vertical="center"/>
    </xf>
    <xf numFmtId="0" fontId="10" fillId="0" borderId="0" xfId="61" applyFont="1"/>
    <xf numFmtId="0" fontId="10" fillId="0" borderId="0" xfId="61" applyFont="1" applyBorder="1"/>
    <xf numFmtId="0" fontId="44" fillId="0" borderId="0" xfId="61"/>
    <xf numFmtId="0" fontId="10" fillId="0" borderId="0" xfId="61" applyFont="1" applyFill="1" applyBorder="1"/>
    <xf numFmtId="0" fontId="44" fillId="0" borderId="0" xfId="61" applyBorder="1" applyAlignment="1">
      <alignment horizontal="center" vertical="center"/>
    </xf>
    <xf numFmtId="49" fontId="12" fillId="0" borderId="0" xfId="61" applyNumberFormat="1" applyFont="1" applyBorder="1" applyAlignment="1">
      <alignment vertical="center"/>
    </xf>
    <xf numFmtId="0" fontId="10" fillId="0" borderId="0" xfId="61" applyFont="1" applyBorder="1" applyAlignment="1">
      <alignment vertical="center"/>
    </xf>
    <xf numFmtId="0" fontId="10" fillId="0" borderId="0" xfId="61" applyFont="1" applyFill="1" applyBorder="1" applyAlignment="1">
      <alignment horizontal="left" vertical="center" wrapText="1"/>
    </xf>
    <xf numFmtId="0" fontId="44" fillId="0" borderId="0" xfId="61" applyBorder="1" applyAlignment="1"/>
    <xf numFmtId="0" fontId="12" fillId="0" borderId="0" xfId="61" applyFont="1" applyBorder="1" applyAlignment="1">
      <alignment vertical="center"/>
    </xf>
    <xf numFmtId="0" fontId="10" fillId="0" borderId="0" xfId="61" applyFont="1" applyBorder="1" applyAlignment="1">
      <alignment horizontal="left" vertical="center"/>
    </xf>
    <xf numFmtId="0" fontId="10" fillId="0" borderId="7" xfId="61" applyFont="1" applyBorder="1"/>
    <xf numFmtId="0" fontId="17" fillId="0" borderId="0" xfId="61" applyFont="1" applyBorder="1" applyAlignment="1">
      <alignment vertical="center"/>
    </xf>
    <xf numFmtId="0" fontId="11" fillId="0" borderId="0" xfId="61" applyFont="1" applyBorder="1"/>
    <xf numFmtId="0" fontId="11" fillId="0" borderId="0" xfId="61" applyFont="1" applyBorder="1" applyAlignment="1">
      <alignment horizontal="left" vertical="center" wrapText="1"/>
    </xf>
    <xf numFmtId="0" fontId="11" fillId="0" borderId="0" xfId="61" applyFont="1" applyBorder="1" applyAlignment="1">
      <alignment vertical="center"/>
    </xf>
    <xf numFmtId="0" fontId="10" fillId="0" borderId="0" xfId="61" applyFont="1" applyBorder="1" applyAlignment="1">
      <alignment horizontal="center" vertical="center"/>
    </xf>
    <xf numFmtId="0" fontId="44" fillId="0" borderId="0" xfId="61" applyFill="1" applyBorder="1" applyAlignment="1"/>
    <xf numFmtId="0" fontId="44" fillId="0" borderId="0" xfId="61" applyBorder="1" applyAlignment="1">
      <alignment horizontal="center"/>
    </xf>
    <xf numFmtId="0" fontId="11" fillId="0" borderId="0" xfId="61" applyFont="1" applyBorder="1" applyAlignment="1">
      <alignment horizontal="left" vertical="center"/>
    </xf>
    <xf numFmtId="0" fontId="44" fillId="0" borderId="0" xfId="61" applyBorder="1" applyAlignment="1">
      <alignment wrapText="1"/>
    </xf>
    <xf numFmtId="0" fontId="12" fillId="0" borderId="0" xfId="61" applyFont="1" applyFill="1" applyBorder="1" applyAlignment="1">
      <alignment horizontal="center" vertical="center"/>
    </xf>
    <xf numFmtId="0" fontId="12" fillId="0" borderId="0" xfId="61" applyFont="1" applyBorder="1" applyAlignment="1"/>
    <xf numFmtId="0" fontId="10" fillId="0" borderId="0" xfId="61" applyFont="1" applyFill="1" applyBorder="1" applyAlignment="1">
      <alignment horizontal="center" vertical="center"/>
    </xf>
    <xf numFmtId="0" fontId="10" fillId="0" borderId="0" xfId="61" applyFont="1" applyFill="1" applyBorder="1" applyAlignment="1">
      <alignment vertical="center"/>
    </xf>
    <xf numFmtId="0" fontId="10" fillId="0" borderId="0" xfId="61" applyFont="1" applyFill="1" applyBorder="1" applyAlignment="1">
      <alignment horizontal="left" vertical="center"/>
    </xf>
    <xf numFmtId="167" fontId="10" fillId="0" borderId="0" xfId="61" applyNumberFormat="1" applyFont="1" applyFill="1" applyBorder="1" applyAlignment="1">
      <alignment vertical="center"/>
    </xf>
    <xf numFmtId="1" fontId="12" fillId="0" borderId="0" xfId="61" applyNumberFormat="1" applyFont="1" applyFill="1" applyBorder="1" applyAlignment="1">
      <alignment horizontal="center" vertical="center"/>
    </xf>
    <xf numFmtId="49" fontId="12" fillId="0" borderId="4" xfId="61" applyNumberFormat="1" applyFont="1" applyBorder="1" applyAlignment="1">
      <alignment vertical="center"/>
    </xf>
    <xf numFmtId="0" fontId="10" fillId="0" borderId="4" xfId="61" applyFont="1" applyBorder="1"/>
    <xf numFmtId="49" fontId="12" fillId="0" borderId="9" xfId="61" applyNumberFormat="1" applyFont="1" applyBorder="1" applyAlignment="1">
      <alignment vertical="center"/>
    </xf>
    <xf numFmtId="0" fontId="10" fillId="0" borderId="9" xfId="61" applyFont="1" applyBorder="1" applyAlignment="1">
      <alignment vertical="center"/>
    </xf>
    <xf numFmtId="0" fontId="10" fillId="0" borderId="9" xfId="61" applyFont="1" applyBorder="1" applyAlignment="1">
      <alignment horizontal="center" vertical="center"/>
    </xf>
    <xf numFmtId="0" fontId="10" fillId="0" borderId="9" xfId="61" applyFont="1" applyBorder="1"/>
    <xf numFmtId="0" fontId="10" fillId="0" borderId="0" xfId="61" applyFont="1" applyFill="1" applyBorder="1" applyAlignment="1">
      <alignment horizontal="center" vertical="center" wrapText="1"/>
    </xf>
    <xf numFmtId="0" fontId="44" fillId="0" borderId="0" xfId="61" applyFont="1" applyBorder="1" applyAlignment="1">
      <alignment wrapText="1"/>
    </xf>
    <xf numFmtId="167" fontId="10" fillId="0" borderId="0" xfId="61" applyNumberFormat="1" applyFont="1" applyFill="1" applyBorder="1" applyAlignment="1">
      <alignment horizontal="left" vertical="center"/>
    </xf>
    <xf numFmtId="0" fontId="44" fillId="0" borderId="0" xfId="61" applyFill="1" applyBorder="1" applyAlignment="1">
      <alignment vertical="center"/>
    </xf>
    <xf numFmtId="49" fontId="12" fillId="0" borderId="0" xfId="61" applyNumberFormat="1" applyFont="1" applyFill="1" applyBorder="1" applyAlignment="1">
      <alignment vertical="center"/>
    </xf>
    <xf numFmtId="0" fontId="44" fillId="0" borderId="0" xfId="61" applyFill="1" applyBorder="1" applyAlignment="1">
      <alignment wrapText="1"/>
    </xf>
    <xf numFmtId="0" fontId="44" fillId="0" borderId="0" xfId="61" applyFont="1" applyFill="1" applyBorder="1" applyAlignment="1">
      <alignment wrapText="1"/>
    </xf>
    <xf numFmtId="0" fontId="10" fillId="0" borderId="4" xfId="61" applyFont="1" applyBorder="1" applyAlignment="1">
      <alignment horizontal="left" vertical="center"/>
    </xf>
    <xf numFmtId="0" fontId="10" fillId="0" borderId="4" xfId="61" applyFont="1" applyBorder="1" applyAlignment="1">
      <alignment vertical="center"/>
    </xf>
    <xf numFmtId="0" fontId="10" fillId="0" borderId="4" xfId="61" applyFont="1" applyBorder="1" applyAlignment="1">
      <alignment horizontal="center" vertical="center"/>
    </xf>
    <xf numFmtId="0" fontId="44" fillId="0" borderId="4" xfId="61" applyBorder="1" applyAlignment="1"/>
    <xf numFmtId="0" fontId="44" fillId="0" borderId="4" xfId="61" applyFont="1" applyBorder="1" applyAlignment="1">
      <alignment wrapText="1"/>
    </xf>
    <xf numFmtId="169" fontId="10" fillId="0" borderId="0" xfId="61" applyNumberFormat="1" applyFont="1" applyFill="1" applyBorder="1" applyAlignment="1">
      <alignment horizontal="center" vertical="center"/>
    </xf>
    <xf numFmtId="0" fontId="8" fillId="0" borderId="0" xfId="61" applyFont="1" applyFill="1" applyBorder="1" applyAlignment="1">
      <alignment horizontal="center" vertical="center"/>
    </xf>
    <xf numFmtId="0" fontId="10" fillId="0" borderId="0" xfId="61" applyFont="1" applyFill="1" applyBorder="1" applyAlignment="1"/>
    <xf numFmtId="169" fontId="10" fillId="0" borderId="0" xfId="61" applyNumberFormat="1" applyFont="1" applyFill="1" applyBorder="1" applyAlignment="1">
      <alignment vertical="center"/>
    </xf>
    <xf numFmtId="0" fontId="10" fillId="0" borderId="0" xfId="61" applyFont="1" applyFill="1" applyBorder="1" applyAlignment="1">
      <alignment horizontal="center"/>
    </xf>
    <xf numFmtId="49" fontId="12" fillId="0" borderId="0" xfId="61" applyNumberFormat="1" applyFont="1" applyBorder="1" applyAlignment="1"/>
    <xf numFmtId="0" fontId="12" fillId="0" borderId="0" xfId="61" applyFont="1" applyBorder="1" applyAlignment="1">
      <alignment horizontal="right"/>
    </xf>
    <xf numFmtId="49" fontId="12" fillId="0" borderId="0" xfId="61" applyNumberFormat="1" applyFont="1" applyFill="1" applyBorder="1" applyAlignment="1"/>
    <xf numFmtId="0" fontId="10" fillId="0" borderId="10" xfId="61" applyFont="1" applyFill="1" applyBorder="1"/>
    <xf numFmtId="0" fontId="10" fillId="0" borderId="9" xfId="61" applyFont="1" applyFill="1" applyBorder="1"/>
    <xf numFmtId="0" fontId="10" fillId="0" borderId="6" xfId="61" applyFont="1" applyFill="1" applyBorder="1" applyAlignment="1">
      <alignment horizontal="left"/>
    </xf>
    <xf numFmtId="0" fontId="10" fillId="0" borderId="0" xfId="61" applyFont="1" applyFill="1" applyBorder="1" applyAlignment="1">
      <alignment horizontal="left"/>
    </xf>
    <xf numFmtId="0" fontId="10" fillId="0" borderId="3" xfId="61" applyFont="1" applyBorder="1"/>
    <xf numFmtId="0" fontId="10" fillId="0" borderId="5" xfId="61" applyFont="1" applyBorder="1"/>
    <xf numFmtId="0" fontId="10" fillId="0" borderId="0" xfId="61" applyFont="1" applyBorder="1" applyAlignment="1">
      <alignment horizontal="right" vertical="center"/>
    </xf>
    <xf numFmtId="0" fontId="12" fillId="0" borderId="0" xfId="61" applyFont="1" applyFill="1" applyBorder="1" applyAlignment="1"/>
    <xf numFmtId="0" fontId="29" fillId="0" borderId="0" xfId="61" applyFont="1" applyFill="1" applyBorder="1" applyAlignment="1">
      <alignment horizontal="left"/>
    </xf>
    <xf numFmtId="0" fontId="12" fillId="0" borderId="0" xfId="61" applyFont="1"/>
    <xf numFmtId="0" fontId="12" fillId="0" borderId="0" xfId="61" applyFont="1" applyAlignment="1"/>
    <xf numFmtId="0" fontId="21" fillId="0" borderId="0" xfId="59" applyFont="1" applyBorder="1"/>
    <xf numFmtId="0" fontId="21" fillId="0" borderId="0" xfId="59" applyFont="1" applyBorder="1" applyAlignment="1"/>
    <xf numFmtId="0" fontId="26" fillId="0" borderId="0" xfId="59" applyFont="1"/>
    <xf numFmtId="0" fontId="10" fillId="0" borderId="0" xfId="59" applyFont="1"/>
    <xf numFmtId="0" fontId="12" fillId="0" borderId="6" xfId="59" applyFont="1" applyBorder="1"/>
    <xf numFmtId="0" fontId="31" fillId="0" borderId="0" xfId="59" applyFont="1" applyBorder="1"/>
    <xf numFmtId="0" fontId="31" fillId="0" borderId="0" xfId="59" applyFont="1" applyBorder="1" applyAlignment="1">
      <alignment horizontal="center"/>
    </xf>
    <xf numFmtId="0" fontId="31" fillId="0" borderId="7" xfId="59" applyFont="1" applyBorder="1"/>
    <xf numFmtId="0" fontId="31" fillId="0" borderId="0" xfId="59" applyFont="1" applyFill="1" applyBorder="1"/>
    <xf numFmtId="0" fontId="31" fillId="0" borderId="0" xfId="59" applyFont="1"/>
    <xf numFmtId="49" fontId="12" fillId="0" borderId="6" xfId="59" applyNumberFormat="1" applyFont="1" applyBorder="1" applyAlignment="1">
      <alignment horizontal="right"/>
    </xf>
    <xf numFmtId="0" fontId="10" fillId="0" borderId="0" xfId="59" applyFont="1" applyBorder="1"/>
    <xf numFmtId="0" fontId="10" fillId="0" borderId="7" xfId="59" applyFont="1" applyBorder="1"/>
    <xf numFmtId="0" fontId="10" fillId="0" borderId="0" xfId="59" applyFont="1" applyFill="1" applyBorder="1" applyAlignment="1"/>
    <xf numFmtId="0" fontId="12" fillId="0" borderId="0" xfId="59" applyFont="1" applyBorder="1"/>
    <xf numFmtId="49" fontId="12" fillId="0" borderId="3" xfId="59" applyNumberFormat="1" applyFont="1" applyBorder="1"/>
    <xf numFmtId="0" fontId="10" fillId="0" borderId="4" xfId="59" applyFont="1" applyBorder="1"/>
    <xf numFmtId="0" fontId="10" fillId="0" borderId="4" xfId="59" applyFont="1" applyBorder="1" applyAlignment="1">
      <alignment horizontal="center"/>
    </xf>
    <xf numFmtId="0" fontId="10" fillId="0" borderId="5" xfId="59" applyFont="1" applyBorder="1"/>
    <xf numFmtId="0" fontId="10" fillId="0" borderId="0" xfId="59" applyFont="1" applyFill="1" applyBorder="1"/>
    <xf numFmtId="0" fontId="10" fillId="0" borderId="0" xfId="59" applyFont="1" applyFill="1" applyBorder="1" applyAlignment="1">
      <alignment horizontal="center"/>
    </xf>
    <xf numFmtId="49" fontId="12" fillId="0" borderId="6" xfId="59" applyNumberFormat="1" applyFont="1" applyBorder="1"/>
    <xf numFmtId="0" fontId="10" fillId="0" borderId="0" xfId="59" applyFont="1" applyBorder="1" applyAlignment="1">
      <alignment horizontal="center"/>
    </xf>
    <xf numFmtId="2" fontId="10" fillId="0" borderId="0" xfId="59" applyNumberFormat="1" applyFont="1" applyBorder="1" applyAlignment="1">
      <alignment horizontal="left"/>
    </xf>
    <xf numFmtId="0" fontId="10" fillId="0" borderId="7" xfId="59" applyFont="1" applyBorder="1" applyAlignment="1">
      <alignment horizontal="center"/>
    </xf>
    <xf numFmtId="0" fontId="10" fillId="0" borderId="0" xfId="59" applyFont="1" applyFill="1" applyBorder="1" applyAlignment="1">
      <alignment horizontal="left"/>
    </xf>
    <xf numFmtId="49" fontId="10" fillId="0" borderId="0" xfId="59" applyNumberFormat="1" applyFont="1" applyFill="1" applyBorder="1" applyAlignment="1">
      <alignment horizontal="right"/>
    </xf>
    <xf numFmtId="49" fontId="10" fillId="0" borderId="0" xfId="59" applyNumberFormat="1" applyFont="1" applyFill="1" applyBorder="1" applyAlignment="1">
      <alignment horizontal="center"/>
    </xf>
    <xf numFmtId="0" fontId="10" fillId="0" borderId="0" xfId="59" applyFont="1" applyBorder="1" applyAlignment="1">
      <alignment horizontal="left" vertical="center" wrapText="1"/>
    </xf>
    <xf numFmtId="0" fontId="15" fillId="0" borderId="0" xfId="59" applyFont="1" applyFill="1" applyBorder="1"/>
    <xf numFmtId="167" fontId="15" fillId="0" borderId="0" xfId="59" applyNumberFormat="1" applyFont="1" applyBorder="1" applyAlignment="1">
      <alignment horizontal="center" vertical="center"/>
    </xf>
    <xf numFmtId="0" fontId="15" fillId="0" borderId="0" xfId="59" applyFont="1" applyAlignment="1">
      <alignment vertical="center"/>
    </xf>
    <xf numFmtId="0" fontId="15" fillId="0" borderId="0" xfId="59" applyFont="1" applyBorder="1" applyAlignment="1">
      <alignment vertical="center"/>
    </xf>
    <xf numFmtId="0" fontId="15" fillId="0" borderId="0" xfId="59" applyFont="1"/>
    <xf numFmtId="2" fontId="10" fillId="0" borderId="0" xfId="59" applyNumberFormat="1" applyFont="1" applyBorder="1" applyAlignment="1">
      <alignment horizontal="center"/>
    </xf>
    <xf numFmtId="49" fontId="11" fillId="0" borderId="0" xfId="59" applyNumberFormat="1" applyFont="1" applyFill="1" applyBorder="1" applyAlignment="1">
      <alignment horizontal="right"/>
    </xf>
    <xf numFmtId="0" fontId="12" fillId="0" borderId="7" xfId="59" applyFont="1" applyFill="1" applyBorder="1" applyAlignment="1">
      <alignment horizontal="center"/>
    </xf>
    <xf numFmtId="0" fontId="11" fillId="0" borderId="0" xfId="59" applyFont="1" applyBorder="1"/>
    <xf numFmtId="0" fontId="10" fillId="0" borderId="7" xfId="59" applyFont="1" applyFill="1" applyBorder="1"/>
    <xf numFmtId="0" fontId="44" fillId="0" borderId="0" xfId="59"/>
    <xf numFmtId="49" fontId="44" fillId="0" borderId="0" xfId="59" applyNumberFormat="1" applyFill="1" applyBorder="1" applyAlignment="1">
      <alignment horizontal="center"/>
    </xf>
    <xf numFmtId="0" fontId="11" fillId="0" borderId="0" xfId="59" applyFont="1" applyFill="1" applyBorder="1" applyAlignment="1">
      <alignment horizontal="right"/>
    </xf>
    <xf numFmtId="0" fontId="44" fillId="0" borderId="0" xfId="59" applyBorder="1" applyAlignment="1">
      <alignment horizontal="right"/>
    </xf>
    <xf numFmtId="0" fontId="10" fillId="0" borderId="6" xfId="59" applyFont="1" applyBorder="1"/>
    <xf numFmtId="49" fontId="12" fillId="0" borderId="6" xfId="59" applyNumberFormat="1" applyFont="1" applyFill="1" applyBorder="1" applyAlignment="1">
      <alignment horizontal="right"/>
    </xf>
    <xf numFmtId="0" fontId="34" fillId="0" borderId="0" xfId="59" applyFont="1" applyFill="1" applyBorder="1" applyAlignment="1"/>
    <xf numFmtId="0" fontId="11" fillId="0" borderId="0" xfId="59" applyFont="1" applyBorder="1" applyAlignment="1">
      <alignment horizontal="left"/>
    </xf>
    <xf numFmtId="49" fontId="11" fillId="0" borderId="0" xfId="59" applyNumberFormat="1" applyFont="1" applyBorder="1" applyAlignment="1">
      <alignment horizontal="center"/>
    </xf>
    <xf numFmtId="49" fontId="10" fillId="0" borderId="0" xfId="59" applyNumberFormat="1" applyFont="1"/>
    <xf numFmtId="49" fontId="10" fillId="0" borderId="0" xfId="59" applyNumberFormat="1" applyFont="1" applyBorder="1"/>
    <xf numFmtId="0" fontId="10" fillId="0" borderId="0" xfId="59" applyFont="1" applyBorder="1" applyAlignment="1">
      <alignment horizontal="left"/>
    </xf>
    <xf numFmtId="0" fontId="49" fillId="0" borderId="0" xfId="59" applyFont="1" applyBorder="1"/>
    <xf numFmtId="49" fontId="12" fillId="0" borderId="3" xfId="59" applyNumberFormat="1" applyFont="1" applyBorder="1" applyAlignment="1">
      <alignment horizontal="right"/>
    </xf>
    <xf numFmtId="0" fontId="10" fillId="0" borderId="4" xfId="59" applyFont="1" applyFill="1" applyBorder="1"/>
    <xf numFmtId="165" fontId="10" fillId="0" borderId="0" xfId="59" applyNumberFormat="1" applyFont="1" applyBorder="1" applyAlignment="1">
      <alignment horizontal="center"/>
    </xf>
    <xf numFmtId="0" fontId="12" fillId="0" borderId="0" xfId="59" applyFont="1" applyFill="1" applyBorder="1"/>
    <xf numFmtId="0" fontId="10" fillId="0" borderId="0" xfId="59" applyFont="1" applyFill="1"/>
    <xf numFmtId="0" fontId="10" fillId="0" borderId="0" xfId="59" applyFont="1" applyFill="1" applyBorder="1" applyAlignment="1">
      <alignment vertical="center"/>
    </xf>
    <xf numFmtId="0" fontId="10" fillId="0" borderId="0" xfId="59" applyFont="1" applyBorder="1" applyAlignment="1">
      <alignment horizontal="right" vertical="center"/>
    </xf>
    <xf numFmtId="0" fontId="44" fillId="0" borderId="0" xfId="59" applyBorder="1" applyAlignment="1">
      <alignment vertical="center"/>
    </xf>
    <xf numFmtId="0" fontId="11" fillId="0" borderId="4" xfId="59" applyFont="1" applyBorder="1"/>
    <xf numFmtId="0" fontId="12" fillId="0" borderId="4" xfId="59" applyFont="1" applyBorder="1"/>
    <xf numFmtId="0" fontId="10" fillId="0" borderId="0" xfId="59" applyFont="1" applyBorder="1" applyAlignment="1">
      <alignment horizontal="center" vertical="center"/>
    </xf>
    <xf numFmtId="49" fontId="12" fillId="0" borderId="6" xfId="59" applyNumberFormat="1" applyFont="1" applyBorder="1" applyAlignment="1">
      <alignment horizontal="right" vertical="center"/>
    </xf>
    <xf numFmtId="0" fontId="10" fillId="0" borderId="7" xfId="59" applyFont="1" applyBorder="1" applyAlignment="1">
      <alignment vertical="center"/>
    </xf>
    <xf numFmtId="0" fontId="12" fillId="0" borderId="6" xfId="59" applyFont="1" applyBorder="1" applyAlignment="1">
      <alignment horizontal="right" vertical="center"/>
    </xf>
    <xf numFmtId="0" fontId="10" fillId="0" borderId="0" xfId="59" applyFont="1" applyBorder="1" applyAlignment="1">
      <alignment vertical="center"/>
    </xf>
    <xf numFmtId="49" fontId="12" fillId="0" borderId="6" xfId="59" applyNumberFormat="1" applyFont="1" applyFill="1" applyBorder="1"/>
    <xf numFmtId="167" fontId="10" fillId="0" borderId="0" xfId="59" applyNumberFormat="1" applyFont="1" applyFill="1" applyBorder="1" applyAlignment="1">
      <alignment horizontal="left" vertical="center"/>
    </xf>
    <xf numFmtId="0" fontId="10" fillId="0" borderId="6" xfId="59" applyFont="1" applyFill="1" applyBorder="1"/>
    <xf numFmtId="49" fontId="12" fillId="0" borderId="6" xfId="59" applyNumberFormat="1" applyFont="1" applyFill="1" applyBorder="1" applyAlignment="1">
      <alignment vertical="center"/>
    </xf>
    <xf numFmtId="0" fontId="12" fillId="0" borderId="3" xfId="59" applyFont="1" applyBorder="1"/>
    <xf numFmtId="0" fontId="12" fillId="0" borderId="4" xfId="59" applyFont="1" applyBorder="1" applyAlignment="1">
      <alignment horizontal="left"/>
    </xf>
    <xf numFmtId="0" fontId="20" fillId="0" borderId="0" xfId="59" applyFont="1" applyBorder="1" applyAlignment="1">
      <alignment horizontal="left" vertical="center"/>
    </xf>
    <xf numFmtId="0" fontId="12" fillId="0" borderId="0" xfId="59" applyFont="1"/>
    <xf numFmtId="0" fontId="12" fillId="0" borderId="0" xfId="59" applyFont="1" applyAlignment="1">
      <alignment horizontal="left"/>
    </xf>
    <xf numFmtId="0" fontId="44" fillId="0" borderId="0" xfId="64" applyFont="1"/>
    <xf numFmtId="0" fontId="10" fillId="3" borderId="8" xfId="64" applyFont="1" applyFill="1" applyBorder="1" applyAlignment="1">
      <alignment horizontal="left" vertical="center" wrapText="1"/>
    </xf>
    <xf numFmtId="0" fontId="12" fillId="3" borderId="8" xfId="64" applyFont="1" applyFill="1" applyBorder="1" applyAlignment="1">
      <alignment horizontal="center" vertical="center" wrapText="1"/>
    </xf>
    <xf numFmtId="49" fontId="12" fillId="3" borderId="8" xfId="64" applyNumberFormat="1" applyFont="1" applyFill="1" applyBorder="1" applyAlignment="1">
      <alignment horizontal="left" vertical="center" wrapText="1"/>
    </xf>
    <xf numFmtId="0" fontId="10" fillId="3" borderId="8" xfId="64" applyFont="1" applyFill="1" applyBorder="1" applyAlignment="1">
      <alignment horizontal="center" vertical="center" wrapText="1"/>
    </xf>
    <xf numFmtId="49" fontId="10" fillId="3" borderId="8" xfId="64" applyNumberFormat="1" applyFont="1" applyFill="1" applyBorder="1" applyAlignment="1">
      <alignment horizontal="left" vertical="center" wrapText="1"/>
    </xf>
    <xf numFmtId="0" fontId="34" fillId="3" borderId="8" xfId="64" applyFont="1" applyFill="1" applyBorder="1" applyAlignment="1">
      <alignment horizontal="center" vertical="center" wrapText="1"/>
    </xf>
    <xf numFmtId="0" fontId="34" fillId="2" borderId="8" xfId="64" applyFont="1" applyFill="1" applyBorder="1" applyAlignment="1">
      <alignment horizontal="center" vertical="center"/>
    </xf>
    <xf numFmtId="0" fontId="34" fillId="3" borderId="12" xfId="64" applyFont="1" applyFill="1" applyBorder="1" applyAlignment="1">
      <alignment horizontal="left" vertical="center"/>
    </xf>
    <xf numFmtId="0" fontId="34" fillId="3" borderId="12" xfId="64" applyFont="1" applyFill="1" applyBorder="1" applyAlignment="1">
      <alignment horizontal="center" vertical="center"/>
    </xf>
    <xf numFmtId="0" fontId="34" fillId="3" borderId="12" xfId="64" applyFont="1" applyFill="1" applyBorder="1" applyAlignment="1">
      <alignment vertical="center"/>
    </xf>
    <xf numFmtId="0" fontId="34" fillId="2" borderId="8" xfId="64" applyFont="1" applyFill="1" applyBorder="1" applyAlignment="1">
      <alignment horizontal="left" vertical="center"/>
    </xf>
    <xf numFmtId="0" fontId="34" fillId="2" borderId="8" xfId="64" applyFont="1" applyFill="1" applyBorder="1" applyAlignment="1">
      <alignment vertical="center"/>
    </xf>
    <xf numFmtId="0" fontId="34" fillId="3" borderId="8" xfId="64" applyFont="1" applyFill="1" applyBorder="1" applyAlignment="1">
      <alignment horizontal="left" vertical="center"/>
    </xf>
    <xf numFmtId="0" fontId="34" fillId="3" borderId="8" xfId="64" applyFont="1" applyFill="1" applyBorder="1" applyAlignment="1">
      <alignment horizontal="center" vertical="center"/>
    </xf>
    <xf numFmtId="0" fontId="34" fillId="3" borderId="8" xfId="64" applyFont="1" applyFill="1" applyBorder="1" applyAlignment="1">
      <alignment vertical="center"/>
    </xf>
    <xf numFmtId="49" fontId="34" fillId="2" borderId="8" xfId="64" applyNumberFormat="1" applyFont="1" applyFill="1" applyBorder="1" applyAlignment="1">
      <alignment vertical="center"/>
    </xf>
    <xf numFmtId="0" fontId="34" fillId="2" borderId="8" xfId="64" applyFont="1" applyFill="1" applyBorder="1" applyAlignment="1">
      <alignment horizontal="left" vertical="center" wrapText="1"/>
    </xf>
    <xf numFmtId="0" fontId="34" fillId="3" borderId="8" xfId="64" applyFont="1" applyFill="1" applyBorder="1" applyAlignment="1">
      <alignment horizontal="left" vertical="center" wrapText="1"/>
    </xf>
    <xf numFmtId="0" fontId="34" fillId="2" borderId="8" xfId="64" applyFont="1" applyFill="1" applyBorder="1" applyAlignment="1">
      <alignment vertical="center" wrapText="1"/>
    </xf>
    <xf numFmtId="49" fontId="34" fillId="3" borderId="8" xfId="64" applyNumberFormat="1" applyFont="1" applyFill="1" applyBorder="1" applyAlignment="1">
      <alignment horizontal="left" vertical="center" wrapText="1"/>
    </xf>
    <xf numFmtId="0" fontId="34" fillId="0" borderId="8" xfId="64" applyFont="1" applyFill="1" applyBorder="1" applyAlignment="1">
      <alignment horizontal="center" vertical="center"/>
    </xf>
    <xf numFmtId="0" fontId="44" fillId="0" borderId="0" xfId="64" applyFont="1" applyAlignment="1">
      <alignment horizontal="center"/>
    </xf>
    <xf numFmtId="0" fontId="44" fillId="0" borderId="4" xfId="61" applyBorder="1" applyAlignment="1">
      <alignment horizontal="center" vertical="center"/>
    </xf>
    <xf numFmtId="0" fontId="44" fillId="0" borderId="9" xfId="61" applyBorder="1" applyAlignment="1">
      <alignment horizontal="center" vertical="center"/>
    </xf>
    <xf numFmtId="0" fontId="44" fillId="0" borderId="0" xfId="61" applyBorder="1" applyAlignment="1">
      <alignment horizontal="left" vertical="center" wrapText="1"/>
    </xf>
    <xf numFmtId="0" fontId="48" fillId="0" borderId="0" xfId="61" applyFont="1" applyBorder="1" applyAlignment="1">
      <alignment horizontal="center" vertical="center" wrapText="1"/>
    </xf>
    <xf numFmtId="0" fontId="0" fillId="0" borderId="0" xfId="0" applyFill="1"/>
    <xf numFmtId="0" fontId="34" fillId="0" borderId="0" xfId="57" applyFont="1" applyFill="1" applyAlignment="1">
      <alignment horizontal="left" vertical="center"/>
    </xf>
    <xf numFmtId="0" fontId="0" fillId="0" borderId="0" xfId="0" applyAlignment="1">
      <alignment horizontal="left"/>
    </xf>
    <xf numFmtId="0" fontId="34" fillId="0" borderId="0" xfId="63" applyFont="1" applyFill="1" applyBorder="1" applyAlignment="1">
      <alignment horizontal="left" vertical="top"/>
    </xf>
    <xf numFmtId="0" fontId="34" fillId="0" borderId="0" xfId="63" applyFont="1" applyFill="1" applyBorder="1" applyAlignment="1">
      <alignment horizontal="left" vertical="center"/>
    </xf>
    <xf numFmtId="0" fontId="34" fillId="0" borderId="0" xfId="57" applyFont="1" applyFill="1" applyBorder="1" applyAlignment="1">
      <alignment horizontal="left" vertical="top"/>
    </xf>
    <xf numFmtId="0" fontId="34" fillId="0" borderId="0" xfId="57" applyFont="1" applyFill="1" applyBorder="1" applyAlignment="1">
      <alignment horizontal="left" vertical="center"/>
    </xf>
    <xf numFmtId="0" fontId="44" fillId="0" borderId="9" xfId="61" applyBorder="1" applyAlignment="1">
      <alignment horizontal="center"/>
    </xf>
    <xf numFmtId="0" fontId="44" fillId="0" borderId="0" xfId="61" applyBorder="1" applyAlignment="1">
      <alignment horizontal="left"/>
    </xf>
    <xf numFmtId="0" fontId="11" fillId="0" borderId="9" xfId="61" applyNumberFormat="1" applyFont="1" applyFill="1" applyBorder="1" applyAlignment="1">
      <alignment horizontal="center" vertical="center" wrapText="1"/>
    </xf>
    <xf numFmtId="0" fontId="12" fillId="0" borderId="9" xfId="61" applyFont="1" applyBorder="1" applyAlignment="1"/>
    <xf numFmtId="0" fontId="10" fillId="0" borderId="11" xfId="61" applyFont="1" applyBorder="1"/>
    <xf numFmtId="0" fontId="12" fillId="0" borderId="9" xfId="61" applyFont="1" applyBorder="1"/>
    <xf numFmtId="0" fontId="10" fillId="0" borderId="9" xfId="61" applyFont="1" applyBorder="1" applyAlignment="1">
      <alignment horizontal="right"/>
    </xf>
    <xf numFmtId="169" fontId="10" fillId="0" borderId="9" xfId="61" applyNumberFormat="1" applyFont="1" applyBorder="1" applyAlignment="1"/>
    <xf numFmtId="0" fontId="12" fillId="0" borderId="4" xfId="61" applyFont="1" applyBorder="1" applyAlignment="1">
      <alignment vertical="center"/>
    </xf>
    <xf numFmtId="0" fontId="10" fillId="0" borderId="4" xfId="61" applyFont="1" applyBorder="1" applyAlignment="1">
      <alignment horizontal="right" vertical="center"/>
    </xf>
    <xf numFmtId="169" fontId="10" fillId="0" borderId="4" xfId="61" applyNumberFormat="1" applyFont="1" applyFill="1" applyBorder="1" applyAlignment="1">
      <alignment vertical="center"/>
    </xf>
    <xf numFmtId="0" fontId="10" fillId="0" borderId="4" xfId="61" applyFont="1" applyFill="1" applyBorder="1" applyAlignment="1">
      <alignment vertical="center"/>
    </xf>
    <xf numFmtId="0" fontId="12" fillId="0" borderId="9" xfId="61" applyFont="1" applyFill="1" applyBorder="1" applyAlignment="1"/>
    <xf numFmtId="0" fontId="44" fillId="0" borderId="0" xfId="61" applyFill="1" applyBorder="1" applyAlignment="1">
      <alignment horizontal="center"/>
    </xf>
    <xf numFmtId="0" fontId="12" fillId="0" borderId="0" xfId="61" applyFont="1" applyFill="1" applyBorder="1" applyAlignment="1">
      <alignment horizontal="center" vertical="center" wrapText="1"/>
    </xf>
    <xf numFmtId="0" fontId="44" fillId="0" borderId="0" xfId="61" applyFill="1" applyBorder="1" applyAlignment="1">
      <alignment horizontal="center" vertical="center" wrapText="1"/>
    </xf>
    <xf numFmtId="2" fontId="10" fillId="0" borderId="0" xfId="61" applyNumberFormat="1" applyFont="1" applyFill="1" applyBorder="1" applyAlignment="1">
      <alignment horizontal="center" vertical="center"/>
    </xf>
    <xf numFmtId="0" fontId="44" fillId="0" borderId="0" xfId="61" applyFont="1" applyFill="1" applyBorder="1" applyAlignment="1">
      <alignment horizontal="center" vertical="center"/>
    </xf>
    <xf numFmtId="0" fontId="44" fillId="0" borderId="0" xfId="61" applyFill="1" applyBorder="1" applyAlignment="1">
      <alignment horizontal="center" vertical="center"/>
    </xf>
    <xf numFmtId="0" fontId="11" fillId="0" borderId="0" xfId="61" applyFont="1" applyFill="1" applyBorder="1" applyAlignment="1">
      <alignment vertical="center"/>
    </xf>
    <xf numFmtId="0" fontId="12" fillId="0" borderId="0" xfId="61" applyFont="1" applyFill="1" applyBorder="1" applyAlignment="1">
      <alignment vertical="center"/>
    </xf>
    <xf numFmtId="0" fontId="9" fillId="0" borderId="0" xfId="61" applyFont="1" applyFill="1" applyBorder="1" applyAlignment="1">
      <alignment horizontal="center" vertical="center"/>
    </xf>
    <xf numFmtId="0" fontId="44" fillId="0" borderId="0" xfId="61" applyFill="1"/>
    <xf numFmtId="0" fontId="44" fillId="0" borderId="0" xfId="61" applyBorder="1" applyAlignment="1">
      <alignment horizontal="right" vertical="center"/>
    </xf>
    <xf numFmtId="0" fontId="10" fillId="0" borderId="0" xfId="59" applyFont="1" applyFill="1" applyBorder="1" applyAlignment="1">
      <alignment wrapText="1"/>
    </xf>
    <xf numFmtId="0" fontId="44" fillId="0" borderId="0" xfId="59" applyBorder="1" applyAlignment="1"/>
    <xf numFmtId="0" fontId="44" fillId="0" borderId="7" xfId="59" applyBorder="1" applyAlignment="1"/>
    <xf numFmtId="0" fontId="44" fillId="0" borderId="0" xfId="59" applyBorder="1" applyAlignment="1">
      <alignment wrapText="1"/>
    </xf>
    <xf numFmtId="0" fontId="10" fillId="0" borderId="0" xfId="59" applyFont="1" applyBorder="1" applyAlignment="1">
      <alignment vertical="center" wrapText="1"/>
    </xf>
    <xf numFmtId="0" fontId="44" fillId="0" borderId="0" xfId="59" applyBorder="1" applyAlignment="1">
      <alignment horizontal="left"/>
    </xf>
    <xf numFmtId="0" fontId="44" fillId="0" borderId="7" xfId="59" applyBorder="1" applyAlignment="1">
      <alignment wrapText="1"/>
    </xf>
    <xf numFmtId="0" fontId="10" fillId="0" borderId="0" xfId="59" applyFont="1" applyAlignment="1">
      <alignment horizontal="center" wrapText="1"/>
    </xf>
    <xf numFmtId="0" fontId="44" fillId="0" borderId="0" xfId="59" applyAlignment="1">
      <alignment horizontal="center"/>
    </xf>
    <xf numFmtId="0" fontId="44" fillId="0" borderId="0" xfId="59" applyFill="1" applyBorder="1" applyAlignment="1">
      <alignment horizontal="center"/>
    </xf>
    <xf numFmtId="0" fontId="10" fillId="0" borderId="0" xfId="59" applyFont="1" applyFill="1" applyBorder="1" applyAlignment="1">
      <alignment horizontal="center" wrapText="1"/>
    </xf>
    <xf numFmtId="0" fontId="10" fillId="0" borderId="0" xfId="59" applyFont="1" applyBorder="1" applyAlignment="1">
      <alignment horizontal="left" wrapText="1"/>
    </xf>
    <xf numFmtId="0" fontId="42" fillId="0" borderId="0" xfId="59" applyFont="1" applyFill="1" applyBorder="1" applyAlignment="1">
      <alignment horizontal="center"/>
    </xf>
    <xf numFmtId="0" fontId="10" fillId="0" borderId="0" xfId="59" applyFont="1" applyFill="1" applyBorder="1" applyAlignment="1">
      <alignment horizontal="center" vertical="center"/>
    </xf>
    <xf numFmtId="0" fontId="44" fillId="0" borderId="0" xfId="59" applyFill="1"/>
    <xf numFmtId="0" fontId="44" fillId="0" borderId="0" xfId="59" applyBorder="1"/>
    <xf numFmtId="165" fontId="10" fillId="0" borderId="0" xfId="59" applyNumberFormat="1" applyFont="1" applyFill="1" applyBorder="1" applyAlignment="1">
      <alignment horizontal="center"/>
    </xf>
    <xf numFmtId="0" fontId="0" fillId="0" borderId="0" xfId="0" applyFill="1" applyBorder="1"/>
    <xf numFmtId="0" fontId="13" fillId="0" borderId="0" xfId="59" applyFont="1" applyFill="1" applyBorder="1"/>
    <xf numFmtId="0" fontId="44" fillId="0" borderId="0" xfId="59" applyFill="1" applyBorder="1"/>
    <xf numFmtId="0" fontId="51" fillId="0" borderId="0" xfId="59" applyFont="1" applyBorder="1" applyAlignment="1">
      <alignment horizontal="center" vertical="center"/>
    </xf>
    <xf numFmtId="0" fontId="12" fillId="0" borderId="0" xfId="59" applyFont="1" applyBorder="1" applyAlignment="1">
      <alignment vertical="center"/>
    </xf>
    <xf numFmtId="0" fontId="42" fillId="0" borderId="0" xfId="59" applyFont="1" applyFill="1" applyBorder="1" applyAlignment="1">
      <alignment horizontal="center" vertical="center"/>
    </xf>
    <xf numFmtId="0" fontId="13" fillId="0" borderId="0" xfId="59" applyFont="1" applyFill="1" applyBorder="1" applyAlignment="1">
      <alignment horizontal="left" vertical="center"/>
    </xf>
    <xf numFmtId="0" fontId="13" fillId="0" borderId="0" xfId="59" applyFont="1" applyFill="1" applyBorder="1" applyAlignment="1">
      <alignment horizontal="center"/>
    </xf>
    <xf numFmtId="0" fontId="12" fillId="0" borderId="10" xfId="0" applyFont="1" applyFill="1" applyBorder="1" applyAlignment="1">
      <alignment horizontal="center" vertical="center"/>
    </xf>
    <xf numFmtId="0" fontId="9" fillId="0" borderId="0" xfId="0" applyFont="1" applyFill="1" applyBorder="1" applyAlignment="1">
      <alignment horizontal="center" vertical="center"/>
    </xf>
    <xf numFmtId="0" fontId="32" fillId="0" borderId="8" xfId="0" applyFont="1" applyBorder="1" applyAlignment="1">
      <alignment horizontal="center"/>
    </xf>
    <xf numFmtId="0" fontId="32" fillId="0" borderId="17" xfId="0" applyFont="1" applyBorder="1" applyAlignment="1">
      <alignment horizontal="center"/>
    </xf>
    <xf numFmtId="2" fontId="32" fillId="0" borderId="8" xfId="0" applyNumberFormat="1" applyFont="1" applyBorder="1" applyAlignment="1">
      <alignment horizontal="center"/>
    </xf>
    <xf numFmtId="2" fontId="32" fillId="0" borderId="17" xfId="0" applyNumberFormat="1" applyFont="1" applyBorder="1" applyAlignment="1">
      <alignment horizontal="center"/>
    </xf>
    <xf numFmtId="0" fontId="43" fillId="0" borderId="0" xfId="0" applyFont="1" applyFill="1" applyBorder="1" applyAlignment="1">
      <alignment horizontal="center" vertical="center"/>
    </xf>
    <xf numFmtId="2" fontId="9" fillId="0" borderId="0" xfId="0" applyNumberFormat="1" applyFont="1" applyFill="1" applyBorder="1" applyAlignment="1">
      <alignment horizontal="center" vertical="center"/>
    </xf>
    <xf numFmtId="49" fontId="12" fillId="0" borderId="6" xfId="0" applyNumberFormat="1" applyFont="1" applyFill="1" applyBorder="1" applyAlignment="1">
      <alignment horizontal="left" vertical="center" wrapText="1"/>
    </xf>
    <xf numFmtId="49" fontId="12" fillId="0" borderId="7" xfId="0" applyNumberFormat="1" applyFont="1" applyFill="1" applyBorder="1" applyAlignment="1">
      <alignment horizontal="left" vertical="center" wrapText="1"/>
    </xf>
    <xf numFmtId="0" fontId="12" fillId="0" borderId="6" xfId="0" quotePrefix="1" applyFont="1" applyBorder="1" applyAlignment="1">
      <alignment horizontal="center" vertical="center"/>
    </xf>
    <xf numFmtId="0" fontId="12" fillId="0" borderId="6" xfId="0" applyFont="1" applyBorder="1" applyAlignment="1">
      <alignment horizontal="left" vertical="center"/>
    </xf>
    <xf numFmtId="0" fontId="12" fillId="0" borderId="6" xfId="0" applyFont="1" applyFill="1" applyBorder="1" applyAlignment="1">
      <alignment horizontal="left" vertical="center"/>
    </xf>
    <xf numFmtId="0" fontId="12" fillId="0" borderId="6" xfId="0" quotePrefix="1" applyFont="1" applyFill="1" applyBorder="1" applyAlignment="1">
      <alignment horizontal="center" vertical="center"/>
    </xf>
    <xf numFmtId="0" fontId="12" fillId="0" borderId="10" xfId="0" applyFont="1" applyBorder="1" applyAlignment="1">
      <alignment horizontal="left" vertical="center"/>
    </xf>
    <xf numFmtId="49" fontId="12" fillId="0" borderId="9" xfId="0" applyNumberFormat="1" applyFont="1" applyFill="1" applyBorder="1" applyAlignment="1">
      <alignment horizontal="left" vertical="center" wrapText="1"/>
    </xf>
    <xf numFmtId="49" fontId="12" fillId="0" borderId="11" xfId="0" applyNumberFormat="1" applyFont="1" applyFill="1" applyBorder="1" applyAlignment="1">
      <alignment horizontal="left" vertical="center" wrapText="1"/>
    </xf>
    <xf numFmtId="0" fontId="9" fillId="0" borderId="4" xfId="0" applyFont="1" applyFill="1" applyBorder="1" applyAlignment="1">
      <alignment horizontal="center" vertical="center"/>
    </xf>
    <xf numFmtId="0" fontId="42" fillId="0" borderId="4" xfId="0" applyFont="1" applyFill="1" applyBorder="1" applyAlignment="1">
      <alignment horizontal="left" vertical="center"/>
    </xf>
    <xf numFmtId="0" fontId="43" fillId="0" borderId="4" xfId="0" applyFont="1" applyFill="1" applyBorder="1" applyAlignment="1">
      <alignment horizontal="center" vertical="center"/>
    </xf>
    <xf numFmtId="0" fontId="12" fillId="0" borderId="0" xfId="0" applyFont="1" applyFill="1" applyBorder="1" applyAlignment="1">
      <alignment horizontal="left" vertical="center" wrapText="1"/>
    </xf>
    <xf numFmtId="0" fontId="9" fillId="0" borderId="9" xfId="0" applyFont="1" applyFill="1" applyBorder="1" applyAlignment="1">
      <alignment horizontal="center" vertical="center"/>
    </xf>
    <xf numFmtId="0" fontId="42" fillId="0" borderId="9" xfId="0" applyFont="1" applyFill="1" applyBorder="1" applyAlignment="1">
      <alignment horizontal="left" vertical="center"/>
    </xf>
    <xf numFmtId="0" fontId="42" fillId="0" borderId="9" xfId="0" applyFont="1" applyFill="1" applyBorder="1" applyAlignment="1">
      <alignment horizontal="center" vertical="center"/>
    </xf>
    <xf numFmtId="0" fontId="43" fillId="0" borderId="9" xfId="0" applyFont="1" applyFill="1" applyBorder="1" applyAlignment="1">
      <alignment horizontal="center" vertical="center"/>
    </xf>
    <xf numFmtId="2" fontId="9" fillId="0" borderId="9" xfId="0" applyNumberFormat="1" applyFont="1" applyFill="1" applyBorder="1" applyAlignment="1">
      <alignment horizontal="center" vertical="center"/>
    </xf>
    <xf numFmtId="0" fontId="17" fillId="0" borderId="0" xfId="0" applyFont="1" applyFill="1" applyBorder="1" applyAlignment="1">
      <alignment horizontal="left" vertical="center" wrapText="1"/>
    </xf>
    <xf numFmtId="0" fontId="0" fillId="0" borderId="4" xfId="0" applyBorder="1"/>
    <xf numFmtId="0" fontId="10" fillId="0" borderId="8" xfId="0" applyFont="1" applyFill="1" applyBorder="1" applyAlignment="1">
      <alignment horizontal="center" vertical="center"/>
    </xf>
    <xf numFmtId="49" fontId="21" fillId="0" borderId="0" xfId="61" applyNumberFormat="1" applyFont="1" applyFill="1" applyBorder="1" applyAlignment="1">
      <alignment horizontal="center" vertical="center" wrapText="1"/>
    </xf>
    <xf numFmtId="0" fontId="44" fillId="0" borderId="0" xfId="59" applyBorder="1" applyAlignment="1">
      <alignment horizontal="center" wrapText="1"/>
    </xf>
    <xf numFmtId="49" fontId="21" fillId="0" borderId="0" xfId="0" applyNumberFormat="1" applyFont="1" applyBorder="1" applyAlignment="1">
      <alignment horizontal="center" vertical="center" wrapText="1"/>
    </xf>
    <xf numFmtId="165" fontId="10" fillId="0" borderId="0" xfId="0" applyNumberFormat="1" applyFont="1" applyBorder="1"/>
    <xf numFmtId="0" fontId="27" fillId="0" borderId="0" xfId="0" applyFont="1" applyBorder="1" applyAlignment="1">
      <alignment vertical="center"/>
    </xf>
    <xf numFmtId="0" fontId="33" fillId="0" borderId="0" xfId="58" applyFont="1" applyBorder="1" applyAlignment="1">
      <alignment horizontal="center" vertical="center" wrapText="1"/>
    </xf>
    <xf numFmtId="0" fontId="44" fillId="0" borderId="0" xfId="58" applyFill="1" applyBorder="1" applyAlignment="1">
      <alignment horizontal="center" vertical="center"/>
    </xf>
    <xf numFmtId="0" fontId="44" fillId="0" borderId="0" xfId="58" applyFill="1" applyBorder="1"/>
    <xf numFmtId="0" fontId="33" fillId="0" borderId="0" xfId="62" applyFont="1" applyBorder="1" applyAlignment="1">
      <alignment horizontal="center" vertical="center" wrapText="1"/>
    </xf>
    <xf numFmtId="0" fontId="44" fillId="0" borderId="0" xfId="62" applyBorder="1" applyAlignment="1">
      <alignment horizontal="center" vertical="center" wrapText="1"/>
    </xf>
    <xf numFmtId="0" fontId="33" fillId="0" borderId="0" xfId="57" applyFont="1" applyBorder="1" applyAlignment="1">
      <alignment horizontal="center" vertical="center"/>
    </xf>
    <xf numFmtId="0" fontId="33" fillId="3" borderId="0" xfId="57" applyFont="1" applyFill="1" applyBorder="1" applyAlignment="1">
      <alignment horizontal="center" vertical="center"/>
    </xf>
    <xf numFmtId="0" fontId="34" fillId="0" borderId="0" xfId="57" applyFont="1" applyFill="1" applyBorder="1" applyAlignment="1">
      <alignment horizontal="center" vertical="center"/>
    </xf>
    <xf numFmtId="0" fontId="44" fillId="0" borderId="0" xfId="57" applyFill="1" applyBorder="1"/>
    <xf numFmtId="0" fontId="44" fillId="0" borderId="0" xfId="60" applyBorder="1" applyAlignment="1">
      <alignment horizontal="left" vertical="center"/>
    </xf>
    <xf numFmtId="0" fontId="33" fillId="0" borderId="0" xfId="60" applyFont="1" applyBorder="1" applyAlignment="1">
      <alignment horizontal="center" vertical="center"/>
    </xf>
    <xf numFmtId="0" fontId="33" fillId="0" borderId="0" xfId="60" applyFont="1" applyBorder="1" applyAlignment="1">
      <alignment vertical="center"/>
    </xf>
    <xf numFmtId="0" fontId="44" fillId="0" borderId="0" xfId="60" applyBorder="1"/>
    <xf numFmtId="0" fontId="51" fillId="0" borderId="7" xfId="59" applyFont="1" applyBorder="1" applyAlignment="1">
      <alignment horizontal="center" vertical="center"/>
    </xf>
    <xf numFmtId="0" fontId="10" fillId="0" borderId="0" xfId="0" applyFont="1" applyBorder="1" applyAlignment="1">
      <alignment horizontal="left" vertical="top"/>
    </xf>
    <xf numFmtId="0" fontId="10" fillId="0" borderId="0" xfId="59" applyFont="1" applyBorder="1" applyAlignment="1">
      <alignment horizontal="left" vertical="center"/>
    </xf>
    <xf numFmtId="167" fontId="10" fillId="0" borderId="6" xfId="59" applyNumberFormat="1" applyFont="1" applyFill="1" applyBorder="1" applyAlignment="1">
      <alignment horizontal="left" vertical="center"/>
    </xf>
    <xf numFmtId="0" fontId="34" fillId="3" borderId="8" xfId="64" applyFont="1" applyFill="1" applyBorder="1" applyAlignment="1">
      <alignment horizontal="center"/>
    </xf>
    <xf numFmtId="49" fontId="10" fillId="2" borderId="8" xfId="64" applyNumberFormat="1" applyFont="1" applyFill="1" applyBorder="1" applyAlignment="1">
      <alignment horizontal="left" vertical="center" wrapText="1"/>
    </xf>
    <xf numFmtId="0" fontId="35" fillId="2" borderId="8" xfId="64" applyFont="1" applyFill="1" applyBorder="1" applyAlignment="1">
      <alignment horizontal="center" vertical="center" wrapText="1"/>
    </xf>
    <xf numFmtId="0" fontId="12" fillId="2" borderId="8" xfId="64" applyFont="1" applyFill="1" applyBorder="1" applyAlignment="1">
      <alignment horizontal="center" vertical="center" wrapText="1"/>
    </xf>
    <xf numFmtId="0" fontId="44" fillId="0" borderId="4" xfId="59" applyBorder="1" applyAlignment="1">
      <alignment horizontal="left" wrapText="1"/>
    </xf>
    <xf numFmtId="0" fontId="26" fillId="0" borderId="4" xfId="59" applyFont="1" applyBorder="1"/>
    <xf numFmtId="0" fontId="12" fillId="0" borderId="3" xfId="0" applyFont="1" applyBorder="1" applyAlignment="1">
      <alignment horizontal="left" vertical="center"/>
    </xf>
    <xf numFmtId="0" fontId="10" fillId="0" borderId="4" xfId="0" applyFont="1" applyBorder="1" applyAlignment="1">
      <alignment horizontal="center" vertical="center" wrapText="1"/>
    </xf>
    <xf numFmtId="0" fontId="13" fillId="0" borderId="0" xfId="0" applyFont="1" applyFill="1" applyBorder="1" applyAlignment="1">
      <alignment horizontal="center" vertical="center"/>
    </xf>
    <xf numFmtId="2" fontId="13" fillId="0" borderId="0" xfId="0" applyNumberFormat="1" applyFont="1" applyFill="1" applyBorder="1" applyAlignment="1">
      <alignment horizontal="center" vertical="center"/>
    </xf>
    <xf numFmtId="165" fontId="14" fillId="0" borderId="0" xfId="0" applyNumberFormat="1" applyFont="1" applyBorder="1" applyAlignment="1">
      <alignment horizontal="center" vertical="center"/>
    </xf>
    <xf numFmtId="0" fontId="0" fillId="0" borderId="4" xfId="0" applyBorder="1" applyAlignment="1">
      <alignment horizontal="left" vertical="center"/>
    </xf>
    <xf numFmtId="0" fontId="57" fillId="0" borderId="0" xfId="0" applyFont="1" applyBorder="1" applyAlignment="1">
      <alignment horizontal="left" vertical="center"/>
    </xf>
    <xf numFmtId="0" fontId="8" fillId="0" borderId="0" xfId="0" applyFont="1" applyFill="1" applyBorder="1" applyAlignment="1">
      <alignment horizontal="center" vertical="center"/>
    </xf>
    <xf numFmtId="0" fontId="8" fillId="0" borderId="9" xfId="0" applyFont="1" applyFill="1" applyBorder="1" applyAlignment="1">
      <alignment horizontal="center" vertical="center"/>
    </xf>
    <xf numFmtId="0" fontId="8" fillId="0" borderId="6" xfId="0" applyFont="1" applyFill="1" applyBorder="1" applyAlignment="1">
      <alignment horizontal="center" vertical="center"/>
    </xf>
    <xf numFmtId="0" fontId="8" fillId="0" borderId="3" xfId="0" applyFont="1" applyFill="1" applyBorder="1" applyAlignment="1">
      <alignment horizontal="center" vertical="center"/>
    </xf>
    <xf numFmtId="2" fontId="9" fillId="0" borderId="4" xfId="0" applyNumberFormat="1" applyFont="1" applyFill="1" applyBorder="1" applyAlignment="1">
      <alignment horizontal="center" vertical="center"/>
    </xf>
    <xf numFmtId="49" fontId="10" fillId="0" borderId="6" xfId="0" applyNumberFormat="1" applyFont="1" applyBorder="1" applyAlignment="1">
      <alignment horizontal="center" vertical="center"/>
    </xf>
    <xf numFmtId="2" fontId="34" fillId="0" borderId="0" xfId="57" applyNumberFormat="1" applyFont="1" applyFill="1" applyBorder="1" applyAlignment="1">
      <alignment horizontal="center" vertical="center"/>
    </xf>
    <xf numFmtId="0" fontId="11" fillId="0" borderId="0" xfId="0" applyFont="1" applyBorder="1" applyAlignment="1">
      <alignment vertical="top"/>
    </xf>
    <xf numFmtId="0" fontId="14" fillId="0" borderId="0" xfId="0" applyFont="1" applyFill="1" applyBorder="1" applyAlignment="1">
      <alignment horizontal="center" vertical="center"/>
    </xf>
    <xf numFmtId="0" fontId="0" fillId="0" borderId="0" xfId="0" applyBorder="1" applyAlignment="1">
      <alignment horizontal="right" vertical="center"/>
    </xf>
    <xf numFmtId="0" fontId="0" fillId="0" borderId="7" xfId="0" applyBorder="1"/>
    <xf numFmtId="0" fontId="0" fillId="0" borderId="7" xfId="0" applyFill="1" applyBorder="1"/>
    <xf numFmtId="0" fontId="8" fillId="0" borderId="6" xfId="0" applyFont="1" applyFill="1" applyBorder="1" applyAlignment="1">
      <alignment horizontal="left" vertical="center"/>
    </xf>
    <xf numFmtId="0" fontId="10" fillId="0" borderId="18" xfId="0" applyFont="1" applyFill="1" applyBorder="1" applyAlignment="1">
      <alignment horizontal="left" vertical="center"/>
    </xf>
    <xf numFmtId="0" fontId="10" fillId="0" borderId="19" xfId="0" applyFont="1" applyFill="1" applyBorder="1" applyAlignment="1">
      <alignment horizontal="left" vertical="center"/>
    </xf>
    <xf numFmtId="0" fontId="14" fillId="0" borderId="0" xfId="0" applyFont="1" applyFill="1" applyBorder="1" applyAlignment="1">
      <alignment horizontal="left" vertical="center"/>
    </xf>
    <xf numFmtId="0" fontId="0" fillId="0" borderId="0" xfId="0" applyBorder="1" applyAlignment="1">
      <alignment vertical="center" wrapText="1"/>
    </xf>
    <xf numFmtId="49" fontId="38" fillId="0" borderId="0" xfId="0" applyNumberFormat="1" applyFont="1" applyFill="1" applyBorder="1" applyAlignment="1">
      <alignment horizontal="left" vertical="center" wrapText="1"/>
    </xf>
    <xf numFmtId="0" fontId="53" fillId="0" borderId="0" xfId="59" applyFont="1"/>
    <xf numFmtId="0" fontId="46" fillId="0" borderId="0" xfId="61" applyFont="1" applyBorder="1" applyAlignment="1">
      <alignment horizontal="center" vertical="center" wrapText="1"/>
    </xf>
    <xf numFmtId="165" fontId="10" fillId="0" borderId="4" xfId="0" applyNumberFormat="1" applyFont="1" applyFill="1" applyBorder="1" applyAlignment="1">
      <alignment horizontal="center" vertical="center"/>
    </xf>
    <xf numFmtId="2" fontId="10" fillId="0" borderId="4" xfId="0" applyNumberFormat="1" applyFont="1" applyFill="1" applyBorder="1" applyAlignment="1">
      <alignment horizontal="center" vertical="center"/>
    </xf>
    <xf numFmtId="0" fontId="31" fillId="0" borderId="0" xfId="0" applyFont="1" applyBorder="1" applyAlignment="1">
      <alignment horizontal="center"/>
    </xf>
    <xf numFmtId="0" fontId="31" fillId="0" borderId="0" xfId="0" applyFont="1" applyFill="1" applyBorder="1" applyAlignment="1">
      <alignment horizontal="center" vertical="center" wrapText="1"/>
    </xf>
    <xf numFmtId="0" fontId="10" fillId="2" borderId="0" xfId="0" applyFont="1" applyFill="1" applyBorder="1" applyAlignment="1">
      <alignment horizontal="center" vertical="center"/>
    </xf>
    <xf numFmtId="165" fontId="13" fillId="0" borderId="0" xfId="0" applyNumberFormat="1" applyFont="1" applyFill="1" applyBorder="1" applyAlignment="1">
      <alignment horizontal="center" vertical="center"/>
    </xf>
    <xf numFmtId="0" fontId="62" fillId="0" borderId="0" xfId="0" applyFont="1" applyFill="1" applyBorder="1" applyAlignment="1">
      <alignment horizontal="center" vertical="center"/>
    </xf>
    <xf numFmtId="0" fontId="66" fillId="0" borderId="0" xfId="61" quotePrefix="1" applyFont="1"/>
    <xf numFmtId="1" fontId="10" fillId="0" borderId="0" xfId="0" applyNumberFormat="1" applyFont="1" applyFill="1" applyBorder="1" applyAlignment="1">
      <alignment horizontal="center"/>
    </xf>
    <xf numFmtId="16" fontId="67" fillId="3" borderId="0" xfId="0" quotePrefix="1" applyNumberFormat="1" applyFont="1" applyFill="1" applyBorder="1" applyAlignment="1">
      <alignment horizontal="center"/>
    </xf>
    <xf numFmtId="0" fontId="67" fillId="3" borderId="0" xfId="0" quotePrefix="1" applyFont="1" applyFill="1" applyBorder="1" applyAlignment="1">
      <alignment horizontal="center"/>
    </xf>
    <xf numFmtId="0" fontId="10" fillId="2" borderId="0" xfId="0" applyFont="1" applyFill="1" applyBorder="1" applyAlignment="1">
      <alignment horizontal="center"/>
    </xf>
    <xf numFmtId="0" fontId="10" fillId="2" borderId="0" xfId="0" applyFont="1" applyFill="1" applyBorder="1" applyAlignment="1">
      <alignment horizontal="center" wrapText="1"/>
    </xf>
    <xf numFmtId="2" fontId="10" fillId="2" borderId="0" xfId="0" applyNumberFormat="1" applyFont="1" applyFill="1" applyBorder="1" applyAlignment="1">
      <alignment horizontal="center" wrapText="1"/>
    </xf>
    <xf numFmtId="0" fontId="10" fillId="0" borderId="0" xfId="0" applyFont="1" applyBorder="1" applyProtection="1"/>
    <xf numFmtId="0" fontId="10" fillId="4" borderId="0" xfId="0" applyFont="1" applyFill="1"/>
    <xf numFmtId="0" fontId="10" fillId="0" borderId="19" xfId="0" applyFont="1" applyBorder="1" applyAlignment="1">
      <alignment vertical="center"/>
    </xf>
    <xf numFmtId="0" fontId="10" fillId="0" borderId="0" xfId="10" applyFont="1"/>
    <xf numFmtId="0" fontId="10" fillId="0" borderId="0" xfId="10" applyFont="1" applyAlignment="1">
      <alignment horizontal="left"/>
    </xf>
    <xf numFmtId="0" fontId="12" fillId="0" borderId="0" xfId="10" applyFont="1"/>
    <xf numFmtId="49" fontId="12" fillId="0" borderId="0" xfId="10" applyNumberFormat="1" applyFont="1"/>
    <xf numFmtId="2" fontId="10" fillId="0" borderId="0" xfId="10" applyNumberFormat="1" applyFont="1" applyFill="1" applyBorder="1" applyAlignment="1">
      <alignment horizontal="center" vertical="center"/>
    </xf>
    <xf numFmtId="0" fontId="10" fillId="0" borderId="0" xfId="10" applyFont="1" applyFill="1"/>
    <xf numFmtId="2" fontId="12" fillId="0" borderId="0" xfId="10" applyNumberFormat="1" applyFont="1" applyFill="1" applyBorder="1" applyAlignment="1">
      <alignment horizontal="center" vertical="center"/>
    </xf>
    <xf numFmtId="0" fontId="10" fillId="0" borderId="0" xfId="10" applyFont="1" applyFill="1" applyBorder="1"/>
    <xf numFmtId="0" fontId="10" fillId="0" borderId="2" xfId="10" applyFont="1" applyBorder="1" applyAlignment="1">
      <alignment horizontal="left" vertical="center"/>
    </xf>
    <xf numFmtId="0" fontId="10" fillId="0" borderId="2" xfId="10" applyFont="1" applyBorder="1" applyAlignment="1">
      <alignment horizontal="center" vertical="center"/>
    </xf>
    <xf numFmtId="0" fontId="10" fillId="0" borderId="0" xfId="10" applyFont="1" applyFill="1" applyBorder="1" applyAlignment="1">
      <alignment horizontal="left" vertical="center"/>
    </xf>
    <xf numFmtId="168" fontId="12" fillId="0" borderId="0" xfId="10" applyNumberFormat="1" applyFont="1" applyFill="1" applyBorder="1" applyAlignment="1">
      <alignment horizontal="center" vertical="center"/>
    </xf>
    <xf numFmtId="0" fontId="10" fillId="0" borderId="0" xfId="10" applyFont="1" applyFill="1" applyBorder="1" applyAlignment="1">
      <alignment horizontal="center" vertical="center"/>
    </xf>
    <xf numFmtId="1" fontId="12" fillId="0" borderId="0" xfId="10" applyNumberFormat="1" applyFont="1" applyFill="1" applyBorder="1" applyAlignment="1">
      <alignment horizontal="center" vertical="center"/>
    </xf>
    <xf numFmtId="49" fontId="10" fillId="0" borderId="0" xfId="10" applyNumberFormat="1" applyFont="1" applyFill="1" applyBorder="1" applyAlignment="1">
      <alignment vertical="center"/>
    </xf>
    <xf numFmtId="0" fontId="12" fillId="0" borderId="0" xfId="10" applyFont="1" applyBorder="1" applyAlignment="1">
      <alignment horizontal="left" vertical="center"/>
    </xf>
    <xf numFmtId="0" fontId="12" fillId="0" borderId="0" xfId="10" applyFont="1" applyBorder="1" applyAlignment="1">
      <alignment horizontal="center" vertical="center"/>
    </xf>
    <xf numFmtId="0" fontId="10" fillId="0" borderId="0" xfId="10" applyFont="1" applyBorder="1"/>
    <xf numFmtId="0" fontId="20" fillId="0" borderId="0" xfId="10" applyFont="1" applyBorder="1" applyAlignment="1">
      <alignment horizontal="center" vertical="center"/>
    </xf>
    <xf numFmtId="165" fontId="10" fillId="0" borderId="0" xfId="10" applyNumberFormat="1" applyFont="1" applyFill="1" applyBorder="1" applyAlignment="1">
      <alignment horizontal="center" vertical="center"/>
    </xf>
    <xf numFmtId="0" fontId="10" fillId="0" borderId="0" xfId="10" applyFont="1" applyBorder="1" applyAlignment="1">
      <alignment horizontal="center"/>
    </xf>
    <xf numFmtId="168" fontId="12" fillId="0" borderId="2" xfId="10" applyNumberFormat="1" applyFont="1" applyFill="1" applyBorder="1" applyAlignment="1">
      <alignment horizontal="center" vertical="center"/>
    </xf>
    <xf numFmtId="0" fontId="10" fillId="0" borderId="2" xfId="10" applyFont="1" applyFill="1" applyBorder="1" applyAlignment="1">
      <alignment horizontal="center" vertical="center"/>
    </xf>
    <xf numFmtId="49" fontId="12" fillId="0" borderId="2" xfId="10" applyNumberFormat="1" applyFont="1" applyFill="1" applyBorder="1" applyAlignment="1">
      <alignment vertical="center"/>
    </xf>
    <xf numFmtId="0" fontId="10" fillId="0" borderId="0" xfId="10" applyFont="1" applyBorder="1" applyAlignment="1">
      <alignment horizontal="center" vertical="center"/>
    </xf>
    <xf numFmtId="49" fontId="12" fillId="0" borderId="0" xfId="10" applyNumberFormat="1" applyFont="1" applyFill="1" applyBorder="1" applyAlignment="1">
      <alignment vertical="center"/>
    </xf>
    <xf numFmtId="0" fontId="10" fillId="0" borderId="0" xfId="10" applyFont="1" applyBorder="1" applyAlignment="1">
      <alignment vertical="center"/>
    </xf>
    <xf numFmtId="169" fontId="12" fillId="0" borderId="0" xfId="10" applyNumberFormat="1" applyFont="1" applyFill="1" applyBorder="1" applyAlignment="1">
      <alignment horizontal="center" vertical="center"/>
    </xf>
    <xf numFmtId="49" fontId="12" fillId="0" borderId="0" xfId="10" applyNumberFormat="1" applyFont="1" applyFill="1" applyBorder="1" applyAlignment="1">
      <alignment horizontal="left" vertical="center"/>
    </xf>
    <xf numFmtId="0" fontId="10" fillId="0" borderId="0" xfId="10" applyFont="1" applyFill="1" applyBorder="1" applyAlignment="1">
      <alignment vertical="center"/>
    </xf>
    <xf numFmtId="169" fontId="10" fillId="0" borderId="0" xfId="10" applyNumberFormat="1" applyFont="1" applyFill="1" applyBorder="1" applyAlignment="1">
      <alignment horizontal="left" vertical="center"/>
    </xf>
    <xf numFmtId="49" fontId="10" fillId="0" borderId="0" xfId="10" applyNumberFormat="1" applyFont="1" applyBorder="1" applyAlignment="1">
      <alignment horizontal="left" vertical="center" wrapText="1"/>
    </xf>
    <xf numFmtId="169" fontId="10" fillId="0" borderId="0" xfId="10" applyNumberFormat="1" applyFont="1" applyFill="1" applyBorder="1" applyAlignment="1">
      <alignment horizontal="center" vertical="center"/>
    </xf>
    <xf numFmtId="49" fontId="10" fillId="0" borderId="0" xfId="10" applyNumberFormat="1" applyFont="1" applyBorder="1" applyAlignment="1">
      <alignment horizontal="left" vertical="center"/>
    </xf>
    <xf numFmtId="49" fontId="12" fillId="0" borderId="0" xfId="10" applyNumberFormat="1" applyFont="1" applyFill="1" applyBorder="1" applyAlignment="1">
      <alignment horizontal="center" vertical="center"/>
    </xf>
    <xf numFmtId="49" fontId="10" fillId="0" borderId="0" xfId="10" applyNumberFormat="1" applyFont="1" applyFill="1" applyBorder="1" applyAlignment="1">
      <alignment horizontal="center" vertical="center"/>
    </xf>
    <xf numFmtId="49" fontId="12" fillId="0" borderId="0" xfId="10" applyNumberFormat="1" applyFont="1" applyBorder="1" applyAlignment="1">
      <alignment vertical="center"/>
    </xf>
    <xf numFmtId="2" fontId="10" fillId="0" borderId="0" xfId="10" applyNumberFormat="1" applyFont="1" applyBorder="1" applyAlignment="1">
      <alignment horizontal="left" vertical="center" wrapText="1"/>
    </xf>
    <xf numFmtId="0" fontId="12" fillId="0" borderId="0" xfId="10" applyFont="1" applyFill="1" applyBorder="1" applyAlignment="1">
      <alignment horizontal="center" vertical="center"/>
    </xf>
    <xf numFmtId="168" fontId="10" fillId="0" borderId="0" xfId="10" applyNumberFormat="1" applyFont="1" applyFill="1" applyBorder="1" applyAlignment="1">
      <alignment horizontal="right" vertical="center"/>
    </xf>
    <xf numFmtId="165" fontId="10" fillId="0" borderId="0" xfId="10" applyNumberFormat="1" applyFont="1" applyBorder="1" applyAlignment="1">
      <alignment horizontal="center" vertical="center"/>
    </xf>
    <xf numFmtId="0" fontId="12" fillId="0" borderId="0" xfId="10" applyFont="1" applyBorder="1" applyAlignment="1">
      <alignment vertical="center"/>
    </xf>
    <xf numFmtId="0" fontId="12" fillId="0" borderId="0" xfId="10" applyFont="1" applyFill="1" applyBorder="1" applyAlignment="1">
      <alignment horizontal="left" vertical="center"/>
    </xf>
    <xf numFmtId="0" fontId="12" fillId="0" borderId="20" xfId="10" applyFont="1" applyFill="1" applyBorder="1" applyAlignment="1">
      <alignment horizontal="left" vertical="center"/>
    </xf>
    <xf numFmtId="49" fontId="12" fillId="0" borderId="21" xfId="10" applyNumberFormat="1" applyFont="1" applyBorder="1" applyAlignment="1">
      <alignment vertical="center"/>
    </xf>
    <xf numFmtId="49" fontId="12" fillId="0" borderId="22" xfId="10" applyNumberFormat="1" applyFont="1" applyBorder="1" applyAlignment="1">
      <alignment vertical="center"/>
    </xf>
    <xf numFmtId="0" fontId="10" fillId="0" borderId="0" xfId="10" applyFont="1" applyBorder="1" applyAlignment="1">
      <alignment horizontal="right" vertical="center"/>
    </xf>
    <xf numFmtId="49" fontId="12" fillId="0" borderId="0" xfId="10" applyNumberFormat="1" applyFont="1" applyBorder="1" applyAlignment="1">
      <alignment horizontal="left" vertical="center"/>
    </xf>
    <xf numFmtId="0" fontId="10" fillId="0" borderId="0" xfId="10" applyFont="1" applyBorder="1" applyAlignment="1">
      <alignment horizontal="left" vertical="center" wrapText="1"/>
    </xf>
    <xf numFmtId="0" fontId="10" fillId="0" borderId="0" xfId="10" applyFont="1" applyFill="1" applyBorder="1" applyAlignment="1">
      <alignment horizontal="center" vertical="center" wrapText="1"/>
    </xf>
    <xf numFmtId="49" fontId="12" fillId="0" borderId="0" xfId="10" applyNumberFormat="1" applyFont="1" applyBorder="1" applyAlignment="1">
      <alignment horizontal="center" vertical="center"/>
    </xf>
    <xf numFmtId="0" fontId="12" fillId="0" borderId="0" xfId="10" applyFont="1" applyFill="1" applyBorder="1" applyAlignment="1">
      <alignment horizontal="center" vertical="center" wrapText="1"/>
    </xf>
    <xf numFmtId="2" fontId="12" fillId="0" borderId="0" xfId="10" applyNumberFormat="1" applyFont="1" applyFill="1" applyBorder="1" applyAlignment="1">
      <alignment horizontal="left" vertical="center"/>
    </xf>
    <xf numFmtId="0" fontId="10" fillId="0" borderId="0" xfId="10" applyFont="1" applyFill="1" applyBorder="1" applyAlignment="1">
      <alignment horizontal="left" vertical="center" wrapText="1"/>
    </xf>
    <xf numFmtId="165" fontId="12" fillId="0" borderId="0" xfId="10" applyNumberFormat="1" applyFont="1" applyFill="1" applyBorder="1" applyAlignment="1">
      <alignment horizontal="center" vertical="center"/>
    </xf>
    <xf numFmtId="49" fontId="12" fillId="0" borderId="0" xfId="10" applyNumberFormat="1" applyFont="1" applyFill="1" applyBorder="1" applyAlignment="1">
      <alignment horizontal="center" vertical="center" wrapText="1"/>
    </xf>
    <xf numFmtId="49" fontId="12" fillId="0" borderId="0" xfId="10" applyNumberFormat="1" applyFont="1" applyFill="1" applyBorder="1" applyAlignment="1">
      <alignment horizontal="left" vertical="center" wrapText="1"/>
    </xf>
    <xf numFmtId="49" fontId="28" fillId="0" borderId="0" xfId="10" applyNumberFormat="1" applyFont="1" applyFill="1" applyBorder="1" applyAlignment="1">
      <alignment horizontal="center" vertical="center" wrapText="1"/>
    </xf>
    <xf numFmtId="168" fontId="10" fillId="0" borderId="0" xfId="10" applyNumberFormat="1" applyFont="1" applyFill="1" applyBorder="1" applyAlignment="1">
      <alignment horizontal="left" vertical="center"/>
    </xf>
    <xf numFmtId="0" fontId="10" fillId="0" borderId="23" xfId="10" applyFont="1" applyBorder="1" applyAlignment="1">
      <alignment vertical="center"/>
    </xf>
    <xf numFmtId="0" fontId="12" fillId="0" borderId="2" xfId="10" applyFont="1" applyBorder="1" applyAlignment="1">
      <alignment horizontal="left" vertical="center"/>
    </xf>
    <xf numFmtId="0" fontId="10" fillId="0" borderId="2" xfId="10" applyFont="1" applyBorder="1" applyAlignment="1">
      <alignment vertical="center"/>
    </xf>
    <xf numFmtId="0" fontId="12" fillId="0" borderId="2" xfId="10" applyFont="1" applyBorder="1" applyAlignment="1">
      <alignment vertical="center"/>
    </xf>
    <xf numFmtId="0" fontId="10" fillId="0" borderId="21" xfId="10" applyFont="1" applyBorder="1" applyAlignment="1">
      <alignment vertical="center"/>
    </xf>
    <xf numFmtId="0" fontId="10" fillId="0" borderId="1" xfId="10" applyFont="1" applyBorder="1" applyAlignment="1">
      <alignment vertical="center"/>
    </xf>
    <xf numFmtId="0" fontId="10" fillId="0" borderId="22" xfId="10" applyFont="1" applyBorder="1" applyAlignment="1">
      <alignment vertical="center"/>
    </xf>
    <xf numFmtId="0" fontId="12" fillId="0" borderId="0" xfId="10" applyFont="1" applyFill="1" applyAlignment="1">
      <alignment horizontal="center" vertical="center"/>
    </xf>
    <xf numFmtId="0" fontId="10" fillId="0" borderId="0" xfId="10" applyFont="1" applyFill="1" applyBorder="1" applyAlignment="1">
      <alignment horizontal="center"/>
    </xf>
    <xf numFmtId="1" fontId="10" fillId="0" borderId="0" xfId="10" applyNumberFormat="1" applyFont="1" applyFill="1" applyBorder="1" applyAlignment="1">
      <alignment horizontal="center" vertical="center"/>
    </xf>
    <xf numFmtId="0" fontId="11" fillId="0" borderId="0" xfId="10" applyFont="1" applyBorder="1" applyAlignment="1">
      <alignment vertical="center"/>
    </xf>
    <xf numFmtId="0" fontId="10" fillId="0" borderId="22" xfId="10" applyFont="1" applyBorder="1" applyAlignment="1">
      <alignment horizontal="center" vertical="center"/>
    </xf>
    <xf numFmtId="0" fontId="12" fillId="0" borderId="0" xfId="10" applyFont="1" applyFill="1" applyBorder="1" applyAlignment="1">
      <alignment horizontal="center"/>
    </xf>
    <xf numFmtId="0" fontId="24" fillId="0" borderId="0" xfId="10" applyFont="1" applyFill="1" applyBorder="1" applyAlignment="1">
      <alignment horizontal="center" vertical="center"/>
    </xf>
    <xf numFmtId="0" fontId="12" fillId="0" borderId="0" xfId="10" quotePrefix="1" applyFont="1" applyFill="1" applyBorder="1" applyAlignment="1">
      <alignment horizontal="center" vertical="center"/>
    </xf>
    <xf numFmtId="0" fontId="12" fillId="0" borderId="0" xfId="10" applyFont="1" applyFill="1" applyBorder="1" applyAlignment="1">
      <alignment horizontal="right" vertical="center"/>
    </xf>
    <xf numFmtId="0" fontId="12" fillId="0" borderId="0" xfId="10" applyFont="1" applyBorder="1" applyAlignment="1">
      <alignment horizontal="right" vertical="center"/>
    </xf>
    <xf numFmtId="0" fontId="10" fillId="0" borderId="0" xfId="10" quotePrefix="1" applyFont="1" applyBorder="1" applyAlignment="1">
      <alignment horizontal="center"/>
    </xf>
    <xf numFmtId="0" fontId="10" fillId="0" borderId="1" xfId="10" applyFont="1" applyBorder="1" applyAlignment="1">
      <alignment horizontal="center" vertical="center"/>
    </xf>
    <xf numFmtId="49" fontId="10" fillId="0" borderId="0" xfId="10" applyNumberFormat="1" applyFont="1" applyFill="1" applyBorder="1" applyAlignment="1">
      <alignment vertical="center" wrapText="1"/>
    </xf>
    <xf numFmtId="49" fontId="10" fillId="0" borderId="0" xfId="10" applyNumberFormat="1" applyFont="1" applyFill="1" applyBorder="1" applyAlignment="1">
      <alignment horizontal="left" vertical="center" wrapText="1"/>
    </xf>
    <xf numFmtId="49" fontId="10" fillId="0" borderId="0" xfId="10" applyNumberFormat="1" applyFont="1" applyFill="1" applyBorder="1" applyAlignment="1">
      <alignment horizontal="left" vertical="center"/>
    </xf>
    <xf numFmtId="169" fontId="13" fillId="0" borderId="0" xfId="10" applyNumberFormat="1" applyFont="1" applyFill="1" applyBorder="1" applyAlignment="1">
      <alignment vertical="center"/>
    </xf>
    <xf numFmtId="168" fontId="13" fillId="0" borderId="0" xfId="10" applyNumberFormat="1" applyFont="1" applyFill="1" applyBorder="1" applyAlignment="1">
      <alignment vertical="center"/>
    </xf>
    <xf numFmtId="2" fontId="13" fillId="0" borderId="0" xfId="10" applyNumberFormat="1" applyFont="1" applyFill="1" applyBorder="1" applyAlignment="1">
      <alignment vertical="center"/>
    </xf>
    <xf numFmtId="0" fontId="13" fillId="0" borderId="0" xfId="10" applyFont="1" applyFill="1" applyBorder="1" applyAlignment="1">
      <alignment vertical="center"/>
    </xf>
    <xf numFmtId="168" fontId="13" fillId="0" borderId="0" xfId="10" applyNumberFormat="1" applyFont="1" applyFill="1" applyBorder="1" applyAlignment="1">
      <alignment horizontal="center" vertical="center"/>
    </xf>
    <xf numFmtId="2" fontId="10" fillId="0" borderId="0" xfId="10" applyNumberFormat="1" applyFont="1" applyBorder="1" applyAlignment="1">
      <alignment horizontal="center" vertical="center"/>
    </xf>
    <xf numFmtId="49" fontId="12" fillId="0" borderId="0" xfId="10" applyNumberFormat="1" applyFont="1" applyFill="1" applyBorder="1" applyAlignment="1">
      <alignment horizontal="right" vertical="center"/>
    </xf>
    <xf numFmtId="0" fontId="14" fillId="0" borderId="0" xfId="10" applyFont="1" applyFill="1" applyBorder="1" applyAlignment="1">
      <alignment horizontal="center" vertical="center"/>
    </xf>
    <xf numFmtId="49" fontId="14" fillId="0" borderId="0" xfId="10" applyNumberFormat="1" applyFont="1" applyFill="1" applyBorder="1" applyAlignment="1">
      <alignment horizontal="center" vertical="center" wrapText="1"/>
    </xf>
    <xf numFmtId="169" fontId="14" fillId="0" borderId="0" xfId="10" applyNumberFormat="1" applyFont="1" applyFill="1" applyBorder="1" applyAlignment="1">
      <alignment horizontal="center" vertical="center"/>
    </xf>
    <xf numFmtId="0" fontId="14" fillId="0" borderId="0" xfId="10" applyFont="1" applyBorder="1" applyAlignment="1">
      <alignment horizontal="center" vertical="center"/>
    </xf>
    <xf numFmtId="165" fontId="13" fillId="0" borderId="19" xfId="10" applyNumberFormat="1" applyFont="1" applyFill="1" applyBorder="1" applyAlignment="1">
      <alignment horizontal="center" vertical="center"/>
    </xf>
    <xf numFmtId="165" fontId="13" fillId="0" borderId="4" xfId="10" applyNumberFormat="1" applyFont="1" applyFill="1" applyBorder="1" applyAlignment="1">
      <alignment horizontal="center" vertical="center"/>
    </xf>
    <xf numFmtId="0" fontId="10" fillId="0" borderId="5" xfId="10" applyFont="1" applyBorder="1" applyAlignment="1">
      <alignment horizontal="left" vertical="center"/>
    </xf>
    <xf numFmtId="168" fontId="10" fillId="0" borderId="4" xfId="10" applyNumberFormat="1" applyFont="1" applyFill="1" applyBorder="1" applyAlignment="1">
      <alignment horizontal="left" vertical="center"/>
    </xf>
    <xf numFmtId="0" fontId="10" fillId="0" borderId="4" xfId="10" applyFont="1" applyFill="1" applyBorder="1" applyAlignment="1">
      <alignment horizontal="center" vertical="center"/>
    </xf>
    <xf numFmtId="0" fontId="10" fillId="0" borderId="3" xfId="10" applyFont="1" applyBorder="1" applyAlignment="1">
      <alignment vertical="center"/>
    </xf>
    <xf numFmtId="0" fontId="10" fillId="0" borderId="7" xfId="10" applyFont="1" applyBorder="1"/>
    <xf numFmtId="0" fontId="11" fillId="0" borderId="6" xfId="10" applyFont="1" applyBorder="1" applyAlignment="1">
      <alignment vertical="center"/>
    </xf>
    <xf numFmtId="0" fontId="10" fillId="0" borderId="6" xfId="10" applyFont="1" applyBorder="1" applyAlignment="1">
      <alignment vertical="center"/>
    </xf>
    <xf numFmtId="0" fontId="10" fillId="0" borderId="0" xfId="51" applyFont="1" applyBorder="1" applyAlignment="1">
      <alignment vertical="center"/>
    </xf>
    <xf numFmtId="0" fontId="10" fillId="0" borderId="7" xfId="51" applyFont="1" applyBorder="1" applyAlignment="1">
      <alignment horizontal="left" vertical="center"/>
    </xf>
    <xf numFmtId="0" fontId="11" fillId="0" borderId="6" xfId="51" applyFont="1" applyBorder="1" applyAlignment="1">
      <alignment vertical="center"/>
    </xf>
    <xf numFmtId="0" fontId="10" fillId="0" borderId="4" xfId="10" applyFont="1" applyBorder="1" applyAlignment="1">
      <alignment vertical="center"/>
    </xf>
    <xf numFmtId="49" fontId="12" fillId="0" borderId="24" xfId="10" applyNumberFormat="1" applyFont="1" applyBorder="1" applyAlignment="1">
      <alignment vertical="center"/>
    </xf>
    <xf numFmtId="0" fontId="12" fillId="0" borderId="20" xfId="10" applyFont="1" applyBorder="1" applyAlignment="1">
      <alignment vertical="center"/>
    </xf>
    <xf numFmtId="0" fontId="10" fillId="0" borderId="20" xfId="10" applyFont="1" applyBorder="1" applyAlignment="1">
      <alignment vertical="center"/>
    </xf>
    <xf numFmtId="0" fontId="10" fillId="0" borderId="20" xfId="10" applyFont="1" applyBorder="1" applyAlignment="1">
      <alignment horizontal="left" vertical="center"/>
    </xf>
    <xf numFmtId="0" fontId="10" fillId="0" borderId="25" xfId="10" applyFont="1" applyBorder="1" applyAlignment="1">
      <alignment vertical="center"/>
    </xf>
    <xf numFmtId="165" fontId="13" fillId="0" borderId="2" xfId="10" applyNumberFormat="1" applyFont="1" applyFill="1" applyBorder="1" applyAlignment="1">
      <alignment horizontal="center" vertical="center"/>
    </xf>
    <xf numFmtId="165" fontId="10" fillId="0" borderId="2" xfId="10" applyNumberFormat="1" applyFont="1" applyFill="1" applyBorder="1" applyAlignment="1">
      <alignment horizontal="center" vertical="center"/>
    </xf>
    <xf numFmtId="0" fontId="11" fillId="0" borderId="2" xfId="10" applyFont="1" applyBorder="1" applyAlignment="1">
      <alignment vertical="center"/>
    </xf>
    <xf numFmtId="0" fontId="10" fillId="0" borderId="6" xfId="0" applyFont="1" applyFill="1" applyBorder="1" applyAlignment="1">
      <alignment vertical="center"/>
    </xf>
    <xf numFmtId="0" fontId="10" fillId="0" borderId="0" xfId="0" applyFont="1" applyBorder="1" applyProtection="1">
      <protection hidden="1"/>
    </xf>
    <xf numFmtId="0" fontId="71" fillId="0" borderId="0" xfId="0" applyFont="1"/>
    <xf numFmtId="0" fontId="71" fillId="0" borderId="10" xfId="0" applyFont="1" applyBorder="1"/>
    <xf numFmtId="0" fontId="71" fillId="0" borderId="9" xfId="0" applyFont="1" applyBorder="1"/>
    <xf numFmtId="0" fontId="71" fillId="0" borderId="11" xfId="0" applyFont="1" applyBorder="1"/>
    <xf numFmtId="0" fontId="71" fillId="0" borderId="6" xfId="0" applyFont="1" applyBorder="1"/>
    <xf numFmtId="0" fontId="71" fillId="0" borderId="0" xfId="0" applyFont="1" applyBorder="1"/>
    <xf numFmtId="0" fontId="71" fillId="0" borderId="7" xfId="0" applyFont="1" applyBorder="1"/>
    <xf numFmtId="0" fontId="72" fillId="0" borderId="0" xfId="0" applyFont="1" applyBorder="1" applyAlignment="1">
      <alignment horizontal="center" vertical="center"/>
    </xf>
    <xf numFmtId="0" fontId="73" fillId="0" borderId="6" xfId="0" applyFont="1" applyBorder="1"/>
    <xf numFmtId="0" fontId="73" fillId="0" borderId="0" xfId="0" applyFont="1" applyBorder="1"/>
    <xf numFmtId="0" fontId="73" fillId="0" borderId="7" xfId="0" applyFont="1" applyBorder="1"/>
    <xf numFmtId="0" fontId="73" fillId="0" borderId="0" xfId="0" applyFont="1"/>
    <xf numFmtId="0" fontId="74" fillId="0" borderId="0" xfId="0" applyFont="1" applyBorder="1" applyAlignment="1">
      <alignment horizontal="right" vertical="center"/>
    </xf>
    <xf numFmtId="0" fontId="74" fillId="0" borderId="0" xfId="0" applyFont="1" applyBorder="1" applyAlignment="1">
      <alignment vertical="center"/>
    </xf>
    <xf numFmtId="0" fontId="71" fillId="0" borderId="0" xfId="0" applyFont="1" applyBorder="1" applyAlignment="1">
      <alignment vertical="top" wrapText="1"/>
    </xf>
    <xf numFmtId="0" fontId="71" fillId="0" borderId="0" xfId="0" applyFont="1" applyBorder="1" applyAlignment="1">
      <alignment horizontal="left" vertical="top" wrapText="1"/>
    </xf>
    <xf numFmtId="0" fontId="71" fillId="0" borderId="7" xfId="0" applyFont="1" applyBorder="1" applyAlignment="1">
      <alignment horizontal="left" vertical="top" wrapText="1"/>
    </xf>
    <xf numFmtId="0" fontId="71" fillId="0" borderId="0" xfId="0" applyFont="1" applyBorder="1" applyAlignment="1">
      <alignment horizontal="left" vertical="top"/>
    </xf>
    <xf numFmtId="0" fontId="71" fillId="0" borderId="3" xfId="0" applyFont="1" applyBorder="1"/>
    <xf numFmtId="0" fontId="71" fillId="0" borderId="4" xfId="0" applyFont="1" applyBorder="1"/>
    <xf numFmtId="0" fontId="71" fillId="0" borderId="5" xfId="0" applyFont="1" applyBorder="1"/>
    <xf numFmtId="0" fontId="71" fillId="0" borderId="0" xfId="0" applyFont="1" applyFill="1" applyBorder="1"/>
    <xf numFmtId="0" fontId="71" fillId="0" borderId="0" xfId="0" applyFont="1" applyFill="1" applyBorder="1" applyAlignment="1"/>
    <xf numFmtId="2" fontId="40" fillId="3" borderId="0" xfId="0" applyNumberFormat="1" applyFont="1" applyFill="1"/>
    <xf numFmtId="0" fontId="10" fillId="0" borderId="0" xfId="61" applyFont="1" applyFill="1" applyBorder="1" applyAlignment="1">
      <alignment vertical="center" wrapText="1"/>
    </xf>
    <xf numFmtId="0" fontId="10" fillId="2" borderId="28" xfId="0" applyFont="1" applyFill="1" applyBorder="1"/>
    <xf numFmtId="0" fontId="12" fillId="2" borderId="28" xfId="10" applyFont="1" applyFill="1" applyBorder="1" applyAlignment="1">
      <alignment horizontal="left" vertical="center"/>
    </xf>
    <xf numFmtId="0" fontId="12" fillId="2" borderId="29" xfId="10" applyFont="1" applyFill="1" applyBorder="1" applyAlignment="1">
      <alignment horizontal="left" vertical="center"/>
    </xf>
    <xf numFmtId="49" fontId="12" fillId="2" borderId="30" xfId="10" applyNumberFormat="1" applyFont="1" applyFill="1" applyBorder="1" applyAlignment="1">
      <alignment horizontal="left" vertical="center"/>
    </xf>
    <xf numFmtId="0" fontId="12" fillId="2" borderId="18" xfId="10" applyFont="1" applyFill="1" applyBorder="1" applyAlignment="1">
      <alignment vertical="center"/>
    </xf>
    <xf numFmtId="0" fontId="10" fillId="2" borderId="19" xfId="10" applyFont="1" applyFill="1" applyBorder="1" applyAlignment="1">
      <alignment vertical="center"/>
    </xf>
    <xf numFmtId="0" fontId="10" fillId="2" borderId="14" xfId="10" applyFont="1" applyFill="1" applyBorder="1" applyAlignment="1">
      <alignment horizontal="left" vertical="center"/>
    </xf>
    <xf numFmtId="165" fontId="13" fillId="2" borderId="19" xfId="10" applyNumberFormat="1" applyFont="1" applyFill="1" applyBorder="1" applyAlignment="1">
      <alignment horizontal="center" vertical="center"/>
    </xf>
    <xf numFmtId="0" fontId="10" fillId="2" borderId="19" xfId="10" applyFont="1" applyFill="1" applyBorder="1" applyAlignment="1">
      <alignment horizontal="center" vertical="center"/>
    </xf>
    <xf numFmtId="168" fontId="10" fillId="2" borderId="19" xfId="10" applyNumberFormat="1" applyFont="1" applyFill="1" applyBorder="1" applyAlignment="1">
      <alignment horizontal="left" vertical="center"/>
    </xf>
    <xf numFmtId="49" fontId="10" fillId="2" borderId="28" xfId="0" applyNumberFormat="1" applyFont="1" applyFill="1" applyBorder="1" applyAlignment="1">
      <alignment horizontal="left" vertical="center"/>
    </xf>
    <xf numFmtId="49" fontId="12" fillId="2" borderId="18" xfId="59" applyNumberFormat="1" applyFont="1" applyFill="1" applyBorder="1"/>
    <xf numFmtId="0" fontId="12" fillId="2" borderId="19" xfId="59" applyFont="1" applyFill="1" applyBorder="1"/>
    <xf numFmtId="0" fontId="10" fillId="2" borderId="19" xfId="59" applyFont="1" applyFill="1" applyBorder="1"/>
    <xf numFmtId="0" fontId="10" fillId="2" borderId="14" xfId="59" applyFont="1" applyFill="1" applyBorder="1"/>
    <xf numFmtId="0" fontId="10" fillId="2" borderId="19" xfId="59" applyFont="1" applyFill="1" applyBorder="1" applyAlignment="1">
      <alignment horizontal="center"/>
    </xf>
    <xf numFmtId="0" fontId="10" fillId="2" borderId="14" xfId="59" applyFont="1" applyFill="1" applyBorder="1" applyAlignment="1">
      <alignment horizontal="center"/>
    </xf>
    <xf numFmtId="0" fontId="35" fillId="2" borderId="8" xfId="58" applyFont="1" applyFill="1" applyBorder="1" applyAlignment="1">
      <alignment horizontal="center" vertical="center" wrapText="1"/>
    </xf>
    <xf numFmtId="1" fontId="64" fillId="2" borderId="8" xfId="58" applyNumberFormat="1" applyFont="1" applyFill="1" applyBorder="1" applyAlignment="1">
      <alignment horizontal="center" vertical="center" wrapText="1"/>
    </xf>
    <xf numFmtId="0" fontId="35" fillId="2" borderId="8" xfId="57" applyFont="1" applyFill="1" applyBorder="1" applyAlignment="1">
      <alignment horizontal="center"/>
    </xf>
    <xf numFmtId="0" fontId="59" fillId="2" borderId="8" xfId="57" applyFont="1" applyFill="1" applyBorder="1" applyAlignment="1">
      <alignment horizontal="center"/>
    </xf>
    <xf numFmtId="0" fontId="35" fillId="2" borderId="8" xfId="57" applyFont="1" applyFill="1" applyBorder="1" applyAlignment="1">
      <alignment horizontal="center" wrapText="1"/>
    </xf>
    <xf numFmtId="1" fontId="63" fillId="2" borderId="8" xfId="60" applyNumberFormat="1" applyFont="1" applyFill="1" applyBorder="1" applyAlignment="1">
      <alignment horizontal="center" vertical="center"/>
    </xf>
    <xf numFmtId="1" fontId="13" fillId="2" borderId="31" xfId="60" applyNumberFormat="1" applyFont="1" applyFill="1" applyBorder="1" applyAlignment="1">
      <alignment horizontal="center" vertical="center"/>
    </xf>
    <xf numFmtId="0" fontId="40" fillId="3" borderId="0" xfId="0" applyFont="1" applyFill="1" applyBorder="1" applyAlignment="1">
      <alignment horizontal="left" vertical="center"/>
    </xf>
    <xf numFmtId="0" fontId="40" fillId="3" borderId="0" xfId="0" applyFont="1" applyFill="1" applyBorder="1"/>
    <xf numFmtId="0" fontId="35" fillId="0" borderId="0" xfId="58" applyFont="1" applyBorder="1" applyAlignment="1">
      <alignment horizontal="center" vertical="center"/>
    </xf>
    <xf numFmtId="0" fontId="54" fillId="0" borderId="0" xfId="58" applyFont="1" applyBorder="1" applyAlignment="1">
      <alignment horizontal="center" vertical="center" wrapText="1"/>
    </xf>
    <xf numFmtId="49" fontId="12" fillId="2" borderId="18" xfId="0" applyNumberFormat="1" applyFont="1" applyFill="1" applyBorder="1" applyAlignment="1">
      <alignment vertical="center" wrapText="1"/>
    </xf>
    <xf numFmtId="49" fontId="12" fillId="2" borderId="19" xfId="0" applyNumberFormat="1" applyFont="1" applyFill="1" applyBorder="1" applyAlignment="1">
      <alignment vertical="center" wrapText="1"/>
    </xf>
    <xf numFmtId="49" fontId="12" fillId="2" borderId="19" xfId="0" applyNumberFormat="1" applyFont="1" applyFill="1" applyBorder="1" applyAlignment="1">
      <alignment vertical="center"/>
    </xf>
    <xf numFmtId="0" fontId="34" fillId="0" borderId="0" xfId="58" applyFont="1" applyBorder="1" applyAlignment="1">
      <alignment horizontal="right" vertical="center"/>
    </xf>
    <xf numFmtId="0" fontId="34" fillId="3" borderId="0" xfId="57" applyFont="1" applyFill="1" applyBorder="1" applyAlignment="1">
      <alignment horizontal="right" vertical="center"/>
    </xf>
    <xf numFmtId="175" fontId="12" fillId="0" borderId="0" xfId="0" applyNumberFormat="1" applyFont="1" applyFill="1" applyBorder="1" applyAlignment="1" applyProtection="1">
      <alignment horizontal="center" vertical="center"/>
      <protection hidden="1"/>
    </xf>
    <xf numFmtId="0" fontId="10" fillId="0" borderId="0" xfId="0" applyFont="1" applyBorder="1" applyAlignment="1">
      <alignment vertical="center" wrapText="1"/>
    </xf>
    <xf numFmtId="0" fontId="77" fillId="0" borderId="0" xfId="0" applyFont="1" applyBorder="1" applyProtection="1">
      <protection hidden="1"/>
    </xf>
    <xf numFmtId="0" fontId="10" fillId="0" borderId="18" xfId="0" applyFont="1" applyBorder="1"/>
    <xf numFmtId="0" fontId="10" fillId="0" borderId="19" xfId="0" applyFont="1" applyBorder="1"/>
    <xf numFmtId="0" fontId="10" fillId="0" borderId="14" xfId="0" applyFont="1" applyBorder="1"/>
    <xf numFmtId="0" fontId="51" fillId="0" borderId="0" xfId="0" applyFont="1" applyBorder="1" applyAlignment="1">
      <alignment vertical="center"/>
    </xf>
    <xf numFmtId="0" fontId="11" fillId="0" borderId="0" xfId="0" applyFont="1" applyBorder="1" applyAlignment="1">
      <alignment vertical="center" wrapText="1"/>
    </xf>
    <xf numFmtId="0" fontId="51" fillId="0" borderId="0" xfId="0" applyFont="1" applyBorder="1" applyAlignment="1">
      <alignment vertical="center" wrapText="1"/>
    </xf>
    <xf numFmtId="2" fontId="10" fillId="0" borderId="0" xfId="0" applyNumberFormat="1" applyFont="1" applyFill="1" applyBorder="1" applyAlignment="1">
      <alignment vertical="center"/>
    </xf>
    <xf numFmtId="0" fontId="62" fillId="0" borderId="19" xfId="0" applyFont="1" applyBorder="1" applyAlignment="1">
      <alignment horizontal="center" vertical="center"/>
    </xf>
    <xf numFmtId="0" fontId="78" fillId="0" borderId="0" xfId="0" applyFont="1" applyBorder="1" applyAlignment="1">
      <alignment horizontal="left" vertical="center"/>
    </xf>
    <xf numFmtId="0" fontId="10" fillId="3" borderId="0" xfId="0" applyFont="1" applyFill="1" applyBorder="1" applyAlignment="1">
      <alignment horizontal="center" vertical="center"/>
    </xf>
    <xf numFmtId="2" fontId="10" fillId="3" borderId="0" xfId="0" applyNumberFormat="1" applyFont="1" applyFill="1" applyBorder="1" applyAlignment="1">
      <alignment horizontal="center" vertical="center"/>
    </xf>
    <xf numFmtId="0" fontId="10" fillId="3" borderId="0" xfId="0" applyFont="1" applyFill="1" applyBorder="1" applyAlignment="1">
      <alignment horizontal="center" vertical="center" wrapText="1"/>
    </xf>
    <xf numFmtId="0" fontId="10" fillId="3" borderId="0" xfId="0" applyFont="1" applyFill="1" applyBorder="1" applyAlignment="1"/>
    <xf numFmtId="0" fontId="10" fillId="3" borderId="0" xfId="0" applyFont="1" applyFill="1" applyBorder="1"/>
    <xf numFmtId="0" fontId="76" fillId="0" borderId="0" xfId="0" applyFont="1" applyBorder="1" applyAlignment="1">
      <alignment horizontal="center" vertical="center"/>
    </xf>
    <xf numFmtId="49" fontId="12" fillId="2" borderId="30" xfId="10" applyNumberFormat="1" applyFont="1" applyFill="1" applyBorder="1" applyAlignment="1">
      <alignment horizontal="center" vertical="center"/>
    </xf>
    <xf numFmtId="0" fontId="77" fillId="0" borderId="0" xfId="10" applyFont="1" applyBorder="1" applyAlignment="1">
      <alignment vertical="center"/>
    </xf>
    <xf numFmtId="0" fontId="77" fillId="0" borderId="20" xfId="10" applyFont="1" applyBorder="1" applyAlignment="1">
      <alignment vertical="center"/>
    </xf>
    <xf numFmtId="0" fontId="18" fillId="0" borderId="0" xfId="10" applyFont="1" applyBorder="1" applyAlignment="1">
      <alignment horizontal="center" vertical="center" wrapText="1"/>
    </xf>
    <xf numFmtId="0" fontId="40" fillId="0" borderId="0" xfId="0" applyFont="1" applyBorder="1" applyAlignment="1">
      <alignment horizontal="left" vertical="center"/>
    </xf>
    <xf numFmtId="49" fontId="10" fillId="0" borderId="0" xfId="0" applyNumberFormat="1" applyFont="1" applyFill="1" applyBorder="1" applyAlignment="1">
      <alignment horizontal="left" vertical="center" wrapText="1"/>
    </xf>
    <xf numFmtId="0" fontId="13" fillId="0" borderId="18" xfId="0" applyFont="1" applyFill="1" applyBorder="1" applyAlignment="1">
      <alignment horizontal="left" vertical="center"/>
    </xf>
    <xf numFmtId="0" fontId="10" fillId="0" borderId="10" xfId="0" applyFont="1" applyFill="1" applyBorder="1" applyAlignment="1">
      <alignment horizontal="left" vertical="center"/>
    </xf>
    <xf numFmtId="0" fontId="12" fillId="0" borderId="9" xfId="0" applyFont="1" applyFill="1" applyBorder="1" applyAlignment="1">
      <alignment horizontal="center" vertical="center" wrapText="1"/>
    </xf>
    <xf numFmtId="0" fontId="10" fillId="3" borderId="0" xfId="0" applyFont="1" applyFill="1" applyBorder="1" applyAlignment="1">
      <alignment horizontal="center"/>
    </xf>
    <xf numFmtId="165" fontId="13" fillId="2" borderId="8" xfId="61" applyNumberFormat="1" applyFont="1" applyFill="1" applyBorder="1" applyAlignment="1">
      <alignment horizontal="center" vertical="center"/>
    </xf>
    <xf numFmtId="0" fontId="10" fillId="0" borderId="0" xfId="0" applyFont="1" applyFill="1" applyBorder="1" applyAlignment="1">
      <alignment vertical="center" wrapText="1"/>
    </xf>
    <xf numFmtId="0" fontId="12" fillId="2" borderId="32" xfId="61" applyFont="1" applyFill="1" applyBorder="1" applyAlignment="1"/>
    <xf numFmtId="0" fontId="12" fillId="2" borderId="33" xfId="61" applyFont="1" applyFill="1" applyBorder="1" applyAlignment="1"/>
    <xf numFmtId="0" fontId="10" fillId="2" borderId="34" xfId="61" applyFont="1" applyFill="1" applyBorder="1" applyAlignment="1">
      <alignment horizontal="right" vertical="center"/>
    </xf>
    <xf numFmtId="49" fontId="21" fillId="0" borderId="35" xfId="61" applyNumberFormat="1" applyFont="1" applyFill="1" applyBorder="1" applyAlignment="1">
      <alignment horizontal="center" vertical="center" wrapText="1"/>
    </xf>
    <xf numFmtId="0" fontId="44" fillId="0" borderId="36" xfId="61" applyBorder="1"/>
    <xf numFmtId="0" fontId="12" fillId="0" borderId="22" xfId="61" applyFont="1" applyBorder="1"/>
    <xf numFmtId="0" fontId="44" fillId="0" borderId="1" xfId="61" applyBorder="1"/>
    <xf numFmtId="49" fontId="21" fillId="0" borderId="37" xfId="61" applyNumberFormat="1" applyFont="1" applyFill="1" applyBorder="1" applyAlignment="1">
      <alignment horizontal="center" vertical="center" wrapText="1"/>
    </xf>
    <xf numFmtId="0" fontId="44" fillId="0" borderId="38" xfId="61" applyBorder="1"/>
    <xf numFmtId="0" fontId="17" fillId="0" borderId="22" xfId="61" applyFont="1" applyBorder="1"/>
    <xf numFmtId="49" fontId="21" fillId="0" borderId="22" xfId="61" applyNumberFormat="1" applyFont="1" applyFill="1" applyBorder="1" applyAlignment="1">
      <alignment horizontal="center" vertical="center" wrapText="1"/>
    </xf>
    <xf numFmtId="0" fontId="12" fillId="0" borderId="35" xfId="61" applyFont="1" applyBorder="1"/>
    <xf numFmtId="0" fontId="12" fillId="0" borderId="22" xfId="61" applyFont="1" applyFill="1" applyBorder="1"/>
    <xf numFmtId="0" fontId="12" fillId="0" borderId="37" xfId="61" applyFont="1" applyBorder="1"/>
    <xf numFmtId="0" fontId="10" fillId="0" borderId="36" xfId="61" applyFont="1" applyBorder="1"/>
    <xf numFmtId="0" fontId="10" fillId="0" borderId="1" xfId="61" applyFont="1" applyBorder="1"/>
    <xf numFmtId="49" fontId="24" fillId="0" borderId="21" xfId="61" applyNumberFormat="1" applyFont="1" applyBorder="1" applyAlignment="1">
      <alignment horizontal="center"/>
    </xf>
    <xf numFmtId="49" fontId="24" fillId="0" borderId="2" xfId="61" applyNumberFormat="1" applyFont="1" applyBorder="1" applyAlignment="1"/>
    <xf numFmtId="0" fontId="8" fillId="0" borderId="2" xfId="61" applyFont="1" applyBorder="1"/>
    <xf numFmtId="0" fontId="10" fillId="0" borderId="23" xfId="61" applyFont="1" applyBorder="1"/>
    <xf numFmtId="49" fontId="12" fillId="0" borderId="35" xfId="61" applyNumberFormat="1" applyFont="1" applyBorder="1" applyAlignment="1">
      <alignment horizontal="center"/>
    </xf>
    <xf numFmtId="49" fontId="12" fillId="0" borderId="22" xfId="61" applyNumberFormat="1" applyFont="1" applyBorder="1" applyAlignment="1">
      <alignment horizontal="center"/>
    </xf>
    <xf numFmtId="49" fontId="12" fillId="0" borderId="35" xfId="61" applyNumberFormat="1" applyFont="1" applyFill="1" applyBorder="1" applyAlignment="1">
      <alignment horizontal="center"/>
    </xf>
    <xf numFmtId="49" fontId="12" fillId="0" borderId="22" xfId="61" applyNumberFormat="1" applyFont="1" applyFill="1" applyBorder="1" applyAlignment="1">
      <alignment horizontal="center"/>
    </xf>
    <xf numFmtId="0" fontId="44" fillId="0" borderId="1" xfId="61" applyFill="1" applyBorder="1"/>
    <xf numFmtId="0" fontId="12" fillId="0" borderId="21" xfId="61" applyFont="1" applyBorder="1"/>
    <xf numFmtId="0" fontId="12" fillId="0" borderId="2" xfId="61" applyFont="1" applyBorder="1" applyAlignment="1"/>
    <xf numFmtId="0" fontId="10" fillId="0" borderId="2" xfId="61" applyFont="1" applyBorder="1"/>
    <xf numFmtId="0" fontId="10" fillId="0" borderId="2" xfId="61" applyFont="1" applyFill="1" applyBorder="1"/>
    <xf numFmtId="0" fontId="29" fillId="0" borderId="2" xfId="61" applyFont="1" applyFill="1" applyBorder="1" applyAlignment="1">
      <alignment horizontal="left"/>
    </xf>
    <xf numFmtId="0" fontId="44" fillId="0" borderId="23" xfId="61" applyBorder="1"/>
    <xf numFmtId="49" fontId="12" fillId="0" borderId="4" xfId="59" applyNumberFormat="1" applyFont="1" applyBorder="1" applyAlignment="1"/>
    <xf numFmtId="49" fontId="12" fillId="0" borderId="5" xfId="59" applyNumberFormat="1" applyFont="1" applyBorder="1" applyAlignment="1"/>
    <xf numFmtId="0" fontId="79" fillId="0" borderId="0" xfId="0" applyFont="1" applyBorder="1" applyAlignment="1">
      <alignment horizontal="left" vertical="center"/>
    </xf>
    <xf numFmtId="0" fontId="86" fillId="0" borderId="22" xfId="0" applyFont="1" applyBorder="1" applyAlignment="1">
      <alignment horizontal="left" vertical="center"/>
    </xf>
    <xf numFmtId="0" fontId="86" fillId="0" borderId="0" xfId="0" applyFont="1" applyBorder="1" applyAlignment="1">
      <alignment horizontal="left" vertical="center"/>
    </xf>
    <xf numFmtId="0" fontId="86" fillId="0" borderId="0" xfId="0" applyFont="1" applyBorder="1" applyAlignment="1">
      <alignment vertical="center"/>
    </xf>
    <xf numFmtId="0" fontId="86" fillId="0" borderId="1" xfId="0" applyFont="1" applyBorder="1" applyAlignment="1">
      <alignment vertical="center"/>
    </xf>
    <xf numFmtId="0" fontId="86" fillId="0" borderId="22" xfId="0" applyFont="1" applyBorder="1" applyAlignment="1">
      <alignment vertical="center"/>
    </xf>
    <xf numFmtId="0" fontId="86" fillId="0" borderId="0" xfId="0" applyFont="1" applyBorder="1" applyAlignment="1">
      <alignment horizontal="right" vertical="center"/>
    </xf>
    <xf numFmtId="165" fontId="86" fillId="2" borderId="8" xfId="0" applyNumberFormat="1" applyFont="1" applyFill="1" applyBorder="1" applyAlignment="1">
      <alignment horizontal="center" vertical="center"/>
    </xf>
    <xf numFmtId="0" fontId="86" fillId="0" borderId="0" xfId="0" applyFont="1" applyFill="1" applyBorder="1" applyAlignment="1">
      <alignment vertical="center"/>
    </xf>
    <xf numFmtId="0" fontId="86" fillId="2" borderId="8" xfId="0" applyFont="1" applyFill="1" applyBorder="1" applyAlignment="1">
      <alignment horizontal="center" vertical="center"/>
    </xf>
    <xf numFmtId="165" fontId="86" fillId="0" borderId="0" xfId="0" applyNumberFormat="1" applyFont="1" applyFill="1" applyBorder="1" applyAlignment="1">
      <alignment horizontal="center" vertical="center"/>
    </xf>
    <xf numFmtId="0" fontId="88" fillId="2" borderId="26" xfId="0" applyFont="1" applyFill="1" applyBorder="1" applyAlignment="1">
      <alignment vertical="center"/>
    </xf>
    <xf numFmtId="0" fontId="88" fillId="2" borderId="19" xfId="0" applyFont="1" applyFill="1" applyBorder="1" applyAlignment="1">
      <alignment vertical="center"/>
    </xf>
    <xf numFmtId="0" fontId="86" fillId="0" borderId="0" xfId="0" applyFont="1" applyBorder="1" applyAlignment="1">
      <alignment horizontal="center" vertical="center"/>
    </xf>
    <xf numFmtId="0" fontId="86" fillId="0" borderId="22" xfId="0" applyFont="1" applyBorder="1" applyAlignment="1">
      <alignment horizontal="center" vertical="center"/>
    </xf>
    <xf numFmtId="0" fontId="86" fillId="0" borderId="6" xfId="0" applyFont="1" applyBorder="1" applyAlignment="1">
      <alignment vertical="center"/>
    </xf>
    <xf numFmtId="0" fontId="86" fillId="0" borderId="22" xfId="0" applyFont="1" applyFill="1" applyBorder="1" applyAlignment="1">
      <alignment vertical="center"/>
    </xf>
    <xf numFmtId="0" fontId="10" fillId="0" borderId="22" xfId="0" applyFont="1" applyFill="1" applyBorder="1"/>
    <xf numFmtId="0" fontId="10" fillId="0" borderId="22" xfId="0" applyFont="1" applyFill="1" applyBorder="1" applyAlignment="1">
      <alignment horizontal="left" vertical="center"/>
    </xf>
    <xf numFmtId="0" fontId="10" fillId="0" borderId="1" xfId="0" applyFont="1" applyFill="1" applyBorder="1" applyAlignment="1">
      <alignment horizontal="left" vertical="center"/>
    </xf>
    <xf numFmtId="0" fontId="40" fillId="0" borderId="0" xfId="0" applyFont="1"/>
    <xf numFmtId="0" fontId="10" fillId="0" borderId="0" xfId="23" applyFont="1" applyBorder="1"/>
    <xf numFmtId="0" fontId="10" fillId="0" borderId="7" xfId="23" applyFont="1" applyBorder="1"/>
    <xf numFmtId="0" fontId="10" fillId="0" borderId="0" xfId="23" applyFont="1"/>
    <xf numFmtId="49" fontId="12" fillId="2" borderId="30" xfId="10" applyNumberFormat="1" applyFont="1" applyFill="1" applyBorder="1" applyAlignment="1"/>
    <xf numFmtId="0" fontId="0" fillId="2" borderId="28" xfId="0" applyFill="1" applyBorder="1" applyAlignment="1"/>
    <xf numFmtId="0" fontId="0" fillId="2" borderId="29" xfId="0" applyFill="1" applyBorder="1" applyAlignment="1"/>
    <xf numFmtId="0" fontId="75" fillId="3" borderId="0" xfId="0" applyFont="1" applyFill="1" applyBorder="1" applyAlignment="1"/>
    <xf numFmtId="0" fontId="10" fillId="3" borderId="0" xfId="0" applyFont="1" applyFill="1" applyBorder="1" applyAlignment="1">
      <alignment horizontal="right"/>
    </xf>
    <xf numFmtId="0" fontId="10" fillId="3" borderId="0" xfId="0" applyFont="1" applyFill="1" applyBorder="1" applyAlignment="1">
      <alignment horizontal="left"/>
    </xf>
    <xf numFmtId="0" fontId="86" fillId="0" borderId="0" xfId="0" applyFont="1" applyFill="1" applyBorder="1" applyAlignment="1">
      <alignment horizontal="center" vertical="center"/>
    </xf>
    <xf numFmtId="1" fontId="86" fillId="0" borderId="0" xfId="0" applyNumberFormat="1" applyFont="1" applyFill="1" applyBorder="1" applyAlignment="1">
      <alignment vertical="center"/>
    </xf>
    <xf numFmtId="0" fontId="10" fillId="0" borderId="6" xfId="0" quotePrefix="1" applyFont="1" applyBorder="1" applyAlignment="1">
      <alignment horizontal="center" vertical="top"/>
    </xf>
    <xf numFmtId="1" fontId="13" fillId="0" borderId="0" xfId="0" applyNumberFormat="1" applyFont="1" applyFill="1" applyBorder="1" applyAlignment="1">
      <alignment vertical="center"/>
    </xf>
    <xf numFmtId="0" fontId="10" fillId="0" borderId="0" xfId="0" quotePrefix="1" applyFont="1" applyBorder="1" applyAlignment="1">
      <alignment horizontal="right" vertical="center"/>
    </xf>
    <xf numFmtId="0" fontId="10" fillId="0" borderId="0" xfId="0" applyFont="1" applyBorder="1" applyAlignment="1" applyProtection="1">
      <alignment horizontal="left" vertical="center"/>
    </xf>
    <xf numFmtId="0" fontId="10" fillId="0" borderId="1" xfId="23" applyFont="1" applyBorder="1"/>
    <xf numFmtId="0" fontId="10" fillId="0" borderId="0" xfId="23" applyFont="1" applyFill="1" applyBorder="1" applyAlignment="1">
      <alignment horizontal="center" vertical="center"/>
    </xf>
    <xf numFmtId="0" fontId="10" fillId="0" borderId="0" xfId="23" applyFont="1" applyBorder="1" applyAlignment="1">
      <alignment horizontal="center" vertical="center"/>
    </xf>
    <xf numFmtId="0" fontId="10" fillId="0" borderId="0" xfId="23" applyFont="1" applyBorder="1" applyAlignment="1">
      <alignment vertical="center"/>
    </xf>
    <xf numFmtId="167" fontId="13" fillId="0" borderId="0" xfId="23" applyNumberFormat="1" applyFont="1" applyFill="1" applyBorder="1" applyAlignment="1">
      <alignment horizontal="center" vertical="center"/>
    </xf>
    <xf numFmtId="0" fontId="12" fillId="0" borderId="0" xfId="23" applyFont="1" applyBorder="1" applyAlignment="1">
      <alignment horizontal="left" vertical="center"/>
    </xf>
    <xf numFmtId="1" fontId="12" fillId="0" borderId="0" xfId="23" applyNumberFormat="1" applyFont="1" applyFill="1" applyBorder="1" applyAlignment="1">
      <alignment horizontal="center" vertical="center"/>
    </xf>
    <xf numFmtId="0" fontId="10" fillId="0" borderId="1" xfId="23" applyFont="1" applyBorder="1" applyAlignment="1">
      <alignment vertical="center"/>
    </xf>
    <xf numFmtId="0" fontId="12" fillId="0" borderId="22" xfId="23" applyFont="1" applyBorder="1" applyAlignment="1">
      <alignment vertical="center"/>
    </xf>
    <xf numFmtId="2" fontId="13" fillId="0" borderId="0" xfId="23" applyNumberFormat="1" applyFont="1" applyFill="1" applyBorder="1" applyAlignment="1">
      <alignment vertical="center"/>
    </xf>
    <xf numFmtId="0" fontId="10" fillId="0" borderId="0" xfId="23" applyFont="1" applyFill="1" applyBorder="1" applyAlignment="1">
      <alignment vertical="center"/>
    </xf>
    <xf numFmtId="0" fontId="12" fillId="0" borderId="0" xfId="23" applyFont="1" applyBorder="1" applyAlignment="1">
      <alignment horizontal="center" vertical="center"/>
    </xf>
    <xf numFmtId="0" fontId="11" fillId="0" borderId="0" xfId="23" applyFont="1" applyBorder="1" applyAlignment="1">
      <alignment vertical="center"/>
    </xf>
    <xf numFmtId="14" fontId="12" fillId="0" borderId="0" xfId="23" applyNumberFormat="1" applyFont="1" applyBorder="1" applyAlignment="1">
      <alignment horizontal="center" vertical="center"/>
    </xf>
    <xf numFmtId="49" fontId="12" fillId="0" borderId="22" xfId="23" applyNumberFormat="1" applyFont="1" applyBorder="1" applyAlignment="1">
      <alignment horizontal="center" vertical="center"/>
    </xf>
    <xf numFmtId="0" fontId="10" fillId="0" borderId="0" xfId="23" applyFont="1" applyFill="1" applyBorder="1"/>
    <xf numFmtId="0" fontId="10" fillId="0" borderId="0" xfId="23" applyFont="1" applyBorder="1" applyAlignment="1">
      <alignment vertical="center" wrapText="1"/>
    </xf>
    <xf numFmtId="0" fontId="10" fillId="0" borderId="0" xfId="23" applyFont="1" applyFill="1"/>
    <xf numFmtId="0" fontId="10" fillId="0" borderId="20" xfId="23" applyFont="1" applyBorder="1" applyAlignment="1">
      <alignment vertical="center" wrapText="1"/>
    </xf>
    <xf numFmtId="0" fontId="10" fillId="2" borderId="29" xfId="23" applyFont="1" applyFill="1" applyBorder="1" applyAlignment="1">
      <alignment vertical="center"/>
    </xf>
    <xf numFmtId="0" fontId="10" fillId="2" borderId="28" xfId="23" applyFont="1" applyFill="1" applyBorder="1" applyAlignment="1">
      <alignment vertical="center"/>
    </xf>
    <xf numFmtId="0" fontId="12" fillId="2" borderId="28" xfId="23" applyFont="1" applyFill="1" applyBorder="1" applyAlignment="1">
      <alignment vertical="center"/>
    </xf>
    <xf numFmtId="0" fontId="12" fillId="2" borderId="28" xfId="23" applyFont="1" applyFill="1" applyBorder="1" applyAlignment="1">
      <alignment horizontal="left" vertical="center"/>
    </xf>
    <xf numFmtId="49" fontId="12" fillId="2" borderId="30" xfId="23" applyNumberFormat="1" applyFont="1" applyFill="1" applyBorder="1" applyAlignment="1">
      <alignment horizontal="center" vertical="center"/>
    </xf>
    <xf numFmtId="0" fontId="10" fillId="0" borderId="2" xfId="23" applyFont="1" applyFill="1" applyBorder="1" applyAlignment="1">
      <alignment horizontal="center" vertical="center"/>
    </xf>
    <xf numFmtId="1" fontId="12" fillId="0" borderId="2" xfId="23" applyNumberFormat="1" applyFont="1" applyFill="1" applyBorder="1" applyAlignment="1">
      <alignment horizontal="center" vertical="center"/>
    </xf>
    <xf numFmtId="0" fontId="12" fillId="0" borderId="2" xfId="23" applyFont="1" applyBorder="1" applyAlignment="1">
      <alignment horizontal="left" vertical="center"/>
    </xf>
    <xf numFmtId="0" fontId="10" fillId="0" borderId="0" xfId="23" applyFont="1" applyAlignment="1">
      <alignment vertical="center"/>
    </xf>
    <xf numFmtId="49" fontId="12" fillId="0" borderId="0" xfId="23" applyNumberFormat="1" applyFont="1" applyBorder="1" applyAlignment="1">
      <alignment horizontal="left" vertical="center"/>
    </xf>
    <xf numFmtId="0" fontId="12" fillId="0" borderId="0" xfId="23" applyFont="1" applyBorder="1" applyAlignment="1">
      <alignment horizontal="right" vertical="center"/>
    </xf>
    <xf numFmtId="49" fontId="21" fillId="0" borderId="0" xfId="23" applyNumberFormat="1" applyFont="1" applyFill="1" applyBorder="1" applyAlignment="1">
      <alignment horizontal="center" vertical="center"/>
    </xf>
    <xf numFmtId="168" fontId="10" fillId="0" borderId="0" xfId="23" applyNumberFormat="1" applyFont="1" applyBorder="1" applyAlignment="1">
      <alignment horizontal="center" vertical="center"/>
    </xf>
    <xf numFmtId="165" fontId="12" fillId="0" borderId="0" xfId="23" applyNumberFormat="1" applyFont="1" applyFill="1" applyBorder="1" applyAlignment="1">
      <alignment horizontal="center" vertical="center"/>
    </xf>
    <xf numFmtId="168" fontId="12" fillId="0" borderId="0" xfId="23" applyNumberFormat="1" applyFont="1" applyFill="1" applyBorder="1" applyAlignment="1">
      <alignment horizontal="center" vertical="center"/>
    </xf>
    <xf numFmtId="167" fontId="10" fillId="0" borderId="0" xfId="23" applyNumberFormat="1" applyFont="1" applyFill="1" applyBorder="1" applyAlignment="1">
      <alignment horizontal="center" vertical="center" wrapText="1"/>
    </xf>
    <xf numFmtId="0" fontId="10" fillId="0" borderId="0" xfId="23" applyFont="1" applyFill="1" applyBorder="1" applyAlignment="1">
      <alignment horizontal="center" vertical="center" wrapText="1"/>
    </xf>
    <xf numFmtId="0" fontId="12" fillId="0" borderId="0" xfId="23" applyFont="1" applyFill="1" applyBorder="1"/>
    <xf numFmtId="0" fontId="12" fillId="0" borderId="0" xfId="23" applyFont="1" applyFill="1" applyBorder="1" applyAlignment="1">
      <alignment horizontal="center" vertical="center"/>
    </xf>
    <xf numFmtId="0" fontId="10" fillId="0" borderId="22" xfId="0" applyFont="1" applyBorder="1" applyAlignment="1">
      <alignment horizontal="left" vertical="center"/>
    </xf>
    <xf numFmtId="0" fontId="10" fillId="0" borderId="0" xfId="0" applyFont="1" applyBorder="1" applyAlignment="1">
      <alignment vertical="top" wrapText="1"/>
    </xf>
    <xf numFmtId="0" fontId="10" fillId="0" borderId="0" xfId="0" applyFont="1" applyBorder="1" applyAlignment="1" applyProtection="1">
      <alignment vertical="center"/>
      <protection hidden="1"/>
    </xf>
    <xf numFmtId="2" fontId="10" fillId="0" borderId="0" xfId="0" applyNumberFormat="1" applyFont="1" applyFill="1" applyBorder="1" applyAlignment="1">
      <alignment horizontal="center" wrapText="1"/>
    </xf>
    <xf numFmtId="0" fontId="10" fillId="0" borderId="22" xfId="23" applyFont="1" applyBorder="1"/>
    <xf numFmtId="49" fontId="10" fillId="0" borderId="0" xfId="0" applyNumberFormat="1" applyFont="1" applyFill="1" applyBorder="1" applyAlignment="1">
      <alignment horizontal="center" vertical="center"/>
    </xf>
    <xf numFmtId="0" fontId="8" fillId="0" borderId="0" xfId="0" applyFont="1" applyAlignment="1"/>
    <xf numFmtId="49" fontId="8" fillId="0" borderId="0" xfId="0" applyNumberFormat="1" applyFont="1" applyFill="1" applyBorder="1" applyAlignment="1">
      <alignment horizontal="left"/>
    </xf>
    <xf numFmtId="49" fontId="10" fillId="2" borderId="30" xfId="0" applyNumberFormat="1" applyFont="1" applyFill="1" applyBorder="1" applyAlignment="1">
      <alignment horizontal="left" vertical="center"/>
    </xf>
    <xf numFmtId="49" fontId="10" fillId="0" borderId="22" xfId="0" applyNumberFormat="1" applyFont="1" applyFill="1" applyBorder="1" applyAlignment="1">
      <alignment horizontal="left" vertical="center"/>
    </xf>
    <xf numFmtId="0" fontId="10" fillId="0" borderId="21" xfId="0" applyFont="1" applyBorder="1" applyAlignment="1">
      <alignment horizontal="left" vertical="center"/>
    </xf>
    <xf numFmtId="49" fontId="10" fillId="2" borderId="29" xfId="0" applyNumberFormat="1" applyFont="1" applyFill="1" applyBorder="1" applyAlignment="1">
      <alignment horizontal="left" vertical="center"/>
    </xf>
    <xf numFmtId="0" fontId="10" fillId="2" borderId="28" xfId="0" applyFont="1" applyFill="1" applyBorder="1" applyAlignment="1">
      <alignment vertical="center"/>
    </xf>
    <xf numFmtId="168" fontId="10" fillId="0" borderId="0" xfId="0" applyNumberFormat="1" applyFont="1" applyFill="1" applyBorder="1" applyAlignment="1">
      <alignment horizontal="center" vertical="center"/>
    </xf>
    <xf numFmtId="0" fontId="10" fillId="3" borderId="0" xfId="0" applyFont="1" applyFill="1" applyBorder="1" applyAlignment="1">
      <alignment horizontal="center" wrapText="1"/>
    </xf>
    <xf numFmtId="0" fontId="10" fillId="0" borderId="22" xfId="0" applyFont="1" applyFill="1" applyBorder="1" applyAlignment="1">
      <alignment vertical="center"/>
    </xf>
    <xf numFmtId="49" fontId="10" fillId="0" borderId="21" xfId="0" applyNumberFormat="1" applyFont="1" applyFill="1" applyBorder="1" applyAlignment="1">
      <alignment horizontal="left" vertical="center"/>
    </xf>
    <xf numFmtId="0" fontId="10" fillId="2" borderId="8" xfId="0" applyFont="1" applyFill="1" applyBorder="1" applyAlignment="1">
      <alignment horizontal="center" vertical="center"/>
    </xf>
    <xf numFmtId="165" fontId="10" fillId="2" borderId="8" xfId="0" applyNumberFormat="1" applyFont="1" applyFill="1" applyBorder="1" applyAlignment="1">
      <alignment horizontal="center" vertical="center"/>
    </xf>
    <xf numFmtId="165" fontId="10" fillId="3" borderId="0" xfId="0" applyNumberFormat="1" applyFont="1" applyFill="1" applyBorder="1" applyAlignment="1">
      <alignment horizontal="center"/>
    </xf>
    <xf numFmtId="0" fontId="10" fillId="3" borderId="0" xfId="0" applyFont="1" applyFill="1" applyBorder="1" applyAlignment="1">
      <alignment horizontal="left" vertical="center"/>
    </xf>
    <xf numFmtId="165" fontId="10" fillId="3" borderId="0" xfId="0" applyNumberFormat="1" applyFont="1" applyFill="1" applyBorder="1" applyAlignment="1">
      <alignment horizontal="center" vertical="center"/>
    </xf>
    <xf numFmtId="49" fontId="10" fillId="3" borderId="0" xfId="0" applyNumberFormat="1" applyFont="1" applyFill="1" applyBorder="1" applyAlignment="1">
      <alignment horizontal="center" vertical="center"/>
    </xf>
    <xf numFmtId="0" fontId="10" fillId="3" borderId="0" xfId="0" applyFont="1" applyFill="1" applyBorder="1" applyAlignment="1">
      <alignment vertical="center"/>
    </xf>
    <xf numFmtId="0" fontId="10" fillId="3" borderId="0" xfId="0" applyFont="1" applyFill="1" applyBorder="1" applyAlignment="1">
      <alignment horizontal="left" wrapText="1"/>
    </xf>
    <xf numFmtId="0" fontId="10" fillId="3" borderId="0" xfId="0" applyFont="1" applyFill="1" applyBorder="1" applyAlignment="1">
      <alignment horizontal="left" vertical="center" wrapText="1"/>
    </xf>
    <xf numFmtId="165" fontId="10" fillId="3" borderId="0" xfId="0" applyNumberFormat="1" applyFont="1" applyFill="1" applyBorder="1" applyAlignment="1">
      <alignment horizontal="center" vertical="center" wrapText="1"/>
    </xf>
    <xf numFmtId="0" fontId="10" fillId="3" borderId="0" xfId="0" applyFont="1" applyFill="1" applyBorder="1" applyAlignment="1">
      <alignment horizontal="left" vertical="top" wrapText="1"/>
    </xf>
    <xf numFmtId="49" fontId="10" fillId="3" borderId="0" xfId="0" applyNumberFormat="1" applyFont="1" applyFill="1" applyBorder="1" applyAlignment="1">
      <alignment horizontal="left" vertical="center"/>
    </xf>
    <xf numFmtId="0" fontId="10" fillId="3" borderId="0" xfId="0" quotePrefix="1" applyFont="1" applyFill="1" applyBorder="1" applyAlignment="1">
      <alignment horizontal="center" vertical="center"/>
    </xf>
    <xf numFmtId="0" fontId="34" fillId="0" borderId="7" xfId="0" applyFont="1" applyFill="1" applyBorder="1" applyAlignment="1">
      <alignment vertical="center"/>
    </xf>
    <xf numFmtId="0" fontId="34" fillId="0" borderId="0" xfId="0" applyFont="1" applyBorder="1"/>
    <xf numFmtId="1" fontId="34" fillId="0" borderId="7" xfId="0" applyNumberFormat="1" applyFont="1" applyFill="1" applyBorder="1" applyAlignment="1" applyProtection="1">
      <alignment vertical="center"/>
      <protection locked="0"/>
    </xf>
    <xf numFmtId="0" fontId="34" fillId="0" borderId="7" xfId="0" applyFont="1" applyBorder="1"/>
    <xf numFmtId="0" fontId="34" fillId="0" borderId="0" xfId="0" applyFont="1" applyBorder="1" applyAlignment="1">
      <alignment horizontal="center" vertical="center"/>
    </xf>
    <xf numFmtId="0" fontId="34" fillId="0" borderId="0" xfId="0" applyFont="1"/>
    <xf numFmtId="0" fontId="46" fillId="0" borderId="0" xfId="0" applyFont="1" applyBorder="1"/>
    <xf numFmtId="0" fontId="34" fillId="0" borderId="0" xfId="0" applyFont="1" applyBorder="1" applyAlignment="1"/>
    <xf numFmtId="0" fontId="71" fillId="0" borderId="7" xfId="0" applyFont="1" applyBorder="1" applyAlignment="1">
      <alignment vertical="top" wrapText="1"/>
    </xf>
    <xf numFmtId="0" fontId="34" fillId="0" borderId="0" xfId="0" applyFont="1" applyBorder="1" applyAlignment="1">
      <alignment vertical="center"/>
    </xf>
    <xf numFmtId="0" fontId="34" fillId="0" borderId="0" xfId="0" applyFont="1" applyBorder="1" applyAlignment="1">
      <alignment horizontal="center"/>
    </xf>
    <xf numFmtId="0" fontId="34" fillId="0" borderId="6" xfId="0" applyFont="1" applyBorder="1" applyAlignment="1"/>
    <xf numFmtId="0" fontId="34" fillId="0" borderId="6" xfId="0" applyFont="1" applyBorder="1"/>
    <xf numFmtId="0" fontId="34" fillId="0" borderId="0" xfId="0" applyFont="1" applyBorder="1" applyAlignment="1">
      <alignment horizontal="right" vertical="center"/>
    </xf>
    <xf numFmtId="0" fontId="35" fillId="0" borderId="0" xfId="0" applyFont="1" applyBorder="1" applyAlignment="1">
      <alignment horizontal="center" vertical="center"/>
    </xf>
    <xf numFmtId="0" fontId="34" fillId="0" borderId="0" xfId="0" applyFont="1" applyBorder="1" applyAlignment="1">
      <alignment horizontal="left" vertical="center"/>
    </xf>
    <xf numFmtId="0" fontId="34" fillId="0" borderId="7" xfId="0" applyFont="1" applyBorder="1" applyAlignment="1">
      <alignment vertical="center"/>
    </xf>
    <xf numFmtId="0" fontId="8" fillId="0" borderId="0" xfId="0" applyFont="1" applyBorder="1"/>
    <xf numFmtId="0" fontId="8" fillId="0" borderId="0" xfId="0" applyFont="1" applyBorder="1" applyAlignment="1">
      <alignment horizontal="center"/>
    </xf>
    <xf numFmtId="0" fontId="34" fillId="0" borderId="0" xfId="0" applyFont="1" applyFill="1" applyBorder="1"/>
    <xf numFmtId="0" fontId="34" fillId="0" borderId="0" xfId="0" applyFont="1" applyFill="1" applyBorder="1" applyAlignment="1"/>
    <xf numFmtId="0" fontId="34" fillId="0" borderId="3" xfId="0" applyFont="1" applyBorder="1"/>
    <xf numFmtId="0" fontId="34" fillId="0" borderId="4" xfId="0" applyFont="1" applyBorder="1"/>
    <xf numFmtId="0" fontId="34" fillId="0" borderId="5" xfId="0" applyFont="1" applyBorder="1"/>
    <xf numFmtId="0" fontId="34" fillId="0" borderId="10" xfId="0" applyFont="1" applyBorder="1"/>
    <xf numFmtId="0" fontId="34" fillId="0" borderId="9" xfId="0" applyFont="1" applyBorder="1"/>
    <xf numFmtId="0" fontId="46" fillId="0" borderId="9" xfId="0" applyFont="1" applyBorder="1"/>
    <xf numFmtId="0" fontId="34" fillId="0" borderId="11" xfId="0" applyFont="1" applyBorder="1"/>
    <xf numFmtId="0" fontId="34" fillId="0" borderId="7" xfId="0" applyFont="1" applyFill="1" applyBorder="1" applyAlignment="1">
      <alignment horizontal="center" vertical="center"/>
    </xf>
    <xf numFmtId="1" fontId="10" fillId="2" borderId="8" xfId="0" applyNumberFormat="1" applyFont="1" applyFill="1" applyBorder="1" applyAlignment="1">
      <alignment horizontal="center" vertical="center"/>
    </xf>
    <xf numFmtId="167" fontId="10" fillId="2" borderId="8" xfId="59" applyNumberFormat="1" applyFont="1" applyFill="1" applyBorder="1" applyAlignment="1">
      <alignment horizontal="center" vertical="center"/>
    </xf>
    <xf numFmtId="0" fontId="10" fillId="2" borderId="8" xfId="59" applyFont="1" applyFill="1" applyBorder="1" applyAlignment="1">
      <alignment horizontal="center" vertical="center"/>
    </xf>
    <xf numFmtId="0" fontId="10" fillId="2" borderId="8" xfId="59" applyFont="1" applyFill="1" applyBorder="1" applyAlignment="1">
      <alignment horizontal="center"/>
    </xf>
    <xf numFmtId="164" fontId="10" fillId="2" borderId="8" xfId="59" applyNumberFormat="1" applyFont="1" applyFill="1" applyBorder="1" applyAlignment="1">
      <alignment horizontal="center" vertical="center"/>
    </xf>
    <xf numFmtId="1" fontId="10" fillId="2" borderId="8" xfId="59" applyNumberFormat="1" applyFont="1" applyFill="1" applyBorder="1" applyAlignment="1">
      <alignment horizontal="center" vertical="center"/>
    </xf>
    <xf numFmtId="165" fontId="8" fillId="2" borderId="8" xfId="0" applyNumberFormat="1" applyFont="1" applyFill="1" applyBorder="1" applyAlignment="1">
      <alignment horizontal="center" vertical="center"/>
    </xf>
    <xf numFmtId="165" fontId="10" fillId="2" borderId="8" xfId="59" applyNumberFormat="1" applyFont="1" applyFill="1" applyBorder="1" applyAlignment="1">
      <alignment horizontal="center" vertical="center"/>
    </xf>
    <xf numFmtId="0" fontId="10" fillId="0" borderId="0" xfId="23" applyFont="1" applyBorder="1" applyAlignment="1"/>
    <xf numFmtId="0" fontId="10" fillId="0" borderId="6" xfId="23" applyFont="1" applyBorder="1"/>
    <xf numFmtId="0" fontId="10" fillId="0" borderId="0" xfId="43" applyFont="1"/>
    <xf numFmtId="0" fontId="10" fillId="0" borderId="0" xfId="43" applyFont="1" applyBorder="1"/>
    <xf numFmtId="0" fontId="10" fillId="0" borderId="0" xfId="43" applyFont="1" applyFill="1" applyBorder="1" applyAlignment="1">
      <alignment vertical="center"/>
    </xf>
    <xf numFmtId="0" fontId="24" fillId="0" borderId="0" xfId="43" applyFont="1" applyBorder="1" applyAlignment="1">
      <alignment horizontal="center" vertical="center"/>
    </xf>
    <xf numFmtId="0" fontId="10" fillId="0" borderId="0" xfId="43" applyFont="1" applyBorder="1" applyAlignment="1">
      <alignment horizontal="center" vertical="center"/>
    </xf>
    <xf numFmtId="0" fontId="10" fillId="0" borderId="2" xfId="43" applyFont="1" applyBorder="1"/>
    <xf numFmtId="0" fontId="34" fillId="0" borderId="0" xfId="12" applyFont="1" applyFill="1" applyBorder="1"/>
    <xf numFmtId="0" fontId="33" fillId="0" borderId="0" xfId="12" applyFont="1" applyFill="1" applyBorder="1" applyAlignment="1">
      <alignment horizontal="center" vertical="center" wrapText="1"/>
    </xf>
    <xf numFmtId="0" fontId="34" fillId="0" borderId="0" xfId="12" applyFont="1" applyBorder="1"/>
    <xf numFmtId="0" fontId="15" fillId="0" borderId="0" xfId="12" applyFont="1" applyFill="1" applyProtection="1"/>
    <xf numFmtId="0" fontId="95" fillId="0" borderId="0" xfId="12" applyFont="1" applyFill="1" applyProtection="1"/>
    <xf numFmtId="0" fontId="95" fillId="0" borderId="0" xfId="12" applyFont="1" applyFill="1"/>
    <xf numFmtId="0" fontId="34" fillId="0" borderId="0" xfId="12" applyFont="1"/>
    <xf numFmtId="0" fontId="15" fillId="0" borderId="0" xfId="12" applyFont="1" applyProtection="1"/>
    <xf numFmtId="0" fontId="34" fillId="0" borderId="26" xfId="12" applyFont="1" applyFill="1" applyBorder="1" applyAlignment="1">
      <alignment vertical="center"/>
    </xf>
    <xf numFmtId="0" fontId="34" fillId="0" borderId="19" xfId="12" applyFont="1" applyBorder="1"/>
    <xf numFmtId="0" fontId="34" fillId="0" borderId="0" xfId="12" applyFont="1" applyProtection="1"/>
    <xf numFmtId="0" fontId="34" fillId="0" borderId="0" xfId="12" applyFont="1" applyFill="1" applyBorder="1" applyAlignment="1" applyProtection="1"/>
    <xf numFmtId="0" fontId="96" fillId="0" borderId="0" xfId="12" applyFont="1" applyFill="1" applyBorder="1" applyAlignment="1" applyProtection="1">
      <alignment horizontal="right" vertical="center" wrapText="1"/>
    </xf>
    <xf numFmtId="0" fontId="95" fillId="0" borderId="0" xfId="12" applyFont="1" applyFill="1" applyBorder="1" applyAlignment="1" applyProtection="1"/>
    <xf numFmtId="0" fontId="40" fillId="0" borderId="0" xfId="12" applyFont="1" applyFill="1" applyProtection="1"/>
    <xf numFmtId="0" fontId="40" fillId="0" borderId="0" xfId="12" applyFont="1" applyProtection="1"/>
    <xf numFmtId="0" fontId="40" fillId="3" borderId="0" xfId="12" applyFont="1" applyFill="1" applyProtection="1"/>
    <xf numFmtId="0" fontId="15" fillId="3" borderId="0" xfId="12" applyFont="1" applyFill="1" applyProtection="1"/>
    <xf numFmtId="0" fontId="95" fillId="3" borderId="0" xfId="12" applyFont="1" applyFill="1"/>
    <xf numFmtId="0" fontId="34" fillId="3" borderId="0" xfId="12" applyFont="1" applyFill="1"/>
    <xf numFmtId="0" fontId="10" fillId="0" borderId="40" xfId="12" applyFont="1" applyBorder="1" applyAlignment="1">
      <alignment horizontal="right" vertical="center"/>
    </xf>
    <xf numFmtId="0" fontId="15" fillId="0" borderId="0" xfId="12" applyFont="1" applyFill="1" applyBorder="1" applyProtection="1"/>
    <xf numFmtId="0" fontId="8" fillId="0" borderId="24" xfId="43" applyFont="1" applyBorder="1" applyAlignment="1">
      <alignment horizontal="left" vertical="center"/>
    </xf>
    <xf numFmtId="0" fontId="24" fillId="0" borderId="20" xfId="43" applyFont="1" applyBorder="1" applyAlignment="1">
      <alignment horizontal="left"/>
    </xf>
    <xf numFmtId="0" fontId="10" fillId="0" borderId="20" xfId="43" applyFont="1" applyBorder="1"/>
    <xf numFmtId="0" fontId="8" fillId="0" borderId="20" xfId="43" applyFont="1" applyBorder="1" applyAlignment="1">
      <alignment horizontal="left" vertical="center"/>
    </xf>
    <xf numFmtId="0" fontId="8" fillId="0" borderId="25" xfId="43" applyFont="1" applyBorder="1" applyAlignment="1">
      <alignment horizontal="left" vertical="center"/>
    </xf>
    <xf numFmtId="0" fontId="10" fillId="0" borderId="0" xfId="43" applyFont="1" applyProtection="1"/>
    <xf numFmtId="172" fontId="12" fillId="0" borderId="0" xfId="43" applyNumberFormat="1" applyFont="1" applyBorder="1" applyAlignment="1" applyProtection="1">
      <alignment horizontal="center" vertical="center"/>
    </xf>
    <xf numFmtId="0" fontId="34" fillId="3" borderId="22" xfId="12" applyFont="1" applyFill="1" applyBorder="1" applyAlignment="1">
      <alignment horizontal="left" vertical="center" wrapText="1"/>
    </xf>
    <xf numFmtId="0" fontId="34" fillId="3" borderId="0" xfId="12" applyFont="1" applyFill="1" applyBorder="1" applyAlignment="1">
      <alignment horizontal="center" vertical="center" wrapText="1"/>
    </xf>
    <xf numFmtId="0" fontId="34" fillId="3" borderId="0" xfId="12" applyFont="1" applyFill="1" applyBorder="1" applyAlignment="1">
      <alignment horizontal="left" vertical="center" wrapText="1"/>
    </xf>
    <xf numFmtId="0" fontId="34" fillId="3" borderId="0" xfId="12" applyFont="1" applyFill="1" applyBorder="1" applyAlignment="1">
      <alignment horizontal="center" vertical="center"/>
    </xf>
    <xf numFmtId="0" fontId="34" fillId="3" borderId="1" xfId="12" applyFont="1" applyFill="1" applyBorder="1" applyAlignment="1">
      <alignment horizontal="center" vertical="center"/>
    </xf>
    <xf numFmtId="0" fontId="34" fillId="0" borderId="0" xfId="12" applyFont="1" applyFill="1"/>
    <xf numFmtId="0" fontId="34" fillId="3" borderId="11" xfId="43" applyFont="1" applyFill="1" applyBorder="1"/>
    <xf numFmtId="0" fontId="10" fillId="3" borderId="9" xfId="43" applyFont="1" applyFill="1" applyBorder="1"/>
    <xf numFmtId="0" fontId="15" fillId="0" borderId="0" xfId="12" applyFont="1" applyFill="1"/>
    <xf numFmtId="0" fontId="34" fillId="3" borderId="6" xfId="43" applyFont="1" applyFill="1" applyBorder="1" applyAlignment="1">
      <alignment horizontal="left" vertical="center"/>
    </xf>
    <xf numFmtId="0" fontId="34" fillId="3" borderId="7" xfId="43" applyFont="1" applyFill="1" applyBorder="1"/>
    <xf numFmtId="0" fontId="34" fillId="3" borderId="6" xfId="43" applyFont="1" applyFill="1" applyBorder="1"/>
    <xf numFmtId="0" fontId="34" fillId="3" borderId="3" xfId="43" applyFont="1" applyFill="1" applyBorder="1" applyAlignment="1">
      <alignment vertical="top"/>
    </xf>
    <xf numFmtId="0" fontId="34" fillId="3" borderId="4" xfId="43" applyFont="1" applyFill="1" applyBorder="1"/>
    <xf numFmtId="0" fontId="34" fillId="3" borderId="5" xfId="43" applyFont="1" applyFill="1" applyBorder="1"/>
    <xf numFmtId="0" fontId="34" fillId="3" borderId="4" xfId="43" applyFont="1" applyFill="1" applyBorder="1" applyAlignment="1">
      <alignment horizontal="left"/>
    </xf>
    <xf numFmtId="0" fontId="34" fillId="3" borderId="9" xfId="43" applyFont="1" applyFill="1" applyBorder="1"/>
    <xf numFmtId="0" fontId="15" fillId="0" borderId="0" xfId="12" applyFont="1"/>
    <xf numFmtId="0" fontId="10" fillId="0" borderId="0" xfId="43" applyFont="1" applyAlignment="1">
      <alignment vertical="center"/>
    </xf>
    <xf numFmtId="0" fontId="11" fillId="0" borderId="0" xfId="43" applyFont="1" applyBorder="1" applyAlignment="1">
      <alignment vertical="center"/>
    </xf>
    <xf numFmtId="0" fontId="10" fillId="0" borderId="0" xfId="43" applyFont="1" applyAlignment="1">
      <alignment horizontal="center" vertical="center"/>
    </xf>
    <xf numFmtId="0" fontId="12" fillId="0" borderId="22" xfId="23" applyFont="1" applyFill="1" applyBorder="1" applyAlignment="1">
      <alignment horizontal="left" vertical="center"/>
    </xf>
    <xf numFmtId="0" fontId="8" fillId="0" borderId="0" xfId="23" applyFill="1" applyBorder="1" applyAlignment="1">
      <alignment horizontal="left" vertical="center"/>
    </xf>
    <xf numFmtId="0" fontId="26" fillId="0" borderId="0" xfId="23" applyFont="1" applyBorder="1" applyAlignment="1">
      <alignment horizontal="center"/>
    </xf>
    <xf numFmtId="0" fontId="27" fillId="0" borderId="0" xfId="23" applyFont="1" applyBorder="1" applyAlignment="1"/>
    <xf numFmtId="0" fontId="10" fillId="0" borderId="0" xfId="23" applyFont="1" applyFill="1" applyBorder="1" applyAlignment="1"/>
    <xf numFmtId="0" fontId="12" fillId="0" borderId="0" xfId="0" applyFont="1" applyBorder="1" applyAlignment="1" applyProtection="1">
      <alignment horizontal="center" vertical="center"/>
      <protection hidden="1"/>
    </xf>
    <xf numFmtId="0" fontId="15" fillId="0" borderId="0" xfId="0" applyFont="1" applyProtection="1">
      <protection hidden="1"/>
    </xf>
    <xf numFmtId="0" fontId="10" fillId="0" borderId="0" xfId="0" applyFont="1" applyProtection="1">
      <protection hidden="1"/>
    </xf>
    <xf numFmtId="0" fontId="13" fillId="0" borderId="0" xfId="23" applyFont="1" applyFill="1" applyBorder="1" applyAlignment="1" applyProtection="1">
      <alignment vertical="center"/>
    </xf>
    <xf numFmtId="0" fontId="13" fillId="0" borderId="0" xfId="23" applyFont="1" applyFill="1" applyBorder="1" applyAlignment="1" applyProtection="1">
      <alignment horizontal="center" vertical="center"/>
    </xf>
    <xf numFmtId="0" fontId="12" fillId="0" borderId="0" xfId="0" applyFont="1" applyFill="1" applyBorder="1" applyAlignment="1" applyProtection="1">
      <alignment vertical="center"/>
      <protection hidden="1"/>
    </xf>
    <xf numFmtId="165" fontId="10" fillId="0" borderId="2" xfId="0" applyNumberFormat="1" applyFont="1" applyFill="1" applyBorder="1" applyAlignment="1">
      <alignment horizontal="center" vertical="center"/>
    </xf>
    <xf numFmtId="0" fontId="40" fillId="3" borderId="0" xfId="63" applyFont="1" applyFill="1" applyBorder="1" applyAlignment="1">
      <alignment horizontal="left" vertical="top"/>
    </xf>
    <xf numFmtId="1" fontId="12" fillId="0" borderId="0" xfId="0" applyNumberFormat="1" applyFont="1" applyBorder="1" applyAlignment="1">
      <alignment vertical="center"/>
    </xf>
    <xf numFmtId="165" fontId="10" fillId="0" borderId="0" xfId="0" applyNumberFormat="1" applyFont="1" applyBorder="1" applyAlignment="1">
      <alignment horizontal="left" vertical="center"/>
    </xf>
    <xf numFmtId="0" fontId="86" fillId="0" borderId="1" xfId="0" applyFont="1" applyBorder="1" applyAlignment="1">
      <alignment horizontal="left" vertical="center" wrapText="1"/>
    </xf>
    <xf numFmtId="0" fontId="86" fillId="0" borderId="6" xfId="0" applyFont="1" applyBorder="1" applyAlignment="1">
      <alignment horizontal="center" vertical="center"/>
    </xf>
    <xf numFmtId="0" fontId="40" fillId="3" borderId="0" xfId="9" applyFont="1" applyFill="1"/>
    <xf numFmtId="0" fontId="8" fillId="0" borderId="0" xfId="0" applyFont="1" applyBorder="1" applyAlignment="1">
      <alignment horizontal="center" vertical="center"/>
    </xf>
    <xf numFmtId="0" fontId="10" fillId="0" borderId="0" xfId="10" applyFont="1" applyBorder="1" applyAlignment="1">
      <alignment vertical="center" wrapText="1"/>
    </xf>
    <xf numFmtId="0" fontId="10" fillId="0" borderId="0" xfId="10" applyFont="1" applyAlignment="1">
      <alignment horizontal="left" vertical="center"/>
    </xf>
    <xf numFmtId="49" fontId="12" fillId="2" borderId="21" xfId="23" applyNumberFormat="1" applyFont="1" applyFill="1" applyBorder="1" applyAlignment="1">
      <alignment horizontal="center" vertical="center"/>
    </xf>
    <xf numFmtId="0" fontId="12" fillId="2" borderId="2" xfId="23" applyFont="1" applyFill="1" applyBorder="1" applyAlignment="1">
      <alignment horizontal="left" vertical="center"/>
    </xf>
    <xf numFmtId="0" fontId="12" fillId="2" borderId="2" xfId="23" applyFont="1" applyFill="1" applyBorder="1" applyAlignment="1">
      <alignment vertical="center"/>
    </xf>
    <xf numFmtId="0" fontId="10" fillId="2" borderId="2" xfId="23" applyFont="1" applyFill="1" applyBorder="1" applyAlignment="1">
      <alignment vertical="center"/>
    </xf>
    <xf numFmtId="0" fontId="10" fillId="2" borderId="23" xfId="23" applyFont="1" applyFill="1" applyBorder="1" applyAlignment="1">
      <alignment vertical="center"/>
    </xf>
    <xf numFmtId="49" fontId="12" fillId="0" borderId="0" xfId="10" applyNumberFormat="1" applyFont="1" applyAlignment="1">
      <alignment vertical="center"/>
    </xf>
    <xf numFmtId="0" fontId="10" fillId="0" borderId="0" xfId="10" applyFont="1" applyAlignment="1">
      <alignment vertical="center"/>
    </xf>
    <xf numFmtId="0" fontId="12" fillId="2" borderId="28" xfId="10" applyFont="1" applyFill="1" applyBorder="1" applyAlignment="1">
      <alignment vertical="center"/>
    </xf>
    <xf numFmtId="0" fontId="8" fillId="2" borderId="28" xfId="0" applyFont="1" applyFill="1" applyBorder="1" applyAlignment="1">
      <alignment vertical="center" wrapText="1"/>
    </xf>
    <xf numFmtId="0" fontId="18" fillId="0" borderId="0" xfId="10" applyFont="1" applyBorder="1" applyAlignment="1">
      <alignment vertical="center"/>
    </xf>
    <xf numFmtId="0" fontId="8" fillId="0" borderId="0" xfId="0" applyFont="1" applyBorder="1" applyAlignment="1">
      <alignment vertical="center" wrapText="1"/>
    </xf>
    <xf numFmtId="0" fontId="10" fillId="2" borderId="28" xfId="10" applyFont="1" applyFill="1" applyBorder="1" applyAlignment="1">
      <alignment vertical="center"/>
    </xf>
    <xf numFmtId="0" fontId="10" fillId="2" borderId="29" xfId="10" applyFont="1" applyFill="1" applyBorder="1" applyAlignment="1">
      <alignment horizontal="left" vertical="center"/>
    </xf>
    <xf numFmtId="49" fontId="12" fillId="2" borderId="30" xfId="10" applyNumberFormat="1" applyFont="1" applyFill="1" applyBorder="1" applyAlignment="1">
      <alignment vertical="center"/>
    </xf>
    <xf numFmtId="2" fontId="10" fillId="0" borderId="0" xfId="23" applyNumberFormat="1" applyFont="1" applyAlignment="1">
      <alignment vertical="center"/>
    </xf>
    <xf numFmtId="167" fontId="10" fillId="0" borderId="0" xfId="23" applyNumberFormat="1" applyFont="1" applyAlignment="1">
      <alignment vertical="center"/>
    </xf>
    <xf numFmtId="165" fontId="10" fillId="0" borderId="0" xfId="23" applyNumberFormat="1" applyFont="1" applyAlignment="1">
      <alignment vertical="center"/>
    </xf>
    <xf numFmtId="0" fontId="15" fillId="0" borderId="0" xfId="10" applyFont="1" applyAlignment="1">
      <alignment vertical="center"/>
    </xf>
    <xf numFmtId="0" fontId="14" fillId="0" borderId="0" xfId="10" applyFont="1" applyBorder="1" applyAlignment="1">
      <alignment vertical="center"/>
    </xf>
    <xf numFmtId="0" fontId="12" fillId="0" borderId="0" xfId="10" applyFont="1" applyFill="1" applyBorder="1" applyAlignment="1">
      <alignment vertical="center"/>
    </xf>
    <xf numFmtId="165" fontId="10" fillId="0" borderId="0" xfId="10" applyNumberFormat="1" applyFont="1" applyAlignment="1">
      <alignment horizontal="center" vertical="center"/>
    </xf>
    <xf numFmtId="1" fontId="10" fillId="0" borderId="0" xfId="10" applyNumberFormat="1" applyFont="1" applyAlignment="1">
      <alignment horizontal="center" vertical="center"/>
    </xf>
    <xf numFmtId="0" fontId="12" fillId="0" borderId="0" xfId="10" applyFont="1" applyAlignment="1">
      <alignment vertical="center"/>
    </xf>
    <xf numFmtId="168" fontId="10" fillId="0" borderId="0" xfId="10" applyNumberFormat="1" applyFont="1" applyBorder="1" applyAlignment="1">
      <alignment vertical="center"/>
    </xf>
    <xf numFmtId="165" fontId="10" fillId="0" borderId="0" xfId="10" applyNumberFormat="1" applyFont="1" applyBorder="1" applyAlignment="1">
      <alignment vertical="center"/>
    </xf>
    <xf numFmtId="0" fontId="10" fillId="0" borderId="0" xfId="10" applyFont="1" applyFill="1" applyAlignment="1">
      <alignment vertical="center"/>
    </xf>
    <xf numFmtId="168" fontId="14" fillId="0" borderId="0" xfId="10" applyNumberFormat="1" applyFont="1" applyFill="1" applyBorder="1" applyAlignment="1">
      <alignment horizontal="center" vertical="center"/>
    </xf>
    <xf numFmtId="49" fontId="10" fillId="0" borderId="0" xfId="10" applyNumberFormat="1" applyFont="1" applyBorder="1" applyAlignment="1">
      <alignment vertical="center" wrapText="1"/>
    </xf>
    <xf numFmtId="49" fontId="10" fillId="0" borderId="0" xfId="10" applyNumberFormat="1" applyFont="1" applyBorder="1" applyAlignment="1">
      <alignment vertical="center"/>
    </xf>
    <xf numFmtId="0" fontId="18" fillId="0" borderId="0" xfId="10" applyFont="1" applyBorder="1" applyAlignment="1">
      <alignment horizontal="left" vertical="center"/>
    </xf>
    <xf numFmtId="168" fontId="103" fillId="0" borderId="0" xfId="10" applyNumberFormat="1" applyFont="1" applyBorder="1" applyAlignment="1" applyProtection="1">
      <alignment horizontal="left" vertical="center"/>
      <protection hidden="1"/>
    </xf>
    <xf numFmtId="165" fontId="12" fillId="0" borderId="0" xfId="10" applyNumberFormat="1" applyFont="1" applyBorder="1" applyAlignment="1">
      <alignment horizontal="left" vertical="center"/>
    </xf>
    <xf numFmtId="49" fontId="12" fillId="0" borderId="21" xfId="10" applyNumberFormat="1" applyFont="1" applyFill="1" applyBorder="1" applyAlignment="1">
      <alignment vertical="center"/>
    </xf>
    <xf numFmtId="0" fontId="18" fillId="0" borderId="0" xfId="10" applyFont="1" applyBorder="1" applyAlignment="1">
      <alignment vertical="center" wrapText="1"/>
    </xf>
    <xf numFmtId="0" fontId="26" fillId="0" borderId="0" xfId="23" applyFont="1" applyAlignment="1">
      <alignment vertical="center"/>
    </xf>
    <xf numFmtId="49" fontId="26" fillId="0" borderId="0" xfId="23" applyNumberFormat="1" applyFont="1" applyFill="1" applyBorder="1" applyAlignment="1">
      <alignment horizontal="left" vertical="center"/>
    </xf>
    <xf numFmtId="49" fontId="27" fillId="0" borderId="0" xfId="23" applyNumberFormat="1" applyFont="1" applyFill="1" applyBorder="1" applyAlignment="1">
      <alignment horizontal="left" vertical="center"/>
    </xf>
    <xf numFmtId="0" fontId="12" fillId="0" borderId="24" xfId="23" applyFont="1" applyBorder="1" applyAlignment="1">
      <alignment vertical="center"/>
    </xf>
    <xf numFmtId="0" fontId="12" fillId="0" borderId="20" xfId="23" applyFont="1" applyBorder="1" applyAlignment="1">
      <alignment horizontal="left" vertical="center"/>
    </xf>
    <xf numFmtId="0" fontId="10" fillId="0" borderId="20" xfId="23" applyFont="1" applyBorder="1" applyAlignment="1">
      <alignment vertical="center"/>
    </xf>
    <xf numFmtId="0" fontId="10" fillId="0" borderId="25" xfId="23" applyFont="1" applyBorder="1" applyAlignment="1">
      <alignment vertical="center"/>
    </xf>
    <xf numFmtId="0" fontId="18" fillId="0" borderId="1" xfId="23" applyFont="1" applyBorder="1" applyAlignment="1">
      <alignment vertical="center" wrapText="1"/>
    </xf>
    <xf numFmtId="0" fontId="18" fillId="0" borderId="0" xfId="23" applyFont="1" applyBorder="1" applyAlignment="1">
      <alignment vertical="center" wrapText="1"/>
    </xf>
    <xf numFmtId="0" fontId="8" fillId="0" borderId="0" xfId="23" applyFont="1" applyBorder="1" applyAlignment="1">
      <alignment vertical="center"/>
    </xf>
    <xf numFmtId="0" fontId="104" fillId="0" borderId="0" xfId="23" applyFont="1" applyFill="1" applyBorder="1" applyAlignment="1">
      <alignment vertical="center"/>
    </xf>
    <xf numFmtId="0" fontId="10" fillId="0" borderId="0" xfId="23" applyFont="1" applyFill="1" applyBorder="1" applyAlignment="1" applyProtection="1">
      <alignment vertical="center"/>
    </xf>
    <xf numFmtId="0" fontId="10" fillId="0" borderId="0" xfId="23" applyFont="1" applyAlignment="1" applyProtection="1">
      <alignment vertical="center"/>
    </xf>
    <xf numFmtId="0" fontId="12" fillId="0" borderId="21" xfId="23" applyFont="1" applyBorder="1" applyAlignment="1">
      <alignment vertical="center"/>
    </xf>
    <xf numFmtId="0" fontId="10" fillId="0" borderId="2" xfId="23" applyFont="1" applyBorder="1" applyAlignment="1">
      <alignment vertical="center"/>
    </xf>
    <xf numFmtId="0" fontId="10" fillId="0" borderId="23" xfId="23" applyFont="1" applyBorder="1" applyAlignment="1">
      <alignment vertical="center"/>
    </xf>
    <xf numFmtId="0" fontId="10" fillId="0" borderId="0" xfId="23" applyFont="1" applyFill="1" applyAlignment="1">
      <alignment vertical="center"/>
    </xf>
    <xf numFmtId="0" fontId="10" fillId="0" borderId="23" xfId="23" applyFont="1" applyFill="1" applyBorder="1" applyAlignment="1">
      <alignment vertical="center"/>
    </xf>
    <xf numFmtId="0" fontId="12" fillId="0" borderId="0" xfId="23" applyFont="1" applyFill="1" applyBorder="1" applyAlignment="1">
      <alignment horizontal="left" vertical="center"/>
    </xf>
    <xf numFmtId="0" fontId="10" fillId="0" borderId="0" xfId="23" applyFont="1" applyBorder="1" applyAlignment="1" applyProtection="1">
      <alignment vertical="center"/>
    </xf>
    <xf numFmtId="0" fontId="10" fillId="0" borderId="4" xfId="23" applyFont="1" applyBorder="1" applyAlignment="1">
      <alignment vertical="center"/>
    </xf>
    <xf numFmtId="0" fontId="12" fillId="0" borderId="0" xfId="23" applyFont="1" applyAlignment="1">
      <alignment vertical="center"/>
    </xf>
    <xf numFmtId="0" fontId="12" fillId="0" borderId="0" xfId="23" applyFont="1" applyAlignment="1">
      <alignment horizontal="left" vertical="center"/>
    </xf>
    <xf numFmtId="0" fontId="8" fillId="0" borderId="1" xfId="0" applyFont="1" applyBorder="1" applyAlignment="1">
      <alignment vertical="center"/>
    </xf>
    <xf numFmtId="0" fontId="8" fillId="0" borderId="0" xfId="0" applyFont="1" applyBorder="1" applyAlignment="1">
      <alignment vertical="center"/>
    </xf>
    <xf numFmtId="49" fontId="12" fillId="0" borderId="24" xfId="23" applyNumberFormat="1" applyFont="1" applyFill="1" applyBorder="1" applyAlignment="1">
      <alignment horizontal="center" vertical="center"/>
    </xf>
    <xf numFmtId="0" fontId="12" fillId="0" borderId="20" xfId="23" applyFont="1" applyFill="1" applyBorder="1" applyAlignment="1">
      <alignment horizontal="left" vertical="center"/>
    </xf>
    <xf numFmtId="0" fontId="12" fillId="0" borderId="20" xfId="23" applyFont="1" applyFill="1" applyBorder="1" applyAlignment="1">
      <alignment vertical="center"/>
    </xf>
    <xf numFmtId="0" fontId="10" fillId="0" borderId="20" xfId="23" applyFont="1" applyFill="1" applyBorder="1" applyAlignment="1">
      <alignment vertical="center"/>
    </xf>
    <xf numFmtId="0" fontId="10" fillId="0" borderId="25" xfId="23" applyFont="1" applyFill="1" applyBorder="1" applyAlignment="1">
      <alignment vertical="center"/>
    </xf>
    <xf numFmtId="0" fontId="86" fillId="0" borderId="0" xfId="0" applyFont="1" applyAlignment="1">
      <alignment vertical="center"/>
    </xf>
    <xf numFmtId="0" fontId="87" fillId="0" borderId="0" xfId="0" applyFont="1" applyAlignment="1">
      <alignment vertical="center"/>
    </xf>
    <xf numFmtId="0" fontId="86" fillId="0" borderId="35" xfId="0" applyFont="1" applyBorder="1" applyAlignment="1">
      <alignment vertical="center"/>
    </xf>
    <xf numFmtId="0" fontId="86" fillId="0" borderId="9" xfId="0" applyFont="1" applyBorder="1" applyAlignment="1">
      <alignment vertical="center"/>
    </xf>
    <xf numFmtId="0" fontId="86" fillId="0" borderId="36" xfId="0" applyFont="1" applyBorder="1" applyAlignment="1">
      <alignment vertical="center"/>
    </xf>
    <xf numFmtId="0" fontId="87" fillId="0" borderId="0" xfId="0" applyFont="1" applyBorder="1" applyAlignment="1">
      <alignment vertical="center"/>
    </xf>
    <xf numFmtId="0" fontId="86" fillId="0" borderId="11" xfId="0" applyFont="1" applyBorder="1" applyAlignment="1">
      <alignment vertical="center"/>
    </xf>
    <xf numFmtId="0" fontId="86" fillId="0" borderId="10" xfId="0" applyFont="1" applyFill="1" applyBorder="1" applyAlignment="1">
      <alignment vertical="center"/>
    </xf>
    <xf numFmtId="0" fontId="86" fillId="0" borderId="7" xfId="0" applyFont="1" applyBorder="1" applyAlignment="1">
      <alignment vertical="center"/>
    </xf>
    <xf numFmtId="0" fontId="86" fillId="0" borderId="6" xfId="0" applyFont="1" applyFill="1" applyBorder="1" applyAlignment="1">
      <alignment vertical="center"/>
    </xf>
    <xf numFmtId="0" fontId="87" fillId="0" borderId="1" xfId="0" applyFont="1" applyBorder="1" applyAlignment="1">
      <alignment vertical="center"/>
    </xf>
    <xf numFmtId="0" fontId="86" fillId="0" borderId="37" xfId="0" applyFont="1" applyBorder="1" applyAlignment="1">
      <alignment vertical="center"/>
    </xf>
    <xf numFmtId="0" fontId="86" fillId="0" borderId="4" xfId="0" applyFont="1" applyBorder="1" applyAlignment="1">
      <alignment vertical="center"/>
    </xf>
    <xf numFmtId="0" fontId="86" fillId="0" borderId="5" xfId="0" applyFont="1" applyBorder="1" applyAlignment="1">
      <alignment vertical="center"/>
    </xf>
    <xf numFmtId="0" fontId="86" fillId="0" borderId="3" xfId="0" applyFont="1" applyBorder="1" applyAlignment="1">
      <alignment vertical="center"/>
    </xf>
    <xf numFmtId="0" fontId="86" fillId="0" borderId="38" xfId="0" applyFont="1" applyBorder="1" applyAlignment="1">
      <alignment vertical="center"/>
    </xf>
    <xf numFmtId="0" fontId="88" fillId="2" borderId="39" xfId="0" applyFont="1" applyFill="1" applyBorder="1" applyAlignment="1">
      <alignment vertical="center"/>
    </xf>
    <xf numFmtId="0" fontId="89" fillId="0" borderId="0" xfId="0" applyFont="1" applyAlignment="1">
      <alignment vertical="center"/>
    </xf>
    <xf numFmtId="0" fontId="64" fillId="0" borderId="6" xfId="0" applyFont="1" applyBorder="1" applyAlignment="1">
      <alignment vertical="center"/>
    </xf>
    <xf numFmtId="0" fontId="46" fillId="0" borderId="0" xfId="0" applyFont="1" applyBorder="1" applyAlignment="1">
      <alignment vertical="center"/>
    </xf>
    <xf numFmtId="0" fontId="86" fillId="0" borderId="1" xfId="0" applyFont="1" applyFill="1" applyBorder="1" applyAlignment="1">
      <alignment vertical="center"/>
    </xf>
    <xf numFmtId="0" fontId="90" fillId="0" borderId="0" xfId="0" applyFont="1" applyBorder="1" applyAlignment="1">
      <alignment vertical="center"/>
    </xf>
    <xf numFmtId="0" fontId="86" fillId="0" borderId="21" xfId="0" applyFont="1" applyBorder="1" applyAlignment="1">
      <alignment vertical="center"/>
    </xf>
    <xf numFmtId="0" fontId="86" fillId="0" borderId="2" xfId="0" applyFont="1" applyBorder="1" applyAlignment="1">
      <alignment vertical="center"/>
    </xf>
    <xf numFmtId="0" fontId="86" fillId="0" borderId="23" xfId="0" applyFont="1" applyBorder="1" applyAlignment="1">
      <alignment vertical="center"/>
    </xf>
    <xf numFmtId="0" fontId="10" fillId="0" borderId="1" xfId="23" applyFont="1" applyFill="1" applyBorder="1" applyAlignment="1">
      <alignment vertical="center"/>
    </xf>
    <xf numFmtId="0" fontId="10" fillId="0" borderId="1" xfId="10" applyFont="1" applyBorder="1" applyAlignment="1">
      <alignment horizontal="left" vertical="center"/>
    </xf>
    <xf numFmtId="0" fontId="12" fillId="0" borderId="1" xfId="10" applyFont="1" applyFill="1" applyBorder="1" applyAlignment="1">
      <alignment horizontal="left" vertical="center"/>
    </xf>
    <xf numFmtId="2" fontId="12" fillId="0" borderId="1" xfId="10" applyNumberFormat="1" applyFont="1" applyFill="1" applyBorder="1" applyAlignment="1">
      <alignment horizontal="left" vertical="center"/>
    </xf>
    <xf numFmtId="0" fontId="10" fillId="0" borderId="1" xfId="0" applyFont="1" applyBorder="1" applyAlignment="1">
      <alignment vertical="center"/>
    </xf>
    <xf numFmtId="0" fontId="10" fillId="0" borderId="23" xfId="10" applyFont="1" applyBorder="1" applyAlignment="1">
      <alignment horizontal="left" vertical="center"/>
    </xf>
    <xf numFmtId="49" fontId="12" fillId="0" borderId="24" xfId="10" applyNumberFormat="1" applyFont="1" applyFill="1" applyBorder="1" applyAlignment="1">
      <alignment horizontal="left" vertical="center"/>
    </xf>
    <xf numFmtId="0" fontId="12" fillId="0" borderId="25" xfId="10" applyFont="1" applyFill="1" applyBorder="1" applyAlignment="1">
      <alignment horizontal="left" vertical="center"/>
    </xf>
    <xf numFmtId="168" fontId="103" fillId="0" borderId="1" xfId="10" applyNumberFormat="1" applyFont="1" applyBorder="1" applyAlignment="1" applyProtection="1">
      <alignment horizontal="left" vertical="center"/>
      <protection hidden="1"/>
    </xf>
    <xf numFmtId="0" fontId="10" fillId="0" borderId="1" xfId="10" applyFont="1" applyFill="1" applyBorder="1" applyAlignment="1">
      <alignment horizontal="left" vertical="center"/>
    </xf>
    <xf numFmtId="165" fontId="12" fillId="0" borderId="1" xfId="10" applyNumberFormat="1" applyFont="1" applyFill="1" applyBorder="1" applyAlignment="1">
      <alignment horizontal="left" vertical="center"/>
    </xf>
    <xf numFmtId="0" fontId="10" fillId="0" borderId="25" xfId="10" applyFont="1" applyBorder="1" applyAlignment="1">
      <alignment horizontal="left" vertical="center"/>
    </xf>
    <xf numFmtId="168" fontId="12" fillId="0" borderId="20" xfId="10" applyNumberFormat="1" applyFont="1" applyFill="1" applyBorder="1" applyAlignment="1">
      <alignment horizontal="center" vertical="center"/>
    </xf>
    <xf numFmtId="0" fontId="10" fillId="0" borderId="20" xfId="10" applyFont="1" applyFill="1" applyBorder="1" applyAlignment="1">
      <alignment horizontal="center" vertical="center"/>
    </xf>
    <xf numFmtId="49" fontId="12" fillId="0" borderId="2" xfId="10" applyNumberFormat="1" applyFont="1" applyFill="1" applyBorder="1" applyAlignment="1">
      <alignment horizontal="left" vertical="center"/>
    </xf>
    <xf numFmtId="0" fontId="10" fillId="0" borderId="2" xfId="10" applyFont="1" applyFill="1" applyBorder="1" applyAlignment="1">
      <alignment horizontal="left" vertical="center"/>
    </xf>
    <xf numFmtId="0" fontId="10" fillId="0" borderId="2" xfId="10" applyFont="1" applyFill="1" applyBorder="1" applyAlignment="1">
      <alignment vertical="center"/>
    </xf>
    <xf numFmtId="0" fontId="10" fillId="0" borderId="23" xfId="10" applyFont="1" applyFill="1" applyBorder="1" applyAlignment="1">
      <alignment horizontal="left" vertical="center"/>
    </xf>
    <xf numFmtId="0" fontId="12" fillId="0" borderId="1" xfId="10" applyFont="1" applyFill="1" applyBorder="1" applyAlignment="1">
      <alignment horizontal="center" vertical="center"/>
    </xf>
    <xf numFmtId="0" fontId="10" fillId="0" borderId="1" xfId="10" applyFont="1" applyFill="1" applyBorder="1" applyAlignment="1">
      <alignment vertical="center"/>
    </xf>
    <xf numFmtId="0" fontId="11" fillId="0" borderId="0" xfId="10" applyFont="1" applyFill="1"/>
    <xf numFmtId="0" fontId="11" fillId="0" borderId="0" xfId="59" applyFont="1" applyBorder="1" applyAlignment="1">
      <alignment wrapText="1"/>
    </xf>
    <xf numFmtId="0" fontId="100" fillId="0" borderId="0" xfId="0" applyFont="1" applyAlignment="1">
      <alignment vertical="center" wrapText="1"/>
    </xf>
    <xf numFmtId="0" fontId="100" fillId="0" borderId="7" xfId="0" applyFont="1" applyBorder="1" applyAlignment="1">
      <alignment vertical="center" wrapText="1"/>
    </xf>
    <xf numFmtId="0" fontId="100" fillId="0" borderId="0" xfId="0" applyFont="1" applyBorder="1" applyAlignment="1">
      <alignment vertical="center" wrapText="1"/>
    </xf>
    <xf numFmtId="0" fontId="34" fillId="3" borderId="6" xfId="0" applyFont="1" applyFill="1" applyBorder="1"/>
    <xf numFmtId="1" fontId="40" fillId="3" borderId="0" xfId="0" applyNumberFormat="1" applyFont="1" applyFill="1" applyAlignment="1">
      <alignment horizontal="center"/>
    </xf>
    <xf numFmtId="2" fontId="40" fillId="3" borderId="0" xfId="0" applyNumberFormat="1" applyFont="1" applyFill="1" applyBorder="1" applyAlignment="1">
      <alignment horizontal="center"/>
    </xf>
    <xf numFmtId="2" fontId="40" fillId="3" borderId="0" xfId="0" applyNumberFormat="1" applyFont="1" applyFill="1" applyBorder="1" applyAlignment="1">
      <alignment horizontal="center" vertical="center"/>
    </xf>
    <xf numFmtId="0" fontId="40" fillId="3" borderId="0" xfId="0" applyFont="1" applyFill="1"/>
    <xf numFmtId="0" fontId="40" fillId="3" borderId="0" xfId="57" applyFont="1" applyFill="1" applyBorder="1" applyAlignment="1">
      <alignment horizontal="left" vertical="center"/>
    </xf>
    <xf numFmtId="0" fontId="40" fillId="3" borderId="0" xfId="0" applyFont="1" applyFill="1" applyBorder="1" applyAlignment="1">
      <alignment horizontal="center"/>
    </xf>
    <xf numFmtId="0" fontId="40" fillId="3" borderId="0" xfId="57" applyFont="1" applyFill="1" applyBorder="1" applyAlignment="1">
      <alignment horizontal="left" vertical="top"/>
    </xf>
    <xf numFmtId="0" fontId="40" fillId="3" borderId="0" xfId="63" applyFont="1" applyFill="1" applyBorder="1" applyAlignment="1">
      <alignment horizontal="left" vertical="center"/>
    </xf>
    <xf numFmtId="0" fontId="40" fillId="3" borderId="0" xfId="9" applyFont="1" applyFill="1" applyBorder="1"/>
    <xf numFmtId="2" fontId="40" fillId="3" borderId="0" xfId="0" applyNumberFormat="1" applyFont="1" applyFill="1" applyAlignment="1">
      <alignment horizontal="center"/>
    </xf>
    <xf numFmtId="165" fontId="40" fillId="3" borderId="0" xfId="53" applyNumberFormat="1" applyFont="1" applyFill="1"/>
    <xf numFmtId="0" fontId="40" fillId="3" borderId="0" xfId="63" applyFont="1" applyFill="1" applyBorder="1" applyAlignment="1">
      <alignment horizontal="left" vertical="center" wrapText="1"/>
    </xf>
    <xf numFmtId="0" fontId="40" fillId="3" borderId="0" xfId="0" quotePrefix="1" applyFont="1" applyFill="1" applyBorder="1" applyAlignment="1">
      <alignment horizontal="center"/>
    </xf>
    <xf numFmtId="0" fontId="40" fillId="3" borderId="0" xfId="0" quotePrefix="1" applyFont="1" applyFill="1" applyAlignment="1">
      <alignment horizontal="center"/>
    </xf>
    <xf numFmtId="165" fontId="40" fillId="0" borderId="0" xfId="53" applyNumberFormat="1" applyFont="1"/>
    <xf numFmtId="1" fontId="40" fillId="3" borderId="0" xfId="0" applyNumberFormat="1" applyFont="1" applyFill="1" applyBorder="1" applyAlignment="1">
      <alignment horizontal="center" vertical="center"/>
    </xf>
    <xf numFmtId="165" fontId="40" fillId="3" borderId="0" xfId="0" applyNumberFormat="1" applyFont="1" applyFill="1"/>
    <xf numFmtId="1" fontId="40" fillId="3" borderId="0" xfId="0" applyNumberFormat="1" applyFont="1" applyFill="1" applyBorder="1" applyAlignment="1">
      <alignment horizontal="center"/>
    </xf>
    <xf numFmtId="0" fontId="40" fillId="3" borderId="0" xfId="59" applyFont="1" applyFill="1"/>
    <xf numFmtId="165" fontId="40" fillId="3" borderId="0" xfId="0" applyNumberFormat="1" applyFont="1" applyFill="1" applyBorder="1"/>
    <xf numFmtId="0" fontId="40" fillId="0" borderId="0" xfId="0" applyFont="1" applyAlignment="1"/>
    <xf numFmtId="165" fontId="105" fillId="3" borderId="0" xfId="0" applyNumberFormat="1" applyFont="1" applyFill="1"/>
    <xf numFmtId="0" fontId="105" fillId="0" borderId="0" xfId="0" applyFont="1"/>
    <xf numFmtId="49" fontId="40" fillId="0" borderId="0" xfId="0" quotePrefix="1" applyNumberFormat="1" applyFont="1"/>
    <xf numFmtId="0" fontId="40" fillId="0" borderId="0" xfId="0" quotePrefix="1" applyFont="1"/>
    <xf numFmtId="0" fontId="106" fillId="4" borderId="0" xfId="0" applyFont="1" applyFill="1"/>
    <xf numFmtId="0" fontId="10" fillId="0" borderId="0" xfId="0" quotePrefix="1" applyFont="1"/>
    <xf numFmtId="2" fontId="40" fillId="3" borderId="0" xfId="49" applyNumberFormat="1" applyFont="1" applyFill="1" applyAlignment="1">
      <alignment horizontal="center"/>
    </xf>
    <xf numFmtId="0" fontId="40" fillId="3" borderId="0" xfId="58" applyFont="1" applyFill="1"/>
    <xf numFmtId="0" fontId="40" fillId="3" borderId="0" xfId="49" applyFont="1" applyFill="1"/>
    <xf numFmtId="165" fontId="40" fillId="3" borderId="0" xfId="58" applyNumberFormat="1" applyFont="1" applyFill="1"/>
    <xf numFmtId="0" fontId="12" fillId="0" borderId="0" xfId="23" applyFont="1" applyBorder="1" applyAlignment="1" applyProtection="1">
      <alignment horizontal="left" vertical="center"/>
      <protection hidden="1"/>
    </xf>
    <xf numFmtId="0" fontId="10" fillId="0" borderId="0" xfId="23" applyFont="1" applyBorder="1" applyAlignment="1" applyProtection="1">
      <alignment vertical="center"/>
      <protection hidden="1"/>
    </xf>
    <xf numFmtId="169" fontId="10" fillId="0" borderId="0" xfId="23" applyNumberFormat="1" applyFont="1" applyFill="1" applyBorder="1" applyAlignment="1" applyProtection="1">
      <alignment vertical="center"/>
      <protection hidden="1"/>
    </xf>
    <xf numFmtId="0" fontId="8" fillId="0" borderId="0" xfId="23" applyFont="1" applyFill="1" applyBorder="1" applyAlignment="1" applyProtection="1">
      <alignment vertical="center"/>
      <protection hidden="1"/>
    </xf>
    <xf numFmtId="165" fontId="10" fillId="0" borderId="0" xfId="23" applyNumberFormat="1" applyFont="1" applyFill="1" applyBorder="1" applyAlignment="1" applyProtection="1">
      <alignment horizontal="left" vertical="center"/>
      <protection hidden="1"/>
    </xf>
    <xf numFmtId="0" fontId="10" fillId="0" borderId="0" xfId="23" applyFont="1" applyBorder="1" applyAlignment="1" applyProtection="1">
      <alignment horizontal="left" vertical="center"/>
      <protection hidden="1"/>
    </xf>
    <xf numFmtId="169" fontId="10" fillId="0" borderId="0" xfId="23" applyNumberFormat="1" applyFont="1" applyFill="1" applyBorder="1" applyAlignment="1" applyProtection="1">
      <alignment horizontal="left" vertical="center"/>
      <protection hidden="1"/>
    </xf>
    <xf numFmtId="0" fontId="8" fillId="0" borderId="0" xfId="23" applyFont="1" applyFill="1" applyBorder="1" applyAlignment="1" applyProtection="1">
      <alignment horizontal="left" vertical="center"/>
      <protection hidden="1"/>
    </xf>
    <xf numFmtId="165" fontId="10" fillId="0" borderId="0" xfId="23" applyNumberFormat="1" applyFont="1" applyFill="1" applyBorder="1" applyAlignment="1" applyProtection="1">
      <alignment vertical="center"/>
      <protection hidden="1"/>
    </xf>
    <xf numFmtId="0" fontId="18" fillId="0" borderId="1" xfId="23" applyFont="1" applyBorder="1" applyAlignment="1" applyProtection="1">
      <alignment vertical="center" wrapText="1"/>
      <protection hidden="1"/>
    </xf>
    <xf numFmtId="0" fontId="18" fillId="0" borderId="0" xfId="23" applyFont="1" applyFill="1" applyBorder="1" applyAlignment="1">
      <alignment vertical="center" wrapText="1"/>
    </xf>
    <xf numFmtId="0" fontId="12" fillId="0" borderId="3" xfId="0" applyFont="1" applyFill="1" applyBorder="1" applyAlignment="1">
      <alignment horizontal="center" vertical="center"/>
    </xf>
    <xf numFmtId="0" fontId="12" fillId="0" borderId="9" xfId="23" applyFont="1" applyBorder="1" applyAlignment="1">
      <alignment horizontal="left" vertical="center"/>
    </xf>
    <xf numFmtId="0" fontId="10" fillId="0" borderId="9" xfId="23" applyFont="1" applyBorder="1" applyAlignment="1">
      <alignment vertical="center"/>
    </xf>
    <xf numFmtId="49" fontId="12" fillId="0" borderId="4" xfId="23" applyNumberFormat="1" applyFont="1" applyBorder="1" applyAlignment="1">
      <alignment horizontal="left" vertical="center"/>
    </xf>
    <xf numFmtId="0" fontId="10" fillId="0" borderId="4" xfId="23" applyFont="1" applyBorder="1" applyAlignment="1">
      <alignment horizontal="left" vertical="center"/>
    </xf>
    <xf numFmtId="0" fontId="13" fillId="0" borderId="6" xfId="0" applyFont="1" applyFill="1" applyBorder="1" applyAlignment="1">
      <alignment horizontal="center" vertical="center"/>
    </xf>
    <xf numFmtId="0" fontId="34" fillId="0" borderId="0" xfId="0" applyFont="1" applyBorder="1" applyAlignment="1">
      <alignment horizontal="right"/>
    </xf>
    <xf numFmtId="0" fontId="10" fillId="0" borderId="0" xfId="0" applyFont="1" applyFill="1" applyBorder="1" applyAlignment="1" applyProtection="1">
      <alignment vertical="center"/>
    </xf>
    <xf numFmtId="0" fontId="10" fillId="2" borderId="14" xfId="0" applyFont="1" applyFill="1" applyBorder="1" applyAlignment="1">
      <alignment horizontal="right" vertical="center"/>
    </xf>
    <xf numFmtId="0" fontId="75" fillId="2" borderId="18" xfId="0" applyFont="1" applyFill="1" applyBorder="1" applyAlignment="1"/>
    <xf numFmtId="0" fontId="75" fillId="2" borderId="19" xfId="0" applyFont="1" applyFill="1" applyBorder="1" applyAlignment="1"/>
    <xf numFmtId="0" fontId="76" fillId="2" borderId="14" xfId="0" applyFont="1" applyFill="1" applyBorder="1" applyAlignment="1">
      <alignment horizontal="right"/>
    </xf>
    <xf numFmtId="0" fontId="10" fillId="2" borderId="14" xfId="59" applyFont="1" applyFill="1" applyBorder="1" applyAlignment="1">
      <alignment horizontal="right" vertical="center"/>
    </xf>
    <xf numFmtId="0" fontId="64" fillId="0" borderId="0" xfId="0" applyFont="1" applyBorder="1" applyAlignment="1">
      <alignment horizontal="left" vertical="center"/>
    </xf>
    <xf numFmtId="0" fontId="0" fillId="0" borderId="5" xfId="0" applyBorder="1"/>
    <xf numFmtId="0" fontId="40" fillId="3" borderId="0" xfId="0" quotePrefix="1" applyNumberFormat="1" applyFont="1" applyFill="1" applyBorder="1" applyAlignment="1">
      <alignment horizontal="right"/>
    </xf>
    <xf numFmtId="49" fontId="21" fillId="0" borderId="0" xfId="0" applyNumberFormat="1" applyFont="1" applyBorder="1" applyAlignment="1">
      <alignment horizontal="left" vertical="center" wrapText="1"/>
    </xf>
    <xf numFmtId="0" fontId="12" fillId="0" borderId="35" xfId="23" applyFont="1" applyBorder="1" applyAlignment="1">
      <alignment vertical="center"/>
    </xf>
    <xf numFmtId="0" fontId="10" fillId="0" borderId="36" xfId="23" applyFont="1" applyBorder="1" applyAlignment="1">
      <alignment vertical="center"/>
    </xf>
    <xf numFmtId="0" fontId="12" fillId="0" borderId="1" xfId="23" applyFont="1" applyFill="1" applyBorder="1" applyAlignment="1" applyProtection="1">
      <alignment horizontal="center" vertical="center"/>
    </xf>
    <xf numFmtId="0" fontId="12" fillId="0" borderId="37" xfId="23" applyFont="1" applyBorder="1" applyAlignment="1">
      <alignment vertical="center"/>
    </xf>
    <xf numFmtId="0" fontId="10" fillId="0" borderId="38" xfId="23" applyFont="1" applyBorder="1" applyAlignment="1">
      <alignment vertical="center"/>
    </xf>
    <xf numFmtId="49" fontId="38" fillId="0" borderId="7" xfId="0" applyNumberFormat="1" applyFont="1" applyFill="1" applyBorder="1" applyAlignment="1">
      <alignment horizontal="left" vertical="center" wrapText="1"/>
    </xf>
    <xf numFmtId="0" fontId="15" fillId="0" borderId="7" xfId="0" applyFont="1" applyBorder="1" applyAlignment="1">
      <alignment horizontal="center" vertical="center"/>
    </xf>
    <xf numFmtId="0" fontId="42" fillId="0" borderId="11" xfId="0" applyFont="1" applyFill="1" applyBorder="1" applyAlignment="1">
      <alignment horizontal="left" vertical="center"/>
    </xf>
    <xf numFmtId="0" fontId="12" fillId="0" borderId="5" xfId="0" applyFont="1" applyFill="1" applyBorder="1" applyAlignment="1">
      <alignment horizontal="center" vertical="center"/>
    </xf>
    <xf numFmtId="0" fontId="10" fillId="0" borderId="14" xfId="0" applyFont="1" applyBorder="1" applyAlignment="1">
      <alignment vertical="center"/>
    </xf>
    <xf numFmtId="0" fontId="27" fillId="0" borderId="0" xfId="0" applyFont="1" applyBorder="1" applyAlignment="1">
      <alignment horizontal="center" vertical="center"/>
    </xf>
    <xf numFmtId="0" fontId="10" fillId="0" borderId="9" xfId="0" applyFont="1" applyBorder="1" applyAlignment="1">
      <alignment horizontal="center" vertical="center"/>
    </xf>
    <xf numFmtId="0" fontId="98" fillId="0" borderId="9" xfId="0" applyFont="1" applyBorder="1" applyAlignment="1">
      <alignment vertical="center" wrapText="1"/>
    </xf>
    <xf numFmtId="0" fontId="14" fillId="0" borderId="4" xfId="0" applyFont="1" applyFill="1" applyBorder="1" applyAlignment="1">
      <alignment horizontal="center" vertical="center"/>
    </xf>
    <xf numFmtId="165" fontId="9" fillId="0" borderId="4" xfId="0" applyNumberFormat="1" applyFont="1" applyFill="1" applyBorder="1" applyAlignment="1">
      <alignment horizontal="center" vertical="center"/>
    </xf>
    <xf numFmtId="168" fontId="12" fillId="0" borderId="4" xfId="0" applyNumberFormat="1" applyFont="1" applyFill="1" applyBorder="1" applyAlignment="1">
      <alignment horizontal="center" vertical="center"/>
    </xf>
    <xf numFmtId="0" fontId="11" fillId="0" borderId="4" xfId="0" applyFont="1" applyFill="1" applyBorder="1" applyAlignment="1">
      <alignment horizontal="left" vertical="center"/>
    </xf>
    <xf numFmtId="0" fontId="10" fillId="2" borderId="0" xfId="0" applyFont="1" applyFill="1" applyBorder="1" applyAlignment="1">
      <alignment horizontal="right"/>
    </xf>
    <xf numFmtId="0" fontId="10" fillId="2" borderId="0" xfId="0" applyFont="1" applyFill="1" applyBorder="1" applyAlignment="1">
      <alignment horizontal="left"/>
    </xf>
    <xf numFmtId="0" fontId="10" fillId="0" borderId="0" xfId="0" applyFont="1" applyFill="1" applyBorder="1" applyAlignment="1">
      <alignment horizontal="right"/>
    </xf>
    <xf numFmtId="0" fontId="107" fillId="0" borderId="0" xfId="0" applyFont="1"/>
    <xf numFmtId="0" fontId="10" fillId="0" borderId="0" xfId="0" applyFont="1" applyFill="1" applyBorder="1" applyAlignment="1" applyProtection="1">
      <alignment horizontal="left" vertical="center"/>
    </xf>
    <xf numFmtId="0" fontId="10" fillId="0" borderId="7" xfId="0" applyFont="1" applyBorder="1" applyAlignment="1" applyProtection="1">
      <alignment vertical="center"/>
    </xf>
    <xf numFmtId="0" fontId="10" fillId="0" borderId="0" xfId="0" quotePrefix="1" applyFont="1" applyBorder="1" applyAlignment="1">
      <alignment horizontal="left" vertical="center"/>
    </xf>
    <xf numFmtId="0" fontId="12" fillId="2" borderId="0" xfId="0" applyFont="1" applyFill="1" applyBorder="1" applyAlignment="1">
      <alignment horizontal="left" vertical="center"/>
    </xf>
    <xf numFmtId="0" fontId="10" fillId="2" borderId="0" xfId="0" applyFont="1" applyFill="1" applyBorder="1" applyAlignment="1">
      <alignment horizontal="right" vertical="center"/>
    </xf>
    <xf numFmtId="0" fontId="10" fillId="0" borderId="0" xfId="0" quotePrefix="1" applyFont="1" applyFill="1" applyBorder="1" applyAlignment="1">
      <alignment horizontal="left" vertical="center"/>
    </xf>
    <xf numFmtId="172" fontId="10" fillId="5" borderId="8" xfId="43" applyNumberFormat="1" applyFont="1" applyFill="1" applyBorder="1" applyAlignment="1" applyProtection="1">
      <alignment horizontal="center" vertical="center"/>
      <protection locked="0"/>
    </xf>
    <xf numFmtId="178" fontId="10" fillId="5" borderId="8" xfId="43" applyNumberFormat="1" applyFont="1" applyFill="1" applyBorder="1" applyAlignment="1" applyProtection="1">
      <alignment horizontal="center" vertical="center"/>
      <protection locked="0"/>
    </xf>
    <xf numFmtId="165" fontId="10" fillId="5" borderId="8" xfId="43" applyNumberFormat="1" applyFont="1" applyFill="1" applyBorder="1" applyAlignment="1" applyProtection="1">
      <alignment horizontal="center" vertical="center"/>
      <protection locked="0"/>
    </xf>
    <xf numFmtId="0" fontId="10" fillId="5" borderId="8" xfId="59" applyFont="1" applyFill="1" applyBorder="1" applyAlignment="1" applyProtection="1">
      <alignment horizontal="center" vertical="center"/>
      <protection locked="0"/>
    </xf>
    <xf numFmtId="2" fontId="10" fillId="5" borderId="8" xfId="59" applyNumberFormat="1" applyFont="1" applyFill="1" applyBorder="1" applyAlignment="1" applyProtection="1">
      <alignment horizontal="center" vertical="center"/>
      <protection locked="0"/>
    </xf>
    <xf numFmtId="0" fontId="64" fillId="5" borderId="8" xfId="58" applyFont="1" applyFill="1" applyBorder="1" applyAlignment="1" applyProtection="1">
      <alignment horizontal="center" vertical="center" wrapText="1"/>
      <protection locked="0"/>
    </xf>
    <xf numFmtId="2" fontId="64" fillId="5" borderId="8" xfId="58" applyNumberFormat="1" applyFont="1" applyFill="1" applyBorder="1" applyAlignment="1" applyProtection="1">
      <alignment horizontal="center" vertical="center" wrapText="1"/>
      <protection locked="0"/>
    </xf>
    <xf numFmtId="0" fontId="34" fillId="5" borderId="8" xfId="57" applyFont="1" applyFill="1" applyBorder="1" applyAlignment="1" applyProtection="1">
      <alignment horizontal="left" vertical="center"/>
      <protection locked="0"/>
    </xf>
    <xf numFmtId="0" fontId="34" fillId="5" borderId="8" xfId="57" applyFont="1" applyFill="1" applyBorder="1" applyAlignment="1" applyProtection="1">
      <alignment horizontal="left" vertical="center" wrapText="1"/>
      <protection locked="0"/>
    </xf>
    <xf numFmtId="0" fontId="64" fillId="5" borderId="8" xfId="57" applyFont="1" applyFill="1" applyBorder="1" applyAlignment="1" applyProtection="1">
      <alignment horizontal="center" vertical="center"/>
      <protection locked="0"/>
    </xf>
    <xf numFmtId="2" fontId="64" fillId="5" borderId="8" xfId="57" applyNumberFormat="1" applyFont="1" applyFill="1" applyBorder="1" applyAlignment="1" applyProtection="1">
      <alignment horizontal="center" vertical="center"/>
      <protection locked="0"/>
    </xf>
    <xf numFmtId="0" fontId="63" fillId="5" borderId="18" xfId="60" applyFont="1" applyFill="1" applyBorder="1" applyAlignment="1" applyProtection="1">
      <alignment horizontal="center" vertical="center"/>
      <protection locked="0"/>
    </xf>
    <xf numFmtId="0" fontId="13" fillId="5" borderId="18" xfId="60" applyFont="1" applyFill="1" applyBorder="1" applyAlignment="1" applyProtection="1">
      <alignment horizontal="center" vertical="center"/>
      <protection locked="0"/>
    </xf>
    <xf numFmtId="0" fontId="63" fillId="5" borderId="8" xfId="60" applyFont="1" applyFill="1" applyBorder="1" applyAlignment="1" applyProtection="1">
      <alignment horizontal="center" vertical="center"/>
      <protection locked="0"/>
    </xf>
    <xf numFmtId="2" fontId="63" fillId="5" borderId="15" xfId="60" applyNumberFormat="1" applyFont="1" applyFill="1" applyBorder="1" applyAlignment="1" applyProtection="1">
      <alignment horizontal="center" vertical="center"/>
      <protection locked="0"/>
    </xf>
    <xf numFmtId="0" fontId="14" fillId="5" borderId="8" xfId="61" applyFont="1" applyFill="1" applyBorder="1" applyAlignment="1" applyProtection="1">
      <alignment horizontal="center" vertical="center"/>
      <protection locked="0"/>
    </xf>
    <xf numFmtId="0" fontId="14" fillId="5" borderId="8" xfId="61" applyFont="1" applyFill="1" applyBorder="1" applyProtection="1">
      <protection locked="0"/>
    </xf>
    <xf numFmtId="0" fontId="13" fillId="5" borderId="8" xfId="61" applyFont="1" applyFill="1" applyBorder="1" applyAlignment="1" applyProtection="1">
      <alignment horizontal="center" vertical="center"/>
      <protection locked="0"/>
    </xf>
    <xf numFmtId="2" fontId="13" fillId="5" borderId="8" xfId="61" applyNumberFormat="1" applyFont="1" applyFill="1" applyBorder="1" applyAlignment="1" applyProtection="1">
      <alignment horizontal="center" vertical="center"/>
      <protection locked="0"/>
    </xf>
    <xf numFmtId="0" fontId="86" fillId="5" borderId="8" xfId="0" applyFont="1" applyFill="1" applyBorder="1" applyAlignment="1" applyProtection="1">
      <alignment horizontal="center" vertical="center"/>
      <protection locked="0"/>
    </xf>
    <xf numFmtId="0" fontId="10" fillId="6" borderId="0" xfId="0" applyFont="1" applyFill="1"/>
    <xf numFmtId="0" fontId="110" fillId="0" borderId="0" xfId="0" applyFont="1"/>
    <xf numFmtId="0" fontId="13" fillId="0" borderId="0" xfId="10" applyFont="1" applyBorder="1" applyAlignment="1">
      <alignment horizontal="right" vertical="center"/>
    </xf>
    <xf numFmtId="168" fontId="10" fillId="0" borderId="0" xfId="23" applyNumberFormat="1" applyFont="1" applyFill="1" applyBorder="1" applyAlignment="1">
      <alignment horizontal="left" vertical="center"/>
    </xf>
    <xf numFmtId="0" fontId="10" fillId="0" borderId="1" xfId="0" applyFont="1" applyFill="1" applyBorder="1"/>
    <xf numFmtId="0" fontId="18" fillId="0" borderId="0" xfId="23" applyFont="1" applyBorder="1" applyAlignment="1">
      <alignment horizontal="left" vertical="center"/>
    </xf>
    <xf numFmtId="0" fontId="8" fillId="0" borderId="0" xfId="23" applyFont="1" applyBorder="1" applyAlignment="1">
      <alignment horizontal="center" vertical="center"/>
    </xf>
    <xf numFmtId="0" fontId="10" fillId="0" borderId="24" xfId="0" applyFont="1" applyBorder="1" applyAlignment="1">
      <alignment horizontal="left" vertical="center"/>
    </xf>
    <xf numFmtId="0" fontId="10" fillId="0" borderId="20" xfId="0" applyFont="1" applyBorder="1" applyAlignment="1">
      <alignment horizontal="left"/>
    </xf>
    <xf numFmtId="0" fontId="10" fillId="0" borderId="20" xfId="0" applyFont="1" applyBorder="1"/>
    <xf numFmtId="0" fontId="10" fillId="0" borderId="20" xfId="0" applyFont="1" applyBorder="1" applyAlignment="1">
      <alignment vertical="center"/>
    </xf>
    <xf numFmtId="0" fontId="10" fillId="3" borderId="20" xfId="0" applyFont="1" applyFill="1" applyBorder="1"/>
    <xf numFmtId="0" fontId="10" fillId="3" borderId="20" xfId="0" applyFont="1" applyFill="1" applyBorder="1" applyAlignment="1">
      <alignment vertical="center"/>
    </xf>
    <xf numFmtId="0" fontId="10" fillId="3" borderId="25" xfId="0" applyFont="1" applyFill="1" applyBorder="1" applyAlignment="1">
      <alignment vertical="center"/>
    </xf>
    <xf numFmtId="0" fontId="10" fillId="0" borderId="2" xfId="0" applyFont="1" applyFill="1" applyBorder="1" applyAlignment="1">
      <alignment horizontal="left" vertical="center"/>
    </xf>
    <xf numFmtId="165" fontId="14" fillId="2" borderId="8" xfId="0" applyNumberFormat="1" applyFont="1" applyFill="1" applyBorder="1" applyAlignment="1">
      <alignment horizontal="center" vertical="center"/>
    </xf>
    <xf numFmtId="0" fontId="10" fillId="0" borderId="0" xfId="0" applyFont="1" applyBorder="1" applyAlignment="1">
      <alignment horizontal="left" vertical="center"/>
    </xf>
    <xf numFmtId="0" fontId="10" fillId="0" borderId="0" xfId="0" applyFont="1" applyFill="1" applyBorder="1" applyAlignment="1">
      <alignment horizontal="center" vertical="center" wrapText="1"/>
    </xf>
    <xf numFmtId="0" fontId="10" fillId="0" borderId="2" xfId="0" applyFont="1" applyFill="1" applyBorder="1" applyAlignment="1">
      <alignment horizontal="center" vertical="center"/>
    </xf>
    <xf numFmtId="49" fontId="12" fillId="2" borderId="22" xfId="23" applyNumberFormat="1" applyFont="1" applyFill="1" applyBorder="1" applyAlignment="1">
      <alignment horizontal="center" vertical="center"/>
    </xf>
    <xf numFmtId="0" fontId="12" fillId="2" borderId="0" xfId="23" applyFont="1" applyFill="1" applyBorder="1" applyAlignment="1">
      <alignment horizontal="left" vertical="center"/>
    </xf>
    <xf numFmtId="0" fontId="12" fillId="2" borderId="0" xfId="23" applyFont="1" applyFill="1" applyBorder="1" applyAlignment="1">
      <alignment vertical="center"/>
    </xf>
    <xf numFmtId="0" fontId="10" fillId="2" borderId="0" xfId="23" applyFont="1" applyFill="1" applyBorder="1" applyAlignment="1">
      <alignment vertical="center"/>
    </xf>
    <xf numFmtId="0" fontId="10" fillId="2" borderId="1" xfId="23" applyFont="1" applyFill="1" applyBorder="1" applyAlignment="1">
      <alignment vertical="center"/>
    </xf>
    <xf numFmtId="0" fontId="10" fillId="0" borderId="9" xfId="23" applyFont="1" applyBorder="1" applyAlignment="1">
      <alignment horizontal="left" vertical="center"/>
    </xf>
    <xf numFmtId="0" fontId="10" fillId="0" borderId="9" xfId="23" applyFont="1" applyFill="1" applyBorder="1" applyAlignment="1">
      <alignment horizontal="center" vertical="center" wrapText="1"/>
    </xf>
    <xf numFmtId="0" fontId="10" fillId="2" borderId="29" xfId="0" applyFont="1" applyFill="1" applyBorder="1" applyAlignment="1">
      <alignment horizontal="right" vertical="center"/>
    </xf>
    <xf numFmtId="0" fontId="10" fillId="0" borderId="1" xfId="0" applyFont="1" applyBorder="1" applyAlignment="1">
      <alignment horizontal="left" vertical="center"/>
    </xf>
    <xf numFmtId="0" fontId="11" fillId="0" borderId="1" xfId="0" applyFont="1" applyFill="1" applyBorder="1" applyAlignment="1">
      <alignment horizontal="left" vertical="center" wrapText="1"/>
    </xf>
    <xf numFmtId="0" fontId="10" fillId="2" borderId="29" xfId="0" applyFont="1" applyFill="1" applyBorder="1" applyAlignment="1">
      <alignment horizontal="left" vertical="center"/>
    </xf>
    <xf numFmtId="165" fontId="10" fillId="0" borderId="1" xfId="0" applyNumberFormat="1" applyFont="1" applyFill="1" applyBorder="1" applyAlignment="1">
      <alignment horizontal="center" vertical="center"/>
    </xf>
    <xf numFmtId="0" fontId="10" fillId="3" borderId="1" xfId="0" applyFont="1" applyFill="1" applyBorder="1" applyAlignment="1">
      <alignment horizontal="center"/>
    </xf>
    <xf numFmtId="0" fontId="10" fillId="0" borderId="21" xfId="0" applyFont="1" applyFill="1" applyBorder="1" applyAlignment="1">
      <alignment horizontal="left" vertical="center"/>
    </xf>
    <xf numFmtId="0" fontId="11" fillId="0" borderId="2" xfId="0" applyFont="1" applyFill="1" applyBorder="1" applyAlignment="1">
      <alignment horizontal="left" vertical="center"/>
    </xf>
    <xf numFmtId="0" fontId="10" fillId="0" borderId="23" xfId="0" applyFont="1" applyFill="1" applyBorder="1"/>
    <xf numFmtId="49" fontId="85" fillId="0" borderId="0" xfId="0" applyNumberFormat="1" applyFont="1" applyFill="1" applyBorder="1" applyAlignment="1">
      <alignment vertical="center" wrapText="1"/>
    </xf>
    <xf numFmtId="0" fontId="11" fillId="0" borderId="1" xfId="0" applyFont="1" applyFill="1" applyBorder="1" applyAlignment="1">
      <alignment horizontal="left" vertical="center"/>
    </xf>
    <xf numFmtId="0" fontId="10" fillId="0" borderId="23" xfId="0" applyFont="1" applyBorder="1"/>
    <xf numFmtId="0" fontId="10" fillId="2" borderId="29" xfId="0" applyFont="1" applyFill="1" applyBorder="1"/>
    <xf numFmtId="0" fontId="10" fillId="0" borderId="1" xfId="0" applyFont="1" applyFill="1" applyBorder="1" applyAlignment="1">
      <alignment vertical="center"/>
    </xf>
    <xf numFmtId="168" fontId="10" fillId="0" borderId="1" xfId="0" applyNumberFormat="1" applyFont="1" applyFill="1" applyBorder="1" applyAlignment="1">
      <alignment horizontal="center" vertical="center"/>
    </xf>
    <xf numFmtId="49" fontId="10" fillId="0" borderId="1" xfId="0" applyNumberFormat="1" applyFont="1" applyFill="1" applyBorder="1" applyAlignment="1">
      <alignment horizontal="left" vertical="center"/>
    </xf>
    <xf numFmtId="0" fontId="10" fillId="0" borderId="0" xfId="0" applyFont="1" applyAlignment="1" applyProtection="1">
      <alignment horizontal="left" vertical="center"/>
    </xf>
    <xf numFmtId="0" fontId="12" fillId="0" borderId="0" xfId="0" applyFont="1" applyFill="1" applyBorder="1" applyAlignment="1" applyProtection="1">
      <alignment horizontal="left" vertical="center"/>
    </xf>
    <xf numFmtId="2" fontId="10" fillId="0" borderId="0" xfId="0" applyNumberFormat="1" applyFont="1" applyFill="1" applyBorder="1" applyAlignment="1" applyProtection="1">
      <alignment horizontal="center" vertical="center"/>
    </xf>
    <xf numFmtId="1" fontId="10" fillId="0" borderId="0" xfId="0" applyNumberFormat="1" applyFont="1" applyFill="1" applyBorder="1" applyAlignment="1" applyProtection="1">
      <alignment horizontal="center" vertical="center"/>
    </xf>
    <xf numFmtId="0" fontId="10" fillId="0" borderId="9" xfId="0" applyFont="1" applyBorder="1" applyAlignment="1" applyProtection="1">
      <alignment horizontal="left" vertical="center"/>
    </xf>
    <xf numFmtId="0" fontId="10" fillId="0" borderId="0" xfId="0" applyFont="1" applyBorder="1" applyAlignment="1" applyProtection="1">
      <alignment vertical="center" wrapText="1"/>
    </xf>
    <xf numFmtId="165" fontId="12" fillId="0" borderId="0" xfId="0" applyNumberFormat="1" applyFont="1" applyFill="1" applyBorder="1" applyAlignment="1" applyProtection="1">
      <alignment horizontal="center" vertical="center"/>
    </xf>
    <xf numFmtId="0" fontId="10" fillId="0" borderId="0" xfId="0" quotePrefix="1" applyFont="1" applyBorder="1" applyAlignment="1" applyProtection="1">
      <alignment horizontal="left" vertical="center"/>
    </xf>
    <xf numFmtId="0" fontId="10" fillId="0" borderId="0" xfId="0" quotePrefix="1" applyFont="1" applyBorder="1" applyAlignment="1" applyProtection="1">
      <alignment vertical="center"/>
    </xf>
    <xf numFmtId="0" fontId="10" fillId="0" borderId="4" xfId="0" applyFont="1" applyBorder="1" applyAlignment="1" applyProtection="1">
      <alignment horizontal="left" vertical="center"/>
    </xf>
    <xf numFmtId="0" fontId="10" fillId="0" borderId="4" xfId="0" applyFont="1" applyBorder="1" applyAlignment="1" applyProtection="1">
      <alignment horizontal="center" vertical="center"/>
    </xf>
    <xf numFmtId="0" fontId="10" fillId="0" borderId="0" xfId="0" quotePrefix="1" applyFont="1" applyBorder="1" applyAlignment="1" applyProtection="1">
      <alignment horizontal="center" vertical="center"/>
    </xf>
    <xf numFmtId="0" fontId="12" fillId="0" borderId="0" xfId="0" applyFont="1" applyFill="1" applyBorder="1" applyAlignment="1" applyProtection="1">
      <alignment horizontal="center" vertical="center"/>
    </xf>
    <xf numFmtId="0" fontId="10" fillId="0" borderId="4" xfId="0" applyFont="1" applyFill="1" applyBorder="1" applyAlignment="1" applyProtection="1">
      <alignment horizontal="left" vertical="center"/>
    </xf>
    <xf numFmtId="0" fontId="10" fillId="0" borderId="4" xfId="0" applyFont="1" applyFill="1" applyBorder="1" applyAlignment="1" applyProtection="1">
      <alignment horizontal="center" vertical="center"/>
    </xf>
    <xf numFmtId="165" fontId="10" fillId="0" borderId="0" xfId="0" applyNumberFormat="1" applyFont="1" applyFill="1" applyBorder="1" applyAlignment="1" applyProtection="1">
      <alignment horizontal="left" vertical="center"/>
    </xf>
    <xf numFmtId="0" fontId="10" fillId="0" borderId="0" xfId="0" applyFont="1" applyBorder="1" applyAlignment="1" applyProtection="1"/>
    <xf numFmtId="1" fontId="12" fillId="0" borderId="0" xfId="0" applyNumberFormat="1" applyFont="1" applyFill="1" applyBorder="1" applyAlignment="1" applyProtection="1">
      <alignment horizontal="center" vertical="center"/>
    </xf>
    <xf numFmtId="165" fontId="112" fillId="0" borderId="0" xfId="10" applyNumberFormat="1" applyFont="1" applyFill="1" applyBorder="1"/>
    <xf numFmtId="0" fontId="114" fillId="0" borderId="0" xfId="10" applyFont="1" applyAlignment="1">
      <alignment vertical="center"/>
    </xf>
    <xf numFmtId="0" fontId="10" fillId="0" borderId="0" xfId="43" applyFont="1" applyBorder="1" applyAlignment="1">
      <alignment vertical="center"/>
    </xf>
    <xf numFmtId="0" fontId="12" fillId="0" borderId="0" xfId="43" applyFont="1" applyBorder="1" applyAlignment="1">
      <alignment vertical="center"/>
    </xf>
    <xf numFmtId="0" fontId="10" fillId="0" borderId="0" xfId="43" applyFont="1" applyFill="1" applyAlignment="1">
      <alignment vertical="center"/>
    </xf>
    <xf numFmtId="0" fontId="10" fillId="10" borderId="0" xfId="43" applyFont="1" applyFill="1" applyBorder="1" applyAlignment="1">
      <alignment vertical="center"/>
    </xf>
    <xf numFmtId="0" fontId="10" fillId="0" borderId="0" xfId="43" applyFont="1" applyFill="1" applyBorder="1" applyAlignment="1" applyProtection="1">
      <alignment vertical="center"/>
    </xf>
    <xf numFmtId="0" fontId="10" fillId="0" borderId="4" xfId="43" applyFont="1" applyFill="1" applyBorder="1" applyAlignment="1" applyProtection="1">
      <alignment vertical="center"/>
    </xf>
    <xf numFmtId="0" fontId="10" fillId="0" borderId="4" xfId="43" applyFont="1" applyBorder="1" applyAlignment="1" applyProtection="1">
      <alignment vertical="center"/>
    </xf>
    <xf numFmtId="0" fontId="12" fillId="0" borderId="0" xfId="43" applyFont="1" applyAlignment="1">
      <alignment vertical="center"/>
    </xf>
    <xf numFmtId="0" fontId="10" fillId="0" borderId="0" xfId="43" applyFont="1" applyAlignment="1">
      <alignment horizontal="right" vertical="center"/>
    </xf>
    <xf numFmtId="0" fontId="10" fillId="0" borderId="0" xfId="43" applyFont="1" applyBorder="1" applyAlignment="1" applyProtection="1">
      <alignment vertical="center"/>
    </xf>
    <xf numFmtId="0" fontId="10" fillId="0" borderId="0" xfId="43" applyFont="1" applyBorder="1" applyAlignment="1">
      <alignment vertical="center"/>
    </xf>
    <xf numFmtId="0" fontId="10" fillId="0" borderId="24" xfId="43" applyFont="1" applyBorder="1" applyAlignment="1" applyProtection="1">
      <alignment vertical="center"/>
    </xf>
    <xf numFmtId="0" fontId="10" fillId="0" borderId="20" xfId="43" applyFont="1" applyBorder="1" applyAlignment="1" applyProtection="1">
      <alignment vertical="center"/>
    </xf>
    <xf numFmtId="0" fontId="10" fillId="0" borderId="24" xfId="43" applyFont="1" applyFill="1" applyBorder="1" applyAlignment="1" applyProtection="1">
      <alignment vertical="center"/>
    </xf>
    <xf numFmtId="0" fontId="10" fillId="0" borderId="25" xfId="43" applyFont="1" applyBorder="1" applyAlignment="1" applyProtection="1">
      <alignment vertical="center"/>
    </xf>
    <xf numFmtId="0" fontId="10" fillId="0" borderId="0" xfId="43" applyFont="1" applyAlignment="1" applyProtection="1">
      <alignment vertical="center"/>
    </xf>
    <xf numFmtId="0" fontId="10" fillId="2" borderId="28" xfId="43" applyFont="1" applyFill="1" applyBorder="1" applyAlignment="1" applyProtection="1">
      <alignment vertical="center"/>
    </xf>
    <xf numFmtId="0" fontId="8" fillId="2" borderId="28" xfId="23" applyFont="1" applyFill="1" applyBorder="1" applyAlignment="1" applyProtection="1">
      <alignment horizontal="right" vertical="center" wrapText="1"/>
    </xf>
    <xf numFmtId="0" fontId="8" fillId="2" borderId="29" xfId="43" applyFill="1" applyBorder="1" applyAlignment="1" applyProtection="1">
      <alignment horizontal="right" vertical="center"/>
    </xf>
    <xf numFmtId="0" fontId="10" fillId="0" borderId="1" xfId="43" applyNumberFormat="1" applyFont="1" applyFill="1" applyBorder="1" applyAlignment="1" applyProtection="1">
      <alignment vertical="center"/>
    </xf>
    <xf numFmtId="0" fontId="10" fillId="0" borderId="22" xfId="43" applyFont="1" applyBorder="1" applyAlignment="1" applyProtection="1">
      <alignment vertical="center"/>
    </xf>
    <xf numFmtId="0" fontId="8" fillId="0" borderId="0" xfId="43" applyBorder="1" applyAlignment="1" applyProtection="1">
      <alignment vertical="center"/>
    </xf>
    <xf numFmtId="0" fontId="8" fillId="0" borderId="1" xfId="43" applyBorder="1" applyAlignment="1" applyProtection="1">
      <alignment vertical="center"/>
    </xf>
    <xf numFmtId="172" fontId="10" fillId="0" borderId="0" xfId="43" applyNumberFormat="1" applyFont="1" applyBorder="1" applyAlignment="1" applyProtection="1">
      <alignment horizontal="center" vertical="center"/>
    </xf>
    <xf numFmtId="178" fontId="10" fillId="0" borderId="0" xfId="43" applyNumberFormat="1" applyFont="1" applyBorder="1" applyAlignment="1" applyProtection="1">
      <alignment horizontal="center" vertical="center"/>
    </xf>
    <xf numFmtId="0" fontId="10" fillId="3" borderId="1" xfId="43" applyFont="1" applyFill="1" applyBorder="1" applyAlignment="1" applyProtection="1">
      <alignment vertical="center"/>
    </xf>
    <xf numFmtId="0" fontId="14" fillId="0" borderId="0" xfId="43" applyFont="1" applyBorder="1" applyAlignment="1" applyProtection="1">
      <alignment horizontal="center" vertical="center"/>
    </xf>
    <xf numFmtId="0" fontId="10" fillId="0" borderId="1" xfId="43" applyFont="1" applyBorder="1" applyAlignment="1" applyProtection="1">
      <alignment horizontal="left" vertical="center"/>
    </xf>
    <xf numFmtId="20" fontId="10" fillId="2" borderId="8" xfId="43" applyNumberFormat="1" applyFont="1" applyFill="1" applyBorder="1" applyAlignment="1" applyProtection="1">
      <alignment horizontal="center" vertical="center"/>
    </xf>
    <xf numFmtId="0" fontId="11" fillId="0" borderId="22" xfId="43" applyFont="1" applyBorder="1" applyAlignment="1" applyProtection="1">
      <alignment vertical="center"/>
    </xf>
    <xf numFmtId="165" fontId="10" fillId="0" borderId="0" xfId="43" applyNumberFormat="1" applyFont="1" applyBorder="1" applyAlignment="1" applyProtection="1">
      <alignment horizontal="left" vertical="center"/>
    </xf>
    <xf numFmtId="0" fontId="8" fillId="0" borderId="0" xfId="43" applyAlignment="1" applyProtection="1">
      <alignment vertical="center"/>
    </xf>
    <xf numFmtId="0" fontId="10" fillId="0" borderId="21" xfId="43" applyFont="1" applyBorder="1" applyAlignment="1" applyProtection="1">
      <alignment vertical="center"/>
    </xf>
    <xf numFmtId="0" fontId="10" fillId="0" borderId="0" xfId="43" applyFont="1" applyAlignment="1" applyProtection="1">
      <alignment horizontal="center" vertical="center"/>
    </xf>
    <xf numFmtId="0" fontId="10" fillId="0" borderId="0" xfId="43" applyFont="1" applyFill="1" applyBorder="1" applyAlignment="1" applyProtection="1">
      <alignment horizontal="left" vertical="center"/>
    </xf>
    <xf numFmtId="2" fontId="10" fillId="7" borderId="13" xfId="43" applyNumberFormat="1" applyFont="1" applyFill="1" applyBorder="1" applyAlignment="1" applyProtection="1">
      <alignment horizontal="center" vertical="center"/>
      <protection locked="0"/>
    </xf>
    <xf numFmtId="0" fontId="12" fillId="2" borderId="24" xfId="43" applyFont="1" applyFill="1" applyBorder="1" applyAlignment="1" applyProtection="1">
      <alignment vertical="center"/>
    </xf>
    <xf numFmtId="0" fontId="8" fillId="2" borderId="20" xfId="43" applyFill="1" applyBorder="1" applyAlignment="1" applyProtection="1">
      <alignment vertical="center"/>
    </xf>
    <xf numFmtId="0" fontId="8" fillId="2" borderId="20" xfId="23" applyFont="1" applyFill="1" applyBorder="1" applyAlignment="1" applyProtection="1">
      <alignment horizontal="right" vertical="center" wrapText="1"/>
    </xf>
    <xf numFmtId="0" fontId="8" fillId="2" borderId="25" xfId="43" applyFill="1" applyBorder="1" applyAlignment="1" applyProtection="1">
      <alignment vertical="center"/>
    </xf>
    <xf numFmtId="0" fontId="8" fillId="0" borderId="9" xfId="43" applyFill="1" applyBorder="1" applyAlignment="1" applyProtection="1">
      <alignment vertical="center"/>
    </xf>
    <xf numFmtId="0" fontId="10" fillId="0" borderId="9" xfId="43" applyFont="1" applyFill="1" applyBorder="1" applyAlignment="1" applyProtection="1">
      <alignment vertical="center"/>
    </xf>
    <xf numFmtId="0" fontId="10" fillId="0" borderId="9" xfId="43" applyFont="1" applyBorder="1" applyAlignment="1" applyProtection="1">
      <alignment vertical="center"/>
    </xf>
    <xf numFmtId="0" fontId="12" fillId="0" borderId="35" xfId="43" applyFont="1" applyFill="1" applyBorder="1" applyAlignment="1" applyProtection="1">
      <alignment vertical="center"/>
    </xf>
    <xf numFmtId="0" fontId="8" fillId="0" borderId="36" xfId="43" applyFill="1" applyBorder="1" applyAlignment="1" applyProtection="1">
      <alignment vertical="center"/>
    </xf>
    <xf numFmtId="0" fontId="10" fillId="0" borderId="38" xfId="43" applyFont="1" applyBorder="1" applyAlignment="1" applyProtection="1">
      <alignment vertical="center"/>
    </xf>
    <xf numFmtId="0" fontId="10" fillId="2" borderId="8" xfId="43" applyFont="1" applyFill="1" applyBorder="1" applyAlignment="1" applyProtection="1">
      <alignment vertical="center" wrapText="1"/>
    </xf>
    <xf numFmtId="0" fontId="8" fillId="2" borderId="19" xfId="23" applyFont="1" applyFill="1" applyBorder="1" applyAlignment="1" applyProtection="1">
      <alignment horizontal="right" vertical="center" wrapText="1"/>
    </xf>
    <xf numFmtId="0" fontId="8" fillId="2" borderId="19" xfId="23" applyFont="1" applyFill="1" applyBorder="1" applyAlignment="1" applyProtection="1">
      <alignment horizontal="left" wrapText="1"/>
    </xf>
    <xf numFmtId="0" fontId="21" fillId="0" borderId="20" xfId="43" applyFont="1" applyBorder="1" applyAlignment="1" applyProtection="1">
      <alignment vertical="center" wrapText="1"/>
    </xf>
    <xf numFmtId="0" fontId="10" fillId="0" borderId="37" xfId="43" applyFont="1" applyBorder="1" applyAlignment="1" applyProtection="1">
      <alignment vertical="center"/>
    </xf>
    <xf numFmtId="0" fontId="12" fillId="2" borderId="39" xfId="43" applyFont="1" applyFill="1" applyBorder="1" applyAlignment="1" applyProtection="1">
      <alignment vertical="center"/>
    </xf>
    <xf numFmtId="0" fontId="12" fillId="0" borderId="24" xfId="43" applyFont="1" applyFill="1" applyBorder="1" applyAlignment="1" applyProtection="1">
      <alignment vertical="center"/>
    </xf>
    <xf numFmtId="0" fontId="8" fillId="0" borderId="20" xfId="43" applyFill="1" applyBorder="1" applyAlignment="1" applyProtection="1">
      <alignment vertical="center"/>
    </xf>
    <xf numFmtId="0" fontId="8" fillId="0" borderId="25" xfId="43" applyFill="1" applyBorder="1" applyAlignment="1" applyProtection="1">
      <alignment vertical="center"/>
    </xf>
    <xf numFmtId="165" fontId="10" fillId="0" borderId="0" xfId="43" applyNumberFormat="1" applyFont="1" applyBorder="1" applyAlignment="1" applyProtection="1">
      <alignment horizontal="center" vertical="center"/>
    </xf>
    <xf numFmtId="0" fontId="10" fillId="0" borderId="0" xfId="43" applyFont="1" applyFill="1" applyBorder="1" applyAlignment="1" applyProtection="1">
      <alignment horizontal="right" vertical="center" indent="1"/>
    </xf>
    <xf numFmtId="0" fontId="10" fillId="10" borderId="0" xfId="43" applyFont="1" applyFill="1" applyBorder="1" applyAlignment="1" applyProtection="1">
      <alignment vertical="center"/>
    </xf>
    <xf numFmtId="0" fontId="12" fillId="10" borderId="0" xfId="43" applyFont="1" applyFill="1" applyBorder="1" applyAlignment="1" applyProtection="1">
      <alignment vertical="center"/>
    </xf>
    <xf numFmtId="0" fontId="49" fillId="10" borderId="0" xfId="0" applyFont="1" applyFill="1" applyProtection="1"/>
    <xf numFmtId="0" fontId="49" fillId="0" borderId="0" xfId="0" applyFont="1" applyProtection="1"/>
    <xf numFmtId="0" fontId="56" fillId="0" borderId="0" xfId="59" applyFont="1" applyBorder="1" applyProtection="1"/>
    <xf numFmtId="0" fontId="56" fillId="0" borderId="0" xfId="59" applyFont="1" applyBorder="1" applyAlignment="1" applyProtection="1"/>
    <xf numFmtId="0" fontId="49" fillId="0" borderId="0" xfId="59" applyFont="1" applyProtection="1"/>
    <xf numFmtId="0" fontId="44" fillId="0" borderId="0" xfId="59" applyFont="1" applyProtection="1"/>
    <xf numFmtId="0" fontId="49" fillId="0" borderId="0" xfId="59" applyFont="1" applyFill="1" applyBorder="1" applyProtection="1"/>
    <xf numFmtId="0" fontId="49" fillId="0" borderId="0" xfId="59" applyFont="1" applyFill="1" applyBorder="1" applyAlignment="1" applyProtection="1">
      <alignment vertical="center"/>
    </xf>
    <xf numFmtId="0" fontId="49" fillId="0" borderId="0" xfId="59" applyFont="1" applyBorder="1" applyProtection="1"/>
    <xf numFmtId="0" fontId="56" fillId="0" borderId="0" xfId="59" applyFont="1" applyFill="1" applyBorder="1" applyProtection="1"/>
    <xf numFmtId="49" fontId="56" fillId="0" borderId="0" xfId="59" applyNumberFormat="1" applyFont="1" applyFill="1" applyBorder="1" applyProtection="1"/>
    <xf numFmtId="165" fontId="49" fillId="0" borderId="0" xfId="59" applyNumberFormat="1" applyFont="1" applyFill="1" applyBorder="1" applyAlignment="1" applyProtection="1">
      <alignment horizontal="center" vertical="center"/>
    </xf>
    <xf numFmtId="0" fontId="49" fillId="0" borderId="0" xfId="59" applyFont="1" applyBorder="1" applyAlignment="1" applyProtection="1">
      <alignment horizontal="left" vertical="center"/>
    </xf>
    <xf numFmtId="0" fontId="56" fillId="0" borderId="0" xfId="59" applyFont="1" applyFill="1" applyBorder="1" applyAlignment="1" applyProtection="1">
      <alignment horizontal="left"/>
    </xf>
    <xf numFmtId="0" fontId="56" fillId="0" borderId="0" xfId="59" applyFont="1" applyProtection="1"/>
    <xf numFmtId="0" fontId="56" fillId="0" borderId="0" xfId="59" applyFont="1" applyAlignment="1" applyProtection="1">
      <alignment horizontal="left"/>
    </xf>
    <xf numFmtId="0" fontId="115" fillId="0" borderId="0" xfId="59" applyFont="1" applyProtection="1"/>
    <xf numFmtId="0" fontId="10" fillId="0" borderId="0" xfId="43" applyFont="1" applyBorder="1" applyAlignment="1">
      <alignment vertical="center"/>
    </xf>
    <xf numFmtId="0" fontId="10" fillId="0" borderId="0" xfId="43" applyFont="1" applyBorder="1" applyAlignment="1">
      <alignment horizontal="center" vertical="center"/>
    </xf>
    <xf numFmtId="0" fontId="10" fillId="0" borderId="0" xfId="43" applyFont="1" applyFill="1" applyBorder="1" applyAlignment="1">
      <alignment vertical="center"/>
    </xf>
    <xf numFmtId="0" fontId="10" fillId="0" borderId="0" xfId="43" applyFont="1" applyFill="1" applyAlignment="1">
      <alignment vertical="center"/>
    </xf>
    <xf numFmtId="0" fontId="10" fillId="0" borderId="0" xfId="43" applyFont="1" applyFill="1" applyBorder="1" applyAlignment="1">
      <alignment horizontal="center" vertical="center"/>
    </xf>
    <xf numFmtId="0" fontId="8" fillId="0" borderId="0" xfId="23" applyFill="1" applyBorder="1" applyAlignment="1" applyProtection="1">
      <protection locked="0"/>
    </xf>
    <xf numFmtId="0" fontId="10" fillId="0" borderId="0" xfId="23" applyFont="1" applyBorder="1" applyProtection="1">
      <protection locked="0"/>
    </xf>
    <xf numFmtId="0" fontId="21" fillId="0" borderId="0" xfId="23" applyFont="1" applyBorder="1" applyAlignment="1">
      <alignment vertical="center"/>
    </xf>
    <xf numFmtId="0" fontId="12" fillId="0" borderId="0" xfId="23" applyFont="1" applyBorder="1"/>
    <xf numFmtId="0" fontId="21" fillId="0" borderId="0" xfId="23" applyFont="1" applyFill="1" applyBorder="1" applyAlignment="1">
      <alignment vertical="center"/>
    </xf>
    <xf numFmtId="0" fontId="8" fillId="0" borderId="0" xfId="23" applyFill="1" applyBorder="1" applyAlignment="1">
      <alignment wrapText="1"/>
    </xf>
    <xf numFmtId="0" fontId="27" fillId="0" borderId="0" xfId="23" applyFont="1" applyFill="1" applyBorder="1" applyAlignment="1"/>
    <xf numFmtId="0" fontId="10" fillId="0" borderId="0" xfId="23" applyFont="1" applyFill="1" applyBorder="1" applyProtection="1">
      <protection locked="0"/>
    </xf>
    <xf numFmtId="0" fontId="8" fillId="0" borderId="0" xfId="23" applyNumberFormat="1" applyFont="1" applyFill="1" applyBorder="1" applyAlignment="1" applyProtection="1">
      <protection locked="0"/>
    </xf>
    <xf numFmtId="0" fontId="12" fillId="2" borderId="30" xfId="23" applyFont="1" applyFill="1" applyBorder="1" applyAlignment="1">
      <alignment horizontal="left" vertical="center"/>
    </xf>
    <xf numFmtId="0" fontId="12" fillId="2" borderId="31" xfId="23" applyFont="1" applyFill="1" applyBorder="1" applyAlignment="1">
      <alignment vertical="center" wrapText="1"/>
    </xf>
    <xf numFmtId="0" fontId="12" fillId="2" borderId="28" xfId="23" applyFont="1" applyFill="1" applyBorder="1" applyAlignment="1">
      <alignment vertical="center" wrapText="1"/>
    </xf>
    <xf numFmtId="0" fontId="8" fillId="2" borderId="28" xfId="23" applyFill="1" applyBorder="1" applyAlignment="1">
      <alignment wrapText="1"/>
    </xf>
    <xf numFmtId="0" fontId="10" fillId="0" borderId="24" xfId="23" applyFont="1" applyBorder="1"/>
    <xf numFmtId="0" fontId="10" fillId="0" borderId="20" xfId="23" applyFont="1" applyBorder="1"/>
    <xf numFmtId="0" fontId="10" fillId="0" borderId="25" xfId="23" applyFont="1" applyBorder="1"/>
    <xf numFmtId="0" fontId="10" fillId="0" borderId="21" xfId="23" applyFont="1" applyBorder="1"/>
    <xf numFmtId="0" fontId="10" fillId="0" borderId="2" xfId="23" applyFont="1" applyBorder="1"/>
    <xf numFmtId="0" fontId="10" fillId="0" borderId="23" xfId="23" applyFont="1" applyBorder="1"/>
    <xf numFmtId="0" fontId="27" fillId="0" borderId="1" xfId="23" applyFont="1" applyBorder="1" applyAlignment="1"/>
    <xf numFmtId="0" fontId="10" fillId="0" borderId="1" xfId="23" applyFont="1" applyBorder="1" applyAlignment="1"/>
    <xf numFmtId="0" fontId="10" fillId="0" borderId="22" xfId="23" applyFont="1" applyFill="1" applyBorder="1"/>
    <xf numFmtId="0" fontId="8" fillId="0" borderId="1" xfId="23" applyFill="1" applyBorder="1" applyAlignment="1" applyProtection="1">
      <protection locked="0"/>
    </xf>
    <xf numFmtId="0" fontId="12" fillId="0" borderId="22" xfId="23" applyFont="1" applyBorder="1"/>
    <xf numFmtId="0" fontId="12" fillId="0" borderId="1" xfId="23" applyFont="1" applyBorder="1"/>
    <xf numFmtId="0" fontId="12" fillId="2" borderId="30" xfId="23" applyFont="1" applyFill="1" applyBorder="1"/>
    <xf numFmtId="0" fontId="12" fillId="2" borderId="28" xfId="23" applyFont="1" applyFill="1" applyBorder="1"/>
    <xf numFmtId="0" fontId="12" fillId="2" borderId="29" xfId="23" applyFont="1" applyFill="1" applyBorder="1"/>
    <xf numFmtId="0" fontId="10" fillId="0" borderId="0" xfId="43" applyFont="1" applyBorder="1" applyAlignment="1" applyProtection="1">
      <alignment vertical="center"/>
    </xf>
    <xf numFmtId="0" fontId="10" fillId="0" borderId="1" xfId="23" applyNumberFormat="1" applyFont="1" applyFill="1" applyBorder="1" applyAlignment="1" applyProtection="1">
      <alignment vertical="center"/>
      <protection locked="0"/>
    </xf>
    <xf numFmtId="0" fontId="10" fillId="0" borderId="10" xfId="23" applyFont="1" applyBorder="1"/>
    <xf numFmtId="0" fontId="10" fillId="0" borderId="9" xfId="23" applyFont="1" applyBorder="1"/>
    <xf numFmtId="0" fontId="10" fillId="0" borderId="11" xfId="23" applyFont="1" applyBorder="1"/>
    <xf numFmtId="0" fontId="10" fillId="0" borderId="3" xfId="23" applyFont="1" applyBorder="1"/>
    <xf numFmtId="0" fontId="10" fillId="0" borderId="4" xfId="23" applyFont="1" applyBorder="1"/>
    <xf numFmtId="0" fontId="10" fillId="0" borderId="5" xfId="23" applyFont="1" applyBorder="1"/>
    <xf numFmtId="0" fontId="11" fillId="0" borderId="0" xfId="43" applyFont="1" applyBorder="1" applyAlignment="1" applyProtection="1">
      <alignment vertical="center"/>
    </xf>
    <xf numFmtId="0" fontId="10" fillId="0" borderId="1" xfId="23" applyFont="1" applyFill="1" applyBorder="1" applyAlignment="1">
      <alignment horizontal="center" vertical="center"/>
    </xf>
    <xf numFmtId="0" fontId="12" fillId="0" borderId="2" xfId="23" applyFont="1" applyFill="1" applyBorder="1" applyAlignment="1">
      <alignment horizontal="left" vertical="center"/>
    </xf>
    <xf numFmtId="0" fontId="10" fillId="0" borderId="2" xfId="23" applyFont="1" applyFill="1" applyBorder="1" applyAlignment="1">
      <alignment vertical="center"/>
    </xf>
    <xf numFmtId="1" fontId="13" fillId="0" borderId="2" xfId="23" applyNumberFormat="1" applyFont="1" applyFill="1" applyBorder="1" applyAlignment="1">
      <alignment horizontal="center" vertical="center"/>
    </xf>
    <xf numFmtId="167" fontId="13" fillId="0" borderId="2" xfId="23" applyNumberFormat="1" applyFont="1" applyFill="1" applyBorder="1" applyAlignment="1">
      <alignment horizontal="center" vertical="center"/>
    </xf>
    <xf numFmtId="0" fontId="10" fillId="0" borderId="2" xfId="23" applyFont="1" applyFill="1" applyBorder="1" applyAlignment="1">
      <alignment horizontal="right" vertical="center"/>
    </xf>
    <xf numFmtId="0" fontId="10" fillId="10" borderId="22" xfId="43" applyFont="1" applyFill="1" applyBorder="1" applyAlignment="1" applyProtection="1">
      <alignment vertical="center"/>
    </xf>
    <xf numFmtId="0" fontId="10" fillId="10" borderId="1" xfId="43" applyFont="1" applyFill="1" applyBorder="1" applyAlignment="1" applyProtection="1">
      <alignment vertical="center"/>
    </xf>
    <xf numFmtId="1" fontId="10" fillId="0" borderId="21" xfId="43" applyNumberFormat="1" applyFont="1" applyBorder="1" applyAlignment="1" applyProtection="1">
      <alignment horizontal="left" vertical="center" wrapText="1"/>
    </xf>
    <xf numFmtId="0" fontId="8" fillId="0" borderId="2" xfId="43" applyFont="1" applyBorder="1" applyAlignment="1" applyProtection="1">
      <alignment horizontal="left" vertical="center"/>
    </xf>
    <xf numFmtId="2" fontId="10" fillId="0" borderId="2" xfId="43" applyNumberFormat="1" applyFont="1" applyBorder="1" applyAlignment="1" applyProtection="1">
      <alignment horizontal="center" vertical="center"/>
    </xf>
    <xf numFmtId="165" fontId="10" fillId="0" borderId="2" xfId="43" applyNumberFormat="1" applyFont="1" applyBorder="1" applyAlignment="1" applyProtection="1">
      <alignment horizontal="left" vertical="center"/>
    </xf>
    <xf numFmtId="165" fontId="10" fillId="5" borderId="47" xfId="43" applyNumberFormat="1" applyFont="1" applyFill="1" applyBorder="1" applyAlignment="1" applyProtection="1">
      <alignment horizontal="center" vertical="center"/>
      <protection locked="0"/>
    </xf>
    <xf numFmtId="0" fontId="10" fillId="0" borderId="0" xfId="43" applyFont="1" applyBorder="1" applyAlignment="1">
      <alignment vertical="center"/>
    </xf>
    <xf numFmtId="0" fontId="10" fillId="0" borderId="1" xfId="43" applyFont="1" applyFill="1" applyBorder="1" applyAlignment="1" applyProtection="1">
      <alignment vertical="center"/>
    </xf>
    <xf numFmtId="0" fontId="10" fillId="0" borderId="0" xfId="43" applyFont="1" applyFill="1" applyBorder="1" applyAlignment="1">
      <alignment vertical="center"/>
    </xf>
    <xf numFmtId="0" fontId="10" fillId="0" borderId="0" xfId="0" applyFont="1" applyBorder="1" applyAlignment="1" applyProtection="1">
      <alignment horizontal="center" vertical="center"/>
    </xf>
    <xf numFmtId="49" fontId="10" fillId="0" borderId="0" xfId="0" applyNumberFormat="1" applyFont="1" applyFill="1" applyBorder="1" applyAlignment="1" applyProtection="1">
      <alignment horizontal="left" vertical="center" wrapText="1"/>
    </xf>
    <xf numFmtId="0" fontId="12" fillId="0" borderId="0" xfId="0" applyFont="1" applyFill="1" applyBorder="1" applyAlignment="1" applyProtection="1">
      <alignment horizontal="right" vertical="center"/>
    </xf>
    <xf numFmtId="172" fontId="10" fillId="0" borderId="0" xfId="0" applyNumberFormat="1" applyFont="1" applyFill="1" applyBorder="1" applyAlignment="1" applyProtection="1">
      <alignment horizontal="center" vertical="center"/>
    </xf>
    <xf numFmtId="168" fontId="13" fillId="0" borderId="0" xfId="23" applyNumberFormat="1" applyFont="1" applyFill="1" applyBorder="1" applyAlignment="1" applyProtection="1">
      <alignment vertical="center"/>
    </xf>
    <xf numFmtId="0" fontId="12" fillId="0" borderId="0" xfId="0" applyNumberFormat="1" applyFont="1" applyFill="1" applyBorder="1" applyAlignment="1" applyProtection="1">
      <alignment horizontal="left" vertical="center" wrapText="1"/>
    </xf>
    <xf numFmtId="0" fontId="79" fillId="0" borderId="0" xfId="0" applyFont="1" applyBorder="1" applyAlignment="1" applyProtection="1">
      <alignment horizontal="left" vertical="center"/>
    </xf>
    <xf numFmtId="49" fontId="12" fillId="0" borderId="0" xfId="0" applyNumberFormat="1" applyFont="1" applyFill="1" applyBorder="1" applyAlignment="1" applyProtection="1">
      <alignment horizontal="left" vertical="center" wrapText="1"/>
    </xf>
    <xf numFmtId="175" fontId="67" fillId="0" borderId="7" xfId="0" applyNumberFormat="1" applyFont="1" applyFill="1" applyBorder="1" applyAlignment="1" applyProtection="1">
      <alignment horizontal="left" vertical="center" wrapText="1"/>
      <protection hidden="1"/>
    </xf>
    <xf numFmtId="49" fontId="38" fillId="0" borderId="0" xfId="0" applyNumberFormat="1" applyFont="1" applyFill="1" applyBorder="1" applyAlignment="1" applyProtection="1">
      <alignment horizontal="left" vertical="center" wrapText="1"/>
    </xf>
    <xf numFmtId="0" fontId="10" fillId="0" borderId="0" xfId="43" applyFont="1" applyFill="1" applyBorder="1" applyAlignment="1">
      <alignment vertical="center"/>
    </xf>
    <xf numFmtId="0" fontId="10" fillId="0" borderId="0" xfId="43" applyFont="1" applyFill="1" applyBorder="1" applyAlignment="1">
      <alignment vertical="center"/>
    </xf>
    <xf numFmtId="0" fontId="34" fillId="5" borderId="62" xfId="12" applyFont="1" applyFill="1" applyBorder="1" applyAlignment="1" applyProtection="1">
      <alignment horizontal="center" vertical="center" wrapText="1"/>
      <protection locked="0"/>
    </xf>
    <xf numFmtId="0" fontId="12" fillId="0" borderId="0" xfId="0" applyFont="1" applyBorder="1" applyAlignment="1" applyProtection="1">
      <alignment horizontal="center" vertical="center"/>
    </xf>
    <xf numFmtId="0" fontId="12" fillId="0" borderId="0" xfId="0" applyFont="1" applyBorder="1" applyAlignment="1" applyProtection="1"/>
    <xf numFmtId="0" fontId="10" fillId="0" borderId="0" xfId="0" applyFont="1" applyFill="1" applyBorder="1" applyAlignment="1">
      <alignment horizontal="right"/>
    </xf>
    <xf numFmtId="0" fontId="10" fillId="0" borderId="0" xfId="0" applyFont="1" applyFill="1" applyBorder="1" applyAlignment="1">
      <alignment horizontal="center" vertical="center"/>
    </xf>
    <xf numFmtId="0" fontId="10" fillId="0" borderId="0" xfId="0" applyFont="1" applyFill="1" applyBorder="1" applyAlignment="1">
      <alignment horizontal="right" vertical="center"/>
    </xf>
    <xf numFmtId="0" fontId="10" fillId="0" borderId="0" xfId="0" applyFont="1" applyBorder="1" applyAlignment="1">
      <alignment horizontal="center"/>
    </xf>
    <xf numFmtId="0" fontId="10" fillId="0" borderId="0" xfId="0" applyFont="1" applyBorder="1" applyAlignment="1">
      <alignment horizontal="left" vertical="center"/>
    </xf>
    <xf numFmtId="0" fontId="10" fillId="0" borderId="0" xfId="0" applyFont="1" applyFill="1" applyBorder="1" applyAlignment="1">
      <alignment horizontal="left" vertical="center"/>
    </xf>
    <xf numFmtId="0" fontId="10" fillId="0" borderId="0" xfId="0" applyFont="1" applyBorder="1" applyAlignment="1">
      <alignment horizontal="center" vertical="center"/>
    </xf>
    <xf numFmtId="0" fontId="10" fillId="0" borderId="0" xfId="0" applyFont="1" applyFill="1" applyBorder="1" applyAlignment="1">
      <alignment horizontal="center"/>
    </xf>
    <xf numFmtId="2" fontId="10" fillId="0" borderId="0" xfId="0" applyNumberFormat="1" applyFont="1" applyFill="1" applyBorder="1" applyAlignment="1">
      <alignment horizontal="center" vertical="center"/>
    </xf>
    <xf numFmtId="164" fontId="10" fillId="0" borderId="0" xfId="0" applyNumberFormat="1" applyFont="1" applyFill="1" applyBorder="1" applyAlignment="1">
      <alignment horizontal="center" vertical="center"/>
    </xf>
    <xf numFmtId="0" fontId="12" fillId="0" borderId="0" xfId="0" applyFont="1" applyFill="1" applyBorder="1" applyAlignment="1">
      <alignment horizontal="left" vertical="center"/>
    </xf>
    <xf numFmtId="0" fontId="12" fillId="0" borderId="4" xfId="0" applyFont="1" applyFill="1" applyBorder="1" applyAlignment="1">
      <alignment horizontal="center" vertical="center"/>
    </xf>
    <xf numFmtId="0" fontId="10" fillId="0" borderId="0" xfId="0" applyFont="1" applyFill="1" applyBorder="1" applyAlignment="1">
      <alignment horizontal="left"/>
    </xf>
    <xf numFmtId="0" fontId="10" fillId="0" borderId="4" xfId="0" applyFont="1" applyFill="1" applyBorder="1" applyAlignment="1">
      <alignment horizontal="center" vertical="center"/>
    </xf>
    <xf numFmtId="1" fontId="10" fillId="0" borderId="2" xfId="0" applyNumberFormat="1" applyFont="1" applyFill="1" applyBorder="1" applyAlignment="1">
      <alignment horizontal="left" vertical="center"/>
    </xf>
    <xf numFmtId="0" fontId="12" fillId="0" borderId="4" xfId="0" applyFont="1" applyFill="1" applyBorder="1" applyAlignment="1">
      <alignment horizontal="left" vertical="center"/>
    </xf>
    <xf numFmtId="0" fontId="12" fillId="2" borderId="32" xfId="0" applyFont="1" applyFill="1" applyBorder="1" applyAlignment="1">
      <alignment horizontal="left" vertical="center"/>
    </xf>
    <xf numFmtId="0" fontId="10" fillId="2" borderId="34" xfId="0" applyFont="1" applyFill="1" applyBorder="1" applyAlignment="1">
      <alignment horizontal="right" vertical="center"/>
    </xf>
    <xf numFmtId="0" fontId="12" fillId="0" borderId="35" xfId="0" applyFont="1" applyFill="1" applyBorder="1" applyAlignment="1">
      <alignment horizontal="left" vertical="center"/>
    </xf>
    <xf numFmtId="0" fontId="12" fillId="0" borderId="36" xfId="0" applyFont="1" applyFill="1" applyBorder="1" applyAlignment="1">
      <alignment horizontal="left" vertical="center"/>
    </xf>
    <xf numFmtId="0" fontId="10" fillId="0" borderId="22" xfId="0" quotePrefix="1" applyFont="1" applyFill="1" applyBorder="1" applyAlignment="1">
      <alignment horizontal="left" vertical="center"/>
    </xf>
    <xf numFmtId="0" fontId="12" fillId="0" borderId="22" xfId="0" applyFont="1" applyFill="1" applyBorder="1" applyAlignment="1">
      <alignment horizontal="left" vertical="center"/>
    </xf>
    <xf numFmtId="0" fontId="12" fillId="0" borderId="1" xfId="0" applyFont="1" applyFill="1" applyBorder="1" applyAlignment="1">
      <alignment horizontal="left" vertical="center"/>
    </xf>
    <xf numFmtId="0" fontId="10" fillId="0" borderId="22" xfId="0" quotePrefix="1" applyFont="1" applyBorder="1" applyAlignment="1">
      <alignment horizontal="left" vertical="center"/>
    </xf>
    <xf numFmtId="0" fontId="10" fillId="0" borderId="1" xfId="0" applyFont="1" applyBorder="1" applyAlignment="1">
      <alignment horizontal="center" vertical="center"/>
    </xf>
    <xf numFmtId="0" fontId="10" fillId="0" borderId="22" xfId="0" applyFont="1" applyBorder="1" applyAlignment="1">
      <alignment horizontal="center" vertical="center"/>
    </xf>
    <xf numFmtId="0" fontId="11" fillId="0" borderId="1" xfId="0" applyFont="1" applyBorder="1" applyAlignment="1">
      <alignment vertical="top"/>
    </xf>
    <xf numFmtId="0" fontId="10" fillId="0" borderId="22" xfId="0" applyFont="1" applyFill="1" applyBorder="1" applyAlignment="1">
      <alignment horizontal="center" vertical="center"/>
    </xf>
    <xf numFmtId="0" fontId="10" fillId="0" borderId="37" xfId="0" applyFont="1" applyBorder="1" applyAlignment="1">
      <alignment horizontal="left" vertical="center"/>
    </xf>
    <xf numFmtId="0" fontId="10" fillId="0" borderId="38" xfId="0" applyFont="1" applyBorder="1" applyAlignment="1">
      <alignment horizontal="center" vertical="center"/>
    </xf>
    <xf numFmtId="0" fontId="10" fillId="0" borderId="22" xfId="0" quotePrefix="1" applyFont="1" applyBorder="1" applyAlignment="1">
      <alignment horizontal="center" vertical="center"/>
    </xf>
    <xf numFmtId="0" fontId="10" fillId="0" borderId="22" xfId="0" quotePrefix="1" applyFont="1" applyFill="1" applyBorder="1" applyAlignment="1">
      <alignment horizontal="center" vertical="center"/>
    </xf>
    <xf numFmtId="0" fontId="10" fillId="0" borderId="1" xfId="0" applyFont="1" applyFill="1" applyBorder="1" applyAlignment="1">
      <alignment horizontal="center" vertical="center"/>
    </xf>
    <xf numFmtId="0" fontId="10" fillId="0" borderId="37" xfId="0" quotePrefix="1" applyFont="1" applyFill="1" applyBorder="1" applyAlignment="1">
      <alignment horizontal="center" vertical="center"/>
    </xf>
    <xf numFmtId="0" fontId="10" fillId="0" borderId="38" xfId="0" applyFont="1" applyFill="1" applyBorder="1" applyAlignment="1">
      <alignment horizontal="left" vertical="center"/>
    </xf>
    <xf numFmtId="0" fontId="10" fillId="0" borderId="36" xfId="0" applyFont="1" applyBorder="1" applyAlignment="1">
      <alignment horizontal="left" vertical="center"/>
    </xf>
    <xf numFmtId="0" fontId="10" fillId="0" borderId="22" xfId="0" applyFont="1" applyBorder="1" applyAlignment="1">
      <alignment horizontal="right" vertical="center"/>
    </xf>
    <xf numFmtId="0" fontId="11" fillId="0" borderId="1" xfId="0" applyFont="1" applyBorder="1" applyAlignment="1">
      <alignment vertical="center" wrapText="1"/>
    </xf>
    <xf numFmtId="0" fontId="10" fillId="0" borderId="23" xfId="0" applyFont="1" applyFill="1" applyBorder="1" applyAlignment="1">
      <alignment horizontal="left" vertical="center"/>
    </xf>
    <xf numFmtId="0" fontId="12" fillId="0" borderId="22" xfId="0" applyFont="1" applyFill="1" applyBorder="1" applyAlignment="1" applyProtection="1">
      <alignment horizontal="left" vertical="center"/>
    </xf>
    <xf numFmtId="0" fontId="10" fillId="0" borderId="1" xfId="0" applyFont="1" applyBorder="1" applyAlignment="1" applyProtection="1">
      <alignment horizontal="left" vertical="center"/>
    </xf>
    <xf numFmtId="0" fontId="10" fillId="4" borderId="0" xfId="0" applyFont="1" applyFill="1" applyBorder="1" applyAlignment="1" applyProtection="1">
      <alignment horizontal="center" vertical="center"/>
    </xf>
    <xf numFmtId="0" fontId="10" fillId="0" borderId="0" xfId="0" applyFont="1" applyBorder="1" applyAlignment="1">
      <alignment vertical="center"/>
    </xf>
    <xf numFmtId="2" fontId="10" fillId="0" borderId="0" xfId="23" applyNumberFormat="1" applyFont="1" applyFill="1" applyBorder="1" applyAlignment="1">
      <alignment vertical="center"/>
    </xf>
    <xf numFmtId="0" fontId="12" fillId="0" borderId="0" xfId="0" applyFont="1" applyFill="1" applyBorder="1" applyAlignment="1">
      <alignment horizontal="center" vertical="center"/>
    </xf>
    <xf numFmtId="0" fontId="119" fillId="0" borderId="0" xfId="0" applyFont="1" applyBorder="1" applyAlignment="1">
      <alignment horizontal="left" vertical="center"/>
    </xf>
    <xf numFmtId="0" fontId="119" fillId="0" borderId="0" xfId="0" applyFont="1" applyFill="1" applyBorder="1" applyAlignment="1">
      <alignment horizontal="left" vertical="center"/>
    </xf>
    <xf numFmtId="0" fontId="10" fillId="0" borderId="22" xfId="43" applyFont="1" applyFill="1" applyBorder="1" applyAlignment="1" applyProtection="1">
      <alignment horizontal="right" vertical="center"/>
    </xf>
    <xf numFmtId="178" fontId="10" fillId="0" borderId="0" xfId="43" applyNumberFormat="1" applyFont="1" applyFill="1" applyBorder="1" applyAlignment="1" applyProtection="1">
      <alignment horizontal="center" vertical="center"/>
      <protection locked="0"/>
    </xf>
    <xf numFmtId="165" fontId="10" fillId="0" borderId="0" xfId="43" applyNumberFormat="1" applyFont="1" applyFill="1" applyBorder="1" applyAlignment="1" applyProtection="1">
      <alignment horizontal="center" vertical="center"/>
      <protection locked="0"/>
    </xf>
    <xf numFmtId="165" fontId="10" fillId="0" borderId="0" xfId="43" applyNumberFormat="1" applyFont="1" applyFill="1" applyBorder="1" applyAlignment="1" applyProtection="1">
      <alignment horizontal="center" vertical="center"/>
    </xf>
    <xf numFmtId="1" fontId="10" fillId="0" borderId="22" xfId="43" applyNumberFormat="1" applyFont="1" applyFill="1" applyBorder="1" applyAlignment="1" applyProtection="1">
      <alignment horizontal="center" vertical="center" wrapText="1"/>
    </xf>
    <xf numFmtId="0" fontId="10" fillId="0" borderId="0" xfId="43" applyFont="1" applyBorder="1" applyAlignment="1">
      <alignment horizontal="right" vertical="center"/>
    </xf>
    <xf numFmtId="0" fontId="10" fillId="0" borderId="0" xfId="43" applyFont="1" applyBorder="1" applyAlignment="1">
      <alignment horizontal="center" vertical="center"/>
    </xf>
    <xf numFmtId="0" fontId="10" fillId="0" borderId="0" xfId="43" applyFont="1" applyFill="1" applyBorder="1" applyAlignment="1">
      <alignment vertical="center"/>
    </xf>
    <xf numFmtId="0" fontId="10" fillId="10" borderId="6" xfId="43" applyFont="1" applyFill="1" applyBorder="1" applyAlignment="1" applyProtection="1">
      <alignment horizontal="right" vertical="center"/>
    </xf>
    <xf numFmtId="0" fontId="10" fillId="0" borderId="0" xfId="43" applyFont="1" applyBorder="1" applyAlignment="1">
      <alignment horizontal="left" vertical="center"/>
    </xf>
    <xf numFmtId="0" fontId="10" fillId="0" borderId="0" xfId="43" applyFont="1" applyBorder="1" applyAlignment="1">
      <alignment horizontal="left" vertical="center" wrapText="1"/>
    </xf>
    <xf numFmtId="0" fontId="10" fillId="0" borderId="0" xfId="43" applyFont="1" applyBorder="1" applyAlignment="1">
      <alignment vertical="center"/>
    </xf>
    <xf numFmtId="0" fontId="10" fillId="0" borderId="0" xfId="43" applyFont="1" applyBorder="1" applyAlignment="1">
      <alignment vertical="center" wrapText="1"/>
    </xf>
    <xf numFmtId="0" fontId="11" fillId="0" borderId="0" xfId="43" applyFont="1" applyFill="1" applyBorder="1" applyAlignment="1" applyProtection="1">
      <alignment horizontal="center" vertical="center"/>
    </xf>
    <xf numFmtId="0" fontId="12" fillId="0" borderId="0" xfId="43" applyFont="1" applyFill="1" applyBorder="1" applyAlignment="1" applyProtection="1">
      <alignment horizontal="left" vertical="center"/>
    </xf>
    <xf numFmtId="0" fontId="12" fillId="0" borderId="0" xfId="43" applyFont="1" applyBorder="1" applyAlignment="1" applyProtection="1">
      <alignment vertical="center"/>
    </xf>
    <xf numFmtId="0" fontId="12" fillId="0" borderId="0" xfId="43" applyFont="1" applyFill="1" applyBorder="1" applyAlignment="1" applyProtection="1">
      <alignment horizontal="left" vertical="center" indent="1"/>
    </xf>
    <xf numFmtId="0" fontId="10" fillId="0" borderId="0" xfId="43" applyFont="1" applyBorder="1" applyAlignment="1" applyProtection="1">
      <alignment vertical="center" wrapText="1"/>
    </xf>
    <xf numFmtId="0" fontId="11" fillId="10" borderId="0" xfId="43" applyFont="1" applyFill="1" applyBorder="1" applyAlignment="1" applyProtection="1">
      <alignment vertical="center" wrapText="1"/>
    </xf>
    <xf numFmtId="0" fontId="17" fillId="0" borderId="0" xfId="43" applyFont="1" applyBorder="1" applyAlignment="1" applyProtection="1">
      <alignment horizontal="right" vertical="center"/>
    </xf>
    <xf numFmtId="0" fontId="50" fillId="0" borderId="0" xfId="43" applyFont="1" applyBorder="1" applyAlignment="1" applyProtection="1">
      <alignment horizontal="center" vertical="center"/>
    </xf>
    <xf numFmtId="0" fontId="118" fillId="0" borderId="0" xfId="43" applyFont="1" applyFill="1" applyBorder="1" applyAlignment="1" applyProtection="1">
      <alignment vertical="center"/>
    </xf>
    <xf numFmtId="0" fontId="11" fillId="0" borderId="4" xfId="43" applyFont="1" applyBorder="1" applyAlignment="1" applyProtection="1">
      <alignment vertical="center"/>
    </xf>
    <xf numFmtId="0" fontId="12" fillId="0" borderId="9" xfId="43" applyFont="1" applyFill="1" applyBorder="1" applyAlignment="1" applyProtection="1">
      <alignment vertical="center"/>
    </xf>
    <xf numFmtId="0" fontId="10" fillId="0" borderId="6" xfId="43" applyFont="1" applyBorder="1" applyAlignment="1" applyProtection="1">
      <alignment horizontal="left" vertical="center"/>
    </xf>
    <xf numFmtId="0" fontId="10" fillId="0" borderId="2" xfId="43" applyFont="1" applyFill="1" applyBorder="1" applyAlignment="1" applyProtection="1">
      <alignment vertical="center"/>
    </xf>
    <xf numFmtId="0" fontId="10" fillId="0" borderId="20" xfId="43" applyFont="1" applyFill="1" applyBorder="1" applyAlignment="1" applyProtection="1">
      <alignment vertical="center"/>
    </xf>
    <xf numFmtId="0" fontId="12" fillId="0" borderId="0" xfId="43" applyFont="1" applyBorder="1" applyAlignment="1" applyProtection="1">
      <alignment horizontal="left" vertical="center"/>
    </xf>
    <xf numFmtId="0" fontId="34" fillId="0" borderId="0" xfId="12" applyFont="1" applyFill="1" applyBorder="1" applyAlignment="1" applyProtection="1">
      <alignment vertical="center" wrapText="1"/>
    </xf>
    <xf numFmtId="0" fontId="10" fillId="0" borderId="2" xfId="43" applyFont="1" applyBorder="1" applyAlignment="1" applyProtection="1">
      <alignment horizontal="right" vertical="center"/>
    </xf>
    <xf numFmtId="0" fontId="10" fillId="0" borderId="2" xfId="43" applyFont="1" applyBorder="1" applyAlignment="1" applyProtection="1">
      <alignment horizontal="center" vertical="center"/>
    </xf>
    <xf numFmtId="0" fontId="32" fillId="0" borderId="0" xfId="23" applyFont="1"/>
    <xf numFmtId="0" fontId="32" fillId="0" borderId="0" xfId="23" applyFont="1" applyAlignment="1">
      <alignment horizontal="left" vertical="center"/>
    </xf>
    <xf numFmtId="0" fontId="32" fillId="0" borderId="0" xfId="23" applyFont="1" applyBorder="1" applyAlignment="1">
      <alignment horizontal="left" vertical="center"/>
    </xf>
    <xf numFmtId="0" fontId="18" fillId="0" borderId="0" xfId="23" applyFont="1" applyFill="1" applyBorder="1" applyAlignment="1">
      <alignment horizontal="left" vertical="center" wrapText="1"/>
    </xf>
    <xf numFmtId="0" fontId="32" fillId="0" borderId="24" xfId="23" applyFont="1" applyBorder="1" applyAlignment="1">
      <alignment horizontal="left" vertical="center"/>
    </xf>
    <xf numFmtId="0" fontId="32" fillId="0" borderId="20" xfId="23" applyFont="1" applyBorder="1" applyAlignment="1">
      <alignment horizontal="left" vertical="center"/>
    </xf>
    <xf numFmtId="0" fontId="32" fillId="0" borderId="25" xfId="23" applyFont="1" applyBorder="1" applyAlignment="1">
      <alignment horizontal="left" vertical="center"/>
    </xf>
    <xf numFmtId="0" fontId="32" fillId="9" borderId="35" xfId="23" applyFont="1" applyFill="1" applyBorder="1" applyAlignment="1">
      <alignment horizontal="left" vertical="center"/>
    </xf>
    <xf numFmtId="0" fontId="32" fillId="9" borderId="36" xfId="23" applyFont="1" applyFill="1" applyBorder="1" applyAlignment="1">
      <alignment horizontal="left" vertical="center"/>
    </xf>
    <xf numFmtId="0" fontId="32" fillId="9" borderId="22" xfId="23" applyFont="1" applyFill="1" applyBorder="1" applyAlignment="1">
      <alignment horizontal="left" vertical="center"/>
    </xf>
    <xf numFmtId="0" fontId="32" fillId="9" borderId="1" xfId="23" applyFont="1" applyFill="1" applyBorder="1" applyAlignment="1">
      <alignment horizontal="left" vertical="center"/>
    </xf>
    <xf numFmtId="0" fontId="32" fillId="9" borderId="37" xfId="23" applyFont="1" applyFill="1" applyBorder="1" applyAlignment="1">
      <alignment horizontal="left" vertical="center"/>
    </xf>
    <xf numFmtId="0" fontId="32" fillId="9" borderId="38" xfId="23" applyFont="1" applyFill="1" applyBorder="1" applyAlignment="1">
      <alignment horizontal="left" vertical="center"/>
    </xf>
    <xf numFmtId="0" fontId="32" fillId="0" borderId="22" xfId="23" applyFont="1" applyBorder="1" applyAlignment="1">
      <alignment horizontal="left" vertical="center"/>
    </xf>
    <xf numFmtId="0" fontId="32" fillId="0" borderId="1" xfId="23" applyFont="1" applyBorder="1" applyAlignment="1">
      <alignment horizontal="left" vertical="center"/>
    </xf>
    <xf numFmtId="0" fontId="32" fillId="9" borderId="26" xfId="23" applyFont="1" applyFill="1" applyBorder="1" applyAlignment="1">
      <alignment horizontal="left" vertical="center"/>
    </xf>
    <xf numFmtId="0" fontId="32" fillId="9" borderId="39" xfId="23" applyFont="1" applyFill="1" applyBorder="1" applyAlignment="1">
      <alignment horizontal="left" vertical="center"/>
    </xf>
    <xf numFmtId="0" fontId="32" fillId="0" borderId="23" xfId="23" applyFont="1" applyBorder="1" applyAlignment="1">
      <alignment horizontal="left" vertical="center"/>
    </xf>
    <xf numFmtId="0" fontId="32" fillId="0" borderId="21" xfId="23" applyFont="1" applyBorder="1" applyAlignment="1">
      <alignment horizontal="left" vertical="center"/>
    </xf>
    <xf numFmtId="0" fontId="116" fillId="0" borderId="0" xfId="43" applyFont="1" applyBorder="1" applyAlignment="1" applyProtection="1">
      <alignment vertical="center"/>
    </xf>
    <xf numFmtId="0" fontId="116" fillId="0" borderId="0" xfId="43" applyFont="1" applyBorder="1" applyAlignment="1" applyProtection="1">
      <alignment horizontal="right" vertical="center"/>
    </xf>
    <xf numFmtId="0" fontId="10" fillId="0" borderId="0" xfId="43" applyFont="1" applyBorder="1" applyAlignment="1" applyProtection="1">
      <alignment horizontal="right" vertical="top"/>
    </xf>
    <xf numFmtId="0" fontId="10" fillId="0" borderId="0" xfId="43" applyFont="1" applyFill="1" applyBorder="1" applyAlignment="1" applyProtection="1">
      <alignment horizontal="right" vertical="top"/>
    </xf>
    <xf numFmtId="0" fontId="10" fillId="0" borderId="0" xfId="43" applyFont="1" applyFill="1" applyBorder="1" applyAlignment="1" applyProtection="1">
      <alignment horizontal="left" vertical="top" wrapText="1"/>
    </xf>
    <xf numFmtId="0" fontId="10" fillId="0" borderId="0" xfId="43" applyFont="1" applyFill="1" applyBorder="1" applyAlignment="1" applyProtection="1">
      <alignment vertical="center"/>
    </xf>
    <xf numFmtId="0" fontId="10" fillId="0" borderId="0" xfId="43" applyFont="1" applyFill="1" applyBorder="1" applyAlignment="1" applyProtection="1">
      <alignment horizontal="center" vertical="center"/>
    </xf>
    <xf numFmtId="0" fontId="10" fillId="0" borderId="0" xfId="0" applyFont="1" applyFill="1" applyBorder="1" applyAlignment="1" applyProtection="1">
      <alignment horizontal="right" vertical="center"/>
    </xf>
    <xf numFmtId="49" fontId="12" fillId="0" borderId="0" xfId="0" applyNumberFormat="1" applyFont="1" applyFill="1" applyBorder="1" applyAlignment="1" applyProtection="1">
      <alignment horizontal="center" vertical="center"/>
    </xf>
    <xf numFmtId="0" fontId="12" fillId="0" borderId="0" xfId="0" applyFont="1" applyBorder="1" applyProtection="1"/>
    <xf numFmtId="0" fontId="12" fillId="0" borderId="0" xfId="0" applyFont="1" applyBorder="1" applyAlignment="1" applyProtection="1">
      <alignment horizontal="right" vertical="center"/>
    </xf>
    <xf numFmtId="49" fontId="12" fillId="0" borderId="7" xfId="0" applyNumberFormat="1" applyFont="1" applyFill="1" applyBorder="1" applyAlignment="1" applyProtection="1">
      <alignment vertical="center" wrapText="1"/>
    </xf>
    <xf numFmtId="0" fontId="10" fillId="0" borderId="10" xfId="43" applyFont="1" applyBorder="1" applyAlignment="1" applyProtection="1">
      <alignment vertical="center"/>
    </xf>
    <xf numFmtId="0" fontId="10" fillId="0" borderId="3" xfId="43" applyFont="1" applyBorder="1" applyAlignment="1" applyProtection="1">
      <alignment vertical="center"/>
    </xf>
    <xf numFmtId="0" fontId="10" fillId="0" borderId="8" xfId="43" applyFont="1" applyBorder="1" applyAlignment="1" applyProtection="1">
      <alignment horizontal="center" vertical="center"/>
    </xf>
    <xf numFmtId="0" fontId="10" fillId="0" borderId="2" xfId="43" applyFont="1" applyFill="1" applyBorder="1" applyAlignment="1" applyProtection="1">
      <alignment horizontal="center" vertical="center"/>
    </xf>
    <xf numFmtId="0" fontId="10" fillId="0" borderId="75" xfId="43" applyFont="1" applyBorder="1" applyAlignment="1" applyProtection="1">
      <alignment vertical="center"/>
    </xf>
    <xf numFmtId="0" fontId="10" fillId="0" borderId="73" xfId="0" applyFont="1" applyBorder="1" applyAlignment="1" applyProtection="1">
      <alignment vertical="center"/>
    </xf>
    <xf numFmtId="0" fontId="67" fillId="0" borderId="73" xfId="0" applyFont="1" applyBorder="1" applyAlignment="1" applyProtection="1">
      <alignment vertical="center"/>
    </xf>
    <xf numFmtId="0" fontId="10" fillId="0" borderId="73" xfId="0" applyFont="1" applyFill="1" applyBorder="1" applyAlignment="1" applyProtection="1">
      <alignment horizontal="center" vertical="center"/>
    </xf>
    <xf numFmtId="14" fontId="12" fillId="0" borderId="0" xfId="0" applyNumberFormat="1" applyFont="1" applyBorder="1" applyAlignment="1" applyProtection="1">
      <alignment vertical="center"/>
    </xf>
    <xf numFmtId="0" fontId="10" fillId="0" borderId="0" xfId="0" applyFont="1" applyBorder="1" applyAlignment="1" applyProtection="1">
      <alignment vertical="center" wrapText="1"/>
      <protection hidden="1"/>
    </xf>
    <xf numFmtId="0" fontId="12" fillId="3" borderId="0" xfId="0" applyFont="1" applyFill="1" applyBorder="1" applyAlignment="1" applyProtection="1">
      <alignment horizontal="left" vertical="center"/>
    </xf>
    <xf numFmtId="174" fontId="10" fillId="3" borderId="0" xfId="0" applyNumberFormat="1" applyFont="1" applyFill="1" applyBorder="1" applyAlignment="1" applyProtection="1">
      <alignment horizontal="center" vertical="center"/>
    </xf>
    <xf numFmtId="174" fontId="10" fillId="3" borderId="0" xfId="0" applyNumberFormat="1" applyFont="1" applyFill="1" applyBorder="1" applyAlignment="1" applyProtection="1">
      <alignment vertical="center"/>
    </xf>
    <xf numFmtId="0" fontId="12" fillId="0" borderId="0" xfId="0" applyFont="1" applyBorder="1" applyAlignment="1" applyProtection="1">
      <alignment vertical="center"/>
    </xf>
    <xf numFmtId="0" fontId="10" fillId="0" borderId="0" xfId="0" applyFont="1" applyFill="1" applyBorder="1" applyAlignment="1" applyProtection="1">
      <alignment vertical="center"/>
      <protection hidden="1"/>
    </xf>
    <xf numFmtId="0" fontId="18" fillId="0" borderId="0" xfId="23" applyFont="1" applyBorder="1" applyAlignment="1" applyProtection="1">
      <alignment horizontal="right" vertical="center"/>
    </xf>
    <xf numFmtId="0" fontId="18" fillId="0" borderId="0" xfId="23" applyFont="1" applyBorder="1" applyAlignment="1" applyProtection="1">
      <alignment vertical="center"/>
    </xf>
    <xf numFmtId="0" fontId="10" fillId="0" borderId="0" xfId="0" applyFont="1" applyFill="1" applyBorder="1" applyAlignment="1" applyProtection="1">
      <alignment vertical="center" wrapText="1"/>
    </xf>
    <xf numFmtId="0" fontId="12" fillId="0" borderId="72" xfId="0" applyFont="1" applyBorder="1" applyAlignment="1" applyProtection="1">
      <alignment vertical="center"/>
    </xf>
    <xf numFmtId="0" fontId="12" fillId="0" borderId="75" xfId="0" applyFont="1" applyBorder="1" applyAlignment="1" applyProtection="1">
      <alignment vertical="center"/>
    </xf>
    <xf numFmtId="0" fontId="10" fillId="0" borderId="22" xfId="0" applyFont="1" applyBorder="1" applyAlignment="1" applyProtection="1">
      <alignment vertical="center"/>
      <protection hidden="1"/>
    </xf>
    <xf numFmtId="0" fontId="15" fillId="0" borderId="1" xfId="0" applyFont="1" applyBorder="1" applyAlignment="1" applyProtection="1">
      <alignment vertical="center"/>
      <protection hidden="1"/>
    </xf>
    <xf numFmtId="1" fontId="102" fillId="0" borderId="1" xfId="55" applyNumberFormat="1" applyFont="1" applyFill="1" applyBorder="1" applyAlignment="1" applyProtection="1">
      <alignment horizontal="center" vertical="center"/>
      <protection hidden="1"/>
    </xf>
    <xf numFmtId="0" fontId="10" fillId="0" borderId="22" xfId="0" applyFont="1" applyBorder="1" applyAlignment="1" applyProtection="1">
      <alignment vertical="center"/>
    </xf>
    <xf numFmtId="49" fontId="12" fillId="0" borderId="0" xfId="0" applyNumberFormat="1" applyFont="1" applyFill="1" applyBorder="1" applyAlignment="1" applyProtection="1">
      <alignment horizontal="center" vertical="center" wrapText="1"/>
    </xf>
    <xf numFmtId="0" fontId="15" fillId="0" borderId="1" xfId="0" applyFont="1" applyBorder="1" applyAlignment="1" applyProtection="1">
      <alignment vertical="center"/>
    </xf>
    <xf numFmtId="49" fontId="12" fillId="0" borderId="0" xfId="0" applyNumberFormat="1" applyFont="1" applyFill="1" applyBorder="1" applyAlignment="1" applyProtection="1">
      <alignment vertical="center"/>
    </xf>
    <xf numFmtId="0" fontId="10" fillId="0" borderId="22" xfId="0" applyFont="1" applyFill="1" applyBorder="1" applyAlignment="1" applyProtection="1">
      <alignment vertical="center"/>
    </xf>
    <xf numFmtId="0" fontId="15" fillId="0" borderId="1" xfId="0" applyFont="1" applyFill="1" applyBorder="1" applyAlignment="1" applyProtection="1">
      <alignment vertical="center"/>
    </xf>
    <xf numFmtId="0" fontId="12" fillId="0" borderId="0" xfId="0" quotePrefix="1" applyFont="1" applyBorder="1" applyAlignment="1" applyProtection="1">
      <alignment vertical="center"/>
    </xf>
    <xf numFmtId="49" fontId="12" fillId="0" borderId="0" xfId="0" applyNumberFormat="1" applyFont="1" applyBorder="1" applyAlignment="1" applyProtection="1">
      <alignment horizontal="right" vertical="center"/>
    </xf>
    <xf numFmtId="0" fontId="10" fillId="0" borderId="6" xfId="0" applyFont="1" applyFill="1" applyBorder="1" applyAlignment="1" applyProtection="1">
      <alignment horizontal="right" vertical="center"/>
    </xf>
    <xf numFmtId="0" fontId="121" fillId="0" borderId="0" xfId="0" applyFont="1" applyBorder="1" applyAlignment="1" applyProtection="1">
      <alignment vertical="center"/>
    </xf>
    <xf numFmtId="0" fontId="117" fillId="0" borderId="0" xfId="0" applyFont="1" applyBorder="1" applyAlignment="1" applyProtection="1">
      <alignment vertical="center"/>
    </xf>
    <xf numFmtId="0" fontId="18" fillId="0" borderId="0" xfId="0" applyFont="1" applyBorder="1" applyAlignment="1" applyProtection="1">
      <alignment horizontal="left" vertical="center"/>
    </xf>
    <xf numFmtId="0" fontId="11" fillId="0" borderId="0" xfId="0" applyFont="1" applyFill="1" applyBorder="1" applyAlignment="1" applyProtection="1">
      <alignment horizontal="center" vertical="center" wrapText="1"/>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12" fillId="0" borderId="64" xfId="0" applyFont="1" applyBorder="1" applyAlignment="1" applyProtection="1">
      <alignment horizontal="center" vertical="center"/>
    </xf>
    <xf numFmtId="0" fontId="12" fillId="0" borderId="65" xfId="0" applyFont="1" applyBorder="1" applyAlignment="1" applyProtection="1">
      <alignment vertical="center"/>
    </xf>
    <xf numFmtId="0" fontId="10" fillId="0" borderId="65" xfId="0" applyFont="1" applyBorder="1" applyAlignment="1" applyProtection="1">
      <alignment vertical="center"/>
    </xf>
    <xf numFmtId="0" fontId="10" fillId="0" borderId="65" xfId="0" applyFont="1" applyFill="1" applyBorder="1" applyAlignment="1" applyProtection="1">
      <alignment vertical="center"/>
    </xf>
    <xf numFmtId="0" fontId="10" fillId="0" borderId="66" xfId="0" applyFont="1" applyFill="1" applyBorder="1" applyAlignment="1" applyProtection="1">
      <alignment vertical="center"/>
    </xf>
    <xf numFmtId="0" fontId="12" fillId="0" borderId="67" xfId="0" applyFont="1" applyBorder="1" applyAlignment="1" applyProtection="1">
      <alignment horizontal="center" vertical="center"/>
    </xf>
    <xf numFmtId="49" fontId="12" fillId="0" borderId="67" xfId="0" applyNumberFormat="1" applyFont="1" applyBorder="1" applyAlignment="1" applyProtection="1">
      <alignment horizontal="right" vertical="center"/>
    </xf>
    <xf numFmtId="0" fontId="8" fillId="0" borderId="0" xfId="0" applyFont="1" applyBorder="1" applyAlignment="1" applyProtection="1">
      <alignment vertical="center"/>
    </xf>
    <xf numFmtId="0" fontId="10" fillId="0" borderId="68" xfId="0" applyFont="1" applyBorder="1" applyAlignment="1" applyProtection="1">
      <alignment vertical="center" wrapText="1"/>
    </xf>
    <xf numFmtId="0" fontId="10" fillId="0" borderId="19" xfId="0" applyFont="1" applyFill="1" applyBorder="1" applyAlignment="1" applyProtection="1">
      <alignment horizontal="center" vertical="center"/>
    </xf>
    <xf numFmtId="0" fontId="8" fillId="0" borderId="68" xfId="0" applyFont="1" applyBorder="1" applyAlignment="1" applyProtection="1">
      <alignment vertical="center"/>
    </xf>
    <xf numFmtId="0" fontId="10" fillId="0" borderId="68" xfId="0" applyFont="1" applyBorder="1" applyAlignment="1" applyProtection="1">
      <alignment vertical="center"/>
    </xf>
    <xf numFmtId="0" fontId="12" fillId="0" borderId="67" xfId="0" applyFont="1" applyBorder="1" applyAlignment="1" applyProtection="1">
      <alignment horizontal="right" vertical="center"/>
    </xf>
    <xf numFmtId="0" fontId="10" fillId="0" borderId="67" xfId="0" applyFont="1" applyBorder="1" applyAlignment="1" applyProtection="1">
      <alignment vertical="center"/>
    </xf>
    <xf numFmtId="0" fontId="10" fillId="0" borderId="69" xfId="0" applyFont="1" applyBorder="1" applyAlignment="1" applyProtection="1">
      <alignment vertical="center"/>
    </xf>
    <xf numFmtId="0" fontId="10" fillId="0" borderId="70" xfId="0" applyFont="1" applyBorder="1" applyAlignment="1" applyProtection="1">
      <alignment vertical="center"/>
    </xf>
    <xf numFmtId="0" fontId="10" fillId="0" borderId="71" xfId="0" applyFont="1" applyBorder="1" applyAlignment="1" applyProtection="1">
      <alignment vertical="center"/>
    </xf>
    <xf numFmtId="0" fontId="11" fillId="0" borderId="65" xfId="0" applyFont="1" applyFill="1" applyBorder="1" applyAlignment="1" applyProtection="1">
      <alignment horizontal="left" vertical="center" wrapText="1"/>
    </xf>
    <xf numFmtId="0" fontId="12" fillId="0" borderId="66" xfId="0" applyFont="1" applyFill="1" applyBorder="1" applyAlignment="1" applyProtection="1">
      <alignment horizontal="center" vertical="center"/>
    </xf>
    <xf numFmtId="49" fontId="12" fillId="0" borderId="69" xfId="0" applyNumberFormat="1" applyFont="1" applyBorder="1" applyAlignment="1" applyProtection="1">
      <alignment horizontal="right" vertical="center"/>
    </xf>
    <xf numFmtId="0" fontId="10" fillId="0" borderId="70" xfId="0" applyFont="1" applyFill="1" applyBorder="1" applyAlignment="1" applyProtection="1">
      <alignment vertical="center"/>
    </xf>
    <xf numFmtId="0" fontId="11" fillId="0" borderId="70" xfId="0" applyFont="1" applyFill="1" applyBorder="1" applyAlignment="1" applyProtection="1">
      <alignment horizontal="left" vertical="center" wrapText="1"/>
    </xf>
    <xf numFmtId="165" fontId="10" fillId="0" borderId="0" xfId="0" applyNumberFormat="1" applyFont="1" applyFill="1" applyBorder="1" applyAlignment="1" applyProtection="1">
      <alignment horizontal="right" vertical="center"/>
    </xf>
    <xf numFmtId="0" fontId="10" fillId="0" borderId="68" xfId="0" applyFont="1" applyBorder="1" applyAlignment="1" applyProtection="1">
      <alignment horizontal="left" vertical="center"/>
    </xf>
    <xf numFmtId="165" fontId="10" fillId="0" borderId="0" xfId="0" applyNumberFormat="1" applyFont="1" applyFill="1" applyBorder="1" applyAlignment="1" applyProtection="1">
      <alignment vertical="center"/>
    </xf>
    <xf numFmtId="2" fontId="10" fillId="0" borderId="0" xfId="0" applyNumberFormat="1" applyFont="1" applyFill="1" applyBorder="1" applyAlignment="1" applyProtection="1">
      <alignment vertical="center"/>
    </xf>
    <xf numFmtId="0" fontId="10" fillId="0" borderId="21" xfId="0" applyFont="1" applyBorder="1" applyAlignment="1" applyProtection="1">
      <alignment vertical="center"/>
    </xf>
    <xf numFmtId="0" fontId="10" fillId="0" borderId="2" xfId="0" applyFont="1" applyBorder="1" applyAlignment="1" applyProtection="1">
      <alignment vertical="center"/>
    </xf>
    <xf numFmtId="0" fontId="10" fillId="0" borderId="80" xfId="0" applyFont="1" applyBorder="1" applyAlignment="1" applyProtection="1">
      <alignment vertical="center"/>
    </xf>
    <xf numFmtId="0" fontId="15" fillId="0" borderId="23" xfId="0" applyFont="1" applyBorder="1" applyAlignment="1" applyProtection="1">
      <alignment vertical="center"/>
    </xf>
    <xf numFmtId="0" fontId="15" fillId="0" borderId="0" xfId="0" applyFont="1" applyBorder="1" applyAlignment="1" applyProtection="1">
      <alignment vertical="center"/>
    </xf>
    <xf numFmtId="0" fontId="50" fillId="0" borderId="0" xfId="0" applyFont="1" applyFill="1" applyBorder="1" applyAlignment="1" applyProtection="1">
      <alignment vertical="center"/>
    </xf>
    <xf numFmtId="0" fontId="50" fillId="0" borderId="0" xfId="0" applyFont="1" applyFill="1" applyBorder="1" applyAlignment="1" applyProtection="1">
      <alignment horizontal="left" vertical="center"/>
    </xf>
    <xf numFmtId="0" fontId="10" fillId="0" borderId="74" xfId="0" applyFont="1" applyBorder="1" applyAlignment="1" applyProtection="1">
      <alignment vertical="center"/>
    </xf>
    <xf numFmtId="165" fontId="12" fillId="0" borderId="76" xfId="55" applyNumberFormat="1" applyFont="1" applyFill="1" applyBorder="1" applyAlignment="1" applyProtection="1">
      <alignment vertical="center"/>
    </xf>
    <xf numFmtId="0" fontId="10" fillId="0" borderId="76" xfId="0" applyFont="1" applyBorder="1" applyAlignment="1" applyProtection="1">
      <alignment vertical="center"/>
    </xf>
    <xf numFmtId="0" fontId="122" fillId="0" borderId="0" xfId="0" applyFont="1" applyBorder="1" applyAlignment="1" applyProtection="1">
      <alignment vertical="center"/>
    </xf>
    <xf numFmtId="0" fontId="10" fillId="0" borderId="0" xfId="55" applyFont="1" applyBorder="1" applyAlignment="1" applyProtection="1">
      <alignment horizontal="left" vertical="center"/>
    </xf>
    <xf numFmtId="0" fontId="11" fillId="0" borderId="1" xfId="55" applyFont="1" applyBorder="1" applyAlignment="1" applyProtection="1">
      <alignment horizontal="center" vertical="center"/>
    </xf>
    <xf numFmtId="0" fontId="10" fillId="0" borderId="0" xfId="55" applyFont="1" applyBorder="1" applyAlignment="1" applyProtection="1">
      <alignment vertical="center"/>
    </xf>
    <xf numFmtId="0" fontId="8" fillId="0" borderId="1" xfId="55" applyFont="1" applyBorder="1" applyAlignment="1" applyProtection="1">
      <alignment vertical="center"/>
    </xf>
    <xf numFmtId="0" fontId="10" fillId="0" borderId="0" xfId="55" applyFont="1" applyBorder="1" applyAlignment="1" applyProtection="1">
      <alignment horizontal="right" vertical="center"/>
    </xf>
    <xf numFmtId="0" fontId="10" fillId="0" borderId="0" xfId="0" applyFont="1" applyFill="1" applyBorder="1" applyAlignment="1" applyProtection="1">
      <alignment horizontal="center" vertical="center" wrapText="1"/>
    </xf>
    <xf numFmtId="49" fontId="10" fillId="0" borderId="0" xfId="0" applyNumberFormat="1" applyFont="1" applyBorder="1" applyAlignment="1" applyProtection="1">
      <alignment horizontal="center" vertical="center"/>
    </xf>
    <xf numFmtId="49" fontId="12" fillId="0" borderId="10" xfId="0" applyNumberFormat="1" applyFont="1" applyFill="1" applyBorder="1" applyAlignment="1" applyProtection="1">
      <alignment vertical="center"/>
    </xf>
    <xf numFmtId="0" fontId="10" fillId="0" borderId="9" xfId="0" applyFont="1" applyBorder="1" applyAlignment="1" applyProtection="1">
      <alignment vertical="center"/>
    </xf>
    <xf numFmtId="49" fontId="12" fillId="0" borderId="9" xfId="0" applyNumberFormat="1" applyFont="1" applyFill="1" applyBorder="1" applyAlignment="1" applyProtection="1">
      <alignment vertical="center"/>
    </xf>
    <xf numFmtId="49" fontId="12" fillId="0" borderId="11" xfId="0" applyNumberFormat="1" applyFont="1" applyFill="1" applyBorder="1" applyAlignment="1" applyProtection="1">
      <alignment vertical="center"/>
    </xf>
    <xf numFmtId="0" fontId="10" fillId="0" borderId="6" xfId="0" applyFont="1" applyBorder="1" applyAlignment="1" applyProtection="1">
      <alignment vertical="center"/>
    </xf>
    <xf numFmtId="49" fontId="10" fillId="0" borderId="0" xfId="0" applyNumberFormat="1" applyFont="1" applyBorder="1" applyAlignment="1" applyProtection="1">
      <alignment vertical="center"/>
    </xf>
    <xf numFmtId="165" fontId="10" fillId="0" borderId="0" xfId="0" applyNumberFormat="1" applyFont="1" applyFill="1" applyBorder="1" applyAlignment="1" applyProtection="1">
      <alignment horizontal="center" vertical="center"/>
    </xf>
    <xf numFmtId="49" fontId="10" fillId="0" borderId="0" xfId="0" applyNumberFormat="1" applyFont="1" applyBorder="1" applyAlignment="1" applyProtection="1">
      <alignment horizontal="right" vertical="center"/>
    </xf>
    <xf numFmtId="165" fontId="10" fillId="0" borderId="42" xfId="0" applyNumberFormat="1" applyFont="1" applyFill="1" applyBorder="1" applyAlignment="1" applyProtection="1">
      <alignment horizontal="left" vertical="center"/>
    </xf>
    <xf numFmtId="1" fontId="10" fillId="0" borderId="0" xfId="0" applyNumberFormat="1" applyFont="1" applyFill="1" applyBorder="1" applyAlignment="1" applyProtection="1">
      <alignment vertical="center"/>
    </xf>
    <xf numFmtId="0" fontId="10" fillId="0" borderId="7" xfId="0" applyFont="1" applyFill="1" applyBorder="1" applyAlignment="1" applyProtection="1">
      <alignment horizontal="left" vertical="center"/>
    </xf>
    <xf numFmtId="0" fontId="10" fillId="0" borderId="3" xfId="0" applyFont="1" applyBorder="1" applyAlignment="1" applyProtection="1">
      <alignment vertical="center"/>
    </xf>
    <xf numFmtId="49" fontId="10" fillId="0" borderId="4" xfId="0" applyNumberFormat="1" applyFont="1" applyBorder="1" applyAlignment="1" applyProtection="1">
      <alignment vertical="center"/>
    </xf>
    <xf numFmtId="0" fontId="10" fillId="0" borderId="4" xfId="0" applyFont="1" applyBorder="1" applyAlignment="1" applyProtection="1">
      <alignment vertical="center"/>
    </xf>
    <xf numFmtId="165" fontId="10" fillId="0" borderId="4" xfId="0" applyNumberFormat="1" applyFont="1" applyFill="1" applyBorder="1" applyAlignment="1" applyProtection="1">
      <alignment horizontal="center" vertical="center"/>
    </xf>
    <xf numFmtId="0" fontId="10" fillId="0" borderId="4" xfId="0" applyFont="1" applyFill="1" applyBorder="1" applyAlignment="1" applyProtection="1">
      <alignment horizontal="right" vertical="center"/>
    </xf>
    <xf numFmtId="0" fontId="10" fillId="0" borderId="4" xfId="0" quotePrefix="1" applyFont="1" applyFill="1" applyBorder="1" applyAlignment="1" applyProtection="1">
      <alignment horizontal="center" vertical="center" wrapText="1"/>
    </xf>
    <xf numFmtId="0" fontId="10" fillId="0" borderId="5" xfId="0" applyFont="1" applyBorder="1" applyAlignment="1" applyProtection="1">
      <alignment horizontal="center" vertical="center"/>
    </xf>
    <xf numFmtId="0" fontId="10" fillId="0" borderId="0" xfId="0" quotePrefix="1" applyFont="1" applyFill="1" applyBorder="1" applyAlignment="1" applyProtection="1">
      <alignment horizontal="center" vertical="center" wrapText="1"/>
    </xf>
    <xf numFmtId="0" fontId="10" fillId="0" borderId="42" xfId="0" applyFont="1" applyFill="1" applyBorder="1" applyAlignment="1" applyProtection="1">
      <alignment horizontal="left" vertical="center"/>
    </xf>
    <xf numFmtId="0" fontId="10" fillId="0" borderId="1" xfId="0" applyFont="1" applyBorder="1" applyAlignment="1" applyProtection="1">
      <alignment vertical="center"/>
    </xf>
    <xf numFmtId="49" fontId="10" fillId="0" borderId="0" xfId="0" applyNumberFormat="1" applyFont="1" applyFill="1" applyBorder="1" applyAlignment="1" applyProtection="1">
      <alignment vertical="center"/>
    </xf>
    <xf numFmtId="0" fontId="12" fillId="0" borderId="10" xfId="0" applyFont="1" applyBorder="1" applyAlignment="1" applyProtection="1">
      <alignment vertical="center"/>
    </xf>
    <xf numFmtId="49" fontId="10" fillId="0" borderId="9" xfId="0" applyNumberFormat="1" applyFont="1" applyBorder="1" applyAlignment="1" applyProtection="1">
      <alignment vertical="center"/>
    </xf>
    <xf numFmtId="165" fontId="10" fillId="0" borderId="9" xfId="0" applyNumberFormat="1" applyFont="1" applyFill="1" applyBorder="1" applyAlignment="1" applyProtection="1">
      <alignment horizontal="center" vertical="center"/>
    </xf>
    <xf numFmtId="0" fontId="10" fillId="0" borderId="9" xfId="0" applyFont="1" applyFill="1" applyBorder="1" applyAlignment="1" applyProtection="1">
      <alignment horizontal="left" vertical="center"/>
    </xf>
    <xf numFmtId="0" fontId="10" fillId="0" borderId="9" xfId="0" applyFont="1" applyFill="1" applyBorder="1" applyAlignment="1" applyProtection="1">
      <alignment horizontal="right" vertical="center"/>
    </xf>
    <xf numFmtId="0" fontId="10" fillId="0" borderId="9" xfId="0" applyFont="1" applyFill="1" applyBorder="1" applyAlignment="1" applyProtection="1">
      <alignment horizontal="center" vertical="center"/>
    </xf>
    <xf numFmtId="0" fontId="10" fillId="0" borderId="11" xfId="0" applyFont="1" applyBorder="1" applyAlignment="1" applyProtection="1">
      <alignment vertical="center"/>
    </xf>
    <xf numFmtId="0" fontId="10" fillId="0" borderId="7" xfId="0" applyFont="1" applyBorder="1" applyAlignment="1" applyProtection="1">
      <alignment horizontal="right" vertical="center"/>
    </xf>
    <xf numFmtId="0" fontId="39" fillId="0" borderId="7" xfId="0" applyFont="1" applyBorder="1" applyAlignment="1" applyProtection="1">
      <alignment horizontal="left" vertical="center"/>
    </xf>
    <xf numFmtId="165" fontId="10" fillId="0" borderId="4" xfId="0" applyNumberFormat="1" applyFont="1" applyBorder="1" applyAlignment="1" applyProtection="1">
      <alignment horizontal="center" vertical="center"/>
    </xf>
    <xf numFmtId="49" fontId="12" fillId="0" borderId="2" xfId="0" applyNumberFormat="1" applyFont="1" applyFill="1" applyBorder="1" applyAlignment="1" applyProtection="1">
      <alignment vertical="center"/>
    </xf>
    <xf numFmtId="0" fontId="10" fillId="0" borderId="24" xfId="0" applyFont="1" applyBorder="1" applyAlignment="1" applyProtection="1">
      <alignment vertical="center"/>
    </xf>
    <xf numFmtId="0" fontId="15" fillId="0" borderId="25" xfId="0" applyFont="1" applyBorder="1" applyAlignment="1" applyProtection="1">
      <alignment vertical="center"/>
    </xf>
    <xf numFmtId="0" fontId="99" fillId="0" borderId="0" xfId="0" applyFont="1" applyBorder="1" applyAlignment="1" applyProtection="1">
      <alignment vertical="center"/>
    </xf>
    <xf numFmtId="0" fontId="99" fillId="0" borderId="0" xfId="0" applyFont="1" applyBorder="1" applyAlignment="1" applyProtection="1">
      <alignment horizontal="right" vertical="center"/>
    </xf>
    <xf numFmtId="0" fontId="10" fillId="0" borderId="0" xfId="0" quotePrefix="1" applyFont="1" applyFill="1" applyBorder="1" applyAlignment="1" applyProtection="1">
      <alignment horizontal="right" vertical="center" wrapText="1"/>
    </xf>
    <xf numFmtId="0" fontId="10" fillId="0" borderId="3" xfId="0" applyFont="1" applyBorder="1" applyAlignment="1" applyProtection="1">
      <alignment horizontal="right" vertical="center"/>
    </xf>
    <xf numFmtId="0" fontId="10" fillId="0" borderId="4" xfId="0" applyFont="1" applyBorder="1" applyAlignment="1" applyProtection="1">
      <alignment horizontal="right" vertical="center"/>
    </xf>
    <xf numFmtId="165" fontId="10" fillId="0" borderId="4" xfId="0" applyNumberFormat="1" applyFont="1" applyFill="1" applyBorder="1" applyAlignment="1" applyProtection="1">
      <alignment horizontal="right" vertical="center"/>
    </xf>
    <xf numFmtId="165" fontId="12" fillId="0" borderId="4" xfId="0" applyNumberFormat="1" applyFont="1" applyFill="1" applyBorder="1" applyAlignment="1" applyProtection="1">
      <alignment horizontal="center" vertical="center"/>
    </xf>
    <xf numFmtId="0" fontId="10" fillId="0" borderId="5" xfId="0" applyFont="1" applyBorder="1" applyAlignment="1" applyProtection="1">
      <alignment horizontal="left" vertical="center"/>
    </xf>
    <xf numFmtId="49" fontId="10" fillId="0" borderId="6" xfId="0" applyNumberFormat="1" applyFont="1" applyBorder="1" applyAlignment="1" applyProtection="1">
      <alignment vertical="center"/>
    </xf>
    <xf numFmtId="49" fontId="12" fillId="3" borderId="0" xfId="0" applyNumberFormat="1" applyFont="1" applyFill="1" applyBorder="1" applyAlignment="1" applyProtection="1">
      <alignment vertical="center"/>
    </xf>
    <xf numFmtId="49" fontId="12" fillId="3" borderId="7" xfId="0" applyNumberFormat="1" applyFont="1" applyFill="1" applyBorder="1" applyAlignment="1" applyProtection="1">
      <alignment vertical="center"/>
    </xf>
    <xf numFmtId="0" fontId="10" fillId="0" borderId="42" xfId="0" applyFont="1" applyBorder="1" applyAlignment="1" applyProtection="1">
      <alignment vertical="center"/>
    </xf>
    <xf numFmtId="0" fontId="12" fillId="0" borderId="3" xfId="0" applyFont="1" applyBorder="1" applyAlignment="1" applyProtection="1">
      <alignment vertical="center"/>
    </xf>
    <xf numFmtId="0" fontId="12" fillId="0" borderId="4" xfId="0" applyFont="1" applyBorder="1" applyAlignment="1" applyProtection="1">
      <alignment vertical="center"/>
    </xf>
    <xf numFmtId="0" fontId="10" fillId="0" borderId="5" xfId="0" applyFont="1" applyFill="1" applyBorder="1" applyAlignment="1" applyProtection="1">
      <alignment horizontal="left" vertical="center"/>
    </xf>
    <xf numFmtId="0" fontId="12" fillId="0" borderId="0" xfId="0" quotePrefix="1" applyFont="1" applyBorder="1" applyAlignment="1" applyProtection="1">
      <alignment horizontal="right" vertical="center"/>
    </xf>
    <xf numFmtId="0" fontId="11" fillId="0" borderId="0" xfId="0" quotePrefix="1" applyFont="1" applyBorder="1" applyAlignment="1" applyProtection="1">
      <alignment vertical="center"/>
    </xf>
    <xf numFmtId="1" fontId="10" fillId="0" borderId="0" xfId="0" applyNumberFormat="1" applyFont="1" applyFill="1" applyBorder="1" applyAlignment="1" applyProtection="1">
      <alignment horizontal="left" vertical="center"/>
    </xf>
    <xf numFmtId="0" fontId="119" fillId="0" borderId="0" xfId="23" applyFont="1" applyBorder="1" applyAlignment="1">
      <alignment vertical="center"/>
    </xf>
    <xf numFmtId="49" fontId="10" fillId="0" borderId="0" xfId="0" applyNumberFormat="1" applyFont="1" applyFill="1" applyBorder="1" applyAlignment="1" applyProtection="1">
      <alignment horizontal="right" vertical="center"/>
    </xf>
    <xf numFmtId="0" fontId="10" fillId="0" borderId="0" xfId="0" applyFont="1" applyBorder="1" applyAlignment="1" applyProtection="1">
      <alignment horizontal="left" vertical="center"/>
    </xf>
    <xf numFmtId="0" fontId="15" fillId="0" borderId="0" xfId="0" applyFont="1" applyProtection="1"/>
    <xf numFmtId="0" fontId="10" fillId="0" borderId="0" xfId="0" applyFont="1" applyProtection="1"/>
    <xf numFmtId="0" fontId="15" fillId="0" borderId="0" xfId="0" applyFont="1" applyBorder="1" applyProtection="1"/>
    <xf numFmtId="0" fontId="10" fillId="0" borderId="0" xfId="0" applyFont="1" applyFill="1" applyBorder="1" applyProtection="1"/>
    <xf numFmtId="0" fontId="15" fillId="0" borderId="0" xfId="0" applyFont="1" applyFill="1" applyBorder="1" applyProtection="1"/>
    <xf numFmtId="0" fontId="15" fillId="0" borderId="0" xfId="0" applyFont="1" applyFill="1" applyProtection="1"/>
    <xf numFmtId="0" fontId="10" fillId="0" borderId="0" xfId="0" applyFont="1" applyFill="1" applyProtection="1"/>
    <xf numFmtId="0" fontId="15" fillId="0" borderId="0" xfId="0" applyFont="1" applyAlignment="1" applyProtection="1">
      <alignment vertical="center"/>
    </xf>
    <xf numFmtId="0" fontId="15" fillId="0" borderId="0" xfId="9" applyFont="1" applyFill="1" applyProtection="1"/>
    <xf numFmtId="0" fontId="15" fillId="0" borderId="0" xfId="9" applyFont="1" applyFill="1" applyBorder="1" applyProtection="1"/>
    <xf numFmtId="0" fontId="15" fillId="0" borderId="0" xfId="9" applyFont="1" applyProtection="1"/>
    <xf numFmtId="0" fontId="40" fillId="0" borderId="0" xfId="0" applyFont="1" applyProtection="1"/>
    <xf numFmtId="0" fontId="104" fillId="0" borderId="0" xfId="0" applyFont="1" applyProtection="1"/>
    <xf numFmtId="1" fontId="40" fillId="0" borderId="0" xfId="0" applyNumberFormat="1" applyFont="1" applyAlignment="1" applyProtection="1">
      <alignment horizontal="center"/>
    </xf>
    <xf numFmtId="0" fontId="40" fillId="0" borderId="0" xfId="0" applyFont="1" applyBorder="1" applyAlignment="1" applyProtection="1">
      <alignment horizontal="left" vertical="center"/>
    </xf>
    <xf numFmtId="0" fontId="40" fillId="0" borderId="0" xfId="0" applyFont="1" applyBorder="1" applyAlignment="1" applyProtection="1">
      <alignment horizontal="left"/>
    </xf>
    <xf numFmtId="2" fontId="40" fillId="0" borderId="0" xfId="0" applyNumberFormat="1" applyFont="1" applyProtection="1"/>
    <xf numFmtId="167" fontId="10" fillId="0" borderId="0" xfId="0" applyNumberFormat="1" applyFont="1" applyProtection="1"/>
    <xf numFmtId="2" fontId="10" fillId="0" borderId="0" xfId="0" applyNumberFormat="1" applyFont="1" applyProtection="1"/>
    <xf numFmtId="165" fontId="10" fillId="0" borderId="0" xfId="0" applyNumberFormat="1" applyFont="1" applyProtection="1"/>
    <xf numFmtId="0" fontId="12" fillId="0" borderId="0" xfId="0" applyFont="1" applyProtection="1"/>
    <xf numFmtId="0" fontId="12" fillId="0" borderId="0" xfId="0" applyFont="1" applyAlignment="1" applyProtection="1"/>
    <xf numFmtId="0" fontId="40" fillId="0" borderId="0" xfId="0" applyFont="1" applyBorder="1" applyAlignment="1" applyProtection="1">
      <alignment horizontal="center"/>
    </xf>
    <xf numFmtId="0" fontId="40" fillId="0" borderId="0" xfId="0" applyFont="1" applyBorder="1" applyProtection="1"/>
    <xf numFmtId="0" fontId="40" fillId="0" borderId="0" xfId="0" applyFont="1" applyAlignment="1" applyProtection="1">
      <alignment horizontal="left"/>
    </xf>
    <xf numFmtId="1" fontId="40" fillId="0" borderId="0" xfId="0" applyNumberFormat="1" applyFont="1" applyBorder="1" applyAlignment="1" applyProtection="1">
      <alignment horizontal="center"/>
    </xf>
    <xf numFmtId="0" fontId="15" fillId="0" borderId="36" xfId="0" applyFont="1" applyBorder="1" applyAlignment="1" applyProtection="1">
      <alignment vertical="center"/>
    </xf>
    <xf numFmtId="0" fontId="0" fillId="0" borderId="0" xfId="0" applyBorder="1" applyProtection="1"/>
    <xf numFmtId="0" fontId="123" fillId="0" borderId="0" xfId="0" applyFont="1" applyBorder="1" applyAlignment="1" applyProtection="1">
      <alignment vertical="center"/>
      <protection hidden="1"/>
    </xf>
    <xf numFmtId="0" fontId="123" fillId="0" borderId="0" xfId="0" applyFont="1" applyBorder="1" applyAlignment="1" applyProtection="1">
      <alignment vertical="center" wrapText="1"/>
      <protection hidden="1"/>
    </xf>
    <xf numFmtId="0" fontId="10" fillId="11" borderId="32" xfId="43" applyFont="1" applyFill="1" applyBorder="1" applyAlignment="1" applyProtection="1">
      <alignment vertical="center"/>
    </xf>
    <xf numFmtId="0" fontId="12" fillId="11" borderId="33" xfId="43" applyFont="1" applyFill="1" applyBorder="1" applyAlignment="1" applyProtection="1">
      <alignment vertical="center"/>
    </xf>
    <xf numFmtId="0" fontId="10" fillId="11" borderId="33" xfId="43" applyFont="1" applyFill="1" applyBorder="1" applyAlignment="1" applyProtection="1">
      <alignment vertical="center"/>
    </xf>
    <xf numFmtId="0" fontId="10" fillId="11" borderId="33" xfId="43" applyFont="1" applyFill="1" applyBorder="1" applyAlignment="1" applyProtection="1">
      <alignment horizontal="right" vertical="center"/>
    </xf>
    <xf numFmtId="0" fontId="10" fillId="11" borderId="26" xfId="43" applyFont="1" applyFill="1" applyBorder="1" applyAlignment="1" applyProtection="1">
      <alignment vertical="center"/>
    </xf>
    <xf numFmtId="0" fontId="10" fillId="11" borderId="39" xfId="43" applyFont="1" applyFill="1" applyBorder="1" applyAlignment="1" applyProtection="1">
      <alignment vertical="center"/>
    </xf>
    <xf numFmtId="0" fontId="12" fillId="11" borderId="33" xfId="43" applyFont="1" applyFill="1" applyBorder="1" applyAlignment="1" applyProtection="1">
      <alignment horizontal="left" vertical="center"/>
    </xf>
    <xf numFmtId="0" fontId="8" fillId="11" borderId="33" xfId="43" applyFont="1" applyFill="1" applyBorder="1" applyAlignment="1" applyProtection="1">
      <alignment vertical="center"/>
    </xf>
    <xf numFmtId="0" fontId="8" fillId="11" borderId="33" xfId="23" applyFont="1" applyFill="1" applyBorder="1" applyAlignment="1" applyProtection="1">
      <alignment vertical="center" wrapText="1"/>
    </xf>
    <xf numFmtId="0" fontId="8" fillId="11" borderId="33" xfId="23" applyFill="1" applyBorder="1" applyAlignment="1" applyProtection="1">
      <alignment horizontal="left" vertical="center" wrapText="1"/>
    </xf>
    <xf numFmtId="0" fontId="10" fillId="11" borderId="33" xfId="43" applyFont="1" applyFill="1" applyBorder="1" applyAlignment="1">
      <alignment vertical="center"/>
    </xf>
    <xf numFmtId="0" fontId="15" fillId="11" borderId="33" xfId="43" applyFont="1" applyFill="1" applyBorder="1" applyAlignment="1" applyProtection="1">
      <alignment vertical="center"/>
    </xf>
    <xf numFmtId="0" fontId="10" fillId="11" borderId="34" xfId="43" applyFont="1" applyFill="1" applyBorder="1" applyAlignment="1" applyProtection="1">
      <alignment vertical="center"/>
    </xf>
    <xf numFmtId="0" fontId="10" fillId="11" borderId="32" xfId="0" applyFont="1" applyFill="1" applyBorder="1" applyAlignment="1" applyProtection="1">
      <alignment vertical="center"/>
    </xf>
    <xf numFmtId="0" fontId="12" fillId="11" borderId="33" xfId="0" quotePrefix="1" applyFont="1" applyFill="1" applyBorder="1" applyAlignment="1" applyProtection="1">
      <alignment horizontal="left" vertical="center"/>
    </xf>
    <xf numFmtId="0" fontId="12" fillId="11" borderId="33" xfId="0" applyFont="1" applyFill="1" applyBorder="1" applyAlignment="1" applyProtection="1">
      <alignment vertical="center"/>
    </xf>
    <xf numFmtId="0" fontId="121" fillId="11" borderId="33" xfId="0" applyFont="1" applyFill="1" applyBorder="1" applyAlignment="1" applyProtection="1">
      <alignment vertical="center"/>
    </xf>
    <xf numFmtId="0" fontId="10" fillId="11" borderId="33" xfId="0" applyFont="1" applyFill="1" applyBorder="1" applyAlignment="1" applyProtection="1">
      <alignment vertical="center"/>
    </xf>
    <xf numFmtId="0" fontId="15" fillId="11" borderId="34" xfId="0" applyFont="1" applyFill="1" applyBorder="1" applyAlignment="1" applyProtection="1">
      <alignment vertical="center"/>
    </xf>
    <xf numFmtId="0" fontId="10" fillId="11" borderId="26" xfId="0" applyFont="1" applyFill="1" applyBorder="1" applyAlignment="1" applyProtection="1">
      <alignment vertical="center"/>
    </xf>
    <xf numFmtId="0" fontId="12" fillId="11" borderId="19" xfId="0" quotePrefix="1" applyFont="1" applyFill="1" applyBorder="1" applyAlignment="1" applyProtection="1">
      <alignment horizontal="left" vertical="center"/>
    </xf>
    <xf numFmtId="0" fontId="121" fillId="11" borderId="19" xfId="0" applyFont="1" applyFill="1" applyBorder="1" applyAlignment="1" applyProtection="1">
      <alignment vertical="center"/>
    </xf>
    <xf numFmtId="0" fontId="10" fillId="11" borderId="19" xfId="0" applyFont="1" applyFill="1" applyBorder="1" applyAlignment="1" applyProtection="1">
      <alignment vertical="center"/>
    </xf>
    <xf numFmtId="0" fontId="15" fillId="11" borderId="39" xfId="0" applyFont="1" applyFill="1" applyBorder="1" applyAlignment="1" applyProtection="1">
      <alignment vertical="center"/>
    </xf>
    <xf numFmtId="49" fontId="12" fillId="11" borderId="19" xfId="0" quotePrefix="1" applyNumberFormat="1" applyFont="1" applyFill="1" applyBorder="1" applyAlignment="1" applyProtection="1">
      <alignment horizontal="left" vertical="center"/>
    </xf>
    <xf numFmtId="0" fontId="11" fillId="11" borderId="19" xfId="0" applyFont="1" applyFill="1" applyBorder="1" applyAlignment="1" applyProtection="1">
      <alignment vertical="center"/>
    </xf>
    <xf numFmtId="0" fontId="8" fillId="11" borderId="19" xfId="0" applyFont="1" applyFill="1" applyBorder="1" applyAlignment="1" applyProtection="1">
      <alignment vertical="center"/>
    </xf>
    <xf numFmtId="0" fontId="10" fillId="11" borderId="19" xfId="0" applyFont="1" applyFill="1" applyBorder="1" applyAlignment="1" applyProtection="1">
      <alignment vertical="center" wrapText="1"/>
    </xf>
    <xf numFmtId="2" fontId="10" fillId="11" borderId="8" xfId="0" applyNumberFormat="1" applyFont="1" applyFill="1" applyBorder="1" applyAlignment="1" applyProtection="1">
      <alignment horizontal="center" vertical="center"/>
    </xf>
    <xf numFmtId="2" fontId="10" fillId="11" borderId="8" xfId="0" applyNumberFormat="1" applyFont="1" applyFill="1" applyBorder="1" applyAlignment="1" applyProtection="1">
      <alignment vertical="center"/>
    </xf>
    <xf numFmtId="49" fontId="12" fillId="11" borderId="33" xfId="0" quotePrefix="1" applyNumberFormat="1" applyFont="1" applyFill="1" applyBorder="1" applyAlignment="1" applyProtection="1">
      <alignment horizontal="left" vertical="center"/>
    </xf>
    <xf numFmtId="165" fontId="10" fillId="11" borderId="8" xfId="55" applyNumberFormat="1" applyFont="1" applyFill="1" applyBorder="1" applyAlignment="1" applyProtection="1">
      <alignment horizontal="center" vertical="center"/>
    </xf>
    <xf numFmtId="0" fontId="38" fillId="11" borderId="39" xfId="0" applyFont="1" applyFill="1" applyBorder="1" applyAlignment="1" applyProtection="1">
      <alignment horizontal="left" vertical="center"/>
    </xf>
    <xf numFmtId="0" fontId="10" fillId="11" borderId="19" xfId="0" applyFont="1" applyFill="1" applyBorder="1" applyAlignment="1" applyProtection="1">
      <alignment horizontal="left" vertical="center"/>
    </xf>
    <xf numFmtId="0" fontId="118" fillId="0" borderId="0" xfId="23" applyFont="1" applyBorder="1" applyAlignment="1">
      <alignment vertical="center"/>
    </xf>
    <xf numFmtId="0" fontId="118" fillId="0" borderId="0" xfId="10" applyFont="1" applyBorder="1" applyAlignment="1">
      <alignment horizontal="left" vertical="center"/>
    </xf>
    <xf numFmtId="0" fontId="118" fillId="0" borderId="0" xfId="10" applyFont="1" applyBorder="1" applyAlignment="1">
      <alignment vertical="center"/>
    </xf>
    <xf numFmtId="2" fontId="34" fillId="7" borderId="13" xfId="57" applyNumberFormat="1" applyFont="1" applyFill="1" applyBorder="1" applyAlignment="1" applyProtection="1">
      <alignment horizontal="center" vertical="center"/>
      <protection locked="0"/>
    </xf>
    <xf numFmtId="2" fontId="34" fillId="11" borderId="13" xfId="57" applyNumberFormat="1" applyFont="1" applyFill="1" applyBorder="1" applyAlignment="1">
      <alignment horizontal="center" vertical="center"/>
    </xf>
    <xf numFmtId="0" fontId="118" fillId="0" borderId="0" xfId="0" applyFont="1" applyFill="1" applyBorder="1" applyAlignment="1">
      <alignment horizontal="left" vertical="top"/>
    </xf>
    <xf numFmtId="0" fontId="12" fillId="0" borderId="37" xfId="23" applyFont="1" applyFill="1" applyBorder="1" applyAlignment="1">
      <alignment horizontal="left" vertical="center"/>
    </xf>
    <xf numFmtId="0" fontId="10" fillId="0" borderId="4" xfId="23" applyFont="1" applyFill="1" applyBorder="1" applyAlignment="1">
      <alignment horizontal="left" vertical="center"/>
    </xf>
    <xf numFmtId="0" fontId="8" fillId="0" borderId="4" xfId="23" applyFill="1" applyBorder="1" applyAlignment="1">
      <alignment horizontal="left" vertical="center"/>
    </xf>
    <xf numFmtId="0" fontId="26" fillId="0" borderId="4" xfId="23" applyFont="1" applyBorder="1" applyAlignment="1">
      <alignment horizontal="center"/>
    </xf>
    <xf numFmtId="0" fontId="27" fillId="0" borderId="4" xfId="23" applyFont="1" applyBorder="1" applyAlignment="1"/>
    <xf numFmtId="0" fontId="27" fillId="0" borderId="38" xfId="23" applyFont="1" applyBorder="1" applyAlignment="1"/>
    <xf numFmtId="49" fontId="31" fillId="0" borderId="4" xfId="0" applyNumberFormat="1" applyFont="1" applyBorder="1" applyAlignment="1">
      <alignment vertical="center" wrapText="1"/>
    </xf>
    <xf numFmtId="49" fontId="31" fillId="10" borderId="0" xfId="59" applyNumberFormat="1" applyFont="1" applyFill="1" applyBorder="1" applyAlignment="1" applyProtection="1">
      <alignment vertical="center"/>
    </xf>
    <xf numFmtId="0" fontId="10" fillId="0" borderId="0" xfId="0" applyFont="1" applyBorder="1" applyAlignment="1">
      <alignment horizontal="left" vertical="center"/>
    </xf>
    <xf numFmtId="0" fontId="10" fillId="0" borderId="0" xfId="0" applyFont="1" applyFill="1" applyBorder="1" applyAlignment="1" applyProtection="1">
      <alignment horizontal="center" vertical="center"/>
    </xf>
    <xf numFmtId="0" fontId="26" fillId="0" borderId="0" xfId="23" applyFont="1" applyBorder="1" applyAlignment="1">
      <alignment vertical="center"/>
    </xf>
    <xf numFmtId="0" fontId="10" fillId="0" borderId="81" xfId="0" applyFont="1" applyBorder="1" applyAlignment="1">
      <alignment horizontal="left" vertical="center"/>
    </xf>
    <xf numFmtId="0" fontId="12" fillId="0" borderId="35" xfId="0" applyFont="1" applyBorder="1" applyAlignment="1">
      <alignment horizontal="right" vertical="center"/>
    </xf>
    <xf numFmtId="0" fontId="10" fillId="0" borderId="35" xfId="0" quotePrefix="1" applyFont="1" applyBorder="1" applyAlignment="1">
      <alignment horizontal="center" vertical="center"/>
    </xf>
    <xf numFmtId="0" fontId="10" fillId="0" borderId="36" xfId="0" applyFont="1" applyBorder="1" applyAlignment="1">
      <alignment horizontal="center" vertical="center"/>
    </xf>
    <xf numFmtId="0" fontId="10" fillId="0" borderId="21" xfId="0" applyFont="1" applyFill="1" applyBorder="1" applyAlignment="1">
      <alignment horizontal="center" vertical="center"/>
    </xf>
    <xf numFmtId="1" fontId="9" fillId="0" borderId="2" xfId="0" applyNumberFormat="1" applyFont="1" applyFill="1" applyBorder="1" applyAlignment="1">
      <alignment horizontal="center" vertical="center"/>
    </xf>
    <xf numFmtId="0" fontId="14" fillId="0" borderId="2" xfId="0" applyFont="1" applyFill="1" applyBorder="1" applyAlignment="1">
      <alignment horizontal="center" vertical="center"/>
    </xf>
    <xf numFmtId="165" fontId="9" fillId="0" borderId="2" xfId="0" applyNumberFormat="1" applyFont="1" applyFill="1" applyBorder="1" applyAlignment="1">
      <alignment horizontal="center" vertical="center"/>
    </xf>
    <xf numFmtId="165" fontId="14" fillId="0" borderId="2" xfId="0" applyNumberFormat="1" applyFont="1" applyFill="1" applyBorder="1" applyAlignment="1">
      <alignment horizontal="center" vertical="center"/>
    </xf>
    <xf numFmtId="49" fontId="10" fillId="2" borderId="30" xfId="59" applyNumberFormat="1" applyFont="1" applyFill="1" applyBorder="1" applyProtection="1"/>
    <xf numFmtId="49" fontId="10" fillId="2" borderId="28" xfId="59" applyNumberFormat="1" applyFont="1" applyFill="1" applyBorder="1" applyProtection="1"/>
    <xf numFmtId="0" fontId="12" fillId="2" borderId="28" xfId="59" applyFont="1" applyFill="1" applyBorder="1" applyAlignment="1" applyProtection="1">
      <alignment horizontal="left"/>
    </xf>
    <xf numFmtId="0" fontId="10" fillId="2" borderId="28" xfId="59" applyFont="1" applyFill="1" applyBorder="1" applyProtection="1"/>
    <xf numFmtId="0" fontId="10" fillId="2" borderId="28" xfId="0" applyFont="1" applyFill="1" applyBorder="1" applyAlignment="1" applyProtection="1"/>
    <xf numFmtId="0" fontId="10" fillId="0" borderId="0" xfId="59" applyFont="1" applyProtection="1"/>
    <xf numFmtId="49" fontId="12" fillId="10" borderId="22" xfId="59" applyNumberFormat="1" applyFont="1" applyFill="1" applyBorder="1" applyAlignment="1" applyProtection="1">
      <alignment horizontal="right"/>
    </xf>
    <xf numFmtId="49" fontId="12" fillId="10" borderId="0" xfId="59" applyNumberFormat="1" applyFont="1" applyFill="1" applyBorder="1" applyAlignment="1" applyProtection="1">
      <alignment horizontal="right"/>
    </xf>
    <xf numFmtId="0" fontId="10" fillId="10" borderId="0" xfId="59" applyFont="1" applyFill="1" applyBorder="1" applyProtection="1"/>
    <xf numFmtId="0" fontId="10" fillId="10" borderId="1" xfId="59" applyFont="1" applyFill="1" applyBorder="1" applyProtection="1"/>
    <xf numFmtId="49" fontId="11" fillId="10" borderId="0" xfId="59" applyNumberFormat="1" applyFont="1" applyFill="1" applyBorder="1" applyAlignment="1" applyProtection="1">
      <alignment horizontal="right"/>
    </xf>
    <xf numFmtId="49" fontId="10" fillId="10" borderId="0" xfId="59" applyNumberFormat="1" applyFont="1" applyFill="1" applyBorder="1" applyAlignment="1" applyProtection="1">
      <alignment horizontal="center"/>
    </xf>
    <xf numFmtId="0" fontId="34" fillId="10" borderId="0" xfId="59" applyFont="1" applyFill="1" applyBorder="1" applyProtection="1"/>
    <xf numFmtId="0" fontId="10" fillId="10" borderId="0" xfId="0" applyFont="1" applyFill="1" applyBorder="1" applyProtection="1"/>
    <xf numFmtId="0" fontId="10" fillId="10" borderId="22" xfId="0" applyFont="1" applyFill="1" applyBorder="1" applyAlignment="1" applyProtection="1">
      <alignment wrapText="1"/>
    </xf>
    <xf numFmtId="0" fontId="12" fillId="10" borderId="0" xfId="59" applyFont="1" applyFill="1" applyBorder="1" applyAlignment="1" applyProtection="1">
      <alignment wrapText="1"/>
    </xf>
    <xf numFmtId="0" fontId="12" fillId="10" borderId="18" xfId="59" applyFont="1" applyFill="1" applyBorder="1" applyAlignment="1" applyProtection="1">
      <alignment horizontal="center" wrapText="1"/>
    </xf>
    <xf numFmtId="0" fontId="10" fillId="10" borderId="8" xfId="59" applyFont="1" applyFill="1" applyBorder="1" applyAlignment="1" applyProtection="1">
      <alignment horizontal="center" wrapText="1"/>
    </xf>
    <xf numFmtId="49" fontId="10" fillId="10" borderId="0" xfId="59" applyNumberFormat="1" applyFont="1" applyFill="1" applyBorder="1" applyAlignment="1" applyProtection="1">
      <alignment horizontal="right" wrapText="1"/>
    </xf>
    <xf numFmtId="49" fontId="10" fillId="10" borderId="0" xfId="59" applyNumberFormat="1" applyFont="1" applyFill="1" applyBorder="1" applyAlignment="1" applyProtection="1">
      <alignment horizontal="center" wrapText="1"/>
    </xf>
    <xf numFmtId="0" fontId="10" fillId="10" borderId="0" xfId="59" applyFont="1" applyFill="1" applyBorder="1" applyAlignment="1" applyProtection="1">
      <alignment horizontal="center" wrapText="1"/>
    </xf>
    <xf numFmtId="0" fontId="10" fillId="10" borderId="0" xfId="59" applyFont="1" applyFill="1" applyBorder="1" applyAlignment="1" applyProtection="1">
      <alignment wrapText="1"/>
    </xf>
    <xf numFmtId="0" fontId="10" fillId="10" borderId="0" xfId="0" applyFont="1" applyFill="1" applyBorder="1" applyAlignment="1" applyProtection="1">
      <alignment wrapText="1"/>
    </xf>
    <xf numFmtId="0" fontId="10" fillId="10" borderId="22" xfId="0" applyFont="1" applyFill="1" applyBorder="1" applyProtection="1"/>
    <xf numFmtId="1" fontId="10" fillId="10" borderId="0" xfId="59" applyNumberFormat="1" applyFont="1" applyFill="1" applyBorder="1" applyAlignment="1" applyProtection="1">
      <alignment horizontal="right"/>
    </xf>
    <xf numFmtId="1" fontId="10" fillId="10" borderId="8" xfId="59" applyNumberFormat="1" applyFont="1" applyFill="1" applyBorder="1" applyAlignment="1" applyProtection="1">
      <alignment horizontal="center"/>
    </xf>
    <xf numFmtId="0" fontId="12" fillId="7" borderId="12" xfId="59" applyFont="1" applyFill="1" applyBorder="1" applyAlignment="1" applyProtection="1">
      <alignment horizontal="center" vertical="center"/>
      <protection locked="0"/>
    </xf>
    <xf numFmtId="1" fontId="34" fillId="9" borderId="12" xfId="59" applyNumberFormat="1" applyFont="1" applyFill="1" applyBorder="1" applyAlignment="1" applyProtection="1">
      <alignment horizontal="center" vertical="center"/>
    </xf>
    <xf numFmtId="1" fontId="34" fillId="9" borderId="5" xfId="59" applyNumberFormat="1" applyFont="1" applyFill="1" applyBorder="1" applyAlignment="1" applyProtection="1">
      <alignment horizontal="center" vertical="center"/>
    </xf>
    <xf numFmtId="0" fontId="10" fillId="10" borderId="1" xfId="0" applyFont="1" applyFill="1" applyBorder="1" applyProtection="1"/>
    <xf numFmtId="0" fontId="10" fillId="10" borderId="0" xfId="59" applyFont="1" applyFill="1" applyBorder="1" applyAlignment="1" applyProtection="1"/>
    <xf numFmtId="0" fontId="12" fillId="7" borderId="8" xfId="59" applyFont="1" applyFill="1" applyBorder="1" applyAlignment="1" applyProtection="1">
      <alignment horizontal="center" vertical="center"/>
      <protection locked="0"/>
    </xf>
    <xf numFmtId="1" fontId="34" fillId="9" borderId="8" xfId="59" applyNumberFormat="1" applyFont="1" applyFill="1" applyBorder="1" applyAlignment="1" applyProtection="1">
      <alignment horizontal="center" vertical="center"/>
    </xf>
    <xf numFmtId="1" fontId="34" fillId="9" borderId="14" xfId="59" applyNumberFormat="1" applyFont="1" applyFill="1" applyBorder="1" applyAlignment="1" applyProtection="1">
      <alignment horizontal="center" vertical="center"/>
    </xf>
    <xf numFmtId="0" fontId="34" fillId="10" borderId="0" xfId="59" applyFont="1" applyFill="1" applyBorder="1" applyAlignment="1" applyProtection="1">
      <alignment horizontal="center"/>
    </xf>
    <xf numFmtId="0" fontId="10" fillId="10" borderId="1" xfId="59" applyFont="1" applyFill="1" applyBorder="1" applyAlignment="1" applyProtection="1">
      <alignment horizontal="center"/>
    </xf>
    <xf numFmtId="0" fontId="10" fillId="10" borderId="0" xfId="59" applyFont="1" applyFill="1" applyBorder="1" applyAlignment="1" applyProtection="1">
      <alignment horizontal="left" vertical="center" wrapText="1"/>
    </xf>
    <xf numFmtId="0" fontId="15" fillId="10" borderId="0" xfId="59" applyFont="1" applyFill="1" applyBorder="1" applyProtection="1"/>
    <xf numFmtId="167" fontId="15" fillId="10" borderId="0" xfId="59" applyNumberFormat="1" applyFont="1" applyFill="1" applyBorder="1" applyAlignment="1" applyProtection="1">
      <alignment horizontal="center" vertical="center"/>
    </xf>
    <xf numFmtId="0" fontId="15" fillId="10" borderId="0" xfId="59" applyFont="1" applyFill="1" applyBorder="1" applyAlignment="1" applyProtection="1">
      <alignment vertical="center"/>
    </xf>
    <xf numFmtId="0" fontId="10" fillId="10" borderId="0" xfId="59" applyFont="1" applyFill="1" applyBorder="1" applyAlignment="1" applyProtection="1">
      <alignment horizontal="center"/>
    </xf>
    <xf numFmtId="0" fontId="10" fillId="9" borderId="8" xfId="23" applyFont="1" applyFill="1" applyBorder="1" applyAlignment="1" applyProtection="1">
      <alignment horizontal="center"/>
    </xf>
    <xf numFmtId="2" fontId="10" fillId="10" borderId="0" xfId="59" applyNumberFormat="1" applyFont="1" applyFill="1" applyBorder="1" applyAlignment="1" applyProtection="1">
      <alignment horizontal="center" vertical="center"/>
    </xf>
    <xf numFmtId="0" fontId="10" fillId="10" borderId="1" xfId="59" applyFont="1" applyFill="1" applyBorder="1" applyAlignment="1" applyProtection="1">
      <alignment vertical="center"/>
    </xf>
    <xf numFmtId="1" fontId="10" fillId="9" borderId="8" xfId="23" applyNumberFormat="1" applyFont="1" applyFill="1" applyBorder="1" applyAlignment="1" applyProtection="1">
      <alignment horizontal="center"/>
    </xf>
    <xf numFmtId="165" fontId="10" fillId="9" borderId="8" xfId="23" applyNumberFormat="1" applyFont="1" applyFill="1" applyBorder="1" applyAlignment="1" applyProtection="1">
      <alignment horizontal="center"/>
    </xf>
    <xf numFmtId="0" fontId="10" fillId="10" borderId="0" xfId="23" applyFont="1" applyFill="1" applyBorder="1" applyProtection="1"/>
    <xf numFmtId="0" fontId="10" fillId="10" borderId="0" xfId="23" applyFont="1" applyFill="1" applyBorder="1" applyAlignment="1" applyProtection="1">
      <alignment horizontal="right"/>
    </xf>
    <xf numFmtId="1" fontId="10" fillId="9" borderId="8" xfId="59" applyNumberFormat="1" applyFont="1" applyFill="1" applyBorder="1" applyAlignment="1" applyProtection="1">
      <alignment horizontal="center"/>
    </xf>
    <xf numFmtId="1" fontId="10" fillId="10" borderId="0" xfId="59" applyNumberFormat="1" applyFont="1" applyFill="1" applyBorder="1" applyProtection="1"/>
    <xf numFmtId="1" fontId="10" fillId="0" borderId="0" xfId="23" applyNumberFormat="1" applyFont="1" applyBorder="1" applyProtection="1"/>
    <xf numFmtId="0" fontId="10" fillId="0" borderId="0" xfId="23" applyFont="1" applyBorder="1" applyAlignment="1" applyProtection="1">
      <alignment horizontal="right"/>
    </xf>
    <xf numFmtId="0" fontId="10" fillId="10" borderId="22" xfId="23" applyFont="1" applyFill="1" applyBorder="1" applyAlignment="1" applyProtection="1"/>
    <xf numFmtId="0" fontId="10" fillId="0" borderId="0" xfId="23" applyFont="1" applyBorder="1" applyAlignment="1" applyProtection="1"/>
    <xf numFmtId="1" fontId="12" fillId="0" borderId="0" xfId="23" applyNumberFormat="1" applyFont="1" applyFill="1" applyBorder="1" applyProtection="1"/>
    <xf numFmtId="0" fontId="12" fillId="0" borderId="22" xfId="23" applyFont="1" applyBorder="1" applyAlignment="1" applyProtection="1"/>
    <xf numFmtId="1" fontId="12" fillId="0" borderId="0" xfId="23" applyNumberFormat="1" applyFont="1" applyBorder="1" applyAlignment="1" applyProtection="1"/>
    <xf numFmtId="1" fontId="12" fillId="10" borderId="0" xfId="23" applyNumberFormat="1" applyFont="1" applyFill="1" applyBorder="1" applyAlignment="1" applyProtection="1"/>
    <xf numFmtId="1" fontId="12" fillId="10" borderId="7" xfId="23" applyNumberFormat="1" applyFont="1" applyFill="1" applyBorder="1" applyAlignment="1" applyProtection="1"/>
    <xf numFmtId="0" fontId="10" fillId="7" borderId="8" xfId="0" applyFont="1" applyFill="1" applyBorder="1" applyAlignment="1" applyProtection="1">
      <alignment horizontal="center"/>
      <protection locked="0"/>
    </xf>
    <xf numFmtId="0" fontId="10" fillId="10" borderId="22" xfId="59" applyFont="1" applyFill="1" applyBorder="1" applyProtection="1"/>
    <xf numFmtId="0" fontId="10" fillId="7" borderId="8" xfId="59" applyFont="1" applyFill="1" applyBorder="1" applyAlignment="1" applyProtection="1">
      <alignment horizontal="center"/>
      <protection locked="0"/>
    </xf>
    <xf numFmtId="49" fontId="11" fillId="0" borderId="0" xfId="59" applyNumberFormat="1" applyFont="1" applyFill="1" applyBorder="1" applyAlignment="1" applyProtection="1">
      <alignment horizontal="right"/>
    </xf>
    <xf numFmtId="49" fontId="10" fillId="0" borderId="0" xfId="59" applyNumberFormat="1" applyFont="1" applyFill="1" applyBorder="1" applyAlignment="1" applyProtection="1">
      <alignment horizontal="center"/>
    </xf>
    <xf numFmtId="0" fontId="34" fillId="0" borderId="0" xfId="59" applyFont="1" applyProtection="1"/>
    <xf numFmtId="49" fontId="12" fillId="0" borderId="0" xfId="59" applyNumberFormat="1" applyFont="1" applyFill="1" applyBorder="1" applyAlignment="1" applyProtection="1">
      <alignment horizontal="right"/>
    </xf>
    <xf numFmtId="0" fontId="10" fillId="0" borderId="0" xfId="59" applyFont="1" applyFill="1" applyBorder="1" applyProtection="1"/>
    <xf numFmtId="0" fontId="10" fillId="0" borderId="0" xfId="59" applyFont="1" applyFill="1" applyBorder="1" applyAlignment="1" applyProtection="1">
      <alignment horizontal="center" vertical="center"/>
    </xf>
    <xf numFmtId="0" fontId="10" fillId="0" borderId="0" xfId="59" applyFont="1" applyFill="1" applyBorder="1" applyAlignment="1" applyProtection="1">
      <alignment horizontal="left" vertical="center"/>
    </xf>
    <xf numFmtId="0" fontId="10" fillId="0" borderId="0" xfId="59" applyFont="1" applyFill="1" applyBorder="1" applyAlignment="1" applyProtection="1">
      <alignment vertical="center"/>
    </xf>
    <xf numFmtId="0" fontId="10" fillId="0" borderId="0" xfId="59" applyFont="1" applyFill="1" applyBorder="1" applyAlignment="1" applyProtection="1">
      <alignment horizontal="center"/>
    </xf>
    <xf numFmtId="49" fontId="34" fillId="0" borderId="0" xfId="59" applyNumberFormat="1" applyFont="1" applyFill="1" applyBorder="1" applyAlignment="1" applyProtection="1">
      <alignment horizontal="center"/>
    </xf>
    <xf numFmtId="0" fontId="10" fillId="0" borderId="0" xfId="59" applyFont="1" applyBorder="1" applyProtection="1"/>
    <xf numFmtId="0" fontId="11" fillId="0" borderId="0" xfId="59" applyFont="1" applyFill="1" applyBorder="1" applyAlignment="1" applyProtection="1">
      <alignment horizontal="right"/>
    </xf>
    <xf numFmtId="0" fontId="34" fillId="0" borderId="0" xfId="59" applyFont="1" applyBorder="1" applyAlignment="1" applyProtection="1">
      <alignment horizontal="right"/>
    </xf>
    <xf numFmtId="0" fontId="10" fillId="0" borderId="0" xfId="59" applyFont="1" applyFill="1" applyBorder="1" applyAlignment="1" applyProtection="1">
      <alignment horizontal="left" wrapText="1"/>
    </xf>
    <xf numFmtId="0" fontId="10" fillId="0" borderId="0" xfId="59" applyFont="1" applyFill="1" applyProtection="1"/>
    <xf numFmtId="0" fontId="34" fillId="0" borderId="0" xfId="59" applyFont="1" applyFill="1" applyProtection="1"/>
    <xf numFmtId="0" fontId="12" fillId="0" borderId="0" xfId="59" applyFont="1" applyFill="1" applyBorder="1" applyAlignment="1" applyProtection="1">
      <alignment horizontal="center" vertical="center"/>
    </xf>
    <xf numFmtId="0" fontId="12" fillId="0" borderId="0" xfId="59" applyFont="1" applyFill="1" applyBorder="1" applyAlignment="1" applyProtection="1">
      <alignment horizontal="left" vertical="center"/>
    </xf>
    <xf numFmtId="0" fontId="12" fillId="0" borderId="0" xfId="59" applyFont="1" applyFill="1" applyBorder="1" applyAlignment="1" applyProtection="1">
      <alignment horizontal="center"/>
    </xf>
    <xf numFmtId="0" fontId="10" fillId="0" borderId="0" xfId="59" applyFont="1" applyFill="1" applyBorder="1" applyAlignment="1" applyProtection="1"/>
    <xf numFmtId="0" fontId="34" fillId="0" borderId="0" xfId="59" applyFont="1" applyFill="1" applyBorder="1" applyAlignment="1" applyProtection="1"/>
    <xf numFmtId="176" fontId="10" fillId="0" borderId="0" xfId="59" applyNumberFormat="1" applyFont="1" applyFill="1" applyBorder="1" applyAlignment="1" applyProtection="1">
      <alignment horizontal="center" vertical="center"/>
    </xf>
    <xf numFmtId="0" fontId="12" fillId="0" borderId="0" xfId="59" applyFont="1" applyFill="1" applyBorder="1" applyProtection="1"/>
    <xf numFmtId="0" fontId="11" fillId="0" borderId="0" xfId="59" applyFont="1" applyFill="1" applyBorder="1" applyAlignment="1" applyProtection="1">
      <alignment horizontal="left"/>
    </xf>
    <xf numFmtId="164" fontId="10" fillId="0" borderId="0" xfId="59" applyNumberFormat="1" applyFont="1" applyFill="1" applyBorder="1" applyAlignment="1" applyProtection="1">
      <alignment horizontal="center" vertical="center"/>
    </xf>
    <xf numFmtId="1" fontId="10" fillId="0" borderId="0" xfId="59" applyNumberFormat="1" applyFont="1" applyFill="1" applyBorder="1" applyAlignment="1" applyProtection="1">
      <alignment horizontal="center" vertical="center"/>
    </xf>
    <xf numFmtId="49" fontId="12" fillId="0" borderId="0" xfId="59" applyNumberFormat="1" applyFont="1" applyFill="1" applyBorder="1" applyAlignment="1" applyProtection="1">
      <alignment horizontal="right" vertical="center"/>
    </xf>
    <xf numFmtId="49" fontId="11" fillId="0" borderId="0" xfId="59" applyNumberFormat="1" applyFont="1" applyBorder="1" applyAlignment="1" applyProtection="1">
      <alignment horizontal="center"/>
    </xf>
    <xf numFmtId="49" fontId="10" fillId="0" borderId="0" xfId="59" applyNumberFormat="1" applyFont="1" applyProtection="1"/>
    <xf numFmtId="49" fontId="10" fillId="0" borderId="0" xfId="59" applyNumberFormat="1" applyFont="1" applyBorder="1" applyProtection="1"/>
    <xf numFmtId="0" fontId="10" fillId="0" borderId="0" xfId="59" applyFont="1" applyFill="1" applyBorder="1" applyAlignment="1" applyProtection="1">
      <alignment horizontal="left"/>
    </xf>
    <xf numFmtId="49" fontId="12" fillId="0" borderId="0" xfId="59" applyNumberFormat="1" applyFont="1" applyFill="1" applyBorder="1" applyProtection="1"/>
    <xf numFmtId="0" fontId="10" fillId="0" borderId="0" xfId="59" applyFont="1" applyBorder="1" applyAlignment="1" applyProtection="1">
      <alignment horizontal="center"/>
    </xf>
    <xf numFmtId="0" fontId="12" fillId="0" borderId="0" xfId="59" applyFont="1" applyBorder="1" applyProtection="1"/>
    <xf numFmtId="0" fontId="10" fillId="0" borderId="0" xfId="59" applyFont="1" applyFill="1" applyBorder="1" applyAlignment="1" applyProtection="1">
      <alignment wrapText="1"/>
    </xf>
    <xf numFmtId="165" fontId="10" fillId="0" borderId="0" xfId="59" applyNumberFormat="1" applyFont="1" applyFill="1" applyBorder="1" applyAlignment="1" applyProtection="1">
      <alignment horizontal="center" vertical="center"/>
    </xf>
    <xf numFmtId="165" fontId="10" fillId="0" borderId="0" xfId="59" applyNumberFormat="1" applyFont="1" applyFill="1" applyBorder="1" applyAlignment="1" applyProtection="1">
      <alignment horizontal="center"/>
    </xf>
    <xf numFmtId="0" fontId="11" fillId="0" borderId="0" xfId="59" applyFont="1" applyBorder="1" applyAlignment="1" applyProtection="1">
      <alignment wrapText="1"/>
    </xf>
    <xf numFmtId="49" fontId="12" fillId="0" borderId="0" xfId="59" applyNumberFormat="1" applyFont="1" applyFill="1" applyBorder="1" applyAlignment="1" applyProtection="1"/>
    <xf numFmtId="0" fontId="11" fillId="0" borderId="0" xfId="59" applyFont="1" applyFill="1" applyBorder="1" applyProtection="1"/>
    <xf numFmtId="0" fontId="10" fillId="0" borderId="0" xfId="59" applyFont="1" applyBorder="1" applyAlignment="1" applyProtection="1">
      <alignment horizontal="center" vertical="center"/>
    </xf>
    <xf numFmtId="0" fontId="12" fillId="0" borderId="0" xfId="59" applyFont="1" applyFill="1" applyBorder="1" applyAlignment="1" applyProtection="1">
      <alignment horizontal="right" vertical="center"/>
    </xf>
    <xf numFmtId="0" fontId="34" fillId="0" borderId="0" xfId="59" applyFont="1" applyBorder="1" applyProtection="1"/>
    <xf numFmtId="0" fontId="10" fillId="0" borderId="0" xfId="59" applyFont="1" applyFill="1" applyBorder="1" applyAlignment="1" applyProtection="1">
      <alignment horizontal="right" vertical="center"/>
    </xf>
    <xf numFmtId="0" fontId="10" fillId="0" borderId="0" xfId="59" applyFont="1" applyBorder="1" applyAlignment="1" applyProtection="1">
      <alignment vertical="center"/>
    </xf>
    <xf numFmtId="0" fontId="34" fillId="0" borderId="0" xfId="59" applyFont="1" applyFill="1" applyBorder="1" applyProtection="1"/>
    <xf numFmtId="167" fontId="10" fillId="0" borderId="0" xfId="59" applyNumberFormat="1" applyFont="1" applyFill="1" applyBorder="1" applyAlignment="1" applyProtection="1">
      <alignment horizontal="left" vertical="center"/>
    </xf>
    <xf numFmtId="49" fontId="12" fillId="0" borderId="0" xfId="59" applyNumberFormat="1" applyFont="1" applyFill="1" applyBorder="1" applyAlignment="1" applyProtection="1">
      <alignment vertical="center"/>
    </xf>
    <xf numFmtId="49" fontId="10" fillId="10" borderId="0" xfId="59" applyNumberFormat="1" applyFont="1" applyFill="1" applyBorder="1" applyAlignment="1" applyProtection="1">
      <alignment vertical="top"/>
    </xf>
    <xf numFmtId="0" fontId="33" fillId="0" borderId="0" xfId="57" applyFont="1" applyBorder="1" applyAlignment="1">
      <alignment horizontal="center" vertical="center" wrapText="1"/>
    </xf>
    <xf numFmtId="0" fontId="35" fillId="2" borderId="59" xfId="57" applyFont="1" applyFill="1" applyBorder="1" applyAlignment="1">
      <alignment horizontal="center"/>
    </xf>
    <xf numFmtId="0" fontId="59" fillId="2" borderId="60" xfId="57" applyFont="1" applyFill="1" applyBorder="1" applyAlignment="1">
      <alignment horizontal="center"/>
    </xf>
    <xf numFmtId="0" fontId="35" fillId="2" borderId="60" xfId="57" applyFont="1" applyFill="1" applyBorder="1" applyAlignment="1">
      <alignment horizontal="center"/>
    </xf>
    <xf numFmtId="0" fontId="35" fillId="2" borderId="60" xfId="57" applyFont="1" applyFill="1" applyBorder="1" applyAlignment="1">
      <alignment horizontal="center" wrapText="1"/>
    </xf>
    <xf numFmtId="0" fontId="35" fillId="2" borderId="61" xfId="57" applyFont="1" applyFill="1" applyBorder="1" applyAlignment="1">
      <alignment horizontal="center" wrapText="1"/>
    </xf>
    <xf numFmtId="0" fontId="34" fillId="0" borderId="54" xfId="57" applyFont="1" applyBorder="1" applyAlignment="1">
      <alignment horizontal="center" vertical="center"/>
    </xf>
    <xf numFmtId="0" fontId="64" fillId="2" borderId="17" xfId="57" applyFont="1" applyFill="1" applyBorder="1" applyAlignment="1">
      <alignment horizontal="center" vertical="center"/>
    </xf>
    <xf numFmtId="0" fontId="34" fillId="0" borderId="22" xfId="57" applyFont="1" applyFill="1" applyBorder="1" applyAlignment="1">
      <alignment horizontal="center" vertical="center"/>
    </xf>
    <xf numFmtId="0" fontId="34" fillId="0" borderId="1" xfId="57" applyFont="1" applyFill="1" applyBorder="1" applyAlignment="1">
      <alignment horizontal="center" vertical="center"/>
    </xf>
    <xf numFmtId="0" fontId="35" fillId="2" borderId="54" xfId="57" applyFont="1" applyFill="1" applyBorder="1" applyAlignment="1">
      <alignment horizontal="center"/>
    </xf>
    <xf numFmtId="0" fontId="35" fillId="2" borderId="17" xfId="57" applyFont="1" applyFill="1" applyBorder="1" applyAlignment="1">
      <alignment horizontal="center" wrapText="1"/>
    </xf>
    <xf numFmtId="0" fontId="34" fillId="0" borderId="0" xfId="12" applyFont="1" applyFill="1" applyBorder="1" applyAlignment="1" applyProtection="1">
      <alignment horizontal="right"/>
    </xf>
    <xf numFmtId="0" fontId="21" fillId="0" borderId="0" xfId="23" applyFont="1" applyBorder="1" applyAlignment="1">
      <alignment vertical="center" wrapText="1"/>
    </xf>
    <xf numFmtId="0" fontId="42" fillId="0" borderId="0" xfId="23" applyFont="1" applyBorder="1" applyAlignment="1">
      <alignment vertical="center" wrapText="1"/>
    </xf>
    <xf numFmtId="0" fontId="10" fillId="2" borderId="28" xfId="23" applyFont="1" applyFill="1" applyBorder="1" applyAlignment="1">
      <alignment wrapText="1"/>
    </xf>
    <xf numFmtId="165" fontId="10" fillId="11" borderId="8" xfId="43" applyNumberFormat="1" applyFont="1" applyFill="1" applyBorder="1" applyAlignment="1" applyProtection="1">
      <alignment horizontal="center" vertical="center"/>
    </xf>
    <xf numFmtId="0" fontId="10" fillId="0" borderId="4" xfId="43" applyFont="1" applyBorder="1" applyAlignment="1" applyProtection="1">
      <alignment horizontal="center" vertical="center"/>
    </xf>
    <xf numFmtId="14" fontId="10" fillId="0" borderId="4" xfId="43" applyNumberFormat="1" applyFont="1" applyFill="1" applyBorder="1" applyAlignment="1" applyProtection="1">
      <alignment horizontal="center" vertical="center"/>
    </xf>
    <xf numFmtId="0" fontId="12" fillId="0" borderId="0" xfId="0" applyFont="1" applyFill="1" applyBorder="1" applyAlignment="1">
      <alignment horizontal="left" vertical="center"/>
    </xf>
    <xf numFmtId="0" fontId="127" fillId="0" borderId="78" xfId="43" applyFont="1" applyBorder="1" applyAlignment="1" applyProtection="1">
      <alignment vertical="center"/>
    </xf>
    <xf numFmtId="0" fontId="10" fillId="12" borderId="0" xfId="0" applyFont="1" applyFill="1"/>
    <xf numFmtId="0" fontId="12" fillId="0" borderId="0" xfId="0" applyFont="1" applyFill="1" applyBorder="1" applyAlignment="1">
      <alignment horizontal="left" vertical="center"/>
    </xf>
    <xf numFmtId="1" fontId="10" fillId="0" borderId="0" xfId="23" applyNumberFormat="1" applyFont="1" applyFill="1" applyBorder="1" applyAlignment="1" applyProtection="1">
      <alignment horizontal="center" vertical="center"/>
    </xf>
    <xf numFmtId="0" fontId="8" fillId="0" borderId="0" xfId="23" applyFont="1" applyFill="1" applyBorder="1" applyAlignment="1" applyProtection="1">
      <alignment horizontal="center" vertical="center"/>
    </xf>
    <xf numFmtId="0" fontId="12" fillId="0" borderId="75" xfId="0" applyFont="1" applyFill="1" applyBorder="1" applyAlignment="1" applyProtection="1">
      <alignment vertical="center"/>
    </xf>
    <xf numFmtId="0" fontId="101" fillId="0" borderId="0" xfId="0" applyFont="1" applyBorder="1" applyAlignment="1" applyProtection="1">
      <alignment vertical="center" wrapText="1"/>
    </xf>
    <xf numFmtId="0" fontId="101" fillId="0" borderId="76" xfId="0" applyFont="1" applyBorder="1" applyAlignment="1" applyProtection="1">
      <alignment vertical="center" wrapText="1"/>
    </xf>
    <xf numFmtId="0" fontId="10" fillId="0" borderId="75" xfId="43" applyFont="1" applyFill="1" applyBorder="1" applyAlignment="1" applyProtection="1">
      <alignment vertical="top"/>
    </xf>
    <xf numFmtId="0" fontId="10" fillId="0" borderId="22" xfId="0" applyFont="1" applyBorder="1" applyAlignment="1" applyProtection="1"/>
    <xf numFmtId="0" fontId="12" fillId="0" borderId="75" xfId="43" applyFont="1" applyFill="1" applyBorder="1" applyAlignment="1" applyProtection="1"/>
    <xf numFmtId="0" fontId="10" fillId="0" borderId="0" xfId="43" applyFont="1" applyFill="1" applyBorder="1" applyAlignment="1" applyProtection="1"/>
    <xf numFmtId="0" fontId="101" fillId="0" borderId="0" xfId="0" applyFont="1" applyBorder="1" applyAlignment="1" applyProtection="1">
      <alignment wrapText="1"/>
    </xf>
    <xf numFmtId="0" fontId="101" fillId="0" borderId="76" xfId="0" applyFont="1" applyBorder="1" applyAlignment="1" applyProtection="1">
      <alignment wrapText="1"/>
    </xf>
    <xf numFmtId="0" fontId="15" fillId="0" borderId="1" xfId="0" applyFont="1" applyBorder="1" applyAlignment="1" applyProtection="1"/>
    <xf numFmtId="0" fontId="15" fillId="0" borderId="0" xfId="0" applyFont="1" applyAlignment="1" applyProtection="1"/>
    <xf numFmtId="0" fontId="10" fillId="0" borderId="0" xfId="0" applyFont="1" applyAlignment="1" applyProtection="1"/>
    <xf numFmtId="0" fontId="12" fillId="12" borderId="0" xfId="0" applyFont="1" applyFill="1"/>
    <xf numFmtId="0" fontId="10" fillId="0" borderId="22" xfId="23" applyFont="1" applyBorder="1" applyAlignment="1">
      <alignment horizontal="center"/>
    </xf>
    <xf numFmtId="0" fontId="10" fillId="0" borderId="0" xfId="23" applyFont="1" applyBorder="1" applyAlignment="1">
      <alignment horizontal="center"/>
    </xf>
    <xf numFmtId="177" fontId="10" fillId="7" borderId="8" xfId="10" applyNumberFormat="1" applyFont="1" applyFill="1" applyBorder="1" applyAlignment="1" applyProtection="1">
      <alignment horizontal="center" vertical="center"/>
      <protection locked="0"/>
    </xf>
    <xf numFmtId="0" fontId="10" fillId="0" borderId="0" xfId="23" applyFont="1" applyAlignment="1">
      <alignment vertical="center" wrapText="1"/>
    </xf>
    <xf numFmtId="0" fontId="8" fillId="0" borderId="0" xfId="23" applyFont="1" applyFill="1" applyBorder="1" applyAlignment="1" applyProtection="1">
      <alignment horizontal="right" vertical="center" wrapText="1"/>
    </xf>
    <xf numFmtId="0" fontId="8" fillId="0" borderId="0" xfId="23" applyFont="1" applyFill="1" applyBorder="1" applyAlignment="1" applyProtection="1">
      <alignment horizontal="left" wrapText="1"/>
    </xf>
    <xf numFmtId="0" fontId="12" fillId="0" borderId="1" xfId="43" applyFont="1" applyFill="1" applyBorder="1" applyAlignment="1" applyProtection="1">
      <alignment vertical="center"/>
    </xf>
    <xf numFmtId="0" fontId="10" fillId="0" borderId="0" xfId="43" applyFont="1" applyFill="1" applyAlignment="1" applyProtection="1">
      <alignment vertical="center"/>
    </xf>
    <xf numFmtId="0" fontId="8" fillId="2" borderId="4" xfId="43" applyFill="1" applyBorder="1" applyAlignment="1" applyProtection="1">
      <alignment vertical="center"/>
    </xf>
    <xf numFmtId="0" fontId="8" fillId="2" borderId="4" xfId="23" applyFont="1" applyFill="1" applyBorder="1" applyAlignment="1" applyProtection="1">
      <alignment horizontal="right" vertical="center" wrapText="1"/>
    </xf>
    <xf numFmtId="0" fontId="10" fillId="0" borderId="30" xfId="43" applyFont="1" applyFill="1" applyBorder="1" applyAlignment="1" applyProtection="1">
      <alignment vertical="center"/>
    </xf>
    <xf numFmtId="0" fontId="10" fillId="0" borderId="29" xfId="43" applyFont="1" applyBorder="1" applyAlignment="1" applyProtection="1">
      <alignment vertical="center"/>
    </xf>
    <xf numFmtId="0" fontId="10" fillId="0" borderId="0" xfId="23" applyFont="1" applyBorder="1"/>
    <xf numFmtId="0" fontId="10" fillId="0" borderId="0" xfId="23" applyFont="1"/>
    <xf numFmtId="0" fontId="10" fillId="0" borderId="0" xfId="23" applyFont="1" applyFill="1" applyBorder="1"/>
    <xf numFmtId="0" fontId="12" fillId="0" borderId="0" xfId="23" applyFont="1" applyFill="1" applyBorder="1"/>
    <xf numFmtId="0" fontId="10" fillId="0" borderId="0" xfId="43" applyFont="1" applyFill="1" applyBorder="1" applyAlignment="1" applyProtection="1">
      <alignment vertical="center"/>
    </xf>
    <xf numFmtId="0" fontId="10" fillId="0" borderId="0" xfId="43" applyFont="1" applyBorder="1" applyAlignment="1" applyProtection="1">
      <alignment vertical="center"/>
    </xf>
    <xf numFmtId="0" fontId="10" fillId="0" borderId="28" xfId="43" applyFont="1" applyBorder="1" applyAlignment="1" applyProtection="1">
      <alignment vertical="center"/>
    </xf>
    <xf numFmtId="0" fontId="10" fillId="0" borderId="0" xfId="43" applyFont="1" applyAlignment="1" applyProtection="1">
      <alignment vertical="center"/>
    </xf>
    <xf numFmtId="0" fontId="12" fillId="0" borderId="22" xfId="43" applyFont="1" applyFill="1" applyBorder="1" applyAlignment="1" applyProtection="1">
      <alignment vertical="center"/>
    </xf>
    <xf numFmtId="0" fontId="8" fillId="0" borderId="1" xfId="43" applyFill="1" applyBorder="1" applyAlignment="1" applyProtection="1">
      <alignment vertical="center"/>
    </xf>
    <xf numFmtId="0" fontId="10" fillId="0" borderId="1" xfId="43" applyFont="1" applyBorder="1" applyAlignment="1" applyProtection="1">
      <alignment vertical="center"/>
    </xf>
    <xf numFmtId="0" fontId="10" fillId="0" borderId="1" xfId="43" applyFont="1" applyBorder="1" applyAlignment="1" applyProtection="1">
      <alignment horizontal="center" vertical="center"/>
    </xf>
    <xf numFmtId="0" fontId="10" fillId="0" borderId="0" xfId="43" applyFont="1" applyBorder="1" applyAlignment="1" applyProtection="1">
      <alignment horizontal="left" vertical="center"/>
    </xf>
    <xf numFmtId="0" fontId="10" fillId="0" borderId="2" xfId="43" applyFont="1" applyBorder="1" applyAlignment="1" applyProtection="1">
      <alignment vertical="center"/>
    </xf>
    <xf numFmtId="0" fontId="10" fillId="0" borderId="23" xfId="43" applyFont="1" applyBorder="1" applyAlignment="1" applyProtection="1">
      <alignment horizontal="center" vertical="center"/>
    </xf>
    <xf numFmtId="0" fontId="12" fillId="0" borderId="0" xfId="43" applyFont="1" applyFill="1" applyBorder="1" applyAlignment="1" applyProtection="1">
      <alignment vertical="center"/>
    </xf>
    <xf numFmtId="0" fontId="10" fillId="0" borderId="23" xfId="43" applyFont="1" applyBorder="1" applyAlignment="1" applyProtection="1">
      <alignment vertical="center"/>
    </xf>
    <xf numFmtId="0" fontId="10" fillId="0" borderId="22" xfId="43" applyFont="1" applyFill="1" applyBorder="1" applyAlignment="1" applyProtection="1">
      <alignment vertical="center"/>
    </xf>
    <xf numFmtId="0" fontId="10" fillId="0" borderId="1" xfId="43" applyFont="1" applyFill="1" applyBorder="1" applyAlignment="1" applyProtection="1">
      <alignment horizontal="center" vertical="center"/>
    </xf>
    <xf numFmtId="0" fontId="10" fillId="0" borderId="6" xfId="43" applyFont="1" applyBorder="1" applyAlignment="1" applyProtection="1">
      <alignment horizontal="right" vertical="center"/>
    </xf>
    <xf numFmtId="0" fontId="10" fillId="0" borderId="2" xfId="43" applyFont="1" applyBorder="1" applyAlignment="1" applyProtection="1">
      <alignment horizontal="left" vertical="center"/>
    </xf>
    <xf numFmtId="0" fontId="24" fillId="0" borderId="0" xfId="43" applyFont="1" applyFill="1" applyBorder="1" applyAlignment="1" applyProtection="1">
      <alignment horizontal="center" vertical="center"/>
    </xf>
    <xf numFmtId="174" fontId="10" fillId="0" borderId="1" xfId="43" applyNumberFormat="1" applyFont="1" applyFill="1" applyBorder="1" applyAlignment="1" applyProtection="1">
      <alignment horizontal="center" vertical="center"/>
    </xf>
    <xf numFmtId="0" fontId="8" fillId="0" borderId="2" xfId="43" applyBorder="1" applyAlignment="1" applyProtection="1">
      <alignment horizontal="right" vertical="center"/>
    </xf>
    <xf numFmtId="165" fontId="10" fillId="5" borderId="2" xfId="43" applyNumberFormat="1" applyFont="1" applyFill="1" applyBorder="1" applyAlignment="1" applyProtection="1">
      <alignment horizontal="center" vertical="center"/>
      <protection locked="0"/>
    </xf>
    <xf numFmtId="165" fontId="10" fillId="10" borderId="0" xfId="43" applyNumberFormat="1" applyFont="1" applyFill="1" applyBorder="1" applyAlignment="1" applyProtection="1">
      <alignment horizontal="center" vertical="center"/>
    </xf>
    <xf numFmtId="0" fontId="11" fillId="0" borderId="0" xfId="43" applyFont="1" applyBorder="1" applyAlignment="1" applyProtection="1">
      <alignment vertical="center" wrapText="1"/>
    </xf>
    <xf numFmtId="0" fontId="34" fillId="5" borderId="87" xfId="12" applyFont="1" applyFill="1" applyBorder="1" applyAlignment="1" applyProtection="1">
      <alignment horizontal="center" vertical="center" wrapText="1"/>
      <protection locked="0"/>
    </xf>
    <xf numFmtId="0" fontId="8" fillId="2" borderId="19" xfId="23" applyFont="1" applyFill="1" applyBorder="1" applyAlignment="1" applyProtection="1">
      <alignment horizontal="left" vertical="center" wrapText="1"/>
    </xf>
    <xf numFmtId="165" fontId="10" fillId="0" borderId="0" xfId="55" applyNumberFormat="1" applyFont="1" applyFill="1" applyBorder="1" applyAlignment="1" applyProtection="1">
      <alignment horizontal="left" vertical="center" indent="1"/>
    </xf>
    <xf numFmtId="0" fontId="10" fillId="0" borderId="0" xfId="43" applyFont="1" applyFill="1" applyBorder="1" applyAlignment="1" applyProtection="1">
      <alignment vertical="center"/>
    </xf>
    <xf numFmtId="0" fontId="10" fillId="0" borderId="0" xfId="43" applyFont="1" applyBorder="1" applyAlignment="1" applyProtection="1">
      <alignment horizontal="right" vertical="center"/>
    </xf>
    <xf numFmtId="0" fontId="10" fillId="0" borderId="0" xfId="43" applyFont="1" applyFill="1" applyBorder="1" applyAlignment="1" applyProtection="1">
      <alignment horizontal="right" vertical="center"/>
    </xf>
    <xf numFmtId="0" fontId="10" fillId="0" borderId="0" xfId="43" applyFont="1" applyBorder="1" applyAlignment="1" applyProtection="1">
      <alignment horizontal="center" vertical="center"/>
    </xf>
    <xf numFmtId="0" fontId="10" fillId="5" borderId="8" xfId="43" applyFont="1" applyFill="1" applyBorder="1" applyAlignment="1" applyProtection="1">
      <alignment horizontal="center" vertical="center"/>
      <protection locked="0"/>
    </xf>
    <xf numFmtId="0" fontId="10" fillId="10" borderId="0" xfId="43" applyFont="1" applyFill="1" applyBorder="1" applyAlignment="1" applyProtection="1">
      <alignment horizontal="right" vertical="center"/>
    </xf>
    <xf numFmtId="0" fontId="10" fillId="0" borderId="0" xfId="43" applyFont="1" applyFill="1" applyBorder="1" applyAlignment="1" applyProtection="1">
      <alignment horizontal="center" vertical="center"/>
    </xf>
    <xf numFmtId="0" fontId="8" fillId="2" borderId="19" xfId="43" applyFill="1" applyBorder="1" applyAlignment="1" applyProtection="1">
      <alignment vertical="center"/>
    </xf>
    <xf numFmtId="0" fontId="12" fillId="0" borderId="22" xfId="43" applyFont="1" applyFill="1" applyBorder="1" applyAlignment="1" applyProtection="1">
      <alignment horizontal="right" vertical="center"/>
    </xf>
    <xf numFmtId="0" fontId="10" fillId="0" borderId="0" xfId="43" applyFont="1" applyBorder="1" applyAlignment="1" applyProtection="1">
      <alignment horizontal="right" vertical="center" indent="1"/>
    </xf>
    <xf numFmtId="0" fontId="12" fillId="2" borderId="30" xfId="43" applyFont="1" applyFill="1" applyBorder="1" applyAlignment="1" applyProtection="1">
      <alignment vertical="center"/>
    </xf>
    <xf numFmtId="0" fontId="8" fillId="2" borderId="28" xfId="43" applyFill="1" applyBorder="1" applyAlignment="1" applyProtection="1">
      <alignment vertical="center"/>
    </xf>
    <xf numFmtId="0" fontId="10" fillId="0" borderId="22" xfId="43" applyFont="1" applyBorder="1" applyAlignment="1" applyProtection="1">
      <alignment horizontal="right" vertical="center"/>
    </xf>
    <xf numFmtId="0" fontId="8" fillId="0" borderId="0" xfId="43" applyBorder="1" applyAlignment="1" applyProtection="1">
      <alignment horizontal="right" vertical="center"/>
    </xf>
    <xf numFmtId="0" fontId="12" fillId="0" borderId="22" xfId="43" applyFont="1" applyBorder="1" applyAlignment="1" applyProtection="1">
      <alignment horizontal="right" vertical="center"/>
    </xf>
    <xf numFmtId="0" fontId="8" fillId="0" borderId="0" xfId="43" applyBorder="1" applyProtection="1"/>
    <xf numFmtId="1" fontId="10" fillId="0" borderId="22" xfId="43" applyNumberFormat="1" applyFont="1" applyBorder="1" applyAlignment="1" applyProtection="1">
      <alignment horizontal="left" vertical="center" wrapText="1"/>
    </xf>
    <xf numFmtId="0" fontId="8" fillId="0" borderId="0" xfId="43" applyFont="1" applyBorder="1" applyAlignment="1" applyProtection="1">
      <alignment horizontal="left" vertical="center"/>
    </xf>
    <xf numFmtId="0" fontId="10" fillId="0" borderId="22" xfId="43" applyFont="1" applyFill="1" applyBorder="1" applyAlignment="1" applyProtection="1">
      <alignment horizontal="left" vertical="center" wrapText="1"/>
    </xf>
    <xf numFmtId="0" fontId="10" fillId="0" borderId="0" xfId="43" applyFont="1" applyFill="1" applyBorder="1" applyAlignment="1" applyProtection="1">
      <alignment vertical="center" wrapText="1"/>
    </xf>
    <xf numFmtId="0" fontId="10" fillId="0" borderId="1" xfId="43" applyFont="1" applyFill="1" applyBorder="1" applyAlignment="1" applyProtection="1">
      <alignment vertical="center" wrapText="1"/>
    </xf>
    <xf numFmtId="0" fontId="12" fillId="0" borderId="0" xfId="43" applyFont="1" applyFill="1" applyBorder="1" applyAlignment="1" applyProtection="1">
      <alignment horizontal="center" vertical="center"/>
    </xf>
    <xf numFmtId="2" fontId="10" fillId="0" borderId="22" xfId="43" applyNumberFormat="1" applyFont="1" applyBorder="1" applyAlignment="1" applyProtection="1">
      <alignment horizontal="right" vertical="center"/>
    </xf>
    <xf numFmtId="0" fontId="8" fillId="0" borderId="0" xfId="43" applyFill="1" applyBorder="1" applyAlignment="1" applyProtection="1">
      <alignment horizontal="center" vertical="center"/>
    </xf>
    <xf numFmtId="0" fontId="12" fillId="0" borderId="0" xfId="43" applyFont="1" applyFill="1" applyBorder="1" applyAlignment="1" applyProtection="1">
      <alignment horizontal="right" vertical="center"/>
    </xf>
    <xf numFmtId="0" fontId="8" fillId="5" borderId="8" xfId="43" applyFill="1" applyBorder="1" applyAlignment="1" applyProtection="1">
      <alignment horizontal="center" vertical="center"/>
      <protection locked="0"/>
    </xf>
    <xf numFmtId="2" fontId="10" fillId="0" borderId="0" xfId="43" applyNumberFormat="1" applyFont="1" applyBorder="1" applyAlignment="1" applyProtection="1">
      <alignment horizontal="right" vertical="center"/>
    </xf>
    <xf numFmtId="0" fontId="8" fillId="0" borderId="0" xfId="43" applyFill="1" applyBorder="1" applyAlignment="1" applyProtection="1">
      <alignment vertical="center"/>
    </xf>
    <xf numFmtId="2" fontId="10" fillId="0" borderId="0" xfId="43" applyNumberFormat="1" applyFont="1" applyBorder="1" applyAlignment="1" applyProtection="1">
      <alignment horizontal="center" vertical="center"/>
    </xf>
    <xf numFmtId="2" fontId="10" fillId="0" borderId="21" xfId="43" applyNumberFormat="1" applyFont="1" applyBorder="1" applyAlignment="1" applyProtection="1">
      <alignment horizontal="right" vertical="center"/>
    </xf>
    <xf numFmtId="2" fontId="10" fillId="0" borderId="2" xfId="43" applyNumberFormat="1" applyFont="1" applyBorder="1" applyAlignment="1" applyProtection="1">
      <alignment horizontal="right" vertical="center"/>
    </xf>
    <xf numFmtId="0" fontId="10" fillId="0" borderId="0" xfId="0" applyFont="1" applyBorder="1" applyAlignment="1" applyProtection="1">
      <alignment horizontal="left" vertical="center"/>
    </xf>
    <xf numFmtId="0" fontId="0" fillId="0" borderId="0" xfId="0" applyBorder="1" applyAlignment="1">
      <alignment vertical="center"/>
    </xf>
    <xf numFmtId="0" fontId="0" fillId="0" borderId="1" xfId="0" applyBorder="1" applyAlignment="1">
      <alignment vertical="center"/>
    </xf>
    <xf numFmtId="0" fontId="10" fillId="0" borderId="0" xfId="0" applyFont="1" applyBorder="1" applyAlignment="1">
      <alignment horizontal="right" vertical="center"/>
    </xf>
    <xf numFmtId="0" fontId="12" fillId="0" borderId="0" xfId="10" applyFont="1" applyFill="1" applyBorder="1" applyAlignment="1">
      <alignment horizontal="center" vertical="center"/>
    </xf>
    <xf numFmtId="0" fontId="10" fillId="0" borderId="0" xfId="0" applyFont="1" applyFill="1" applyBorder="1" applyAlignment="1">
      <alignment horizontal="center" vertical="center"/>
    </xf>
    <xf numFmtId="0" fontId="10" fillId="0" borderId="0" xfId="0" applyFont="1" applyFill="1" applyBorder="1" applyAlignment="1">
      <alignment vertical="center"/>
    </xf>
    <xf numFmtId="0" fontId="11" fillId="0" borderId="0" xfId="0" applyFont="1" applyFill="1" applyBorder="1" applyAlignment="1">
      <alignment horizontal="left" vertical="center"/>
    </xf>
    <xf numFmtId="2" fontId="10" fillId="0" borderId="0" xfId="0" applyNumberFormat="1" applyFont="1" applyFill="1" applyBorder="1" applyAlignment="1">
      <alignment horizontal="center" vertical="center"/>
    </xf>
    <xf numFmtId="0" fontId="10" fillId="0" borderId="0" xfId="0" applyFont="1" applyBorder="1" applyAlignment="1">
      <alignment horizontal="center" vertical="center"/>
    </xf>
    <xf numFmtId="0" fontId="11" fillId="0" borderId="0" xfId="0" applyFont="1" applyBorder="1" applyAlignment="1">
      <alignment vertical="center" wrapText="1"/>
    </xf>
    <xf numFmtId="0" fontId="11" fillId="0" borderId="0" xfId="0" applyFont="1" applyBorder="1" applyAlignment="1">
      <alignment horizontal="left" vertical="center" wrapText="1"/>
    </xf>
    <xf numFmtId="0" fontId="10" fillId="0" borderId="0" xfId="0" applyFont="1" applyFill="1" applyBorder="1" applyAlignment="1">
      <alignment horizontal="left" vertical="center" wrapText="1"/>
    </xf>
    <xf numFmtId="0" fontId="10" fillId="0" borderId="0" xfId="0" quotePrefix="1" applyFont="1" applyBorder="1" applyAlignment="1">
      <alignment horizontal="center" vertical="center"/>
    </xf>
    <xf numFmtId="0" fontId="10" fillId="0" borderId="0" xfId="0" applyFont="1" applyBorder="1" applyAlignment="1">
      <alignment horizontal="left" vertical="center"/>
    </xf>
    <xf numFmtId="49" fontId="12" fillId="0" borderId="0" xfId="0" applyNumberFormat="1" applyFont="1" applyFill="1" applyBorder="1" applyAlignment="1">
      <alignment horizontal="left" vertical="center" wrapText="1"/>
    </xf>
    <xf numFmtId="0" fontId="0" fillId="0" borderId="0" xfId="0" applyBorder="1" applyAlignment="1">
      <alignment horizontal="left" vertical="center"/>
    </xf>
    <xf numFmtId="0" fontId="10" fillId="0" borderId="0" xfId="0" applyFont="1" applyFill="1" applyBorder="1" applyAlignment="1">
      <alignment horizontal="left" vertical="center"/>
    </xf>
    <xf numFmtId="0" fontId="0" fillId="0" borderId="4" xfId="0" applyBorder="1" applyAlignment="1">
      <alignment horizontal="left" vertical="center"/>
    </xf>
    <xf numFmtId="0" fontId="10" fillId="0" borderId="4" xfId="0" applyFont="1" applyBorder="1" applyAlignment="1">
      <alignment horizontal="center" vertical="center"/>
    </xf>
    <xf numFmtId="0" fontId="12" fillId="2" borderId="19" xfId="0" applyFont="1" applyFill="1" applyBorder="1" applyAlignment="1">
      <alignment horizontal="left" vertical="center"/>
    </xf>
    <xf numFmtId="0" fontId="14" fillId="0" borderId="0" xfId="0" applyFont="1" applyBorder="1" applyAlignment="1">
      <alignment horizontal="left" vertical="center"/>
    </xf>
    <xf numFmtId="0" fontId="12" fillId="2" borderId="26" xfId="0" applyFont="1" applyFill="1" applyBorder="1" applyAlignment="1">
      <alignment horizontal="left" vertical="center"/>
    </xf>
    <xf numFmtId="0" fontId="12" fillId="2" borderId="39" xfId="0" applyFont="1" applyFill="1" applyBorder="1" applyAlignment="1">
      <alignment horizontal="left" vertical="center"/>
    </xf>
    <xf numFmtId="0" fontId="12" fillId="2" borderId="33" xfId="0" applyFont="1" applyFill="1" applyBorder="1" applyAlignment="1">
      <alignment horizontal="left" vertical="center"/>
    </xf>
    <xf numFmtId="0" fontId="12" fillId="0" borderId="0" xfId="0" applyFont="1" applyFill="1" applyBorder="1" applyAlignment="1">
      <alignment horizontal="left" vertical="center"/>
    </xf>
    <xf numFmtId="0" fontId="10" fillId="0" borderId="0" xfId="0" applyFont="1" applyFill="1" applyBorder="1" applyAlignment="1" applyProtection="1">
      <alignment horizontal="center" vertical="center"/>
    </xf>
    <xf numFmtId="0" fontId="10" fillId="0" borderId="0" xfId="0" quotePrefix="1" applyFont="1" applyFill="1" applyBorder="1" applyAlignment="1">
      <alignment horizontal="center" vertical="center"/>
    </xf>
    <xf numFmtId="0" fontId="51" fillId="0" borderId="0" xfId="0" applyFont="1" applyBorder="1" applyAlignment="1">
      <alignment vertical="center"/>
    </xf>
    <xf numFmtId="49" fontId="10" fillId="0" borderId="0" xfId="0" applyNumberFormat="1" applyFont="1" applyFill="1" applyBorder="1" applyAlignment="1">
      <alignment horizontal="left" vertical="center" wrapText="1"/>
    </xf>
    <xf numFmtId="0" fontId="40" fillId="0" borderId="0" xfId="0" applyFont="1" applyFill="1" applyBorder="1" applyAlignment="1">
      <alignment horizontal="left" vertical="center"/>
    </xf>
    <xf numFmtId="0" fontId="86" fillId="0" borderId="0" xfId="0" applyFont="1" applyBorder="1" applyAlignment="1">
      <alignment horizontal="right" vertical="center"/>
    </xf>
    <xf numFmtId="0" fontId="86" fillId="0" borderId="0" xfId="0" applyFont="1" applyBorder="1" applyAlignment="1">
      <alignment horizontal="center" vertical="center"/>
    </xf>
    <xf numFmtId="0" fontId="86" fillId="2" borderId="8" xfId="0" applyFont="1" applyFill="1" applyBorder="1" applyAlignment="1">
      <alignment horizontal="center" vertical="center"/>
    </xf>
    <xf numFmtId="0" fontId="86" fillId="0" borderId="1" xfId="0" applyFont="1" applyBorder="1" applyAlignment="1">
      <alignment horizontal="left" vertical="center" wrapText="1"/>
    </xf>
    <xf numFmtId="0" fontId="86" fillId="0" borderId="6" xfId="0" applyFont="1" applyBorder="1" applyAlignment="1">
      <alignment horizontal="center" vertical="center"/>
    </xf>
    <xf numFmtId="0" fontId="86" fillId="0" borderId="0" xfId="0" applyFont="1" applyBorder="1" applyAlignment="1">
      <alignment horizontal="left" vertical="center"/>
    </xf>
    <xf numFmtId="0" fontId="86" fillId="0" borderId="0" xfId="0" applyFont="1" applyFill="1" applyBorder="1" applyAlignment="1">
      <alignment horizontal="center" vertical="center"/>
    </xf>
    <xf numFmtId="0" fontId="10" fillId="0" borderId="21" xfId="43" applyFont="1" applyBorder="1" applyAlignment="1">
      <alignment vertical="center"/>
    </xf>
    <xf numFmtId="0" fontId="10" fillId="0" borderId="2" xfId="43" applyFont="1" applyBorder="1" applyAlignment="1">
      <alignment vertical="center"/>
    </xf>
    <xf numFmtId="0" fontId="10" fillId="0" borderId="23" xfId="43" applyFont="1" applyBorder="1" applyAlignment="1">
      <alignment vertical="center"/>
    </xf>
    <xf numFmtId="49" fontId="34" fillId="5" borderId="88" xfId="12" applyNumberFormat="1" applyFont="1" applyFill="1" applyBorder="1" applyAlignment="1" applyProtection="1">
      <alignment horizontal="right" vertical="center" wrapText="1"/>
      <protection locked="0"/>
    </xf>
    <xf numFmtId="49" fontId="34" fillId="5" borderId="89" xfId="12" applyNumberFormat="1" applyFont="1" applyFill="1" applyBorder="1" applyAlignment="1" applyProtection="1">
      <alignment horizontal="left" vertical="center" wrapText="1"/>
      <protection locked="0"/>
    </xf>
    <xf numFmtId="49" fontId="34" fillId="5" borderId="90" xfId="12" applyNumberFormat="1" applyFont="1" applyFill="1" applyBorder="1" applyAlignment="1" applyProtection="1">
      <alignment horizontal="right" vertical="center" wrapText="1"/>
      <protection locked="0"/>
    </xf>
    <xf numFmtId="49" fontId="34" fillId="5" borderId="91" xfId="12" applyNumberFormat="1" applyFont="1" applyFill="1" applyBorder="1" applyAlignment="1" applyProtection="1">
      <alignment horizontal="left" vertical="center" wrapText="1"/>
      <protection locked="0"/>
    </xf>
    <xf numFmtId="49" fontId="34" fillId="5" borderId="92" xfId="12" applyNumberFormat="1" applyFont="1" applyFill="1" applyBorder="1" applyAlignment="1" applyProtection="1">
      <alignment horizontal="right" vertical="center" wrapText="1"/>
      <protection locked="0"/>
    </xf>
    <xf numFmtId="49" fontId="34" fillId="5" borderId="93" xfId="12" applyNumberFormat="1" applyFont="1" applyFill="1" applyBorder="1" applyAlignment="1" applyProtection="1">
      <alignment horizontal="left" vertical="center" wrapText="1"/>
      <protection locked="0"/>
    </xf>
    <xf numFmtId="0" fontId="8" fillId="2" borderId="26" xfId="43" applyFill="1" applyBorder="1" applyAlignment="1" applyProtection="1">
      <alignment vertical="center"/>
    </xf>
    <xf numFmtId="0" fontId="8" fillId="0" borderId="22" xfId="43" applyFill="1" applyBorder="1" applyAlignment="1" applyProtection="1">
      <alignment vertical="center"/>
    </xf>
    <xf numFmtId="0" fontId="12" fillId="2" borderId="37" xfId="43" applyFont="1" applyFill="1" applyBorder="1" applyAlignment="1" applyProtection="1">
      <alignment vertical="center"/>
    </xf>
    <xf numFmtId="0" fontId="8" fillId="2" borderId="38" xfId="43" applyFill="1" applyBorder="1" applyAlignment="1" applyProtection="1">
      <alignment vertical="center"/>
    </xf>
    <xf numFmtId="0" fontId="10" fillId="0" borderId="2" xfId="43" applyFont="1" applyFill="1" applyBorder="1" applyAlignment="1" applyProtection="1">
      <alignment horizontal="left" vertical="center"/>
    </xf>
    <xf numFmtId="0" fontId="10" fillId="0" borderId="23" xfId="43" applyFont="1" applyFill="1" applyBorder="1" applyAlignment="1" applyProtection="1">
      <alignment horizontal="center" vertical="center"/>
    </xf>
    <xf numFmtId="165" fontId="10" fillId="0" borderId="2" xfId="43" applyNumberFormat="1" applyFont="1" applyFill="1" applyBorder="1" applyAlignment="1" applyProtection="1">
      <alignment horizontal="center" vertical="center"/>
      <protection locked="0"/>
    </xf>
    <xf numFmtId="49" fontId="10" fillId="5" borderId="8" xfId="43" applyNumberFormat="1" applyFont="1" applyFill="1" applyBorder="1" applyAlignment="1" applyProtection="1">
      <alignment horizontal="center" vertical="center"/>
      <protection locked="0"/>
    </xf>
    <xf numFmtId="49" fontId="10" fillId="5" borderId="8" xfId="43" applyNumberFormat="1" applyFont="1" applyFill="1" applyBorder="1" applyAlignment="1" applyProtection="1">
      <alignment vertical="center"/>
      <protection locked="0"/>
    </xf>
    <xf numFmtId="165" fontId="10" fillId="7" borderId="8" xfId="43" applyNumberFormat="1" applyFont="1" applyFill="1" applyBorder="1" applyAlignment="1" applyProtection="1">
      <alignment horizontal="center" vertical="center"/>
      <protection locked="0"/>
    </xf>
    <xf numFmtId="165" fontId="10" fillId="0" borderId="8" xfId="43" applyNumberFormat="1" applyFont="1" applyBorder="1" applyAlignment="1" applyProtection="1">
      <alignment horizontal="center" vertical="center"/>
    </xf>
    <xf numFmtId="178" fontId="10" fillId="5" borderId="8" xfId="43" applyNumberFormat="1" applyFont="1" applyFill="1" applyBorder="1" applyAlignment="1" applyProtection="1">
      <alignment horizontal="center" vertical="center" wrapText="1"/>
      <protection locked="0"/>
    </xf>
    <xf numFmtId="2" fontId="10" fillId="5" borderId="8" xfId="43" applyNumberFormat="1" applyFont="1" applyFill="1" applyBorder="1" applyAlignment="1" applyProtection="1">
      <alignment horizontal="center" vertical="center"/>
      <protection locked="0"/>
    </xf>
    <xf numFmtId="1" fontId="10" fillId="0" borderId="54" xfId="43" applyNumberFormat="1" applyFont="1" applyBorder="1" applyAlignment="1" applyProtection="1">
      <alignment horizontal="center" vertical="center" wrapText="1"/>
    </xf>
    <xf numFmtId="0" fontId="10" fillId="0" borderId="17" xfId="43" applyFont="1" applyBorder="1" applyAlignment="1" applyProtection="1">
      <alignment horizontal="center" vertical="center"/>
    </xf>
    <xf numFmtId="0" fontId="112" fillId="0" borderId="0" xfId="10" applyFont="1" applyFill="1"/>
    <xf numFmtId="0" fontId="111" fillId="0" borderId="0" xfId="10" applyFont="1" applyFill="1"/>
    <xf numFmtId="0" fontId="34" fillId="0" borderId="0" xfId="12" applyFont="1" applyFill="1" applyBorder="1" applyAlignment="1">
      <alignment wrapText="1"/>
    </xf>
    <xf numFmtId="0" fontId="34" fillId="0" borderId="22" xfId="12" applyFont="1" applyFill="1" applyBorder="1" applyAlignment="1">
      <alignment vertical="center"/>
    </xf>
    <xf numFmtId="0" fontId="34" fillId="0" borderId="1" xfId="12" applyFont="1" applyBorder="1"/>
    <xf numFmtId="0" fontId="34" fillId="3" borderId="18" xfId="12" applyFont="1" applyFill="1" applyBorder="1" applyAlignment="1">
      <alignment horizontal="right" vertical="center"/>
    </xf>
    <xf numFmtId="165" fontId="34" fillId="5" borderId="14" xfId="12" applyNumberFormat="1" applyFont="1" applyFill="1" applyBorder="1" applyAlignment="1" applyProtection="1">
      <alignment horizontal="center" vertical="center"/>
      <protection locked="0"/>
    </xf>
    <xf numFmtId="49" fontId="12" fillId="2" borderId="32" xfId="0" applyNumberFormat="1" applyFont="1" applyFill="1" applyBorder="1" applyAlignment="1">
      <alignment vertical="center" wrapText="1"/>
    </xf>
    <xf numFmtId="49" fontId="12" fillId="2" borderId="33" xfId="0" applyNumberFormat="1" applyFont="1" applyFill="1" applyBorder="1" applyAlignment="1">
      <alignment vertical="center"/>
    </xf>
    <xf numFmtId="49" fontId="12" fillId="2" borderId="33" xfId="0" applyNumberFormat="1" applyFont="1" applyFill="1" applyBorder="1" applyAlignment="1">
      <alignment vertical="center" wrapText="1"/>
    </xf>
    <xf numFmtId="49" fontId="12" fillId="0" borderId="35" xfId="0" applyNumberFormat="1" applyFont="1" applyFill="1" applyBorder="1" applyAlignment="1">
      <alignment horizontal="left" vertical="center" wrapText="1"/>
    </xf>
    <xf numFmtId="49" fontId="12" fillId="0" borderId="36" xfId="0" applyNumberFormat="1" applyFont="1" applyFill="1" applyBorder="1" applyAlignment="1">
      <alignment horizontal="left" vertical="center" wrapText="1"/>
    </xf>
    <xf numFmtId="49" fontId="12" fillId="0" borderId="22" xfId="0" applyNumberFormat="1" applyFont="1" applyFill="1" applyBorder="1" applyAlignment="1">
      <alignment horizontal="left" vertical="center" wrapText="1"/>
    </xf>
    <xf numFmtId="175" fontId="67" fillId="0" borderId="1" xfId="0" applyNumberFormat="1" applyFont="1" applyFill="1" applyBorder="1" applyAlignment="1" applyProtection="1">
      <alignment horizontal="left" vertical="center" wrapText="1"/>
      <protection hidden="1"/>
    </xf>
    <xf numFmtId="49" fontId="38" fillId="0" borderId="1" xfId="0" applyNumberFormat="1" applyFont="1" applyFill="1" applyBorder="1" applyAlignment="1">
      <alignment horizontal="left" vertical="center" wrapText="1"/>
    </xf>
    <xf numFmtId="0" fontId="12" fillId="0" borderId="22" xfId="0" quotePrefix="1" applyFont="1" applyBorder="1" applyAlignment="1">
      <alignment horizontal="center" vertical="center"/>
    </xf>
    <xf numFmtId="0" fontId="12" fillId="0" borderId="22" xfId="0" applyFont="1" applyBorder="1" applyAlignment="1">
      <alignment horizontal="center" vertical="center"/>
    </xf>
    <xf numFmtId="0" fontId="15" fillId="0" borderId="1" xfId="0" applyFont="1" applyBorder="1" applyAlignment="1">
      <alignment horizontal="center" vertical="center"/>
    </xf>
    <xf numFmtId="0" fontId="12" fillId="0" borderId="22" xfId="0" applyFont="1" applyBorder="1" applyAlignment="1">
      <alignment horizontal="left" vertical="center"/>
    </xf>
    <xf numFmtId="0" fontId="61" fillId="0" borderId="1" xfId="0" applyFont="1" applyBorder="1" applyAlignment="1">
      <alignment horizontal="left" vertical="center"/>
    </xf>
    <xf numFmtId="0" fontId="12" fillId="0" borderId="35" xfId="0" applyFont="1" applyBorder="1" applyAlignment="1">
      <alignment horizontal="left" vertical="center"/>
    </xf>
    <xf numFmtId="49" fontId="12" fillId="0" borderId="1" xfId="0" applyNumberFormat="1" applyFont="1" applyFill="1" applyBorder="1" applyAlignment="1">
      <alignment horizontal="left" vertical="center" wrapText="1"/>
    </xf>
    <xf numFmtId="0" fontId="12" fillId="0" borderId="1" xfId="0" applyFont="1" applyFill="1" applyBorder="1" applyAlignment="1">
      <alignment horizontal="center" vertical="center"/>
    </xf>
    <xf numFmtId="0" fontId="12" fillId="0" borderId="22" xfId="0" quotePrefix="1" applyFont="1" applyFill="1" applyBorder="1" applyAlignment="1">
      <alignment horizontal="center" vertical="center"/>
    </xf>
    <xf numFmtId="0" fontId="12" fillId="0" borderId="22" xfId="0" applyFont="1" applyFill="1" applyBorder="1" applyAlignment="1">
      <alignment horizontal="center" vertical="center"/>
    </xf>
    <xf numFmtId="0" fontId="12" fillId="0" borderId="37" xfId="0" applyFont="1" applyFill="1" applyBorder="1" applyAlignment="1">
      <alignment horizontal="center" vertical="center"/>
    </xf>
    <xf numFmtId="0" fontId="0" fillId="0" borderId="38" xfId="0" applyBorder="1"/>
    <xf numFmtId="0" fontId="12" fillId="0" borderId="35" xfId="0" applyFont="1" applyFill="1" applyBorder="1" applyAlignment="1">
      <alignment horizontal="center" vertical="center"/>
    </xf>
    <xf numFmtId="0" fontId="42" fillId="0" borderId="36" xfId="0" applyFont="1" applyFill="1" applyBorder="1" applyAlignment="1">
      <alignment horizontal="left" vertical="center"/>
    </xf>
    <xf numFmtId="0" fontId="12" fillId="0" borderId="37" xfId="0" applyFont="1" applyBorder="1" applyAlignment="1">
      <alignment horizontal="left" vertical="center"/>
    </xf>
    <xf numFmtId="0" fontId="12" fillId="0" borderId="38" xfId="0" applyFont="1" applyFill="1" applyBorder="1" applyAlignment="1">
      <alignment horizontal="center" vertical="center"/>
    </xf>
    <xf numFmtId="0" fontId="10" fillId="0" borderId="39" xfId="0" applyFont="1" applyBorder="1" applyAlignment="1">
      <alignment vertical="center"/>
    </xf>
    <xf numFmtId="49" fontId="10" fillId="0" borderId="22" xfId="0" applyNumberFormat="1" applyFont="1" applyFill="1" applyBorder="1" applyAlignment="1">
      <alignment horizontal="left" vertical="center" wrapText="1"/>
    </xf>
    <xf numFmtId="2" fontId="10" fillId="0" borderId="1" xfId="0" applyNumberFormat="1" applyFont="1" applyFill="1" applyBorder="1" applyAlignment="1">
      <alignment horizontal="center" vertical="center"/>
    </xf>
    <xf numFmtId="2" fontId="10" fillId="0" borderId="36" xfId="0" applyNumberFormat="1" applyFont="1" applyFill="1" applyBorder="1" applyAlignment="1">
      <alignment horizontal="center" vertical="center"/>
    </xf>
    <xf numFmtId="0" fontId="62" fillId="0" borderId="39" xfId="0" applyFont="1" applyBorder="1" applyAlignment="1">
      <alignment horizontal="center" vertical="center"/>
    </xf>
    <xf numFmtId="0" fontId="0" fillId="0" borderId="1" xfId="0" applyBorder="1" applyAlignment="1">
      <alignment horizontal="center" vertical="center"/>
    </xf>
    <xf numFmtId="0" fontId="0" fillId="0" borderId="38" xfId="0" applyBorder="1" applyAlignment="1">
      <alignment horizontal="center" vertical="center"/>
    </xf>
    <xf numFmtId="0" fontId="10" fillId="0" borderId="39" xfId="0" applyFont="1" applyFill="1" applyBorder="1" applyAlignment="1">
      <alignment horizontal="left" vertical="center"/>
    </xf>
    <xf numFmtId="0" fontId="12" fillId="0" borderId="22" xfId="0" applyFont="1" applyFill="1" applyBorder="1" applyAlignment="1">
      <alignment horizontal="center"/>
    </xf>
    <xf numFmtId="2" fontId="10" fillId="0" borderId="1" xfId="0" applyNumberFormat="1" applyFont="1" applyFill="1" applyBorder="1" applyAlignment="1">
      <alignment horizontal="left" vertical="center"/>
    </xf>
    <xf numFmtId="0" fontId="10" fillId="0" borderId="22" xfId="0" applyFont="1" applyFill="1" applyBorder="1" applyAlignment="1">
      <alignment horizontal="right" vertical="center"/>
    </xf>
    <xf numFmtId="2" fontId="10" fillId="0" borderId="38" xfId="0" applyNumberFormat="1" applyFont="1" applyFill="1" applyBorder="1" applyAlignment="1">
      <alignment horizontal="center" vertical="center"/>
    </xf>
    <xf numFmtId="0" fontId="10" fillId="0" borderId="0" xfId="0" applyFont="1" applyBorder="1" applyAlignment="1">
      <alignment horizontal="left" vertical="center"/>
    </xf>
    <xf numFmtId="0" fontId="10" fillId="0" borderId="0" xfId="0" applyFont="1" applyFill="1" applyBorder="1" applyAlignment="1">
      <alignment horizontal="left" vertical="center"/>
    </xf>
    <xf numFmtId="0" fontId="10" fillId="13" borderId="0" xfId="0" applyFont="1" applyFill="1"/>
    <xf numFmtId="0" fontId="12" fillId="0" borderId="1" xfId="23" applyFont="1" applyFill="1" applyBorder="1"/>
    <xf numFmtId="0" fontId="10" fillId="0" borderId="1" xfId="23" applyFont="1" applyFill="1" applyBorder="1"/>
    <xf numFmtId="0" fontId="10" fillId="0" borderId="21" xfId="23" applyFont="1" applyFill="1" applyBorder="1"/>
    <xf numFmtId="0" fontId="10" fillId="0" borderId="2" xfId="23" applyFont="1" applyFill="1" applyBorder="1"/>
    <xf numFmtId="0" fontId="10" fillId="0" borderId="23" xfId="23" applyFont="1" applyFill="1" applyBorder="1"/>
    <xf numFmtId="0" fontId="18" fillId="0" borderId="0" xfId="23" applyFont="1" applyBorder="1" applyAlignment="1">
      <alignment horizontal="left" vertical="center"/>
    </xf>
    <xf numFmtId="0" fontId="32" fillId="0" borderId="0" xfId="23" applyFont="1" applyBorder="1" applyAlignment="1">
      <alignment horizontal="left" vertical="center"/>
    </xf>
    <xf numFmtId="0" fontId="18" fillId="0" borderId="0" xfId="23" applyFont="1" applyFill="1" applyBorder="1" applyAlignment="1">
      <alignment horizontal="left" vertical="center"/>
    </xf>
    <xf numFmtId="0" fontId="10" fillId="0" borderId="0" xfId="43" applyFont="1" applyFill="1" applyBorder="1" applyAlignment="1" applyProtection="1">
      <alignment vertical="center"/>
    </xf>
    <xf numFmtId="0" fontId="10" fillId="0" borderId="0" xfId="0" applyFont="1" applyBorder="1" applyAlignment="1" applyProtection="1">
      <alignment horizontal="left" vertical="center"/>
    </xf>
    <xf numFmtId="0" fontId="10" fillId="0" borderId="0" xfId="0" applyFont="1" applyBorder="1" applyAlignment="1" applyProtection="1">
      <alignment horizontal="center" vertical="center"/>
    </xf>
    <xf numFmtId="0" fontId="104" fillId="0" borderId="0" xfId="23" applyFont="1" applyFill="1" applyBorder="1" applyAlignment="1" applyProtection="1">
      <alignment vertical="center"/>
    </xf>
    <xf numFmtId="0" fontId="10" fillId="0" borderId="1" xfId="0" applyFont="1" applyFill="1" applyBorder="1" applyProtection="1"/>
    <xf numFmtId="165" fontId="8" fillId="0" borderId="0" xfId="0" applyNumberFormat="1" applyFont="1" applyFill="1" applyBorder="1" applyAlignment="1" applyProtection="1">
      <alignment horizontal="center" vertical="center"/>
    </xf>
    <xf numFmtId="49" fontId="12" fillId="2" borderId="33" xfId="0" applyNumberFormat="1" applyFont="1" applyFill="1" applyBorder="1" applyAlignment="1" applyProtection="1">
      <alignment vertical="center" wrapText="1"/>
    </xf>
    <xf numFmtId="0" fontId="10" fillId="2" borderId="34" xfId="0" applyNumberFormat="1" applyFont="1" applyFill="1" applyBorder="1" applyAlignment="1" applyProtection="1">
      <alignment horizontal="right" vertical="center"/>
    </xf>
    <xf numFmtId="49" fontId="12" fillId="0" borderId="1" xfId="0" applyNumberFormat="1" applyFont="1" applyFill="1" applyBorder="1" applyAlignment="1" applyProtection="1">
      <alignment horizontal="left" vertical="center" wrapText="1"/>
    </xf>
    <xf numFmtId="49" fontId="15" fillId="0" borderId="0" xfId="0" applyNumberFormat="1" applyFont="1" applyFill="1" applyBorder="1" applyAlignment="1" applyProtection="1">
      <alignment horizontal="left" vertical="center" wrapText="1"/>
    </xf>
    <xf numFmtId="175" fontId="40" fillId="0" borderId="0" xfId="0" applyNumberFormat="1" applyFont="1" applyFill="1" applyBorder="1" applyAlignment="1" applyProtection="1">
      <alignment horizontal="left" vertical="center" wrapText="1"/>
      <protection hidden="1"/>
    </xf>
    <xf numFmtId="49" fontId="10" fillId="0" borderId="1" xfId="0" applyNumberFormat="1" applyFont="1" applyFill="1" applyBorder="1" applyAlignment="1" applyProtection="1">
      <alignment horizontal="left" vertical="center" wrapText="1"/>
    </xf>
    <xf numFmtId="0" fontId="15" fillId="0" borderId="0" xfId="0" applyFont="1" applyBorder="1" applyAlignment="1" applyProtection="1">
      <alignment horizontal="left" vertical="center"/>
    </xf>
    <xf numFmtId="0" fontId="15" fillId="0" borderId="0" xfId="0" applyFont="1" applyBorder="1" applyAlignment="1" applyProtection="1">
      <alignment horizontal="center" vertical="center"/>
    </xf>
    <xf numFmtId="0" fontId="10" fillId="5" borderId="8" xfId="61" applyFont="1" applyFill="1" applyBorder="1" applyProtection="1">
      <protection locked="0"/>
    </xf>
    <xf numFmtId="0" fontId="12" fillId="14" borderId="0" xfId="0" applyFont="1" applyFill="1"/>
    <xf numFmtId="0" fontId="10" fillId="8" borderId="18" xfId="0" applyFont="1" applyFill="1" applyBorder="1" applyAlignment="1">
      <alignment horizontal="center" vertical="center"/>
    </xf>
    <xf numFmtId="0" fontId="10" fillId="8" borderId="14" xfId="0" applyFont="1" applyFill="1" applyBorder="1" applyAlignment="1">
      <alignment horizontal="center" vertical="center"/>
    </xf>
    <xf numFmtId="0" fontId="0" fillId="0" borderId="1" xfId="0" applyBorder="1" applyAlignment="1">
      <alignment vertical="center"/>
    </xf>
    <xf numFmtId="0" fontId="10" fillId="0" borderId="0" xfId="0" applyFont="1" applyBorder="1" applyAlignment="1">
      <alignment horizontal="right" vertical="center"/>
    </xf>
    <xf numFmtId="0" fontId="10" fillId="0" borderId="0" xfId="0" applyFont="1" applyFill="1" applyBorder="1" applyAlignment="1">
      <alignment horizontal="center" vertical="center"/>
    </xf>
    <xf numFmtId="0" fontId="10" fillId="0" borderId="0" xfId="0" applyFont="1" applyFill="1" applyBorder="1" applyAlignment="1">
      <alignment horizontal="center"/>
    </xf>
    <xf numFmtId="0" fontId="11" fillId="0" borderId="0" xfId="0" applyFont="1" applyFill="1" applyBorder="1" applyAlignment="1">
      <alignment horizontal="left" vertical="center"/>
    </xf>
    <xf numFmtId="0" fontId="10" fillId="0" borderId="0" xfId="0" applyFont="1" applyFill="1" applyBorder="1" applyAlignment="1">
      <alignment vertical="center"/>
    </xf>
    <xf numFmtId="164" fontId="10" fillId="0" borderId="7" xfId="0" applyNumberFormat="1" applyFont="1" applyFill="1" applyBorder="1" applyAlignment="1">
      <alignment horizontal="center"/>
    </xf>
    <xf numFmtId="0" fontId="10" fillId="0" borderId="0" xfId="0" applyFont="1" applyBorder="1" applyAlignment="1">
      <alignment horizontal="center" vertical="center"/>
    </xf>
    <xf numFmtId="0" fontId="12" fillId="0" borderId="0" xfId="0" applyFont="1" applyFill="1" applyBorder="1" applyAlignment="1">
      <alignment horizontal="center" wrapText="1"/>
    </xf>
    <xf numFmtId="0" fontId="12" fillId="0" borderId="7" xfId="0" applyFont="1" applyFill="1" applyBorder="1" applyAlignment="1">
      <alignment horizontal="center" wrapText="1"/>
    </xf>
    <xf numFmtId="0" fontId="10" fillId="0" borderId="0" xfId="0" applyFont="1" applyBorder="1" applyAlignment="1">
      <alignment horizontal="left" vertical="center" wrapText="1"/>
    </xf>
    <xf numFmtId="0" fontId="11" fillId="0" borderId="0" xfId="0" applyFont="1" applyBorder="1" applyAlignment="1">
      <alignment horizontal="left" vertical="center" wrapText="1"/>
    </xf>
    <xf numFmtId="0" fontId="11" fillId="0" borderId="0" xfId="0" applyFont="1" applyBorder="1" applyAlignment="1">
      <alignment vertical="center" wrapText="1"/>
    </xf>
    <xf numFmtId="0" fontId="10" fillId="0" borderId="6" xfId="0" quotePrefix="1" applyFont="1" applyBorder="1" applyAlignment="1">
      <alignment horizontal="center" vertical="center"/>
    </xf>
    <xf numFmtId="0" fontId="10" fillId="0" borderId="6" xfId="0" applyFont="1" applyBorder="1" applyAlignment="1">
      <alignment horizontal="center" vertical="center"/>
    </xf>
    <xf numFmtId="0" fontId="0" fillId="0" borderId="7" xfId="0" applyBorder="1" applyAlignment="1">
      <alignment vertical="center"/>
    </xf>
    <xf numFmtId="0" fontId="10" fillId="0" borderId="0" xfId="0" quotePrefix="1" applyFont="1" applyBorder="1" applyAlignment="1">
      <alignment horizontal="center" vertical="center"/>
    </xf>
    <xf numFmtId="0" fontId="10" fillId="0" borderId="0" xfId="0" applyFont="1" applyBorder="1" applyAlignment="1">
      <alignment horizontal="left" vertical="center"/>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0" fillId="0" borderId="0" xfId="0" applyFont="1" applyFill="1" applyBorder="1" applyAlignment="1">
      <alignment horizontal="left" vertical="center"/>
    </xf>
    <xf numFmtId="0" fontId="12" fillId="2" borderId="33" xfId="0" applyFont="1" applyFill="1" applyBorder="1" applyAlignment="1">
      <alignment horizontal="left" vertical="center"/>
    </xf>
    <xf numFmtId="0" fontId="12" fillId="0" borderId="0" xfId="0" applyFont="1" applyFill="1" applyBorder="1" applyAlignment="1">
      <alignment horizontal="left" vertical="center"/>
    </xf>
    <xf numFmtId="0" fontId="10" fillId="0" borderId="0" xfId="0" quotePrefix="1" applyFont="1" applyFill="1" applyBorder="1" applyAlignment="1">
      <alignment horizontal="center" vertical="center"/>
    </xf>
    <xf numFmtId="0" fontId="0" fillId="0" borderId="0" xfId="0" applyBorder="1" applyAlignment="1"/>
    <xf numFmtId="0" fontId="12" fillId="11" borderId="19" xfId="43" applyFont="1" applyFill="1" applyBorder="1" applyAlignment="1" applyProtection="1">
      <alignment vertical="center"/>
    </xf>
    <xf numFmtId="0" fontId="12" fillId="11" borderId="26" xfId="43" applyFont="1" applyFill="1" applyBorder="1" applyAlignment="1" applyProtection="1">
      <alignment vertical="center"/>
    </xf>
    <xf numFmtId="0" fontId="10" fillId="0" borderId="10" xfId="0" quotePrefix="1" applyFont="1" applyBorder="1" applyAlignment="1">
      <alignment horizontal="center" vertical="center"/>
    </xf>
    <xf numFmtId="0" fontId="10" fillId="0" borderId="4" xfId="0" applyFont="1" applyFill="1" applyBorder="1" applyAlignment="1">
      <alignment horizontal="center"/>
    </xf>
    <xf numFmtId="0" fontId="12" fillId="0" borderId="4" xfId="0" applyFont="1" applyFill="1" applyBorder="1" applyAlignment="1">
      <alignment horizontal="center" wrapText="1"/>
    </xf>
    <xf numFmtId="0" fontId="12" fillId="0" borderId="5" xfId="0" applyFont="1" applyFill="1" applyBorder="1" applyAlignment="1">
      <alignment horizontal="center" wrapText="1"/>
    </xf>
    <xf numFmtId="0" fontId="75" fillId="3" borderId="10" xfId="0" applyFont="1" applyFill="1" applyBorder="1" applyAlignment="1"/>
    <xf numFmtId="0" fontId="75" fillId="3" borderId="9" xfId="0" applyFont="1" applyFill="1" applyBorder="1" applyAlignment="1"/>
    <xf numFmtId="0" fontId="10" fillId="3" borderId="9" xfId="0" applyFont="1" applyFill="1" applyBorder="1" applyAlignment="1">
      <alignment horizontal="right"/>
    </xf>
    <xf numFmtId="0" fontId="10" fillId="3" borderId="9" xfId="0" applyFont="1" applyFill="1" applyBorder="1" applyAlignment="1">
      <alignment horizontal="left"/>
    </xf>
    <xf numFmtId="0" fontId="75" fillId="3" borderId="11" xfId="0" applyFont="1" applyFill="1" applyBorder="1" applyAlignment="1"/>
    <xf numFmtId="0" fontId="108" fillId="0" borderId="0" xfId="0" applyFont="1" applyFill="1" applyBorder="1" applyAlignment="1">
      <alignment horizontal="left" vertical="center"/>
    </xf>
    <xf numFmtId="0" fontId="10" fillId="0" borderId="81" xfId="0" applyFont="1" applyFill="1" applyBorder="1" applyAlignment="1">
      <alignment horizontal="left" vertical="center"/>
    </xf>
    <xf numFmtId="0" fontId="8" fillId="0" borderId="2" xfId="0" applyFont="1" applyFill="1" applyBorder="1" applyAlignment="1">
      <alignment horizontal="center" vertical="center"/>
    </xf>
    <xf numFmtId="0" fontId="10" fillId="0" borderId="0" xfId="0" applyFont="1" applyFill="1" applyBorder="1" applyAlignment="1" applyProtection="1">
      <alignment vertical="top" wrapText="1"/>
      <protection locked="0"/>
    </xf>
    <xf numFmtId="0" fontId="34" fillId="0" borderId="24" xfId="12" applyFont="1" applyFill="1" applyBorder="1" applyAlignment="1">
      <alignment vertical="center"/>
    </xf>
    <xf numFmtId="0" fontId="10" fillId="0" borderId="0" xfId="23" applyFont="1" applyFill="1" applyBorder="1" applyAlignment="1">
      <alignment horizontal="center" vertical="center"/>
    </xf>
    <xf numFmtId="0" fontId="104" fillId="0" borderId="0" xfId="23" applyFont="1" applyAlignment="1" applyProtection="1">
      <alignment vertical="center"/>
    </xf>
    <xf numFmtId="0" fontId="10" fillId="0" borderId="19" xfId="43" applyFont="1" applyFill="1" applyBorder="1" applyAlignment="1" applyProtection="1"/>
    <xf numFmtId="0" fontId="12" fillId="0" borderId="0" xfId="0" applyFont="1"/>
    <xf numFmtId="0" fontId="12" fillId="0" borderId="22" xfId="23" quotePrefix="1" applyFont="1" applyBorder="1" applyAlignment="1">
      <alignment vertical="center"/>
    </xf>
    <xf numFmtId="1" fontId="13" fillId="0" borderId="0" xfId="23" applyNumberFormat="1" applyFont="1" applyFill="1" applyBorder="1" applyAlignment="1">
      <alignment horizontal="center" vertical="center"/>
    </xf>
    <xf numFmtId="0" fontId="10" fillId="0" borderId="0" xfId="23" applyFont="1" applyFill="1" applyBorder="1" applyAlignment="1">
      <alignment horizontal="right" vertical="center"/>
    </xf>
    <xf numFmtId="1" fontId="10" fillId="0" borderId="0" xfId="23" applyNumberFormat="1" applyFont="1" applyFill="1" applyBorder="1" applyAlignment="1">
      <alignment horizontal="center" vertical="center"/>
    </xf>
    <xf numFmtId="1" fontId="8" fillId="0" borderId="0" xfId="23" applyNumberFormat="1" applyFont="1" applyFill="1" applyBorder="1" applyAlignment="1">
      <alignment horizontal="center" vertical="center"/>
    </xf>
    <xf numFmtId="168" fontId="10" fillId="0" borderId="0" xfId="23" applyNumberFormat="1" applyFont="1" applyFill="1" applyBorder="1" applyAlignment="1">
      <alignment horizontal="center" vertical="center"/>
    </xf>
    <xf numFmtId="0" fontId="12" fillId="0" borderId="21" xfId="23" applyFont="1" applyFill="1" applyBorder="1" applyAlignment="1">
      <alignment vertical="center"/>
    </xf>
    <xf numFmtId="1" fontId="10" fillId="0" borderId="2" xfId="23" applyNumberFormat="1" applyFont="1" applyFill="1" applyBorder="1" applyAlignment="1">
      <alignment horizontal="center" vertical="center"/>
    </xf>
    <xf numFmtId="1" fontId="8" fillId="0" borderId="2" xfId="23" applyNumberFormat="1" applyFont="1" applyFill="1" applyBorder="1" applyAlignment="1">
      <alignment horizontal="center" vertical="center"/>
    </xf>
    <xf numFmtId="168" fontId="10" fillId="0" borderId="2" xfId="23" applyNumberFormat="1" applyFont="1" applyFill="1" applyBorder="1" applyAlignment="1">
      <alignment horizontal="center" vertical="center"/>
    </xf>
    <xf numFmtId="0" fontId="12" fillId="11" borderId="2" xfId="23" applyFont="1" applyFill="1" applyBorder="1" applyAlignment="1">
      <alignment horizontal="left" vertical="center"/>
    </xf>
    <xf numFmtId="0" fontId="10" fillId="11" borderId="2" xfId="23" applyFont="1" applyFill="1" applyBorder="1" applyAlignment="1">
      <alignment vertical="center"/>
    </xf>
    <xf numFmtId="0" fontId="10" fillId="11" borderId="23" xfId="23" applyFont="1" applyFill="1" applyBorder="1" applyAlignment="1">
      <alignment vertical="center"/>
    </xf>
    <xf numFmtId="0" fontId="12" fillId="11" borderId="30" xfId="23" quotePrefix="1" applyFont="1" applyFill="1" applyBorder="1" applyAlignment="1">
      <alignment vertical="center"/>
    </xf>
    <xf numFmtId="0" fontId="12" fillId="11" borderId="28" xfId="23" applyFont="1" applyFill="1" applyBorder="1" applyAlignment="1">
      <alignment horizontal="left" vertical="center"/>
    </xf>
    <xf numFmtId="168" fontId="10" fillId="11" borderId="2" xfId="23" applyNumberFormat="1" applyFont="1" applyFill="1" applyBorder="1" applyAlignment="1">
      <alignment horizontal="center" vertical="center"/>
    </xf>
    <xf numFmtId="0" fontId="10" fillId="0" borderId="0" xfId="23" quotePrefix="1" applyFont="1" applyBorder="1" applyAlignment="1">
      <alignment vertical="center"/>
    </xf>
    <xf numFmtId="170" fontId="34" fillId="0" borderId="0" xfId="0" applyNumberFormat="1" applyFont="1" applyFill="1" applyBorder="1" applyAlignment="1" applyProtection="1">
      <alignment vertical="center"/>
    </xf>
    <xf numFmtId="0" fontId="10" fillId="0" borderId="2" xfId="0" applyFont="1" applyFill="1" applyBorder="1" applyAlignment="1" applyProtection="1">
      <alignment horizontal="center" vertical="center"/>
    </xf>
    <xf numFmtId="0" fontId="10" fillId="0" borderId="0" xfId="0" applyFont="1" applyFill="1" applyBorder="1" applyAlignment="1">
      <alignment horizontal="center" vertical="center"/>
    </xf>
    <xf numFmtId="1" fontId="10" fillId="0" borderId="0" xfId="0" applyNumberFormat="1" applyFont="1" applyFill="1" applyBorder="1" applyAlignment="1">
      <alignment horizontal="center" vertical="center"/>
    </xf>
    <xf numFmtId="0" fontId="10" fillId="0" borderId="0" xfId="0" applyFont="1" applyBorder="1" applyAlignment="1">
      <alignment horizontal="center" vertical="center"/>
    </xf>
    <xf numFmtId="165" fontId="10" fillId="0" borderId="0" xfId="0" applyNumberFormat="1" applyFont="1" applyFill="1" applyBorder="1" applyAlignment="1">
      <alignment horizontal="center" vertical="center"/>
    </xf>
    <xf numFmtId="0" fontId="10" fillId="0" borderId="0" xfId="0" applyFont="1" applyBorder="1" applyAlignment="1">
      <alignment horizontal="left" vertical="center"/>
    </xf>
    <xf numFmtId="0" fontId="10" fillId="0" borderId="0" xfId="0" applyFont="1" applyFill="1" applyBorder="1" applyAlignment="1">
      <alignment horizontal="left" vertical="center"/>
    </xf>
    <xf numFmtId="0" fontId="13" fillId="0" borderId="0" xfId="10" applyFont="1" applyBorder="1" applyAlignment="1">
      <alignment vertical="center"/>
    </xf>
    <xf numFmtId="0" fontId="10" fillId="0" borderId="20" xfId="10" applyFont="1" applyFill="1" applyBorder="1" applyAlignment="1">
      <alignment vertical="center"/>
    </xf>
    <xf numFmtId="0" fontId="10" fillId="0" borderId="20" xfId="23" applyFont="1" applyFill="1" applyBorder="1" applyAlignment="1">
      <alignment horizontal="right" vertical="center" wrapText="1"/>
    </xf>
    <xf numFmtId="0" fontId="10" fillId="0" borderId="20" xfId="23" applyFont="1" applyFill="1" applyBorder="1" applyAlignment="1" applyProtection="1">
      <alignment horizontal="right" vertical="center" wrapText="1"/>
    </xf>
    <xf numFmtId="0" fontId="10" fillId="0" borderId="20" xfId="23" applyFont="1" applyFill="1" applyBorder="1" applyAlignment="1" applyProtection="1">
      <alignment horizontal="center" vertical="center" wrapText="1"/>
    </xf>
    <xf numFmtId="0" fontId="12" fillId="0" borderId="20" xfId="10" applyFont="1" applyFill="1" applyBorder="1" applyAlignment="1">
      <alignment vertical="center"/>
    </xf>
    <xf numFmtId="165" fontId="10" fillId="0" borderId="0" xfId="10" applyNumberFormat="1" applyFont="1" applyAlignment="1">
      <alignment vertical="center"/>
    </xf>
    <xf numFmtId="0" fontId="10" fillId="0" borderId="0" xfId="0" applyFont="1" applyBorder="1" applyAlignment="1">
      <alignment horizontal="left" vertical="center"/>
    </xf>
    <xf numFmtId="0" fontId="10" fillId="0" borderId="0" xfId="0" applyFont="1" applyFill="1" applyBorder="1" applyAlignment="1" applyProtection="1">
      <alignment horizontal="center" vertical="center"/>
    </xf>
    <xf numFmtId="0" fontId="86" fillId="0" borderId="0" xfId="0" applyFont="1" applyFill="1" applyBorder="1" applyAlignment="1">
      <alignment horizontal="center" vertical="center"/>
    </xf>
    <xf numFmtId="0" fontId="11" fillId="0" borderId="0" xfId="23" applyFont="1" applyBorder="1" applyAlignment="1">
      <alignment vertical="center"/>
    </xf>
    <xf numFmtId="0" fontId="10" fillId="0" borderId="0" xfId="23" applyFont="1" applyFill="1" applyBorder="1" applyAlignment="1">
      <alignment horizontal="left" vertical="center"/>
    </xf>
    <xf numFmtId="0" fontId="10" fillId="0" borderId="0" xfId="23" applyFont="1" applyBorder="1" applyAlignment="1" applyProtection="1">
      <alignment horizontal="left" vertical="center"/>
    </xf>
    <xf numFmtId="0" fontId="130" fillId="0" borderId="0" xfId="23" applyFont="1" applyBorder="1" applyAlignment="1" applyProtection="1">
      <alignment horizontal="left" vertical="center"/>
    </xf>
    <xf numFmtId="0" fontId="10" fillId="0" borderId="0" xfId="23" applyFont="1" applyBorder="1" applyAlignment="1" applyProtection="1">
      <alignment horizontal="left" vertical="center"/>
    </xf>
    <xf numFmtId="0" fontId="10" fillId="0" borderId="0" xfId="23" applyFont="1" applyBorder="1" applyAlignment="1" applyProtection="1">
      <alignment horizontal="left" vertical="center"/>
    </xf>
    <xf numFmtId="0" fontId="10" fillId="0" borderId="0" xfId="23" applyFont="1" applyFill="1" applyBorder="1" applyAlignment="1" applyProtection="1">
      <alignment horizontal="left" vertical="center"/>
    </xf>
    <xf numFmtId="0" fontId="10" fillId="0" borderId="0" xfId="23" applyFont="1" applyFill="1" applyBorder="1" applyAlignment="1" applyProtection="1">
      <alignment horizontal="left" vertical="center"/>
    </xf>
    <xf numFmtId="0" fontId="10" fillId="0" borderId="0" xfId="23" quotePrefix="1" applyFont="1" applyFill="1" applyBorder="1" applyAlignment="1" applyProtection="1">
      <alignment horizontal="center" vertical="center"/>
    </xf>
    <xf numFmtId="168" fontId="10" fillId="0" borderId="0" xfId="23" applyNumberFormat="1" applyFont="1" applyFill="1" applyBorder="1" applyAlignment="1" applyProtection="1">
      <alignment horizontal="center" vertical="center"/>
    </xf>
    <xf numFmtId="0" fontId="10" fillId="0" borderId="0" xfId="23" applyFont="1" applyBorder="1" applyAlignment="1" applyProtection="1">
      <alignment horizontal="center" vertical="center"/>
    </xf>
    <xf numFmtId="165" fontId="10" fillId="11" borderId="8" xfId="23" applyNumberFormat="1" applyFont="1" applyFill="1" applyBorder="1" applyAlignment="1" applyProtection="1">
      <alignment horizontal="center" vertical="center"/>
    </xf>
    <xf numFmtId="0" fontId="10" fillId="11" borderId="8" xfId="23" applyNumberFormat="1" applyFont="1" applyFill="1" applyBorder="1" applyAlignment="1" applyProtection="1">
      <alignment horizontal="center" vertical="center"/>
    </xf>
    <xf numFmtId="0" fontId="10" fillId="0" borderId="0" xfId="23" applyFont="1" applyBorder="1" applyAlignment="1" applyProtection="1">
      <alignment horizontal="left" vertical="center"/>
    </xf>
    <xf numFmtId="0" fontId="10" fillId="0" borderId="0" xfId="23" applyFont="1" applyBorder="1" applyAlignment="1" applyProtection="1">
      <alignment horizontal="left" vertical="center"/>
    </xf>
    <xf numFmtId="0" fontId="10" fillId="0" borderId="0" xfId="23" applyFont="1" applyBorder="1" applyAlignment="1" applyProtection="1">
      <alignment horizontal="left" vertical="center"/>
    </xf>
    <xf numFmtId="0" fontId="10" fillId="0" borderId="0" xfId="23" applyFont="1" applyFill="1" applyBorder="1" applyAlignment="1" applyProtection="1">
      <alignment horizontal="left" vertical="center"/>
    </xf>
    <xf numFmtId="0" fontId="10" fillId="0" borderId="0" xfId="23" applyFont="1" applyBorder="1" applyAlignment="1" applyProtection="1">
      <alignment horizontal="center" vertical="center"/>
    </xf>
    <xf numFmtId="0" fontId="14" fillId="0" borderId="0" xfId="23" applyFont="1" applyBorder="1" applyAlignment="1" applyProtection="1">
      <alignment horizontal="center" vertical="center"/>
    </xf>
    <xf numFmtId="0" fontId="14" fillId="0" borderId="0" xfId="23" quotePrefix="1" applyFont="1" applyBorder="1" applyAlignment="1" applyProtection="1">
      <alignment horizontal="center" vertical="center"/>
    </xf>
    <xf numFmtId="165" fontId="10" fillId="11" borderId="8" xfId="23" applyNumberFormat="1" applyFont="1" applyFill="1" applyBorder="1" applyAlignment="1" applyProtection="1">
      <alignment horizontal="center" vertical="center"/>
    </xf>
    <xf numFmtId="0" fontId="10" fillId="11" borderId="8" xfId="23" applyNumberFormat="1" applyFont="1" applyFill="1" applyBorder="1" applyAlignment="1" applyProtection="1">
      <alignment horizontal="center" vertical="center"/>
    </xf>
    <xf numFmtId="1" fontId="10" fillId="11" borderId="8" xfId="23" applyNumberFormat="1" applyFont="1" applyFill="1" applyBorder="1" applyAlignment="1" applyProtection="1">
      <alignment horizontal="center" vertical="center"/>
    </xf>
    <xf numFmtId="1" fontId="10" fillId="2" borderId="8" xfId="23" applyNumberFormat="1" applyFont="1" applyFill="1" applyBorder="1" applyAlignment="1" applyProtection="1">
      <alignment horizontal="center" vertical="center"/>
    </xf>
    <xf numFmtId="165" fontId="10" fillId="0" borderId="0" xfId="23" applyNumberFormat="1" applyFont="1" applyFill="1" applyBorder="1" applyAlignment="1">
      <alignment horizontal="left" vertical="center"/>
    </xf>
    <xf numFmtId="0" fontId="10" fillId="0" borderId="0" xfId="23" applyFont="1" applyBorder="1" applyAlignment="1" applyProtection="1">
      <alignment horizontal="left" vertical="center"/>
    </xf>
    <xf numFmtId="0" fontId="10" fillId="0" borderId="0" xfId="23" applyFont="1" applyFill="1" applyBorder="1" applyAlignment="1" applyProtection="1">
      <alignment horizontal="left" vertical="center"/>
    </xf>
    <xf numFmtId="0" fontId="12" fillId="0" borderId="0" xfId="23" applyFont="1" applyFill="1" applyBorder="1" applyAlignment="1" applyProtection="1">
      <alignment horizontal="center" vertical="center"/>
    </xf>
    <xf numFmtId="1" fontId="12" fillId="11" borderId="0" xfId="23" applyNumberFormat="1" applyFont="1" applyFill="1" applyBorder="1" applyAlignment="1" applyProtection="1">
      <alignment horizontal="center" vertical="center"/>
    </xf>
    <xf numFmtId="165" fontId="12" fillId="11" borderId="8" xfId="23" applyNumberFormat="1" applyFont="1" applyFill="1" applyBorder="1" applyAlignment="1" applyProtection="1">
      <alignment horizontal="center" vertical="center"/>
    </xf>
    <xf numFmtId="0" fontId="88" fillId="2" borderId="32" xfId="0" applyFont="1" applyFill="1" applyBorder="1" applyAlignment="1">
      <alignment vertical="center"/>
    </xf>
    <xf numFmtId="177" fontId="86" fillId="0" borderId="0" xfId="0" applyNumberFormat="1" applyFont="1" applyFill="1" applyBorder="1" applyAlignment="1">
      <alignment horizontal="center" vertical="center"/>
    </xf>
    <xf numFmtId="0" fontId="64" fillId="0" borderId="22" xfId="0" applyFont="1" applyBorder="1" applyAlignment="1">
      <alignment horizontal="center" vertical="center"/>
    </xf>
    <xf numFmtId="0" fontId="64" fillId="0" borderId="0" xfId="0" applyFont="1" applyFill="1" applyBorder="1" applyAlignment="1">
      <alignment vertical="center"/>
    </xf>
    <xf numFmtId="0" fontId="64" fillId="0" borderId="0" xfId="0" applyFont="1" applyFill="1" applyBorder="1" applyAlignment="1">
      <alignment horizontal="left" vertical="center"/>
    </xf>
    <xf numFmtId="0" fontId="88" fillId="2" borderId="33" xfId="0" applyFont="1" applyFill="1" applyBorder="1" applyAlignment="1">
      <alignment vertical="center"/>
    </xf>
    <xf numFmtId="0" fontId="64" fillId="0" borderId="0" xfId="0" applyFont="1" applyBorder="1" applyAlignment="1">
      <alignment vertical="center"/>
    </xf>
    <xf numFmtId="0" fontId="10" fillId="0" borderId="0" xfId="0" applyFont="1" applyBorder="1" applyAlignment="1">
      <alignment horizontal="center" vertical="center"/>
    </xf>
    <xf numFmtId="1" fontId="40" fillId="3" borderId="0" xfId="0" quotePrefix="1" applyNumberFormat="1" applyFont="1" applyFill="1" applyAlignment="1">
      <alignment horizontal="center"/>
    </xf>
    <xf numFmtId="0" fontId="34" fillId="7" borderId="39" xfId="12" applyFont="1" applyFill="1" applyBorder="1" applyAlignment="1" applyProtection="1">
      <alignment horizontal="center" vertical="center"/>
      <protection locked="0"/>
    </xf>
    <xf numFmtId="0" fontId="8" fillId="0" borderId="0" xfId="0" applyFont="1"/>
    <xf numFmtId="0" fontId="0" fillId="0" borderId="0" xfId="0" applyNumberFormat="1"/>
    <xf numFmtId="0" fontId="131" fillId="11" borderId="8" xfId="0" applyNumberFormat="1" applyFont="1" applyFill="1" applyBorder="1" applyAlignment="1">
      <alignment horizontal="center"/>
    </xf>
    <xf numFmtId="0" fontId="0" fillId="0" borderId="0" xfId="0" applyAlignment="1">
      <alignment horizontal="center"/>
    </xf>
    <xf numFmtId="0" fontId="33" fillId="0" borderId="0" xfId="58" applyFont="1" applyFill="1" applyBorder="1" applyAlignment="1">
      <alignment horizontal="center" vertical="center"/>
    </xf>
    <xf numFmtId="0" fontId="44" fillId="0" borderId="0" xfId="58" applyFill="1" applyAlignment="1">
      <alignment horizontal="center"/>
    </xf>
    <xf numFmtId="0" fontId="44" fillId="0" borderId="0" xfId="58" applyAlignment="1">
      <alignment horizontal="center"/>
    </xf>
    <xf numFmtId="0" fontId="8" fillId="0" borderId="8" xfId="0" applyFont="1" applyBorder="1" applyAlignment="1">
      <alignment horizontal="center"/>
    </xf>
    <xf numFmtId="0" fontId="0" fillId="0" borderId="8" xfId="0" applyBorder="1" applyAlignment="1">
      <alignment horizontal="center"/>
    </xf>
    <xf numFmtId="0" fontId="8" fillId="0" borderId="8" xfId="0" quotePrefix="1" applyFont="1" applyBorder="1" applyAlignment="1">
      <alignment horizontal="center"/>
    </xf>
    <xf numFmtId="0" fontId="10" fillId="10" borderId="0" xfId="43" applyFont="1" applyFill="1" applyBorder="1" applyAlignment="1" applyProtection="1">
      <alignment vertical="center"/>
      <protection locked="0"/>
    </xf>
    <xf numFmtId="0" fontId="10" fillId="0" borderId="0" xfId="23" applyFont="1" applyFill="1" applyBorder="1" applyAlignment="1" applyProtection="1">
      <alignment horizontal="center" vertical="center"/>
    </xf>
    <xf numFmtId="0" fontId="34" fillId="0" borderId="18" xfId="12" applyFont="1" applyFill="1" applyBorder="1" applyAlignment="1">
      <alignment horizontal="right" vertical="center"/>
    </xf>
    <xf numFmtId="0" fontId="34" fillId="2" borderId="97" xfId="12" applyFont="1" applyFill="1" applyBorder="1" applyAlignment="1">
      <alignment horizontal="center" vertical="center"/>
    </xf>
    <xf numFmtId="0" fontId="34" fillId="5" borderId="46" xfId="12" applyFont="1" applyFill="1" applyBorder="1" applyAlignment="1" applyProtection="1">
      <alignment horizontal="center" vertical="center" wrapText="1"/>
      <protection locked="0"/>
    </xf>
    <xf numFmtId="0" fontId="10" fillId="0" borderId="28" xfId="43" applyFont="1" applyBorder="1" applyAlignment="1">
      <alignment horizontal="center" vertical="center"/>
    </xf>
    <xf numFmtId="0" fontId="10" fillId="0" borderId="2" xfId="43" applyFont="1" applyBorder="1" applyAlignment="1">
      <alignment horizontal="center" vertical="center"/>
    </xf>
    <xf numFmtId="0" fontId="34" fillId="0" borderId="26" xfId="12" applyFont="1" applyFill="1" applyBorder="1" applyAlignment="1">
      <alignment horizontal="right" vertical="center"/>
    </xf>
    <xf numFmtId="0" fontId="8" fillId="0" borderId="0" xfId="43" applyFont="1" applyBorder="1" applyAlignment="1" applyProtection="1">
      <alignment horizontal="left" vertical="center"/>
    </xf>
    <xf numFmtId="0" fontId="12" fillId="2" borderId="19" xfId="0" applyFont="1" applyFill="1" applyBorder="1" applyAlignment="1">
      <alignment horizontal="left" vertical="center"/>
    </xf>
    <xf numFmtId="0" fontId="12" fillId="2" borderId="39" xfId="0" applyFont="1" applyFill="1" applyBorder="1" applyAlignment="1">
      <alignment horizontal="left" vertical="center"/>
    </xf>
    <xf numFmtId="0" fontId="12" fillId="0" borderId="0" xfId="0" applyFont="1" applyFill="1" applyBorder="1" applyAlignment="1">
      <alignment horizontal="left" vertical="center"/>
    </xf>
    <xf numFmtId="165" fontId="34" fillId="5" borderId="39" xfId="12" applyNumberFormat="1" applyFont="1" applyFill="1" applyBorder="1" applyAlignment="1" applyProtection="1">
      <alignment horizontal="center" vertical="center"/>
      <protection locked="0"/>
    </xf>
    <xf numFmtId="0" fontId="10" fillId="7" borderId="8" xfId="23" applyFont="1" applyFill="1" applyBorder="1" applyAlignment="1" applyProtection="1">
      <alignment horizontal="center" vertical="center"/>
      <protection locked="0"/>
    </xf>
    <xf numFmtId="165" fontId="10" fillId="2" borderId="14" xfId="0" applyNumberFormat="1" applyFont="1" applyFill="1" applyBorder="1" applyAlignment="1">
      <alignment horizontal="center" vertical="center"/>
    </xf>
    <xf numFmtId="0" fontId="10" fillId="0" borderId="0" xfId="0" applyFont="1" applyBorder="1" applyAlignment="1">
      <alignment horizontal="right" vertical="center"/>
    </xf>
    <xf numFmtId="0" fontId="10" fillId="0" borderId="0" xfId="0" applyFont="1" applyFill="1" applyBorder="1" applyAlignment="1">
      <alignment horizontal="center" vertical="center"/>
    </xf>
    <xf numFmtId="0" fontId="10" fillId="0" borderId="0" xfId="0" applyFont="1" applyFill="1" applyBorder="1" applyAlignment="1">
      <alignment vertical="center"/>
    </xf>
    <xf numFmtId="0" fontId="10" fillId="0" borderId="0" xfId="0" applyFont="1" applyFill="1" applyBorder="1" applyAlignment="1">
      <alignment horizontal="center"/>
    </xf>
    <xf numFmtId="0" fontId="11" fillId="0" borderId="0" xfId="0" applyFont="1" applyFill="1" applyBorder="1" applyAlignment="1">
      <alignment horizontal="left" vertical="center"/>
    </xf>
    <xf numFmtId="1" fontId="10" fillId="0" borderId="0" xfId="0" applyNumberFormat="1" applyFont="1" applyFill="1" applyBorder="1" applyAlignment="1">
      <alignment horizontal="center" vertical="center"/>
    </xf>
    <xf numFmtId="2" fontId="10" fillId="0" borderId="0" xfId="0" applyNumberFormat="1" applyFont="1" applyFill="1" applyBorder="1" applyAlignment="1">
      <alignment horizontal="center" vertical="center"/>
    </xf>
    <xf numFmtId="164" fontId="10" fillId="0" borderId="0" xfId="0" applyNumberFormat="1" applyFont="1" applyFill="1" applyBorder="1" applyAlignment="1">
      <alignment horizontal="center" vertical="center"/>
    </xf>
    <xf numFmtId="0" fontId="10" fillId="0" borderId="0" xfId="0" applyFont="1" applyBorder="1" applyAlignment="1">
      <alignment horizontal="center" vertical="center"/>
    </xf>
    <xf numFmtId="0" fontId="10" fillId="0" borderId="0" xfId="0" applyFont="1" applyBorder="1" applyAlignment="1">
      <alignment horizontal="left" vertical="center" wrapText="1"/>
    </xf>
    <xf numFmtId="0" fontId="11" fillId="0" borderId="0" xfId="0" applyFont="1" applyBorder="1" applyAlignment="1">
      <alignment vertical="center" wrapText="1"/>
    </xf>
    <xf numFmtId="0" fontId="11" fillId="0" borderId="0" xfId="0" applyFont="1" applyBorder="1" applyAlignment="1">
      <alignment horizontal="left" vertical="center" wrapText="1"/>
    </xf>
    <xf numFmtId="0" fontId="10" fillId="0" borderId="0" xfId="0" applyFont="1" applyBorder="1" applyAlignment="1">
      <alignment horizontal="center"/>
    </xf>
    <xf numFmtId="165" fontId="10" fillId="0" borderId="0" xfId="0" applyNumberFormat="1" applyFont="1" applyFill="1" applyBorder="1" applyAlignment="1">
      <alignment horizontal="center" vertical="center"/>
    </xf>
    <xf numFmtId="0" fontId="10" fillId="0" borderId="0" xfId="0" quotePrefix="1" applyFont="1" applyBorder="1" applyAlignment="1">
      <alignment horizontal="center" vertical="center"/>
    </xf>
    <xf numFmtId="0" fontId="10" fillId="0" borderId="0" xfId="0" applyFont="1" applyBorder="1" applyAlignment="1">
      <alignment horizontal="left" vertical="center"/>
    </xf>
    <xf numFmtId="0" fontId="10" fillId="0" borderId="0" xfId="0" applyFont="1" applyFill="1" applyBorder="1" applyAlignment="1">
      <alignment horizontal="left" vertical="center"/>
    </xf>
    <xf numFmtId="0" fontId="10" fillId="0" borderId="4" xfId="0" applyFont="1" applyBorder="1" applyAlignment="1">
      <alignment horizontal="center" vertical="center"/>
    </xf>
    <xf numFmtId="0" fontId="12" fillId="2" borderId="33" xfId="0" applyFont="1" applyFill="1" applyBorder="1" applyAlignment="1">
      <alignment horizontal="left" vertical="center"/>
    </xf>
    <xf numFmtId="0" fontId="12" fillId="2" borderId="26" xfId="0" applyFont="1" applyFill="1" applyBorder="1" applyAlignment="1">
      <alignment horizontal="left" vertical="center"/>
    </xf>
    <xf numFmtId="0" fontId="12" fillId="2" borderId="19" xfId="0" applyFont="1" applyFill="1" applyBorder="1" applyAlignment="1">
      <alignment horizontal="left" vertical="center"/>
    </xf>
    <xf numFmtId="0" fontId="12" fillId="2" borderId="39" xfId="0" applyFont="1" applyFill="1" applyBorder="1" applyAlignment="1">
      <alignment horizontal="left" vertical="center"/>
    </xf>
    <xf numFmtId="165" fontId="10" fillId="2" borderId="18" xfId="0" applyNumberFormat="1" applyFont="1" applyFill="1" applyBorder="1" applyAlignment="1" applyProtection="1">
      <alignment horizontal="center" vertical="center"/>
    </xf>
    <xf numFmtId="0" fontId="118" fillId="0" borderId="0" xfId="0" applyFont="1" applyBorder="1" applyAlignment="1">
      <alignment horizontal="center" vertical="center" wrapText="1"/>
    </xf>
    <xf numFmtId="0" fontId="10" fillId="8" borderId="14" xfId="0" applyFont="1" applyFill="1" applyBorder="1" applyAlignment="1" applyProtection="1">
      <alignment horizontal="center" vertical="center"/>
    </xf>
    <xf numFmtId="0" fontId="12" fillId="0" borderId="0" xfId="0" applyFont="1" applyFill="1" applyBorder="1" applyAlignment="1">
      <alignment horizontal="left" vertical="center"/>
    </xf>
    <xf numFmtId="0" fontId="10" fillId="0" borderId="37" xfId="0" applyFont="1" applyBorder="1" applyAlignment="1">
      <alignment horizontal="center" vertical="center"/>
    </xf>
    <xf numFmtId="0" fontId="10" fillId="8" borderId="18" xfId="0" applyFont="1" applyFill="1" applyBorder="1" applyAlignment="1" applyProtection="1">
      <alignment horizontal="center" vertical="center"/>
    </xf>
    <xf numFmtId="0" fontId="10" fillId="0" borderId="0" xfId="0" applyFont="1" applyFill="1" applyBorder="1" applyAlignment="1" applyProtection="1">
      <alignment horizontal="center" vertical="center"/>
    </xf>
    <xf numFmtId="0" fontId="10" fillId="0" borderId="22" xfId="0" applyFont="1" applyBorder="1" applyAlignment="1">
      <alignment horizontal="center" vertical="center"/>
    </xf>
    <xf numFmtId="0" fontId="10" fillId="0" borderId="0" xfId="0" quotePrefix="1" applyFont="1" applyFill="1" applyBorder="1" applyAlignment="1">
      <alignment horizontal="center" vertical="center"/>
    </xf>
    <xf numFmtId="0" fontId="34" fillId="0" borderId="0" xfId="13" applyFont="1"/>
    <xf numFmtId="0" fontId="15" fillId="0" borderId="0" xfId="13" applyFont="1"/>
    <xf numFmtId="0" fontId="95" fillId="0" borderId="0" xfId="13" applyFont="1"/>
    <xf numFmtId="0" fontId="97" fillId="3" borderId="4" xfId="43" applyFont="1" applyFill="1" applyBorder="1" applyAlignment="1">
      <alignment horizontal="right" vertical="top" indent="1"/>
    </xf>
    <xf numFmtId="0" fontId="97" fillId="3" borderId="0" xfId="43" applyFont="1" applyFill="1" applyAlignment="1">
      <alignment horizontal="right" vertical="top" indent="1"/>
    </xf>
    <xf numFmtId="0" fontId="34" fillId="0" borderId="11" xfId="13" applyFont="1" applyBorder="1"/>
    <xf numFmtId="0" fontId="35" fillId="0" borderId="9" xfId="43" applyFont="1" applyBorder="1"/>
    <xf numFmtId="0" fontId="35" fillId="11" borderId="14" xfId="43" applyFont="1" applyFill="1" applyBorder="1"/>
    <xf numFmtId="0" fontId="35" fillId="11" borderId="19" xfId="43" applyFont="1" applyFill="1" applyBorder="1"/>
    <xf numFmtId="0" fontId="35" fillId="11" borderId="18" xfId="43" applyFont="1" applyFill="1" applyBorder="1"/>
    <xf numFmtId="0" fontId="8" fillId="0" borderId="0" xfId="43"/>
    <xf numFmtId="0" fontId="34" fillId="0" borderId="6" xfId="13" applyFont="1" applyBorder="1"/>
    <xf numFmtId="0" fontId="97" fillId="3" borderId="0" xfId="43" applyFont="1" applyFill="1" applyAlignment="1">
      <alignment horizontal="right" vertical="top"/>
    </xf>
    <xf numFmtId="0" fontId="97" fillId="3" borderId="6" xfId="43" applyFont="1" applyFill="1" applyBorder="1" applyAlignment="1">
      <alignment horizontal="right" vertical="top"/>
    </xf>
    <xf numFmtId="0" fontId="34" fillId="3" borderId="0" xfId="43" applyFont="1" applyFill="1"/>
    <xf numFmtId="0" fontId="34" fillId="3" borderId="0" xfId="43" applyFont="1" applyFill="1" applyAlignment="1">
      <alignment horizontal="left"/>
    </xf>
    <xf numFmtId="0" fontId="34" fillId="0" borderId="7" xfId="13" applyFont="1" applyBorder="1"/>
    <xf numFmtId="0" fontId="34" fillId="0" borderId="9" xfId="43" applyFont="1" applyBorder="1"/>
    <xf numFmtId="0" fontId="34" fillId="3" borderId="0" xfId="43" applyFont="1" applyFill="1" applyAlignment="1">
      <alignment horizontal="left" vertical="top" wrapText="1"/>
    </xf>
    <xf numFmtId="0" fontId="97" fillId="3" borderId="6" xfId="43" applyFont="1" applyFill="1" applyBorder="1" applyAlignment="1">
      <alignment horizontal="right" vertical="top" indent="1"/>
    </xf>
    <xf numFmtId="0" fontId="34" fillId="3" borderId="0" xfId="43" applyFont="1" applyFill="1" applyAlignment="1">
      <alignment wrapText="1"/>
    </xf>
    <xf numFmtId="0" fontId="8" fillId="0" borderId="11" xfId="43" applyBorder="1"/>
    <xf numFmtId="0" fontId="8" fillId="0" borderId="9" xfId="43" applyBorder="1"/>
    <xf numFmtId="0" fontId="8" fillId="11" borderId="14" xfId="43" applyFill="1" applyBorder="1"/>
    <xf numFmtId="0" fontId="34" fillId="3" borderId="0" xfId="43" applyFont="1" applyFill="1" applyAlignment="1">
      <alignment vertical="center" wrapText="1"/>
    </xf>
    <xf numFmtId="0" fontId="8" fillId="0" borderId="0" xfId="23"/>
    <xf numFmtId="0" fontId="34" fillId="0" borderId="0" xfId="13" applyFont="1" applyAlignment="1">
      <alignment horizontal="left"/>
    </xf>
    <xf numFmtId="0" fontId="34" fillId="3" borderId="4" xfId="43" applyFont="1" applyFill="1" applyBorder="1" applyAlignment="1">
      <alignment horizontal="left" vertical="center"/>
    </xf>
    <xf numFmtId="0" fontId="34" fillId="3" borderId="0" xfId="43" applyFont="1" applyFill="1" applyAlignment="1">
      <alignment horizontal="left" vertical="center"/>
    </xf>
    <xf numFmtId="0" fontId="34" fillId="0" borderId="5" xfId="13" applyFont="1" applyBorder="1"/>
    <xf numFmtId="0" fontId="34" fillId="3" borderId="5" xfId="43" applyFont="1" applyFill="1" applyBorder="1" applyAlignment="1">
      <alignment horizontal="left" vertical="center"/>
    </xf>
    <xf numFmtId="0" fontId="34" fillId="3" borderId="3" xfId="43" applyFont="1" applyFill="1" applyBorder="1" applyAlignment="1">
      <alignment horizontal="right" vertical="center" indent="1"/>
    </xf>
    <xf numFmtId="0" fontId="34" fillId="3" borderId="7" xfId="43" applyFont="1" applyFill="1" applyBorder="1" applyAlignment="1">
      <alignment horizontal="left" vertical="center"/>
    </xf>
    <xf numFmtId="0" fontId="34" fillId="3" borderId="6" xfId="43" applyFont="1" applyFill="1" applyBorder="1" applyAlignment="1">
      <alignment horizontal="right" vertical="center" indent="1"/>
    </xf>
    <xf numFmtId="0" fontId="34" fillId="11" borderId="14" xfId="43" applyFont="1" applyFill="1" applyBorder="1"/>
    <xf numFmtId="0" fontId="34" fillId="11" borderId="19" xfId="43" applyFont="1" applyFill="1" applyBorder="1"/>
    <xf numFmtId="0" fontId="34" fillId="3" borderId="3" xfId="43" applyFont="1" applyFill="1" applyBorder="1" applyAlignment="1">
      <alignment horizontal="right" indent="1"/>
    </xf>
    <xf numFmtId="0" fontId="34" fillId="3" borderId="6" xfId="43" applyFont="1" applyFill="1" applyBorder="1" applyAlignment="1">
      <alignment horizontal="right" indent="1"/>
    </xf>
    <xf numFmtId="0" fontId="35" fillId="0" borderId="0" xfId="43" applyFont="1" applyAlignment="1">
      <alignment horizontal="left" vertical="center"/>
    </xf>
    <xf numFmtId="0" fontId="35" fillId="11" borderId="14" xfId="43" applyFont="1" applyFill="1" applyBorder="1" applyAlignment="1">
      <alignment horizontal="left" vertical="center"/>
    </xf>
    <xf numFmtId="0" fontId="35" fillId="11" borderId="19" xfId="43" applyFont="1" applyFill="1" applyBorder="1" applyAlignment="1">
      <alignment horizontal="left" vertical="center"/>
    </xf>
    <xf numFmtId="0" fontId="35" fillId="11" borderId="18" xfId="43" applyFont="1" applyFill="1" applyBorder="1" applyAlignment="1">
      <alignment horizontal="left" vertical="center"/>
    </xf>
    <xf numFmtId="0" fontId="8" fillId="7" borderId="2" xfId="43" applyFill="1" applyBorder="1" applyAlignment="1" applyProtection="1">
      <alignment horizontal="center"/>
      <protection locked="0"/>
    </xf>
    <xf numFmtId="0" fontId="35" fillId="11" borderId="18" xfId="13" applyFont="1" applyFill="1" applyBorder="1"/>
    <xf numFmtId="165" fontId="10" fillId="0" borderId="0" xfId="23" applyNumberFormat="1" applyFont="1" applyFill="1" applyBorder="1" applyAlignment="1" applyProtection="1">
      <alignment horizontal="center" vertical="center"/>
    </xf>
    <xf numFmtId="0" fontId="10" fillId="0" borderId="0" xfId="23" applyNumberFormat="1" applyFont="1" applyFill="1" applyBorder="1" applyAlignment="1" applyProtection="1">
      <alignment horizontal="center" vertical="center"/>
    </xf>
    <xf numFmtId="0" fontId="10" fillId="0" borderId="0" xfId="23" quotePrefix="1" applyFont="1" applyFill="1" applyBorder="1" applyAlignment="1" applyProtection="1">
      <alignment vertical="center"/>
    </xf>
    <xf numFmtId="0" fontId="12" fillId="0" borderId="19" xfId="0" applyFont="1" applyFill="1" applyBorder="1" applyAlignment="1">
      <alignment horizontal="left" vertical="center"/>
    </xf>
    <xf numFmtId="0" fontId="10" fillId="0" borderId="0" xfId="23" applyFont="1" applyBorder="1" applyAlignment="1" applyProtection="1">
      <alignment vertical="top"/>
    </xf>
    <xf numFmtId="0" fontId="10" fillId="11" borderId="8" xfId="23" applyFont="1" applyFill="1" applyBorder="1" applyAlignment="1" applyProtection="1">
      <alignment vertical="center"/>
    </xf>
    <xf numFmtId="165" fontId="10" fillId="11" borderId="8" xfId="23" quotePrefix="1" applyNumberFormat="1" applyFont="1" applyFill="1" applyBorder="1" applyAlignment="1" applyProtection="1">
      <alignment horizontal="center" vertical="center"/>
    </xf>
    <xf numFmtId="0" fontId="10" fillId="11" borderId="0" xfId="23" applyFont="1" applyFill="1" applyBorder="1" applyAlignment="1" applyProtection="1">
      <alignment vertical="center"/>
    </xf>
    <xf numFmtId="0" fontId="10" fillId="11" borderId="1" xfId="0" applyFont="1" applyFill="1" applyBorder="1" applyAlignment="1">
      <alignment horizontal="left" vertical="center"/>
    </xf>
    <xf numFmtId="165" fontId="10" fillId="11" borderId="8" xfId="23" applyNumberFormat="1" applyFont="1" applyFill="1" applyBorder="1" applyAlignment="1" applyProtection="1">
      <alignment horizontal="center" vertical="center"/>
    </xf>
    <xf numFmtId="0" fontId="10" fillId="11" borderId="8" xfId="23" applyNumberFormat="1" applyFont="1" applyFill="1" applyBorder="1" applyAlignment="1" applyProtection="1">
      <alignment horizontal="center" vertical="center"/>
    </xf>
    <xf numFmtId="1" fontId="10" fillId="11" borderId="8" xfId="23" applyNumberFormat="1" applyFont="1" applyFill="1" applyBorder="1" applyAlignment="1" applyProtection="1">
      <alignment horizontal="center" vertical="center"/>
    </xf>
    <xf numFmtId="165" fontId="10" fillId="0" borderId="0" xfId="23" quotePrefix="1" applyNumberFormat="1" applyFont="1" applyFill="1" applyBorder="1" applyAlignment="1" applyProtection="1">
      <alignment horizontal="center" vertical="center"/>
    </xf>
    <xf numFmtId="1" fontId="12" fillId="0" borderId="0" xfId="23" applyNumberFormat="1" applyFont="1" applyFill="1" applyBorder="1" applyAlignment="1" applyProtection="1">
      <alignment vertical="center"/>
    </xf>
    <xf numFmtId="1" fontId="10" fillId="11" borderId="8" xfId="23" applyNumberFormat="1" applyFont="1" applyFill="1" applyBorder="1" applyAlignment="1" applyProtection="1">
      <alignment vertical="center"/>
    </xf>
    <xf numFmtId="0" fontId="118" fillId="0" borderId="0" xfId="0" applyFont="1" applyBorder="1" applyAlignment="1">
      <alignment vertical="center" wrapText="1"/>
    </xf>
    <xf numFmtId="0" fontId="11" fillId="0" borderId="4" xfId="23" applyFont="1" applyBorder="1" applyAlignment="1" applyProtection="1">
      <alignment vertical="center"/>
    </xf>
    <xf numFmtId="1" fontId="12" fillId="11" borderId="0" xfId="23" applyNumberFormat="1" applyFont="1" applyFill="1" applyBorder="1" applyAlignment="1" applyProtection="1">
      <alignment horizontal="center"/>
    </xf>
    <xf numFmtId="165" fontId="12" fillId="11" borderId="8" xfId="23" applyNumberFormat="1" applyFont="1" applyFill="1" applyBorder="1" applyAlignment="1" applyProtection="1">
      <alignment horizontal="center" vertical="top"/>
    </xf>
    <xf numFmtId="0" fontId="12" fillId="0" borderId="0" xfId="23" applyFont="1" applyFill="1" applyBorder="1" applyAlignment="1" applyProtection="1">
      <alignment horizontal="center"/>
    </xf>
    <xf numFmtId="0" fontId="12" fillId="0" borderId="0" xfId="23" applyFont="1" applyFill="1" applyBorder="1" applyAlignment="1" applyProtection="1">
      <alignment vertical="center"/>
    </xf>
    <xf numFmtId="0" fontId="10" fillId="0" borderId="0" xfId="23" applyFont="1" applyFill="1" applyBorder="1" applyAlignment="1" applyProtection="1">
      <alignment vertical="center"/>
    </xf>
    <xf numFmtId="165" fontId="10" fillId="0" borderId="0" xfId="23" applyNumberFormat="1" applyFont="1" applyFill="1" applyBorder="1" applyAlignment="1" applyProtection="1">
      <alignment horizontal="center" vertical="center"/>
    </xf>
    <xf numFmtId="1" fontId="10" fillId="0" borderId="0" xfId="23" applyNumberFormat="1" applyFont="1" applyFill="1" applyBorder="1" applyAlignment="1" applyProtection="1">
      <alignment vertical="center"/>
    </xf>
    <xf numFmtId="1" fontId="10" fillId="0" borderId="0" xfId="23" applyNumberFormat="1" applyFont="1" applyFill="1" applyBorder="1" applyAlignment="1" applyProtection="1">
      <alignment horizontal="center" vertical="center"/>
    </xf>
    <xf numFmtId="0" fontId="10" fillId="0" borderId="0" xfId="23" applyFont="1" applyFill="1" applyBorder="1" applyAlignment="1" applyProtection="1">
      <alignment horizontal="center" vertical="center"/>
    </xf>
    <xf numFmtId="0" fontId="10" fillId="0" borderId="0" xfId="23" applyFont="1" applyFill="1" applyBorder="1" applyAlignment="1" applyProtection="1">
      <alignment horizontal="left" vertical="center"/>
    </xf>
    <xf numFmtId="0" fontId="10" fillId="0" borderId="0" xfId="23" applyFont="1" applyBorder="1" applyAlignment="1" applyProtection="1">
      <alignment horizontal="center" vertical="center"/>
    </xf>
    <xf numFmtId="0" fontId="12" fillId="0" borderId="0" xfId="23" applyFont="1" applyFill="1" applyBorder="1" applyAlignment="1" applyProtection="1">
      <alignment horizontal="center" vertical="center"/>
    </xf>
    <xf numFmtId="1" fontId="12" fillId="11" borderId="0" xfId="23" applyNumberFormat="1" applyFont="1" applyFill="1" applyBorder="1" applyAlignment="1" applyProtection="1">
      <alignment horizontal="center" vertical="center"/>
    </xf>
    <xf numFmtId="0" fontId="10" fillId="7" borderId="8" xfId="0" applyFont="1" applyFill="1" applyBorder="1" applyAlignment="1" applyProtection="1">
      <alignment horizontal="center" vertical="center"/>
      <protection locked="0"/>
    </xf>
    <xf numFmtId="0" fontId="10" fillId="0" borderId="2" xfId="0" applyFont="1" applyBorder="1" applyAlignment="1">
      <alignment horizontal="left" vertical="center"/>
    </xf>
    <xf numFmtId="0" fontId="10" fillId="0" borderId="2" xfId="0" applyFont="1" applyBorder="1" applyAlignment="1">
      <alignment horizontal="center" vertical="center"/>
    </xf>
    <xf numFmtId="0" fontId="10" fillId="0" borderId="23" xfId="0" applyFont="1" applyBorder="1" applyAlignment="1">
      <alignment horizontal="left" vertical="center"/>
    </xf>
    <xf numFmtId="0" fontId="12" fillId="2" borderId="34" xfId="0" applyFont="1" applyFill="1" applyBorder="1" applyAlignment="1">
      <alignment horizontal="left" vertical="center"/>
    </xf>
    <xf numFmtId="0" fontId="12" fillId="2" borderId="32" xfId="0" applyFont="1" applyFill="1" applyBorder="1" applyAlignment="1">
      <alignment horizontal="center" vertical="center"/>
    </xf>
    <xf numFmtId="0" fontId="10" fillId="0" borderId="21" xfId="0" quotePrefix="1" applyFont="1" applyBorder="1" applyAlignment="1">
      <alignment horizontal="center" vertical="center"/>
    </xf>
    <xf numFmtId="0" fontId="12" fillId="2" borderId="19" xfId="0" applyFont="1" applyFill="1" applyBorder="1" applyAlignment="1">
      <alignment vertical="center"/>
    </xf>
    <xf numFmtId="0" fontId="8" fillId="7" borderId="2" xfId="43" applyFill="1" applyBorder="1" applyAlignment="1" applyProtection="1">
      <alignment horizontal="center"/>
      <protection locked="0"/>
    </xf>
    <xf numFmtId="0" fontId="10" fillId="0" borderId="28" xfId="43" applyFont="1" applyBorder="1" applyAlignment="1">
      <alignment horizontal="center" vertical="center"/>
    </xf>
    <xf numFmtId="0" fontId="10" fillId="0" borderId="2" xfId="43" applyFont="1" applyBorder="1" applyAlignment="1">
      <alignment horizontal="center" vertical="center"/>
    </xf>
    <xf numFmtId="0" fontId="34" fillId="5" borderId="46" xfId="12" applyFont="1" applyFill="1" applyBorder="1" applyAlignment="1" applyProtection="1">
      <alignment horizontal="center" vertical="center" wrapText="1"/>
      <protection locked="0"/>
    </xf>
    <xf numFmtId="0" fontId="34" fillId="2" borderId="97" xfId="12" applyFont="1" applyFill="1" applyBorder="1" applyAlignment="1">
      <alignment horizontal="center" vertical="center"/>
    </xf>
    <xf numFmtId="0" fontId="34" fillId="0" borderId="18" xfId="12" applyFont="1" applyFill="1" applyBorder="1" applyAlignment="1">
      <alignment horizontal="right" vertical="center"/>
    </xf>
    <xf numFmtId="0" fontId="34" fillId="0" borderId="26" xfId="12" applyFont="1" applyFill="1" applyBorder="1" applyAlignment="1">
      <alignment horizontal="right" vertical="center"/>
    </xf>
    <xf numFmtId="0" fontId="8" fillId="0" borderId="0" xfId="43" applyFont="1" applyBorder="1" applyAlignment="1" applyProtection="1">
      <alignment horizontal="left" vertical="center"/>
    </xf>
    <xf numFmtId="2" fontId="10" fillId="0" borderId="0" xfId="0" applyNumberFormat="1" applyFont="1" applyFill="1" applyBorder="1" applyAlignment="1">
      <alignment horizontal="center" vertical="center"/>
    </xf>
    <xf numFmtId="0" fontId="134" fillId="0" borderId="0" xfId="10" applyFont="1" applyFill="1"/>
    <xf numFmtId="0" fontId="134" fillId="0" borderId="0" xfId="10" applyFont="1"/>
    <xf numFmtId="165" fontId="134" fillId="0" borderId="0" xfId="10" applyNumberFormat="1" applyFont="1" applyFill="1" applyBorder="1" applyProtection="1">
      <protection hidden="1"/>
    </xf>
    <xf numFmtId="0" fontId="134" fillId="0" borderId="0" xfId="10" applyFont="1" applyBorder="1"/>
    <xf numFmtId="0" fontId="135" fillId="0" borderId="0" xfId="10" applyFont="1" applyFill="1" applyBorder="1"/>
    <xf numFmtId="0" fontId="134" fillId="0" borderId="0" xfId="10" applyFont="1" applyFill="1" applyBorder="1"/>
    <xf numFmtId="0" fontId="136" fillId="0" borderId="0" xfId="10" applyFont="1" applyFill="1" applyBorder="1" applyAlignment="1">
      <alignment horizontal="center" vertical="center"/>
    </xf>
    <xf numFmtId="0" fontId="134" fillId="0" borderId="0" xfId="10" applyFont="1" applyFill="1" applyBorder="1" applyAlignment="1">
      <alignment horizontal="center" vertical="center"/>
    </xf>
    <xf numFmtId="0" fontId="136" fillId="0" borderId="0" xfId="10" applyFont="1" applyFill="1" applyBorder="1"/>
    <xf numFmtId="168" fontId="136" fillId="0" borderId="0" xfId="10" applyNumberFormat="1" applyFont="1" applyFill="1" applyBorder="1" applyAlignment="1">
      <alignment horizontal="center" vertical="center"/>
    </xf>
    <xf numFmtId="165" fontId="134" fillId="0" borderId="0" xfId="10" applyNumberFormat="1" applyFont="1" applyFill="1" applyBorder="1"/>
    <xf numFmtId="49" fontId="134" fillId="0" borderId="0" xfId="10" applyNumberFormat="1" applyFont="1" applyFill="1" applyBorder="1" applyAlignment="1">
      <alignment vertical="center"/>
    </xf>
    <xf numFmtId="0" fontId="134" fillId="0" borderId="0" xfId="10" applyFont="1" applyFill="1" applyBorder="1" applyAlignment="1">
      <alignment vertical="center"/>
    </xf>
    <xf numFmtId="0" fontId="134" fillId="0" borderId="0" xfId="10" applyFont="1" applyFill="1" applyBorder="1" applyAlignment="1">
      <alignment vertical="top"/>
    </xf>
    <xf numFmtId="49" fontId="134" fillId="0" borderId="0" xfId="10" applyNumberFormat="1" applyFont="1" applyFill="1" applyBorder="1" applyAlignment="1">
      <alignment horizontal="right" vertical="center"/>
    </xf>
    <xf numFmtId="168" fontId="134" fillId="0" borderId="0" xfId="10" applyNumberFormat="1" applyFont="1" applyFill="1" applyBorder="1" applyAlignment="1">
      <alignment horizontal="left" vertical="center"/>
    </xf>
    <xf numFmtId="0" fontId="136" fillId="0" borderId="0" xfId="10" applyFont="1" applyFill="1" applyBorder="1" applyAlignment="1">
      <alignment horizontal="center"/>
    </xf>
    <xf numFmtId="0" fontId="136" fillId="0" borderId="0" xfId="10" applyFont="1" applyFill="1" applyAlignment="1">
      <alignment horizontal="center" vertical="center"/>
    </xf>
    <xf numFmtId="0" fontId="134" fillId="0" borderId="0" xfId="10" applyFont="1" applyFill="1" applyBorder="1" applyAlignment="1">
      <alignment horizontal="left" vertical="center"/>
    </xf>
    <xf numFmtId="0" fontId="12" fillId="0" borderId="22" xfId="23" applyFont="1" applyFill="1" applyBorder="1"/>
    <xf numFmtId="0" fontId="10" fillId="0" borderId="0" xfId="0" quotePrefix="1" applyFont="1" applyFill="1" applyBorder="1" applyAlignment="1">
      <alignment horizontal="center"/>
    </xf>
    <xf numFmtId="0" fontId="12" fillId="0" borderId="0" xfId="0" applyFont="1" applyFill="1" applyBorder="1"/>
    <xf numFmtId="0" fontId="10" fillId="0" borderId="0" xfId="0" quotePrefix="1" applyFont="1" applyFill="1" applyBorder="1" applyAlignment="1" applyProtection="1">
      <alignment vertical="center"/>
    </xf>
    <xf numFmtId="0" fontId="10" fillId="0" borderId="9" xfId="0" applyFont="1" applyFill="1" applyBorder="1" applyAlignment="1" applyProtection="1">
      <alignment vertical="center"/>
    </xf>
    <xf numFmtId="0" fontId="110" fillId="0" borderId="0" xfId="0" applyFont="1" applyProtection="1"/>
    <xf numFmtId="0" fontId="110" fillId="0" borderId="0" xfId="0" applyFont="1" applyFill="1" applyProtection="1"/>
    <xf numFmtId="0" fontId="110" fillId="0" borderId="0" xfId="0" applyFont="1" applyAlignment="1" applyProtection="1"/>
    <xf numFmtId="165" fontId="12" fillId="11" borderId="2" xfId="0" applyNumberFormat="1" applyFont="1" applyFill="1" applyBorder="1" applyAlignment="1">
      <alignment horizontal="center" vertical="center"/>
    </xf>
    <xf numFmtId="165" fontId="12" fillId="11" borderId="2" xfId="0" applyNumberFormat="1" applyFont="1" applyFill="1" applyBorder="1" applyAlignment="1">
      <alignment horizontal="center"/>
    </xf>
    <xf numFmtId="165" fontId="12" fillId="11" borderId="28" xfId="0" applyNumberFormat="1" applyFont="1" applyFill="1" applyBorder="1" applyAlignment="1">
      <alignment horizontal="center" vertical="center"/>
    </xf>
    <xf numFmtId="165" fontId="12" fillId="11" borderId="0" xfId="0" applyNumberFormat="1" applyFont="1" applyFill="1" applyBorder="1" applyAlignment="1">
      <alignment vertical="center"/>
    </xf>
    <xf numFmtId="1" fontId="12" fillId="11" borderId="0" xfId="0" applyNumberFormat="1" applyFont="1" applyFill="1" applyBorder="1" applyAlignment="1">
      <alignment vertical="center"/>
    </xf>
    <xf numFmtId="1" fontId="10" fillId="11" borderId="0" xfId="0" applyNumberFormat="1" applyFont="1" applyFill="1" applyAlignment="1">
      <alignment horizontal="center" vertical="center"/>
    </xf>
    <xf numFmtId="0" fontId="127" fillId="0" borderId="77" xfId="43" applyFont="1" applyBorder="1" applyAlignment="1" applyProtection="1">
      <alignment vertical="center"/>
    </xf>
    <xf numFmtId="0" fontId="127" fillId="0" borderId="79" xfId="43" applyFont="1" applyBorder="1" applyAlignment="1" applyProtection="1">
      <alignment vertical="center"/>
    </xf>
    <xf numFmtId="0" fontId="10" fillId="0" borderId="0" xfId="0" applyFont="1" applyBorder="1" applyAlignment="1">
      <alignment horizontal="right" vertical="center"/>
    </xf>
    <xf numFmtId="0" fontId="10" fillId="0" borderId="0" xfId="0" applyFont="1" applyFill="1" applyBorder="1" applyAlignment="1">
      <alignment horizontal="center" vertical="center"/>
    </xf>
    <xf numFmtId="2" fontId="10" fillId="0" borderId="0" xfId="0" applyNumberFormat="1" applyFont="1" applyFill="1" applyBorder="1" applyAlignment="1">
      <alignment horizontal="center" vertical="center"/>
    </xf>
    <xf numFmtId="0" fontId="10" fillId="0" borderId="0" xfId="0" applyFont="1" applyFill="1" applyBorder="1" applyAlignment="1">
      <alignment vertical="center"/>
    </xf>
    <xf numFmtId="0" fontId="10" fillId="0" borderId="0" xfId="0" applyFont="1" applyFill="1" applyBorder="1" applyAlignment="1">
      <alignment horizontal="left" vertical="center"/>
    </xf>
    <xf numFmtId="0" fontId="10" fillId="0" borderId="0" xfId="0" applyFont="1" applyBorder="1" applyAlignment="1">
      <alignment horizontal="left" vertical="center" wrapText="1"/>
    </xf>
    <xf numFmtId="0" fontId="11" fillId="0" borderId="0" xfId="0" applyFont="1" applyBorder="1" applyAlignment="1">
      <alignment horizontal="left" vertical="center" wrapText="1"/>
    </xf>
    <xf numFmtId="0" fontId="10" fillId="0" borderId="0" xfId="0" applyFont="1" applyBorder="1" applyAlignment="1">
      <alignment horizontal="center" vertical="center"/>
    </xf>
    <xf numFmtId="0" fontId="10" fillId="0" borderId="0" xfId="0" applyFont="1" applyBorder="1" applyAlignment="1">
      <alignment horizontal="center"/>
    </xf>
    <xf numFmtId="0" fontId="10" fillId="0" borderId="0" xfId="0" applyFont="1" applyFill="1" applyBorder="1" applyAlignment="1">
      <alignment horizontal="left" vertical="center" wrapText="1"/>
    </xf>
    <xf numFmtId="0" fontId="10" fillId="0" borderId="0" xfId="0" quotePrefix="1" applyFont="1" applyBorder="1" applyAlignment="1">
      <alignment horizontal="center" vertical="center"/>
    </xf>
    <xf numFmtId="0" fontId="12" fillId="0" borderId="0" xfId="0" applyFont="1" applyFill="1" applyBorder="1" applyAlignment="1">
      <alignment horizontal="center" vertical="center" wrapText="1"/>
    </xf>
    <xf numFmtId="0" fontId="10" fillId="0" borderId="3" xfId="0" applyFont="1" applyBorder="1" applyAlignment="1">
      <alignment horizontal="center" wrapText="1"/>
    </xf>
    <xf numFmtId="0" fontId="10" fillId="0" borderId="5" xfId="0" applyFont="1" applyBorder="1" applyAlignment="1">
      <alignment horizontal="center" wrapText="1"/>
    </xf>
    <xf numFmtId="0" fontId="10" fillId="0" borderId="0" xfId="0" applyFont="1" applyBorder="1" applyAlignment="1">
      <alignment horizontal="left" vertical="center"/>
    </xf>
    <xf numFmtId="0" fontId="10" fillId="0" borderId="3" xfId="0" applyFont="1" applyBorder="1" applyAlignment="1">
      <alignment horizontal="center"/>
    </xf>
    <xf numFmtId="0" fontId="10" fillId="0" borderId="5" xfId="0" applyFont="1" applyBorder="1" applyAlignment="1">
      <alignment horizontal="center"/>
    </xf>
    <xf numFmtId="0" fontId="10" fillId="0" borderId="0" xfId="0" applyFont="1" applyBorder="1" applyAlignment="1">
      <alignment horizontal="center" vertical="center" wrapText="1"/>
    </xf>
    <xf numFmtId="165" fontId="10" fillId="0" borderId="0" xfId="0" applyNumberFormat="1" applyFont="1" applyFill="1" applyBorder="1" applyAlignment="1">
      <alignment horizontal="center" vertical="center"/>
    </xf>
    <xf numFmtId="0" fontId="10" fillId="0" borderId="22" xfId="0" applyFont="1" applyBorder="1" applyAlignment="1">
      <alignment horizontal="center" vertical="center"/>
    </xf>
    <xf numFmtId="0" fontId="10" fillId="0" borderId="0" xfId="0" quotePrefix="1" applyFont="1" applyFill="1" applyBorder="1" applyAlignment="1">
      <alignment horizontal="center" vertical="center"/>
    </xf>
    <xf numFmtId="0" fontId="0" fillId="0" borderId="0" xfId="0" applyBorder="1" applyAlignment="1"/>
    <xf numFmtId="0" fontId="10" fillId="0" borderId="75" xfId="43" applyFont="1" applyFill="1" applyBorder="1" applyAlignment="1" applyProtection="1">
      <alignment vertical="center"/>
    </xf>
    <xf numFmtId="0" fontId="101" fillId="0" borderId="0" xfId="0" applyFont="1" applyFill="1" applyBorder="1" applyAlignment="1" applyProtection="1">
      <alignment vertical="center" wrapText="1"/>
    </xf>
    <xf numFmtId="0" fontId="138" fillId="0" borderId="0" xfId="62" applyFont="1" applyBorder="1" applyAlignment="1">
      <alignment horizontal="center" vertical="center" wrapText="1"/>
    </xf>
    <xf numFmtId="0" fontId="138" fillId="0" borderId="0" xfId="62" applyFont="1" applyFill="1" applyBorder="1" applyAlignment="1">
      <alignment horizontal="center"/>
    </xf>
    <xf numFmtId="0" fontId="138" fillId="0" borderId="0" xfId="62" applyFont="1" applyBorder="1" applyAlignment="1">
      <alignment horizontal="center"/>
    </xf>
    <xf numFmtId="0" fontId="139" fillId="15" borderId="8" xfId="62" applyFont="1" applyFill="1" applyBorder="1" applyAlignment="1">
      <alignment horizontal="center" vertical="center" wrapText="1"/>
    </xf>
    <xf numFmtId="0" fontId="138" fillId="0" borderId="0" xfId="62" applyFont="1" applyFill="1" applyBorder="1" applyAlignment="1">
      <alignment horizontal="center" vertical="center" wrapText="1"/>
    </xf>
    <xf numFmtId="0" fontId="138" fillId="0" borderId="0" xfId="23" applyFont="1" applyAlignment="1">
      <alignment horizontal="center" vertical="center" wrapText="1"/>
    </xf>
    <xf numFmtId="0" fontId="139" fillId="0" borderId="8" xfId="62" applyFont="1" applyBorder="1" applyAlignment="1">
      <alignment horizontal="center" vertical="center" wrapText="1"/>
    </xf>
    <xf numFmtId="0" fontId="138" fillId="5" borderId="8" xfId="62" applyFont="1" applyFill="1" applyBorder="1" applyAlignment="1" applyProtection="1">
      <alignment horizontal="center" vertical="center" wrapText="1"/>
      <protection locked="0"/>
    </xf>
    <xf numFmtId="0" fontId="138" fillId="0" borderId="8" xfId="62" applyFont="1" applyFill="1" applyBorder="1" applyAlignment="1">
      <alignment horizontal="center" vertical="center" wrapText="1"/>
    </xf>
    <xf numFmtId="0" fontId="139" fillId="0" borderId="8" xfId="62" applyFont="1" applyBorder="1" applyAlignment="1">
      <alignment horizontal="center" wrapText="1"/>
    </xf>
    <xf numFmtId="1" fontId="138" fillId="0" borderId="8" xfId="62" applyNumberFormat="1" applyFont="1" applyFill="1" applyBorder="1" applyAlignment="1">
      <alignment horizontal="center" vertical="center" wrapText="1"/>
    </xf>
    <xf numFmtId="0" fontId="138" fillId="0" borderId="0" xfId="62" applyFont="1" applyFill="1" applyBorder="1" applyAlignment="1">
      <alignment horizontal="center" wrapText="1"/>
    </xf>
    <xf numFmtId="0" fontId="138" fillId="0" borderId="0" xfId="62" applyFont="1" applyBorder="1" applyAlignment="1">
      <alignment horizontal="center" wrapText="1"/>
    </xf>
    <xf numFmtId="0" fontId="138" fillId="0" borderId="0" xfId="23" applyFont="1" applyAlignment="1">
      <alignment horizontal="center"/>
    </xf>
    <xf numFmtId="0" fontId="138" fillId="5" borderId="8" xfId="62" applyFont="1" applyFill="1" applyBorder="1" applyAlignment="1" applyProtection="1">
      <alignment horizontal="center"/>
      <protection locked="0"/>
    </xf>
    <xf numFmtId="0" fontId="138" fillId="5" borderId="8" xfId="62" applyFont="1" applyFill="1" applyBorder="1" applyAlignment="1" applyProtection="1">
      <alignment horizontal="center" vertical="center"/>
      <protection locked="0"/>
    </xf>
    <xf numFmtId="0" fontId="138" fillId="0" borderId="10" xfId="62" applyFont="1" applyFill="1" applyBorder="1" applyAlignment="1">
      <alignment horizontal="center"/>
    </xf>
    <xf numFmtId="0" fontId="138" fillId="0" borderId="9" xfId="62" applyFont="1" applyFill="1" applyBorder="1" applyAlignment="1">
      <alignment horizontal="center"/>
    </xf>
    <xf numFmtId="0" fontId="138" fillId="0" borderId="11" xfId="62" applyFont="1" applyFill="1" applyBorder="1" applyAlignment="1">
      <alignment horizontal="center"/>
    </xf>
    <xf numFmtId="0" fontId="138" fillId="0" borderId="0" xfId="62" applyFont="1" applyFill="1" applyAlignment="1">
      <alignment horizontal="center"/>
    </xf>
    <xf numFmtId="0" fontId="138" fillId="0" borderId="0" xfId="62" applyFont="1" applyAlignment="1">
      <alignment horizontal="center"/>
    </xf>
    <xf numFmtId="0" fontId="139" fillId="0" borderId="6" xfId="62" applyFont="1" applyFill="1" applyBorder="1" applyAlignment="1">
      <alignment horizontal="center"/>
    </xf>
    <xf numFmtId="0" fontId="139" fillId="0" borderId="0" xfId="62" applyFont="1" applyFill="1" applyBorder="1" applyAlignment="1">
      <alignment horizontal="center"/>
    </xf>
    <xf numFmtId="0" fontId="138" fillId="0" borderId="7" xfId="62" applyFont="1" applyFill="1" applyBorder="1" applyAlignment="1">
      <alignment horizontal="center"/>
    </xf>
    <xf numFmtId="0" fontId="138" fillId="0" borderId="0" xfId="23" applyFont="1" applyFill="1" applyAlignment="1">
      <alignment horizontal="center"/>
    </xf>
    <xf numFmtId="0" fontId="138" fillId="0" borderId="6" xfId="62" applyFont="1" applyFill="1" applyBorder="1" applyAlignment="1">
      <alignment horizontal="left"/>
    </xf>
    <xf numFmtId="0" fontId="138" fillId="2" borderId="0" xfId="62" applyFont="1" applyFill="1" applyBorder="1" applyAlignment="1">
      <alignment horizontal="center"/>
    </xf>
    <xf numFmtId="0" fontId="138" fillId="2" borderId="0" xfId="62" applyFont="1" applyFill="1" applyBorder="1" applyAlignment="1">
      <alignment horizontal="center" vertical="center" wrapText="1"/>
    </xf>
    <xf numFmtId="1" fontId="138" fillId="2" borderId="0" xfId="62" applyNumberFormat="1" applyFont="1" applyFill="1" applyBorder="1" applyAlignment="1">
      <alignment horizontal="center" vertical="center" wrapText="1"/>
    </xf>
    <xf numFmtId="1" fontId="138" fillId="2" borderId="0" xfId="62" applyNumberFormat="1" applyFont="1" applyFill="1" applyBorder="1" applyAlignment="1">
      <alignment horizontal="center"/>
    </xf>
    <xf numFmtId="0" fontId="138" fillId="0" borderId="3" xfId="62" applyFont="1" applyFill="1" applyBorder="1" applyAlignment="1">
      <alignment horizontal="left" vertical="top"/>
    </xf>
    <xf numFmtId="0" fontId="138" fillId="0" borderId="4" xfId="62" applyFont="1" applyFill="1" applyBorder="1" applyAlignment="1">
      <alignment horizontal="left"/>
    </xf>
    <xf numFmtId="0" fontId="138" fillId="0" borderId="4" xfId="62" applyFont="1" applyFill="1" applyBorder="1" applyAlignment="1">
      <alignment horizontal="center"/>
    </xf>
    <xf numFmtId="0" fontId="138" fillId="0" borderId="4" xfId="62" applyFont="1" applyBorder="1" applyAlignment="1">
      <alignment horizontal="center"/>
    </xf>
    <xf numFmtId="0" fontId="138" fillId="0" borderId="5" xfId="62" applyFont="1" applyFill="1" applyBorder="1" applyAlignment="1">
      <alignment horizontal="center"/>
    </xf>
    <xf numFmtId="0" fontId="74" fillId="0" borderId="4" xfId="62" applyFont="1" applyBorder="1" applyAlignment="1">
      <alignment horizontal="center" vertical="center" wrapText="1"/>
    </xf>
    <xf numFmtId="0" fontId="0" fillId="0" borderId="2" xfId="0" applyBorder="1"/>
    <xf numFmtId="0" fontId="44" fillId="0" borderId="2" xfId="62" applyBorder="1" applyAlignment="1">
      <alignment horizontal="center" vertical="center" wrapText="1"/>
    </xf>
    <xf numFmtId="0" fontId="33" fillId="0" borderId="2" xfId="62" applyFont="1" applyBorder="1" applyAlignment="1">
      <alignment horizontal="center" vertical="center" wrapText="1"/>
    </xf>
    <xf numFmtId="0" fontId="44" fillId="0" borderId="2" xfId="62" applyFill="1" applyBorder="1"/>
    <xf numFmtId="0" fontId="140" fillId="0" borderId="0" xfId="43" applyFont="1" applyFill="1" applyBorder="1" applyAlignment="1" applyProtection="1">
      <alignment vertical="center"/>
    </xf>
    <xf numFmtId="0" fontId="75" fillId="2" borderId="32" xfId="0" applyFont="1" applyFill="1" applyBorder="1" applyAlignment="1"/>
    <xf numFmtId="0" fontId="75" fillId="2" borderId="33" xfId="0" applyFont="1" applyFill="1" applyBorder="1" applyAlignment="1"/>
    <xf numFmtId="49" fontId="21" fillId="0" borderId="35" xfId="0" applyNumberFormat="1" applyFont="1" applyBorder="1" applyAlignment="1">
      <alignment horizontal="center" vertical="center" wrapText="1"/>
    </xf>
    <xf numFmtId="0" fontId="10" fillId="0" borderId="22" xfId="0" quotePrefix="1" applyFont="1" applyBorder="1" applyAlignment="1">
      <alignment horizontal="center"/>
    </xf>
    <xf numFmtId="0" fontId="10" fillId="0" borderId="22" xfId="0" quotePrefix="1" applyFont="1" applyBorder="1"/>
    <xf numFmtId="0" fontId="10" fillId="0" borderId="22" xfId="0" applyFont="1" applyBorder="1"/>
    <xf numFmtId="0" fontId="10" fillId="0" borderId="1" xfId="0" applyFont="1" applyBorder="1" applyAlignment="1">
      <alignment horizontal="left" wrapText="1"/>
    </xf>
    <xf numFmtId="0" fontId="10" fillId="0" borderId="37" xfId="0" applyFont="1" applyFill="1" applyBorder="1"/>
    <xf numFmtId="165" fontId="12" fillId="0" borderId="38" xfId="0" applyNumberFormat="1" applyFont="1" applyFill="1" applyBorder="1" applyAlignment="1">
      <alignment horizontal="center" vertical="center"/>
    </xf>
    <xf numFmtId="0" fontId="12" fillId="0" borderId="1" xfId="0" applyFont="1" applyFill="1" applyBorder="1" applyAlignment="1">
      <alignment horizontal="center" vertical="center" wrapText="1"/>
    </xf>
    <xf numFmtId="0" fontId="16" fillId="0" borderId="1" xfId="0" applyFont="1" applyFill="1" applyBorder="1" applyAlignment="1">
      <alignment horizontal="center" vertical="center"/>
    </xf>
    <xf numFmtId="0" fontId="10" fillId="0" borderId="37" xfId="0" applyFont="1" applyBorder="1"/>
    <xf numFmtId="0" fontId="10" fillId="0" borderId="35" xfId="0" quotePrefix="1" applyFont="1" applyBorder="1" applyAlignment="1">
      <alignment horizontal="center"/>
    </xf>
    <xf numFmtId="0" fontId="10" fillId="0" borderId="36" xfId="0" applyFont="1" applyBorder="1"/>
    <xf numFmtId="0" fontId="10" fillId="0" borderId="22" xfId="0" quotePrefix="1" applyFont="1" applyBorder="1" applyAlignment="1">
      <alignment horizontal="left"/>
    </xf>
    <xf numFmtId="0" fontId="10" fillId="0" borderId="22" xfId="0" applyFont="1" applyBorder="1" applyAlignment="1">
      <alignment horizontal="right"/>
    </xf>
    <xf numFmtId="0" fontId="10" fillId="0" borderId="22" xfId="0" applyFont="1" applyBorder="1" applyAlignment="1">
      <alignment horizontal="left"/>
    </xf>
    <xf numFmtId="0" fontId="10" fillId="0" borderId="38" xfId="0" applyFont="1" applyBorder="1"/>
    <xf numFmtId="0" fontId="16" fillId="0" borderId="22" xfId="0" applyFont="1" applyFill="1" applyBorder="1" applyAlignment="1">
      <alignment horizontal="center"/>
    </xf>
    <xf numFmtId="0" fontId="16" fillId="0" borderId="1" xfId="0" applyFont="1" applyFill="1" applyBorder="1" applyAlignment="1">
      <alignment horizontal="center"/>
    </xf>
    <xf numFmtId="0" fontId="12" fillId="0" borderId="22" xfId="0" applyFont="1" applyFill="1" applyBorder="1" applyAlignment="1">
      <alignment horizontal="center" vertical="center" wrapText="1"/>
    </xf>
    <xf numFmtId="0" fontId="12" fillId="0" borderId="1" xfId="0" applyFont="1" applyFill="1" applyBorder="1" applyAlignment="1">
      <alignment horizontal="center"/>
    </xf>
    <xf numFmtId="0" fontId="12" fillId="0" borderId="37" xfId="0" applyFont="1" applyFill="1" applyBorder="1" applyAlignment="1">
      <alignment horizontal="center" vertical="center" wrapText="1"/>
    </xf>
    <xf numFmtId="0" fontId="12" fillId="0" borderId="38" xfId="0" applyFont="1" applyFill="1" applyBorder="1" applyAlignment="1">
      <alignment horizontal="center" vertical="center" wrapText="1"/>
    </xf>
    <xf numFmtId="0" fontId="10" fillId="0" borderId="35" xfId="0" quotePrefix="1" applyFont="1" applyBorder="1" applyAlignment="1">
      <alignment vertical="center"/>
    </xf>
    <xf numFmtId="0" fontId="10" fillId="0" borderId="22" xfId="0" quotePrefix="1" applyFont="1" applyBorder="1" applyAlignment="1">
      <alignment vertical="center"/>
    </xf>
    <xf numFmtId="0" fontId="10" fillId="0" borderId="22" xfId="0" applyFont="1" applyBorder="1" applyAlignment="1">
      <alignment vertical="center"/>
    </xf>
    <xf numFmtId="0" fontId="10" fillId="0" borderId="38" xfId="0" applyFont="1" applyFill="1" applyBorder="1"/>
    <xf numFmtId="0" fontId="10" fillId="0" borderId="35" xfId="0" applyFont="1" applyBorder="1" applyAlignment="1">
      <alignment vertical="center"/>
    </xf>
    <xf numFmtId="0" fontId="10" fillId="0" borderId="36" xfId="0" applyFont="1" applyBorder="1" applyAlignment="1">
      <alignment vertical="center"/>
    </xf>
    <xf numFmtId="0" fontId="10" fillId="0" borderId="35" xfId="0" applyFont="1" applyBorder="1"/>
    <xf numFmtId="0" fontId="10" fillId="0" borderId="35" xfId="0" quotePrefix="1" applyFont="1" applyBorder="1"/>
    <xf numFmtId="2" fontId="12" fillId="0" borderId="1" xfId="0" applyNumberFormat="1" applyFont="1" applyFill="1" applyBorder="1" applyAlignment="1">
      <alignment horizontal="center" vertical="center"/>
    </xf>
    <xf numFmtId="0" fontId="10" fillId="0" borderId="26" xfId="0" applyFont="1" applyBorder="1"/>
    <xf numFmtId="0" fontId="8" fillId="0" borderId="0" xfId="43" applyFont="1" applyBorder="1" applyAlignment="1" applyProtection="1">
      <alignment horizontal="left" vertical="center"/>
    </xf>
    <xf numFmtId="168" fontId="10" fillId="11" borderId="8" xfId="10" applyNumberFormat="1" applyFont="1" applyFill="1" applyBorder="1" applyAlignment="1">
      <alignment horizontal="right" vertical="center"/>
    </xf>
    <xf numFmtId="0" fontId="10" fillId="0" borderId="0" xfId="23" applyFont="1" applyFill="1" applyBorder="1" applyAlignment="1">
      <alignment horizontal="center" vertical="center"/>
    </xf>
    <xf numFmtId="0" fontId="10" fillId="0" borderId="0" xfId="23" applyFont="1" applyFill="1" applyBorder="1" applyAlignment="1">
      <alignment horizontal="center" vertical="center"/>
    </xf>
    <xf numFmtId="0" fontId="10" fillId="11" borderId="28" xfId="23" applyFont="1" applyFill="1" applyBorder="1" applyAlignment="1">
      <alignment vertical="center"/>
    </xf>
    <xf numFmtId="168" fontId="10" fillId="11" borderId="28" xfId="23" applyNumberFormat="1" applyFont="1" applyFill="1" applyBorder="1" applyAlignment="1">
      <alignment horizontal="center" vertical="center"/>
    </xf>
    <xf numFmtId="0" fontId="10" fillId="11" borderId="29" xfId="23" applyFont="1" applyFill="1" applyBorder="1" applyAlignment="1">
      <alignment vertical="center"/>
    </xf>
    <xf numFmtId="0" fontId="10" fillId="0" borderId="0" xfId="23" applyFont="1" applyFill="1" applyBorder="1" applyAlignment="1">
      <alignment horizontal="center"/>
    </xf>
    <xf numFmtId="0" fontId="10" fillId="0" borderId="0" xfId="23" applyFont="1" applyBorder="1" applyAlignment="1">
      <alignment horizontal="left" vertical="center"/>
    </xf>
    <xf numFmtId="49" fontId="12" fillId="2" borderId="30" xfId="23" applyNumberFormat="1" applyFont="1" applyFill="1" applyBorder="1" applyAlignment="1" applyProtection="1">
      <alignment horizontal="center" vertical="center"/>
    </xf>
    <xf numFmtId="0" fontId="12" fillId="2" borderId="28" xfId="23" applyFont="1" applyFill="1" applyBorder="1" applyAlignment="1" applyProtection="1">
      <alignment horizontal="left" vertical="center"/>
    </xf>
    <xf numFmtId="0" fontId="12" fillId="2" borderId="28" xfId="23" applyFont="1" applyFill="1" applyBorder="1" applyAlignment="1" applyProtection="1">
      <alignment vertical="center"/>
    </xf>
    <xf numFmtId="0" fontId="10" fillId="2" borderId="28" xfId="23" applyFont="1" applyFill="1" applyBorder="1" applyAlignment="1" applyProtection="1">
      <alignment vertical="center"/>
    </xf>
    <xf numFmtId="0" fontId="10" fillId="2" borderId="29" xfId="23" applyFont="1" applyFill="1" applyBorder="1" applyAlignment="1" applyProtection="1">
      <alignment vertical="center"/>
    </xf>
    <xf numFmtId="0" fontId="12" fillId="0" borderId="22" xfId="23" applyFont="1" applyBorder="1" applyAlignment="1" applyProtection="1">
      <alignment vertical="center"/>
    </xf>
    <xf numFmtId="0" fontId="12" fillId="0" borderId="0" xfId="23" applyFont="1" applyBorder="1" applyAlignment="1" applyProtection="1">
      <alignment horizontal="left" vertical="center"/>
    </xf>
    <xf numFmtId="0" fontId="10" fillId="0" borderId="1" xfId="23" applyFont="1" applyBorder="1" applyAlignment="1" applyProtection="1">
      <alignment vertical="center"/>
    </xf>
    <xf numFmtId="1" fontId="12" fillId="0" borderId="0" xfId="23" applyNumberFormat="1" applyFont="1" applyFill="1" applyBorder="1" applyAlignment="1" applyProtection="1">
      <alignment horizontal="center" vertical="center"/>
    </xf>
    <xf numFmtId="0" fontId="12" fillId="11" borderId="30" xfId="23" quotePrefix="1" applyFont="1" applyFill="1" applyBorder="1" applyAlignment="1" applyProtection="1">
      <alignment vertical="center"/>
    </xf>
    <xf numFmtId="0" fontId="12" fillId="11" borderId="28" xfId="23" applyFont="1" applyFill="1" applyBorder="1" applyAlignment="1" applyProtection="1">
      <alignment horizontal="left" vertical="center"/>
    </xf>
    <xf numFmtId="0" fontId="10" fillId="11" borderId="28" xfId="23" applyFont="1" applyFill="1" applyBorder="1" applyAlignment="1" applyProtection="1">
      <alignment vertical="center"/>
    </xf>
    <xf numFmtId="168" fontId="10" fillId="11" borderId="28" xfId="23" applyNumberFormat="1" applyFont="1" applyFill="1" applyBorder="1" applyAlignment="1" applyProtection="1">
      <alignment horizontal="center" vertical="center"/>
    </xf>
    <xf numFmtId="0" fontId="12" fillId="0" borderId="0" xfId="23" applyFont="1" applyFill="1" applyBorder="1" applyAlignment="1" applyProtection="1">
      <alignment horizontal="left" vertical="center"/>
    </xf>
    <xf numFmtId="167" fontId="13" fillId="0" borderId="0" xfId="23" applyNumberFormat="1" applyFont="1" applyFill="1" applyBorder="1" applyAlignment="1" applyProtection="1">
      <alignment horizontal="center" vertical="center"/>
    </xf>
    <xf numFmtId="0" fontId="12" fillId="0" borderId="21" xfId="23" applyFont="1" applyBorder="1" applyAlignment="1" applyProtection="1">
      <alignment vertical="center"/>
    </xf>
    <xf numFmtId="0" fontId="10" fillId="0" borderId="2" xfId="23" applyFont="1" applyFill="1" applyBorder="1" applyAlignment="1" applyProtection="1">
      <alignment vertical="center"/>
    </xf>
    <xf numFmtId="0" fontId="10" fillId="0" borderId="2" xfId="23" applyFont="1" applyBorder="1" applyAlignment="1" applyProtection="1">
      <alignment vertical="center"/>
    </xf>
    <xf numFmtId="0" fontId="10" fillId="0" borderId="23" xfId="23" applyFont="1" applyBorder="1" applyAlignment="1" applyProtection="1">
      <alignment vertical="center"/>
    </xf>
    <xf numFmtId="0" fontId="10" fillId="0" borderId="1" xfId="23" applyFont="1" applyFill="1" applyBorder="1" applyAlignment="1" applyProtection="1">
      <alignment vertical="center"/>
    </xf>
    <xf numFmtId="168" fontId="10" fillId="0" borderId="0" xfId="23" applyNumberFormat="1" applyFont="1" applyFill="1" applyBorder="1" applyAlignment="1" applyProtection="1">
      <alignment vertical="center"/>
    </xf>
    <xf numFmtId="0" fontId="12" fillId="0" borderId="0" xfId="23" applyFont="1" applyBorder="1" applyAlignment="1">
      <alignment vertical="center"/>
    </xf>
    <xf numFmtId="0" fontId="15" fillId="0" borderId="0" xfId="10" applyFont="1" applyBorder="1" applyAlignment="1">
      <alignment vertical="center"/>
    </xf>
    <xf numFmtId="49" fontId="12" fillId="0" borderId="22" xfId="10" applyNumberFormat="1" applyFont="1" applyBorder="1" applyAlignment="1"/>
    <xf numFmtId="0" fontId="10" fillId="0" borderId="0" xfId="10" applyFont="1" applyFill="1" applyBorder="1" applyAlignment="1">
      <alignment horizontal="left"/>
    </xf>
    <xf numFmtId="0" fontId="10" fillId="0" borderId="1" xfId="10" applyFont="1" applyBorder="1" applyAlignment="1">
      <alignment horizontal="left"/>
    </xf>
    <xf numFmtId="0" fontId="10" fillId="0" borderId="0" xfId="10" applyFont="1" applyAlignment="1"/>
    <xf numFmtId="0" fontId="10" fillId="0" borderId="0" xfId="0" applyFont="1" applyFill="1" applyBorder="1" applyAlignment="1">
      <alignment horizontal="center" vertical="center"/>
    </xf>
    <xf numFmtId="0" fontId="10" fillId="0" borderId="0" xfId="0" applyFont="1" applyBorder="1" applyAlignment="1">
      <alignment horizontal="center" vertical="center"/>
    </xf>
    <xf numFmtId="0" fontId="10" fillId="0" borderId="0" xfId="10" applyFont="1" applyAlignment="1">
      <alignment vertical="top"/>
    </xf>
    <xf numFmtId="49" fontId="12" fillId="0" borderId="22" xfId="10" applyNumberFormat="1" applyFont="1" applyFill="1" applyBorder="1" applyAlignment="1">
      <alignment vertical="center"/>
    </xf>
    <xf numFmtId="0" fontId="10" fillId="0" borderId="0" xfId="10" applyFont="1" applyBorder="1" applyAlignment="1">
      <alignment horizontal="left"/>
    </xf>
    <xf numFmtId="0" fontId="10" fillId="0" borderId="0" xfId="23" applyFont="1" applyFill="1" applyBorder="1" applyAlignment="1" applyProtection="1">
      <alignment vertical="center"/>
      <protection locked="0"/>
    </xf>
    <xf numFmtId="0" fontId="10" fillId="0" borderId="22" xfId="10" applyFont="1" applyFill="1" applyBorder="1" applyAlignment="1">
      <alignment vertical="center"/>
    </xf>
    <xf numFmtId="168" fontId="10" fillId="0" borderId="0" xfId="23" applyNumberFormat="1" applyFont="1" applyFill="1" applyBorder="1" applyAlignment="1">
      <alignment horizontal="center"/>
    </xf>
    <xf numFmtId="168" fontId="10" fillId="0" borderId="0" xfId="10" applyNumberFormat="1" applyFont="1" applyFill="1" applyBorder="1" applyAlignment="1">
      <alignment vertical="center"/>
    </xf>
    <xf numFmtId="0" fontId="10" fillId="0" borderId="0" xfId="0" applyFont="1" applyFill="1" applyBorder="1" applyAlignment="1">
      <alignment horizontal="center" vertical="center"/>
    </xf>
    <xf numFmtId="0" fontId="10" fillId="0" borderId="0" xfId="0" applyFont="1" applyBorder="1" applyAlignment="1">
      <alignment horizontal="center" vertical="center"/>
    </xf>
    <xf numFmtId="167" fontId="10" fillId="0" borderId="0" xfId="23" applyNumberFormat="1" applyFont="1" applyFill="1" applyBorder="1" applyAlignment="1" applyProtection="1">
      <alignment vertical="center"/>
    </xf>
    <xf numFmtId="0" fontId="12" fillId="0" borderId="22" xfId="23" applyFont="1" applyFill="1" applyBorder="1" applyAlignment="1" applyProtection="1">
      <alignment vertical="center"/>
    </xf>
    <xf numFmtId="2" fontId="10" fillId="0" borderId="0" xfId="23" applyNumberFormat="1" applyFont="1" applyFill="1" applyBorder="1" applyAlignment="1" applyProtection="1">
      <alignment horizontal="center" vertical="center"/>
    </xf>
    <xf numFmtId="0" fontId="10" fillId="0" borderId="7" xfId="23" applyFont="1" applyBorder="1" applyAlignment="1">
      <alignment vertical="center"/>
    </xf>
    <xf numFmtId="0" fontId="141" fillId="0" borderId="0" xfId="10" applyFont="1" applyFill="1" applyBorder="1" applyAlignment="1">
      <alignment horizontal="left" vertical="center"/>
    </xf>
    <xf numFmtId="0" fontId="10" fillId="7" borderId="8" xfId="43" applyFont="1" applyFill="1" applyBorder="1" applyAlignment="1" applyProtection="1">
      <alignment horizontal="center" vertical="center"/>
      <protection locked="0"/>
    </xf>
    <xf numFmtId="0" fontId="10" fillId="0" borderId="0" xfId="43" applyFont="1" applyFill="1" applyBorder="1" applyAlignment="1" applyProtection="1">
      <alignment horizontal="right" vertical="center"/>
    </xf>
    <xf numFmtId="0" fontId="10" fillId="0" borderId="0" xfId="43" applyFont="1" applyFill="1" applyBorder="1" applyAlignment="1" applyProtection="1">
      <alignment vertical="center"/>
    </xf>
    <xf numFmtId="0" fontId="10" fillId="0" borderId="0" xfId="43" applyFont="1" applyBorder="1" applyAlignment="1" applyProtection="1">
      <alignment horizontal="right" vertical="center"/>
    </xf>
    <xf numFmtId="0" fontId="10" fillId="0" borderId="0" xfId="43" applyFont="1" applyBorder="1" applyAlignment="1" applyProtection="1">
      <alignment horizontal="center" vertical="center"/>
    </xf>
    <xf numFmtId="0" fontId="12" fillId="0" borderId="0" xfId="43" applyFont="1" applyBorder="1" applyAlignment="1" applyProtection="1">
      <alignment horizontal="center" vertical="center"/>
    </xf>
    <xf numFmtId="0" fontId="10" fillId="11" borderId="19" xfId="43" applyFont="1" applyFill="1" applyBorder="1" applyAlignment="1" applyProtection="1">
      <alignment vertical="center"/>
    </xf>
    <xf numFmtId="0" fontId="10" fillId="0" borderId="0" xfId="23" applyFont="1" applyFill="1" applyBorder="1" applyAlignment="1" applyProtection="1">
      <alignment horizontal="center" vertical="center"/>
    </xf>
    <xf numFmtId="0" fontId="10" fillId="10" borderId="0" xfId="43" applyFont="1" applyFill="1" applyBorder="1" applyAlignment="1" applyProtection="1">
      <alignment horizontal="center" vertical="center"/>
    </xf>
    <xf numFmtId="0" fontId="8" fillId="7" borderId="2" xfId="43" applyFill="1" applyBorder="1" applyAlignment="1" applyProtection="1">
      <alignment horizontal="center"/>
      <protection locked="0"/>
    </xf>
    <xf numFmtId="0" fontId="10" fillId="0" borderId="28" xfId="43" applyFont="1" applyBorder="1" applyAlignment="1">
      <alignment horizontal="center" vertical="center"/>
    </xf>
    <xf numFmtId="0" fontId="10" fillId="0" borderId="2" xfId="43" applyFont="1" applyBorder="1" applyAlignment="1">
      <alignment horizontal="center" vertical="center"/>
    </xf>
    <xf numFmtId="0" fontId="34" fillId="5" borderId="46" xfId="12" applyFont="1" applyFill="1" applyBorder="1" applyAlignment="1" applyProtection="1">
      <alignment horizontal="center" vertical="center" wrapText="1"/>
      <protection locked="0"/>
    </xf>
    <xf numFmtId="0" fontId="34" fillId="2" borderId="97" xfId="12" applyFont="1" applyFill="1" applyBorder="1" applyAlignment="1">
      <alignment horizontal="center" vertical="center"/>
    </xf>
    <xf numFmtId="0" fontId="34" fillId="0" borderId="18" xfId="12" applyFont="1" applyFill="1" applyBorder="1" applyAlignment="1">
      <alignment horizontal="right" vertical="center"/>
    </xf>
    <xf numFmtId="0" fontId="10" fillId="0" borderId="0" xfId="43" applyFont="1" applyFill="1" applyBorder="1" applyAlignment="1" applyProtection="1">
      <alignment horizontal="center" vertical="center"/>
    </xf>
    <xf numFmtId="0" fontId="8" fillId="0" borderId="0" xfId="43" applyFill="1" applyBorder="1" applyAlignment="1" applyProtection="1">
      <alignment vertical="center"/>
    </xf>
    <xf numFmtId="0" fontId="10" fillId="0" borderId="0" xfId="43" applyFont="1" applyFill="1" applyBorder="1" applyAlignment="1" applyProtection="1">
      <alignment vertical="center" wrapText="1"/>
    </xf>
    <xf numFmtId="0" fontId="12" fillId="0" borderId="0" xfId="43" applyFont="1" applyFill="1" applyBorder="1" applyAlignment="1" applyProtection="1">
      <alignment horizontal="center" vertical="center"/>
    </xf>
    <xf numFmtId="0" fontId="10" fillId="0" borderId="0" xfId="43" applyFont="1" applyBorder="1" applyAlignment="1" applyProtection="1">
      <alignment horizontal="right" vertical="center" indent="1"/>
    </xf>
    <xf numFmtId="0" fontId="10" fillId="11" borderId="8" xfId="0" applyFont="1" applyFill="1" applyBorder="1" applyAlignment="1" applyProtection="1">
      <alignment horizontal="center" vertical="center"/>
    </xf>
    <xf numFmtId="0" fontId="10" fillId="0" borderId="0" xfId="0" applyFont="1" applyBorder="1" applyAlignment="1" applyProtection="1">
      <alignment horizontal="left" vertical="center" wrapText="1"/>
    </xf>
    <xf numFmtId="0" fontId="10" fillId="0" borderId="6" xfId="0" applyFont="1" applyBorder="1" applyAlignment="1" applyProtection="1">
      <alignment horizontal="right" vertical="center"/>
    </xf>
    <xf numFmtId="0" fontId="10" fillId="0" borderId="0" xfId="0" applyFont="1" applyBorder="1" applyAlignment="1" applyProtection="1">
      <alignment horizontal="right" vertical="center"/>
    </xf>
    <xf numFmtId="0" fontId="10" fillId="0" borderId="7" xfId="0" applyFont="1" applyBorder="1" applyAlignment="1" applyProtection="1">
      <alignment horizontal="center" vertical="center"/>
    </xf>
    <xf numFmtId="0" fontId="12" fillId="11" borderId="19" xfId="0" applyFont="1" applyFill="1" applyBorder="1" applyAlignment="1" applyProtection="1">
      <alignment horizontal="left" vertical="center"/>
    </xf>
    <xf numFmtId="0" fontId="10" fillId="0" borderId="2" xfId="0" applyFont="1" applyBorder="1" applyAlignment="1" applyProtection="1">
      <alignment horizontal="center" vertical="center"/>
    </xf>
    <xf numFmtId="0" fontId="10" fillId="0" borderId="7" xfId="0" applyFont="1" applyBorder="1" applyAlignment="1" applyProtection="1">
      <alignment horizontal="left" vertical="center"/>
    </xf>
    <xf numFmtId="0" fontId="10" fillId="0" borderId="0" xfId="0" applyFont="1" applyBorder="1" applyAlignment="1" applyProtection="1">
      <alignment horizontal="left" vertical="center"/>
    </xf>
    <xf numFmtId="0" fontId="10" fillId="0" borderId="0" xfId="0" applyFont="1" applyBorder="1" applyAlignment="1" applyProtection="1">
      <alignment vertical="center"/>
    </xf>
    <xf numFmtId="0" fontId="12" fillId="11" borderId="19" xfId="0" applyFont="1" applyFill="1" applyBorder="1" applyAlignment="1" applyProtection="1">
      <alignment vertical="center"/>
    </xf>
    <xf numFmtId="0" fontId="10" fillId="2" borderId="28" xfId="23" applyFont="1" applyFill="1" applyBorder="1" applyAlignment="1" applyProtection="1">
      <alignment horizontal="right" vertical="center" wrapText="1"/>
    </xf>
    <xf numFmtId="0" fontId="10" fillId="0" borderId="0" xfId="23" applyFont="1" applyFill="1" applyBorder="1" applyAlignment="1">
      <alignment horizontal="center" vertical="center"/>
    </xf>
    <xf numFmtId="0" fontId="10" fillId="0" borderId="0" xfId="23" applyFont="1" applyBorder="1" applyAlignment="1">
      <alignment horizontal="right" vertical="center"/>
    </xf>
    <xf numFmtId="0" fontId="10" fillId="0" borderId="0" xfId="23" applyFont="1" applyBorder="1" applyAlignment="1">
      <alignment horizontal="left" vertical="center"/>
    </xf>
    <xf numFmtId="0" fontId="10" fillId="7" borderId="8" xfId="23" applyFont="1" applyFill="1" applyBorder="1" applyAlignment="1" applyProtection="1">
      <alignment horizontal="center" vertical="center"/>
      <protection locked="0"/>
    </xf>
    <xf numFmtId="0" fontId="8" fillId="0" borderId="0" xfId="23" applyFont="1" applyBorder="1" applyAlignment="1">
      <alignment vertical="center"/>
    </xf>
    <xf numFmtId="0" fontId="10" fillId="0" borderId="0" xfId="23" applyFont="1" applyBorder="1" applyAlignment="1">
      <alignment horizontal="center" vertical="center" wrapText="1"/>
    </xf>
    <xf numFmtId="0" fontId="10" fillId="0" borderId="0" xfId="23" applyFont="1" applyBorder="1" applyAlignment="1">
      <alignment horizontal="center" vertical="center"/>
    </xf>
    <xf numFmtId="168" fontId="10" fillId="0" borderId="0" xfId="23" applyNumberFormat="1" applyFont="1" applyBorder="1" applyAlignment="1">
      <alignment horizontal="center"/>
    </xf>
    <xf numFmtId="0" fontId="10" fillId="0" borderId="0" xfId="23" applyFont="1" applyFill="1" applyBorder="1" applyAlignment="1" applyProtection="1">
      <alignment horizontal="left" vertical="center"/>
    </xf>
    <xf numFmtId="0" fontId="10" fillId="0" borderId="0" xfId="23" applyFont="1" applyBorder="1" applyAlignment="1">
      <alignment horizontal="left" vertical="center" wrapText="1"/>
    </xf>
    <xf numFmtId="168" fontId="10" fillId="11" borderId="8" xfId="10" applyNumberFormat="1" applyFont="1" applyFill="1" applyBorder="1" applyAlignment="1">
      <alignment horizontal="center" vertical="center"/>
    </xf>
    <xf numFmtId="168" fontId="10" fillId="0" borderId="0" xfId="10" applyNumberFormat="1" applyFont="1" applyFill="1" applyBorder="1" applyAlignment="1">
      <alignment horizontal="center" vertical="center"/>
    </xf>
    <xf numFmtId="0" fontId="8" fillId="0" borderId="0" xfId="23" applyFont="1" applyBorder="1" applyAlignment="1">
      <alignment vertical="center" wrapText="1"/>
    </xf>
    <xf numFmtId="0" fontId="10" fillId="0" borderId="0" xfId="23" applyFont="1" applyBorder="1" applyAlignment="1" applyProtection="1">
      <alignment horizontal="right" vertical="center"/>
    </xf>
    <xf numFmtId="167" fontId="10" fillId="0" borderId="0" xfId="23" applyNumberFormat="1" applyFont="1" applyFill="1" applyBorder="1" applyAlignment="1" applyProtection="1">
      <alignment horizontal="right" vertical="center"/>
    </xf>
    <xf numFmtId="167" fontId="10" fillId="0" borderId="0" xfId="23" applyNumberFormat="1" applyFont="1" applyFill="1" applyBorder="1" applyAlignment="1" applyProtection="1">
      <alignment horizontal="left" vertical="center"/>
    </xf>
    <xf numFmtId="0" fontId="10" fillId="0" borderId="0" xfId="10" applyFont="1" applyBorder="1" applyAlignment="1">
      <alignment horizontal="center" vertical="center"/>
    </xf>
    <xf numFmtId="0" fontId="10" fillId="0" borderId="6" xfId="10" applyFont="1" applyBorder="1" applyAlignment="1">
      <alignment horizontal="left" vertical="center"/>
    </xf>
    <xf numFmtId="0" fontId="10" fillId="0" borderId="7" xfId="10" applyFont="1" applyBorder="1" applyAlignment="1">
      <alignment horizontal="left" vertical="center"/>
    </xf>
    <xf numFmtId="0" fontId="10" fillId="2" borderId="28" xfId="0" applyFont="1" applyFill="1" applyBorder="1" applyAlignment="1">
      <alignment horizontal="left" vertical="center"/>
    </xf>
    <xf numFmtId="0" fontId="10" fillId="2" borderId="28" xfId="10" applyFont="1" applyFill="1" applyBorder="1" applyAlignment="1">
      <alignment horizontal="right" vertical="center"/>
    </xf>
    <xf numFmtId="0" fontId="10" fillId="2" borderId="29" xfId="10" applyFont="1" applyFill="1" applyBorder="1" applyAlignment="1">
      <alignment horizontal="right" vertical="center"/>
    </xf>
    <xf numFmtId="0" fontId="10" fillId="0" borderId="0" xfId="10" applyFont="1" applyBorder="1" applyAlignment="1">
      <alignment horizontal="left" vertical="center"/>
    </xf>
    <xf numFmtId="0" fontId="10" fillId="0" borderId="6" xfId="10" applyFont="1" applyBorder="1" applyAlignment="1">
      <alignment horizontal="center" vertical="center"/>
    </xf>
    <xf numFmtId="0" fontId="12" fillId="0" borderId="0" xfId="10" applyFont="1" applyFill="1" applyBorder="1" applyAlignment="1">
      <alignment horizontal="center" vertical="center"/>
    </xf>
    <xf numFmtId="168" fontId="12" fillId="0" borderId="0" xfId="10" applyNumberFormat="1" applyFont="1" applyFill="1" applyBorder="1" applyAlignment="1">
      <alignment horizontal="center" vertical="center"/>
    </xf>
    <xf numFmtId="0" fontId="11" fillId="0" borderId="0" xfId="0" applyFont="1" applyFill="1" applyBorder="1" applyAlignment="1">
      <alignment horizontal="left" vertical="center"/>
    </xf>
    <xf numFmtId="1" fontId="10" fillId="0" borderId="0" xfId="0" applyNumberFormat="1" applyFont="1" applyFill="1" applyBorder="1" applyAlignment="1">
      <alignment horizontal="center" vertical="center"/>
    </xf>
    <xf numFmtId="0" fontId="10" fillId="0" borderId="0" xfId="0" applyFont="1" applyFill="1" applyBorder="1" applyAlignment="1">
      <alignment horizontal="center" vertical="center"/>
    </xf>
    <xf numFmtId="0" fontId="10" fillId="0" borderId="0" xfId="0" applyFont="1" applyFill="1" applyBorder="1" applyAlignment="1">
      <alignment horizontal="left" vertical="top" wrapText="1"/>
    </xf>
    <xf numFmtId="2" fontId="10" fillId="0" borderId="0" xfId="0" applyNumberFormat="1" applyFont="1" applyFill="1" applyBorder="1" applyAlignment="1">
      <alignment horizontal="center" vertical="center"/>
    </xf>
    <xf numFmtId="0" fontId="10" fillId="0" borderId="0" xfId="0" applyFont="1" applyFill="1" applyBorder="1" applyAlignment="1">
      <alignment vertical="center"/>
    </xf>
    <xf numFmtId="0" fontId="10" fillId="0" borderId="0" xfId="0" applyFont="1" applyFill="1" applyBorder="1" applyAlignment="1">
      <alignment horizontal="left" vertical="center"/>
    </xf>
    <xf numFmtId="0" fontId="11" fillId="0" borderId="0" xfId="0" applyFont="1" applyBorder="1" applyAlignment="1">
      <alignment horizontal="left" vertical="center" wrapText="1"/>
    </xf>
    <xf numFmtId="0" fontId="10" fillId="0" borderId="0" xfId="0" applyFont="1" applyBorder="1" applyAlignment="1">
      <alignment horizontal="center" vertical="center"/>
    </xf>
    <xf numFmtId="0" fontId="10" fillId="0" borderId="0" xfId="0" applyFont="1" applyBorder="1" applyAlignment="1">
      <alignment horizontal="left" vertical="center"/>
    </xf>
    <xf numFmtId="165" fontId="10" fillId="0" borderId="0" xfId="0" applyNumberFormat="1" applyFont="1" applyFill="1" applyBorder="1" applyAlignment="1">
      <alignment horizontal="center" vertical="center"/>
    </xf>
    <xf numFmtId="0" fontId="12" fillId="0" borderId="0" xfId="23" applyFont="1" applyFill="1" applyBorder="1" applyAlignment="1" applyProtection="1">
      <alignment horizontal="center" vertical="center"/>
    </xf>
    <xf numFmtId="0" fontId="10" fillId="0" borderId="0" xfId="0" quotePrefix="1" applyFont="1" applyFill="1" applyBorder="1" applyAlignment="1">
      <alignment horizontal="center" vertical="center"/>
    </xf>
    <xf numFmtId="0" fontId="10" fillId="0" borderId="0" xfId="0" applyFont="1" applyFill="1" applyBorder="1" applyAlignment="1" applyProtection="1">
      <alignment horizontal="left" vertical="center" wrapText="1"/>
    </xf>
    <xf numFmtId="0" fontId="10" fillId="9" borderId="0" xfId="23" applyFont="1" applyFill="1" applyBorder="1" applyAlignment="1">
      <alignment vertical="center"/>
    </xf>
    <xf numFmtId="0" fontId="10" fillId="0" borderId="0" xfId="10" applyFont="1" applyFill="1" applyBorder="1" applyAlignment="1" applyProtection="1">
      <alignment vertical="center"/>
    </xf>
    <xf numFmtId="0" fontId="10" fillId="0" borderId="0" xfId="10" applyFont="1" applyFill="1" applyBorder="1" applyAlignment="1" applyProtection="1">
      <alignment horizontal="center" vertical="center"/>
    </xf>
    <xf numFmtId="49" fontId="12" fillId="0" borderId="21" xfId="10" applyNumberFormat="1" applyFont="1" applyBorder="1" applyAlignment="1" applyProtection="1">
      <alignment vertical="center"/>
    </xf>
    <xf numFmtId="0" fontId="12" fillId="0" borderId="2" xfId="10" applyFont="1" applyBorder="1" applyAlignment="1" applyProtection="1">
      <alignment vertical="center"/>
    </xf>
    <xf numFmtId="168" fontId="12" fillId="0" borderId="2" xfId="10" applyNumberFormat="1" applyFont="1" applyFill="1" applyBorder="1" applyAlignment="1" applyProtection="1">
      <alignment horizontal="center" vertical="center"/>
    </xf>
    <xf numFmtId="0" fontId="10" fillId="0" borderId="2" xfId="10" applyFont="1" applyFill="1" applyBorder="1" applyAlignment="1" applyProtection="1">
      <alignment horizontal="center" vertical="center"/>
    </xf>
    <xf numFmtId="0" fontId="10" fillId="0" borderId="2" xfId="10" applyFont="1" applyBorder="1" applyAlignment="1" applyProtection="1">
      <alignment vertical="center"/>
    </xf>
    <xf numFmtId="0" fontId="10" fillId="0" borderId="23" xfId="10" applyFont="1" applyBorder="1" applyAlignment="1" applyProtection="1">
      <alignment horizontal="left" vertical="center"/>
    </xf>
    <xf numFmtId="49" fontId="12" fillId="2" borderId="30" xfId="10" applyNumberFormat="1" applyFont="1" applyFill="1" applyBorder="1" applyAlignment="1" applyProtection="1">
      <alignment vertical="center"/>
    </xf>
    <xf numFmtId="0" fontId="12" fillId="2" borderId="28" xfId="10" applyFont="1" applyFill="1" applyBorder="1" applyAlignment="1" applyProtection="1">
      <alignment vertical="center"/>
    </xf>
    <xf numFmtId="0" fontId="12" fillId="2" borderId="28" xfId="10" applyFont="1" applyFill="1" applyBorder="1" applyAlignment="1" applyProtection="1">
      <alignment horizontal="left" vertical="center"/>
    </xf>
    <xf numFmtId="0" fontId="12" fillId="2" borderId="29" xfId="10" applyFont="1" applyFill="1" applyBorder="1" applyAlignment="1" applyProtection="1">
      <alignment horizontal="left" vertical="center"/>
    </xf>
    <xf numFmtId="49" fontId="12" fillId="0" borderId="24" xfId="10" applyNumberFormat="1" applyFont="1" applyFill="1" applyBorder="1" applyAlignment="1" applyProtection="1">
      <alignment horizontal="left" vertical="center"/>
    </xf>
    <xf numFmtId="0" fontId="12" fillId="0" borderId="20" xfId="10" applyFont="1" applyFill="1" applyBorder="1" applyAlignment="1" applyProtection="1">
      <alignment horizontal="left" vertical="center"/>
    </xf>
    <xf numFmtId="0" fontId="12" fillId="0" borderId="25" xfId="10" applyFont="1" applyFill="1" applyBorder="1" applyAlignment="1" applyProtection="1">
      <alignment horizontal="left" vertical="center"/>
    </xf>
    <xf numFmtId="49" fontId="12" fillId="0" borderId="22" xfId="10" applyNumberFormat="1" applyFont="1" applyBorder="1" applyAlignment="1" applyProtection="1">
      <alignment vertical="center"/>
    </xf>
    <xf numFmtId="49" fontId="12" fillId="0" borderId="0" xfId="10" applyNumberFormat="1" applyFont="1" applyBorder="1" applyAlignment="1" applyProtection="1">
      <alignment vertical="center"/>
    </xf>
    <xf numFmtId="0" fontId="10" fillId="0" borderId="0" xfId="10" applyFont="1" applyBorder="1" applyAlignment="1" applyProtection="1">
      <alignment vertical="center"/>
    </xf>
    <xf numFmtId="0" fontId="10" fillId="0" borderId="1" xfId="10" applyFont="1" applyBorder="1" applyAlignment="1" applyProtection="1">
      <alignment horizontal="left" vertical="center"/>
    </xf>
    <xf numFmtId="0" fontId="10" fillId="0" borderId="0" xfId="10" applyFont="1" applyBorder="1" applyAlignment="1" applyProtection="1">
      <alignment horizontal="left" vertical="center"/>
    </xf>
    <xf numFmtId="0" fontId="12" fillId="0" borderId="22" xfId="23" applyFont="1" applyFill="1" applyBorder="1" applyAlignment="1">
      <alignment vertical="center"/>
    </xf>
    <xf numFmtId="0" fontId="12" fillId="0" borderId="2" xfId="23" applyFont="1" applyBorder="1" applyAlignment="1" applyProtection="1">
      <alignment horizontal="left" vertical="center"/>
    </xf>
    <xf numFmtId="0" fontId="11" fillId="0" borderId="0" xfId="23" applyFont="1" applyBorder="1" applyAlignment="1" applyProtection="1">
      <alignment horizontal="center" vertical="center" wrapText="1"/>
    </xf>
    <xf numFmtId="0" fontId="10" fillId="0" borderId="0" xfId="10" applyFont="1" applyBorder="1" applyAlignment="1"/>
    <xf numFmtId="0" fontId="10" fillId="0" borderId="1" xfId="10" applyFont="1" applyFill="1" applyBorder="1" applyAlignment="1" applyProtection="1">
      <alignment vertical="center" wrapText="1"/>
    </xf>
    <xf numFmtId="0" fontId="10" fillId="0" borderId="1" xfId="10" applyFont="1" applyBorder="1" applyAlignment="1"/>
    <xf numFmtId="0" fontId="11" fillId="0" borderId="0" xfId="23" applyFont="1" applyBorder="1" applyAlignment="1">
      <alignment vertical="center" wrapText="1"/>
    </xf>
    <xf numFmtId="0" fontId="11" fillId="0" borderId="1" xfId="23" applyFont="1" applyBorder="1" applyAlignment="1">
      <alignment vertical="center" wrapText="1"/>
    </xf>
    <xf numFmtId="0" fontId="10" fillId="0" borderId="1" xfId="0" applyFont="1" applyFill="1" applyBorder="1" applyAlignment="1" applyProtection="1">
      <alignment vertical="top" wrapText="1"/>
      <protection locked="0"/>
    </xf>
    <xf numFmtId="49" fontId="12" fillId="0" borderId="0" xfId="10" applyNumberFormat="1" applyFont="1" applyBorder="1"/>
    <xf numFmtId="0" fontId="10" fillId="11" borderId="0" xfId="23" applyFont="1" applyFill="1" applyAlignment="1">
      <alignment vertical="center"/>
    </xf>
    <xf numFmtId="0" fontId="10" fillId="0" borderId="0" xfId="0" applyFont="1" applyFill="1" applyBorder="1" applyAlignment="1">
      <alignment horizontal="center"/>
    </xf>
    <xf numFmtId="0" fontId="12" fillId="0" borderId="20" xfId="23" applyFont="1" applyFill="1" applyBorder="1"/>
    <xf numFmtId="0" fontId="10" fillId="0" borderId="22" xfId="23" applyFont="1" applyBorder="1" applyProtection="1"/>
    <xf numFmtId="0" fontId="10" fillId="0" borderId="0" xfId="23" applyFont="1" applyBorder="1" applyProtection="1"/>
    <xf numFmtId="0" fontId="10" fillId="0" borderId="1" xfId="23" applyFont="1" applyBorder="1" applyAlignment="1" applyProtection="1"/>
    <xf numFmtId="0" fontId="10" fillId="0" borderId="0" xfId="23" applyFont="1" applyFill="1" applyBorder="1" applyProtection="1"/>
    <xf numFmtId="0" fontId="10" fillId="0" borderId="1" xfId="23" applyFont="1" applyBorder="1" applyProtection="1"/>
    <xf numFmtId="0" fontId="10" fillId="0" borderId="22" xfId="23" applyFont="1" applyFill="1" applyBorder="1" applyProtection="1"/>
    <xf numFmtId="0" fontId="8" fillId="0" borderId="0" xfId="23" applyFill="1" applyBorder="1" applyAlignment="1" applyProtection="1"/>
    <xf numFmtId="0" fontId="8" fillId="0" borderId="1" xfId="23" applyFill="1" applyBorder="1" applyAlignment="1" applyProtection="1"/>
    <xf numFmtId="0" fontId="12" fillId="0" borderId="0" xfId="23" applyFont="1" applyBorder="1" applyProtection="1"/>
    <xf numFmtId="0" fontId="10" fillId="0" borderId="0" xfId="23" applyFont="1" applyFill="1" applyBorder="1" applyAlignment="1" applyProtection="1"/>
    <xf numFmtId="0" fontId="10" fillId="0" borderId="1" xfId="23" applyFont="1" applyFill="1" applyBorder="1" applyProtection="1"/>
    <xf numFmtId="0" fontId="12" fillId="0" borderId="22" xfId="23" applyFont="1" applyBorder="1" applyProtection="1"/>
    <xf numFmtId="0" fontId="10" fillId="0" borderId="21" xfId="23" applyFont="1" applyBorder="1" applyProtection="1"/>
    <xf numFmtId="0" fontId="10" fillId="0" borderId="2" xfId="23" applyFont="1" applyBorder="1" applyProtection="1"/>
    <xf numFmtId="0" fontId="10" fillId="0" borderId="23" xfId="23" applyFont="1" applyBorder="1" applyProtection="1"/>
    <xf numFmtId="0" fontId="21" fillId="0" borderId="0" xfId="23" applyFont="1" applyFill="1" applyBorder="1" applyAlignment="1" applyProtection="1">
      <alignment vertical="center"/>
    </xf>
    <xf numFmtId="0" fontId="10" fillId="0" borderId="0" xfId="23" applyFont="1" applyProtection="1"/>
    <xf numFmtId="0" fontId="8" fillId="0" borderId="0" xfId="23" applyFill="1" applyBorder="1" applyAlignment="1" applyProtection="1">
      <alignment wrapText="1"/>
    </xf>
    <xf numFmtId="0" fontId="27" fillId="0" borderId="0" xfId="23" applyFont="1" applyFill="1" applyBorder="1" applyAlignment="1" applyProtection="1"/>
    <xf numFmtId="0" fontId="8" fillId="0" borderId="0" xfId="23" applyNumberFormat="1" applyFont="1" applyFill="1" applyBorder="1" applyAlignment="1" applyProtection="1"/>
    <xf numFmtId="0" fontId="12" fillId="0" borderId="0" xfId="23" applyFont="1" applyFill="1" applyBorder="1" applyProtection="1"/>
    <xf numFmtId="0" fontId="10" fillId="0" borderId="0" xfId="23" applyFont="1" applyFill="1" applyProtection="1"/>
    <xf numFmtId="0" fontId="12" fillId="0" borderId="29" xfId="23" applyFont="1" applyFill="1" applyBorder="1"/>
    <xf numFmtId="0" fontId="10" fillId="0" borderId="1" xfId="23" applyNumberFormat="1" applyFont="1" applyFill="1" applyBorder="1" applyAlignment="1" applyProtection="1">
      <alignment vertical="center"/>
    </xf>
    <xf numFmtId="0" fontId="10" fillId="0" borderId="0" xfId="23" applyFont="1" applyFill="1" applyBorder="1" applyAlignment="1" applyProtection="1">
      <alignment horizontal="center" vertical="center"/>
    </xf>
    <xf numFmtId="0" fontId="10" fillId="2" borderId="28" xfId="23" applyFont="1" applyFill="1" applyBorder="1" applyAlignment="1" applyProtection="1">
      <alignment horizontal="right" vertical="center" wrapText="1"/>
    </xf>
    <xf numFmtId="0" fontId="10" fillId="0" borderId="0" xfId="23" applyFont="1" applyBorder="1" applyAlignment="1">
      <alignment horizontal="left" vertical="center"/>
    </xf>
    <xf numFmtId="0" fontId="8" fillId="0" borderId="0" xfId="23" applyFont="1" applyBorder="1" applyAlignment="1">
      <alignment vertical="center"/>
    </xf>
    <xf numFmtId="0" fontId="10" fillId="0" borderId="0" xfId="23" applyFont="1" applyFill="1" applyBorder="1" applyAlignment="1">
      <alignment horizontal="center" vertical="center"/>
    </xf>
    <xf numFmtId="1" fontId="10" fillId="0" borderId="0" xfId="23" applyNumberFormat="1" applyFont="1" applyFill="1" applyBorder="1" applyAlignment="1" applyProtection="1">
      <alignment horizontal="center" vertical="center"/>
    </xf>
    <xf numFmtId="168" fontId="10" fillId="11" borderId="8" xfId="10" applyNumberFormat="1" applyFont="1" applyFill="1" applyBorder="1" applyAlignment="1">
      <alignment horizontal="center" vertical="center"/>
    </xf>
    <xf numFmtId="168" fontId="10" fillId="0" borderId="0" xfId="10" applyNumberFormat="1" applyFont="1" applyFill="1" applyBorder="1" applyAlignment="1">
      <alignment horizontal="center" vertical="center"/>
    </xf>
    <xf numFmtId="0" fontId="10" fillId="11" borderId="8" xfId="23" applyFont="1" applyFill="1" applyBorder="1" applyAlignment="1" applyProtection="1">
      <alignment horizontal="center" vertical="center"/>
    </xf>
    <xf numFmtId="168" fontId="10" fillId="0" borderId="0" xfId="23" applyNumberFormat="1" applyFont="1" applyFill="1" applyBorder="1" applyAlignment="1" applyProtection="1">
      <alignment horizontal="center" vertical="center"/>
    </xf>
    <xf numFmtId="0" fontId="10" fillId="0" borderId="0" xfId="23" applyFont="1" applyFill="1" applyBorder="1" applyAlignment="1" applyProtection="1">
      <alignment horizontal="left" vertical="center"/>
    </xf>
    <xf numFmtId="167" fontId="10" fillId="0" borderId="0" xfId="23" applyNumberFormat="1" applyFont="1" applyFill="1" applyBorder="1" applyAlignment="1" applyProtection="1">
      <alignment horizontal="left" vertical="center"/>
    </xf>
    <xf numFmtId="0" fontId="10" fillId="0" borderId="0" xfId="10" applyFont="1" applyBorder="1" applyAlignment="1">
      <alignment horizontal="left" vertical="center"/>
    </xf>
    <xf numFmtId="168" fontId="12" fillId="0" borderId="0" xfId="10" applyNumberFormat="1" applyFont="1" applyFill="1" applyBorder="1" applyAlignment="1">
      <alignment horizontal="center" vertical="center"/>
    </xf>
    <xf numFmtId="0" fontId="10" fillId="0" borderId="0" xfId="0" applyFont="1" applyFill="1" applyBorder="1" applyAlignment="1">
      <alignment horizontal="center" vertical="center"/>
    </xf>
    <xf numFmtId="0" fontId="10" fillId="0" borderId="0" xfId="0" applyFont="1" applyBorder="1" applyAlignment="1">
      <alignment horizontal="center" vertical="center"/>
    </xf>
    <xf numFmtId="1" fontId="10" fillId="11" borderId="8" xfId="23" applyNumberFormat="1" applyFont="1" applyFill="1" applyBorder="1" applyAlignment="1" applyProtection="1">
      <alignment horizontal="center" vertical="center"/>
    </xf>
    <xf numFmtId="0" fontId="10" fillId="0" borderId="2" xfId="23" applyFont="1" applyBorder="1" applyAlignment="1">
      <alignment horizontal="left" vertical="center"/>
    </xf>
    <xf numFmtId="168" fontId="10" fillId="0" borderId="2" xfId="23" applyNumberFormat="1" applyFont="1" applyBorder="1" applyAlignment="1">
      <alignment horizontal="center" vertical="center"/>
    </xf>
    <xf numFmtId="0" fontId="12" fillId="11" borderId="21" xfId="23" quotePrefix="1" applyFont="1" applyFill="1" applyBorder="1" applyAlignment="1">
      <alignment vertical="center"/>
    </xf>
    <xf numFmtId="2" fontId="10" fillId="11" borderId="8" xfId="23" applyNumberFormat="1" applyFont="1" applyFill="1" applyBorder="1" applyAlignment="1" applyProtection="1">
      <alignment horizontal="center" vertical="center"/>
    </xf>
    <xf numFmtId="0" fontId="10" fillId="0" borderId="22" xfId="10" applyFont="1" applyBorder="1" applyAlignment="1" applyProtection="1">
      <alignment vertical="center"/>
    </xf>
    <xf numFmtId="0" fontId="10" fillId="9" borderId="8" xfId="23" applyFont="1" applyFill="1" applyBorder="1" applyAlignment="1" applyProtection="1">
      <alignment horizontal="center" vertical="center"/>
    </xf>
    <xf numFmtId="0" fontId="10" fillId="0" borderId="1" xfId="10" applyFont="1" applyBorder="1" applyAlignment="1" applyProtection="1">
      <alignment vertical="center"/>
    </xf>
    <xf numFmtId="0" fontId="10" fillId="0" borderId="22" xfId="0" applyFont="1" applyBorder="1" applyAlignment="1" applyProtection="1">
      <alignment horizontal="left" vertical="center"/>
    </xf>
    <xf numFmtId="0" fontId="10" fillId="0" borderId="1" xfId="0" applyFont="1" applyBorder="1" applyProtection="1"/>
    <xf numFmtId="168" fontId="10" fillId="0" borderId="0" xfId="23" applyNumberFormat="1" applyFont="1" applyFill="1" applyBorder="1" applyAlignment="1" applyProtection="1">
      <alignment horizontal="left" vertical="center"/>
    </xf>
    <xf numFmtId="0" fontId="10" fillId="0" borderId="22" xfId="0" applyFont="1" applyFill="1" applyBorder="1" applyAlignment="1" applyProtection="1">
      <alignment horizontal="left" vertical="center"/>
    </xf>
    <xf numFmtId="0" fontId="10" fillId="0" borderId="21" xfId="0" applyFont="1" applyBorder="1" applyAlignment="1" applyProtection="1">
      <alignment horizontal="left" vertical="center"/>
    </xf>
    <xf numFmtId="0" fontId="10" fillId="0" borderId="2" xfId="0" applyFont="1" applyBorder="1" applyProtection="1"/>
    <xf numFmtId="0" fontId="10" fillId="0" borderId="23" xfId="0" applyFont="1" applyBorder="1" applyProtection="1"/>
    <xf numFmtId="0" fontId="10" fillId="0" borderId="2" xfId="10" applyNumberFormat="1" applyFont="1" applyFill="1" applyBorder="1" applyAlignment="1" applyProtection="1">
      <alignment vertical="top" wrapText="1"/>
    </xf>
    <xf numFmtId="0" fontId="10" fillId="0" borderId="23" xfId="10" applyNumberFormat="1" applyFont="1" applyFill="1" applyBorder="1" applyAlignment="1" applyProtection="1">
      <alignment vertical="top" wrapText="1"/>
    </xf>
    <xf numFmtId="0" fontId="10" fillId="0" borderId="2" xfId="23" applyFont="1" applyFill="1" applyBorder="1" applyAlignment="1" applyProtection="1">
      <alignment horizontal="center" vertical="center"/>
    </xf>
    <xf numFmtId="49" fontId="12" fillId="0" borderId="0" xfId="23" applyNumberFormat="1" applyFont="1" applyBorder="1" applyAlignment="1" applyProtection="1">
      <alignment horizontal="left" vertical="center"/>
    </xf>
    <xf numFmtId="0" fontId="18" fillId="0" borderId="0" xfId="23" applyFont="1" applyBorder="1" applyAlignment="1">
      <alignment horizontal="left" vertical="center" wrapText="1"/>
    </xf>
    <xf numFmtId="0" fontId="18" fillId="9" borderId="19" xfId="23" applyFont="1" applyFill="1" applyBorder="1" applyAlignment="1">
      <alignment horizontal="left" vertical="center" wrapText="1"/>
    </xf>
    <xf numFmtId="0" fontId="18" fillId="9" borderId="9" xfId="23" applyFont="1" applyFill="1" applyBorder="1" applyAlignment="1">
      <alignment horizontal="left" vertical="center" wrapText="1"/>
    </xf>
    <xf numFmtId="0" fontId="18" fillId="9" borderId="0" xfId="23" applyFont="1" applyFill="1" applyBorder="1" applyAlignment="1">
      <alignment horizontal="left" vertical="center" wrapText="1"/>
    </xf>
    <xf numFmtId="0" fontId="18" fillId="9" borderId="4" xfId="23" applyFont="1" applyFill="1" applyBorder="1" applyAlignment="1">
      <alignment horizontal="left" vertical="center" wrapText="1"/>
    </xf>
    <xf numFmtId="0" fontId="18" fillId="0" borderId="9" xfId="23" applyFont="1" applyBorder="1" applyAlignment="1">
      <alignment horizontal="left" vertical="center" wrapText="1"/>
    </xf>
    <xf numFmtId="0" fontId="18" fillId="0" borderId="2" xfId="23" applyFont="1" applyBorder="1" applyAlignment="1">
      <alignment horizontal="left" vertical="center" wrapText="1"/>
    </xf>
    <xf numFmtId="0" fontId="18" fillId="0" borderId="4" xfId="23" applyFont="1" applyBorder="1" applyAlignment="1">
      <alignment horizontal="left" vertical="center" wrapText="1"/>
    </xf>
    <xf numFmtId="0" fontId="18" fillId="9" borderId="9" xfId="8" applyFont="1" applyFill="1" applyBorder="1" applyAlignment="1" applyProtection="1">
      <alignment horizontal="left" vertical="center" wrapText="1"/>
    </xf>
    <xf numFmtId="0" fontId="18" fillId="9" borderId="4" xfId="8" applyFont="1" applyFill="1" applyBorder="1" applyAlignment="1" applyProtection="1">
      <alignment horizontal="left" vertical="center" wrapText="1"/>
    </xf>
    <xf numFmtId="0" fontId="10" fillId="7" borderId="18" xfId="43" applyFont="1" applyFill="1" applyBorder="1" applyAlignment="1" applyProtection="1">
      <alignment horizontal="left" vertical="center" indent="1"/>
      <protection locked="0"/>
    </xf>
    <xf numFmtId="0" fontId="10" fillId="7" borderId="19" xfId="43" applyFont="1" applyFill="1" applyBorder="1" applyAlignment="1" applyProtection="1">
      <alignment horizontal="left" vertical="center" indent="1"/>
      <protection locked="0"/>
    </xf>
    <xf numFmtId="0" fontId="10" fillId="7" borderId="14" xfId="43" applyFont="1" applyFill="1" applyBorder="1" applyAlignment="1" applyProtection="1">
      <alignment horizontal="left" vertical="center" indent="1"/>
      <protection locked="0"/>
    </xf>
    <xf numFmtId="0" fontId="120" fillId="0" borderId="9" xfId="43" applyFont="1" applyBorder="1" applyAlignment="1" applyProtection="1">
      <alignment horizontal="center" vertical="center"/>
    </xf>
    <xf numFmtId="0" fontId="10" fillId="7" borderId="18" xfId="43" applyFont="1" applyFill="1" applyBorder="1" applyAlignment="1" applyProtection="1">
      <alignment horizontal="center" vertical="center"/>
      <protection locked="0"/>
    </xf>
    <xf numFmtId="0" fontId="10" fillId="7" borderId="14" xfId="43" applyFont="1" applyFill="1" applyBorder="1" applyAlignment="1" applyProtection="1">
      <alignment horizontal="center" vertical="center"/>
      <protection locked="0"/>
    </xf>
    <xf numFmtId="0" fontId="10" fillId="11" borderId="18" xfId="43" applyFont="1" applyFill="1" applyBorder="1" applyAlignment="1" applyProtection="1">
      <alignment horizontal="center" vertical="center"/>
      <protection locked="0"/>
    </xf>
    <xf numFmtId="0" fontId="10" fillId="11" borderId="14" xfId="43" applyFont="1" applyFill="1" applyBorder="1" applyAlignment="1" applyProtection="1">
      <alignment horizontal="center" vertical="center"/>
      <protection locked="0"/>
    </xf>
    <xf numFmtId="0" fontId="10" fillId="0" borderId="8" xfId="43" applyFont="1" applyBorder="1" applyAlignment="1" applyProtection="1">
      <alignment horizontal="center" wrapText="1"/>
    </xf>
    <xf numFmtId="0" fontId="10" fillId="0" borderId="8" xfId="43" applyFont="1" applyFill="1" applyBorder="1" applyAlignment="1" applyProtection="1">
      <alignment horizontal="center" wrapText="1"/>
    </xf>
    <xf numFmtId="0" fontId="10" fillId="7" borderId="8" xfId="43"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0" fillId="5" borderId="19" xfId="0" applyFont="1" applyFill="1" applyBorder="1" applyAlignment="1" applyProtection="1">
      <alignment horizontal="center" vertical="center"/>
      <protection locked="0"/>
    </xf>
    <xf numFmtId="0" fontId="10" fillId="5" borderId="14" xfId="0" applyFont="1" applyFill="1" applyBorder="1" applyAlignment="1" applyProtection="1">
      <alignment horizontal="center" vertical="center"/>
      <protection locked="0"/>
    </xf>
    <xf numFmtId="1" fontId="10" fillId="5" borderId="18" xfId="43" applyNumberFormat="1" applyFont="1" applyFill="1" applyBorder="1" applyAlignment="1" applyProtection="1">
      <alignment horizontal="center" vertical="center"/>
      <protection locked="0"/>
    </xf>
    <xf numFmtId="1" fontId="10" fillId="5" borderId="14" xfId="43" applyNumberFormat="1" applyFont="1" applyFill="1" applyBorder="1" applyAlignment="1" applyProtection="1">
      <alignment horizontal="center" vertical="center"/>
      <protection locked="0"/>
    </xf>
    <xf numFmtId="0" fontId="10" fillId="0" borderId="6" xfId="23" applyFont="1" applyBorder="1" applyAlignment="1" applyProtection="1">
      <alignment horizontal="right" vertical="center"/>
    </xf>
    <xf numFmtId="0" fontId="10" fillId="0" borderId="7" xfId="23" applyFont="1" applyBorder="1" applyAlignment="1" applyProtection="1">
      <alignment horizontal="right" vertical="center"/>
    </xf>
    <xf numFmtId="49" fontId="10" fillId="7" borderId="18" xfId="43" applyNumberFormat="1" applyFont="1" applyFill="1" applyBorder="1" applyAlignment="1" applyProtection="1">
      <alignment horizontal="center" vertical="center"/>
      <protection locked="0"/>
    </xf>
    <xf numFmtId="49" fontId="10" fillId="7" borderId="14" xfId="43" applyNumberFormat="1" applyFont="1" applyFill="1" applyBorder="1" applyAlignment="1" applyProtection="1">
      <alignment horizontal="center" vertical="center"/>
      <protection locked="0"/>
    </xf>
    <xf numFmtId="49" fontId="10" fillId="7" borderId="19" xfId="43" applyNumberFormat="1" applyFont="1" applyFill="1" applyBorder="1" applyAlignment="1" applyProtection="1">
      <alignment horizontal="center" vertical="center"/>
      <protection locked="0"/>
    </xf>
    <xf numFmtId="0" fontId="10" fillId="7" borderId="19" xfId="43" applyFont="1" applyFill="1" applyBorder="1" applyAlignment="1" applyProtection="1">
      <alignment horizontal="center" vertical="center"/>
      <protection locked="0"/>
    </xf>
    <xf numFmtId="0" fontId="10" fillId="0" borderId="0" xfId="43" applyFont="1" applyBorder="1" applyAlignment="1" applyProtection="1">
      <alignment horizontal="right" vertical="center"/>
    </xf>
    <xf numFmtId="0" fontId="10" fillId="5" borderId="18" xfId="43" applyFont="1" applyFill="1" applyBorder="1" applyAlignment="1" applyProtection="1">
      <alignment horizontal="center" vertical="center"/>
      <protection locked="0"/>
    </xf>
    <xf numFmtId="0" fontId="10" fillId="5" borderId="19" xfId="43" applyFont="1" applyFill="1" applyBorder="1" applyAlignment="1" applyProtection="1">
      <alignment horizontal="center" vertical="center"/>
      <protection locked="0"/>
    </xf>
    <xf numFmtId="0" fontId="10" fillId="5" borderId="14" xfId="43" applyFont="1" applyFill="1" applyBorder="1" applyAlignment="1" applyProtection="1">
      <alignment horizontal="center" vertical="center"/>
      <protection locked="0"/>
    </xf>
    <xf numFmtId="0" fontId="10" fillId="7" borderId="8" xfId="43" applyFont="1" applyFill="1" applyBorder="1" applyAlignment="1" applyProtection="1">
      <alignment horizontal="left" vertical="center"/>
      <protection locked="0"/>
    </xf>
    <xf numFmtId="0" fontId="10" fillId="0" borderId="0" xfId="43" applyFont="1" applyFill="1" applyBorder="1" applyAlignment="1" applyProtection="1">
      <alignment horizontal="right" vertical="center"/>
    </xf>
    <xf numFmtId="0" fontId="10" fillId="0" borderId="7" xfId="43" applyFont="1" applyFill="1" applyBorder="1" applyAlignment="1" applyProtection="1">
      <alignment horizontal="right" vertical="center"/>
    </xf>
    <xf numFmtId="49" fontId="10" fillId="5" borderId="18" xfId="43" applyNumberFormat="1" applyFont="1" applyFill="1" applyBorder="1" applyAlignment="1" applyProtection="1">
      <alignment horizontal="center" vertical="center"/>
      <protection locked="0"/>
    </xf>
    <xf numFmtId="49" fontId="10" fillId="5" borderId="14" xfId="43" applyNumberFormat="1" applyFont="1" applyFill="1" applyBorder="1" applyAlignment="1" applyProtection="1">
      <alignment horizontal="center" vertical="center"/>
      <protection locked="0"/>
    </xf>
    <xf numFmtId="0" fontId="10" fillId="0" borderId="0" xfId="43" applyFont="1" applyBorder="1" applyAlignment="1" applyProtection="1">
      <alignment horizontal="right" vertical="center" wrapText="1" indent="1"/>
    </xf>
    <xf numFmtId="14" fontId="10" fillId="5" borderId="18" xfId="43" applyNumberFormat="1" applyFont="1" applyFill="1" applyBorder="1" applyAlignment="1" applyProtection="1">
      <alignment horizontal="center" vertical="center"/>
      <protection locked="0"/>
    </xf>
    <xf numFmtId="14" fontId="10" fillId="5" borderId="19" xfId="43" applyNumberFormat="1" applyFont="1" applyFill="1" applyBorder="1" applyAlignment="1" applyProtection="1">
      <alignment horizontal="center" vertical="center"/>
      <protection locked="0"/>
    </xf>
    <xf numFmtId="14" fontId="10" fillId="5" borderId="14" xfId="43" applyNumberFormat="1" applyFont="1" applyFill="1" applyBorder="1" applyAlignment="1" applyProtection="1">
      <alignment horizontal="center" vertical="center"/>
      <protection locked="0"/>
    </xf>
    <xf numFmtId="49" fontId="10" fillId="5" borderId="18" xfId="23" applyNumberFormat="1" applyFont="1" applyFill="1" applyBorder="1" applyAlignment="1" applyProtection="1">
      <alignment horizontal="center" vertical="center"/>
      <protection locked="0"/>
    </xf>
    <xf numFmtId="49" fontId="10" fillId="5" borderId="19" xfId="23" applyNumberFormat="1" applyFont="1" applyFill="1" applyBorder="1" applyAlignment="1" applyProtection="1">
      <alignment horizontal="center" vertical="center"/>
      <protection locked="0"/>
    </xf>
    <xf numFmtId="49" fontId="10" fillId="5" borderId="14" xfId="23" applyNumberFormat="1" applyFont="1" applyFill="1" applyBorder="1" applyAlignment="1" applyProtection="1">
      <alignment horizontal="center" vertical="center"/>
      <protection locked="0"/>
    </xf>
    <xf numFmtId="0" fontId="10" fillId="5" borderId="18" xfId="43" applyFont="1" applyFill="1" applyBorder="1" applyAlignment="1" applyProtection="1">
      <alignment horizontal="left" vertical="center" indent="1"/>
      <protection locked="0"/>
    </xf>
    <xf numFmtId="0" fontId="10" fillId="5" borderId="19" xfId="43" applyFont="1" applyFill="1" applyBorder="1" applyAlignment="1" applyProtection="1">
      <alignment horizontal="left" vertical="center" indent="1"/>
      <protection locked="0"/>
    </xf>
    <xf numFmtId="0" fontId="10" fillId="5" borderId="14" xfId="43" applyFont="1" applyFill="1" applyBorder="1" applyAlignment="1" applyProtection="1">
      <alignment horizontal="left" vertical="center" indent="1"/>
      <protection locked="0"/>
    </xf>
    <xf numFmtId="0" fontId="10" fillId="0" borderId="0" xfId="43" applyFont="1" applyFill="1" applyBorder="1" applyAlignment="1" applyProtection="1">
      <alignment vertical="center"/>
    </xf>
    <xf numFmtId="0" fontId="12" fillId="11" borderId="19" xfId="43" applyFont="1" applyFill="1" applyBorder="1" applyAlignment="1" applyProtection="1">
      <alignment horizontal="left" vertical="center"/>
    </xf>
    <xf numFmtId="49" fontId="10" fillId="7" borderId="18" xfId="43" applyNumberFormat="1" applyFont="1" applyFill="1" applyBorder="1" applyAlignment="1" applyProtection="1">
      <alignment horizontal="left" vertical="center" indent="1"/>
      <protection locked="0"/>
    </xf>
    <xf numFmtId="49" fontId="10" fillId="7" borderId="19" xfId="43" applyNumberFormat="1" applyFont="1" applyFill="1" applyBorder="1" applyAlignment="1" applyProtection="1">
      <alignment horizontal="left" vertical="center" indent="1"/>
      <protection locked="0"/>
    </xf>
    <xf numFmtId="49" fontId="10" fillId="7" borderId="14" xfId="43" applyNumberFormat="1" applyFont="1" applyFill="1" applyBorder="1" applyAlignment="1" applyProtection="1">
      <alignment horizontal="left" vertical="center" indent="1"/>
      <protection locked="0"/>
    </xf>
    <xf numFmtId="0" fontId="10" fillId="11" borderId="33" xfId="43" applyFont="1" applyFill="1" applyBorder="1" applyAlignment="1" applyProtection="1">
      <alignment horizontal="center" vertical="center"/>
    </xf>
    <xf numFmtId="0" fontId="10" fillId="11" borderId="34" xfId="43" applyFont="1" applyFill="1" applyBorder="1" applyAlignment="1" applyProtection="1">
      <alignment horizontal="center" vertical="center"/>
    </xf>
    <xf numFmtId="0" fontId="10" fillId="7" borderId="18" xfId="43" applyFont="1" applyFill="1" applyBorder="1" applyAlignment="1" applyProtection="1">
      <alignment horizontal="left" vertical="center"/>
      <protection locked="0"/>
    </xf>
    <xf numFmtId="0" fontId="10" fillId="7" borderId="19" xfId="43" applyFont="1" applyFill="1" applyBorder="1" applyAlignment="1" applyProtection="1">
      <alignment horizontal="left" vertical="center"/>
      <protection locked="0"/>
    </xf>
    <xf numFmtId="0" fontId="10" fillId="7" borderId="14" xfId="43" applyFont="1" applyFill="1" applyBorder="1" applyAlignment="1" applyProtection="1">
      <alignment horizontal="left" vertical="center"/>
      <protection locked="0"/>
    </xf>
    <xf numFmtId="0" fontId="10" fillId="7" borderId="10" xfId="43" applyFont="1" applyFill="1" applyBorder="1" applyAlignment="1" applyProtection="1">
      <alignment horizontal="left" vertical="center"/>
      <protection locked="0"/>
    </xf>
    <xf numFmtId="0" fontId="10" fillId="7" borderId="9" xfId="43" applyFont="1" applyFill="1" applyBorder="1" applyAlignment="1" applyProtection="1">
      <alignment horizontal="left" vertical="center"/>
      <protection locked="0"/>
    </xf>
    <xf numFmtId="0" fontId="10" fillId="7" borderId="11" xfId="43" applyFont="1" applyFill="1" applyBorder="1" applyAlignment="1" applyProtection="1">
      <alignment horizontal="left" vertical="center"/>
      <protection locked="0"/>
    </xf>
    <xf numFmtId="0" fontId="10" fillId="7" borderId="3" xfId="43" applyFont="1" applyFill="1" applyBorder="1" applyAlignment="1" applyProtection="1">
      <alignment horizontal="left" vertical="center"/>
      <protection locked="0"/>
    </xf>
    <xf numFmtId="0" fontId="10" fillId="7" borderId="4" xfId="43" applyFont="1" applyFill="1" applyBorder="1" applyAlignment="1" applyProtection="1">
      <alignment horizontal="left" vertical="center"/>
      <protection locked="0"/>
    </xf>
    <xf numFmtId="0" fontId="10" fillId="7" borderId="5" xfId="43" applyFont="1" applyFill="1" applyBorder="1" applyAlignment="1" applyProtection="1">
      <alignment horizontal="left" vertical="center"/>
      <protection locked="0"/>
    </xf>
    <xf numFmtId="0" fontId="10" fillId="0" borderId="7" xfId="43" applyFont="1" applyBorder="1" applyAlignment="1" applyProtection="1">
      <alignment horizontal="right" vertical="center" wrapText="1" indent="1"/>
    </xf>
    <xf numFmtId="0" fontId="18" fillId="7" borderId="8" xfId="43" applyFont="1" applyFill="1" applyBorder="1" applyAlignment="1" applyProtection="1">
      <alignment horizontal="center" vertical="center" wrapText="1"/>
      <protection locked="0"/>
    </xf>
    <xf numFmtId="0" fontId="10" fillId="10" borderId="22" xfId="43" applyFont="1" applyFill="1" applyBorder="1" applyAlignment="1" applyProtection="1">
      <alignment horizontal="center" vertical="center"/>
    </xf>
    <xf numFmtId="0" fontId="10" fillId="10" borderId="0" xfId="43" applyFont="1" applyFill="1" applyBorder="1" applyAlignment="1" applyProtection="1">
      <alignment horizontal="center" vertical="center"/>
    </xf>
    <xf numFmtId="0" fontId="39" fillId="7" borderId="8" xfId="43" applyFont="1" applyFill="1" applyBorder="1" applyAlignment="1" applyProtection="1">
      <alignment horizontal="center" vertical="center" wrapText="1"/>
      <protection locked="0"/>
    </xf>
    <xf numFmtId="0" fontId="10" fillId="11" borderId="19" xfId="43" applyFont="1" applyFill="1" applyBorder="1" applyAlignment="1" applyProtection="1">
      <alignment vertical="center"/>
    </xf>
    <xf numFmtId="0" fontId="8" fillId="11" borderId="19" xfId="43" applyFill="1" applyBorder="1" applyAlignment="1" applyProtection="1">
      <alignment vertical="center"/>
    </xf>
    <xf numFmtId="1" fontId="10" fillId="5" borderId="8" xfId="43" applyNumberFormat="1" applyFont="1" applyFill="1" applyBorder="1" applyAlignment="1" applyProtection="1">
      <alignment horizontal="center" vertical="center"/>
      <protection locked="0"/>
    </xf>
    <xf numFmtId="0" fontId="10" fillId="7" borderId="18" xfId="43" applyFont="1" applyFill="1" applyBorder="1" applyAlignment="1" applyProtection="1">
      <alignment horizontal="left" vertical="top" wrapText="1" indent="1"/>
      <protection locked="0"/>
    </xf>
    <xf numFmtId="0" fontId="10" fillId="7" borderId="19" xfId="43" applyFont="1" applyFill="1" applyBorder="1" applyAlignment="1" applyProtection="1">
      <alignment horizontal="left" vertical="top" wrapText="1" indent="1"/>
      <protection locked="0"/>
    </xf>
    <xf numFmtId="0" fontId="10" fillId="7" borderId="14" xfId="43" applyFont="1" applyFill="1" applyBorder="1" applyAlignment="1" applyProtection="1">
      <alignment horizontal="left" vertical="top" wrapText="1" indent="1"/>
      <protection locked="0"/>
    </xf>
    <xf numFmtId="177" fontId="10" fillId="7" borderId="8" xfId="43" applyNumberFormat="1" applyFont="1" applyFill="1" applyBorder="1" applyAlignment="1" applyProtection="1">
      <alignment horizontal="center" vertical="center"/>
      <protection locked="0"/>
    </xf>
    <xf numFmtId="177" fontId="10" fillId="7" borderId="18" xfId="43" applyNumberFormat="1" applyFont="1" applyFill="1" applyBorder="1" applyAlignment="1" applyProtection="1">
      <alignment horizontal="center" vertical="center"/>
      <protection locked="0"/>
    </xf>
    <xf numFmtId="177" fontId="10" fillId="7" borderId="19" xfId="43" applyNumberFormat="1" applyFont="1" applyFill="1" applyBorder="1" applyAlignment="1" applyProtection="1">
      <alignment horizontal="center" vertical="center"/>
      <protection locked="0"/>
    </xf>
    <xf numFmtId="177" fontId="10" fillId="7" borderId="14" xfId="43" applyNumberFormat="1" applyFont="1" applyFill="1" applyBorder="1" applyAlignment="1" applyProtection="1">
      <alignment horizontal="center" vertical="center"/>
      <protection locked="0"/>
    </xf>
    <xf numFmtId="0" fontId="10" fillId="7" borderId="18" xfId="55" applyFont="1" applyFill="1" applyBorder="1" applyAlignment="1" applyProtection="1">
      <alignment horizontal="center" vertical="center"/>
      <protection locked="0"/>
    </xf>
    <xf numFmtId="0" fontId="10" fillId="7" borderId="14" xfId="55" applyFont="1" applyFill="1" applyBorder="1" applyAlignment="1" applyProtection="1">
      <alignment horizontal="center" vertical="center"/>
      <protection locked="0"/>
    </xf>
    <xf numFmtId="177" fontId="12" fillId="7" borderId="8" xfId="43" applyNumberFormat="1" applyFont="1" applyFill="1" applyBorder="1" applyAlignment="1" applyProtection="1">
      <alignment horizontal="center" vertical="center"/>
      <protection locked="0"/>
    </xf>
    <xf numFmtId="0" fontId="10" fillId="0" borderId="6" xfId="23" applyFont="1" applyFill="1" applyBorder="1" applyAlignment="1" applyProtection="1">
      <alignment horizontal="center" vertical="center"/>
    </xf>
    <xf numFmtId="0" fontId="10" fillId="0" borderId="0" xfId="23" applyFont="1" applyFill="1" applyBorder="1" applyAlignment="1" applyProtection="1">
      <alignment horizontal="center" vertical="center"/>
    </xf>
    <xf numFmtId="0" fontId="116" fillId="0" borderId="0" xfId="43" applyFont="1" applyFill="1" applyBorder="1" applyAlignment="1" applyProtection="1">
      <alignment horizontal="center" vertical="center"/>
    </xf>
    <xf numFmtId="0" fontId="10" fillId="0" borderId="0" xfId="43" applyFont="1" applyBorder="1" applyAlignment="1" applyProtection="1">
      <alignment horizontal="center" vertical="center"/>
    </xf>
    <xf numFmtId="2" fontId="10" fillId="5" borderId="3" xfId="43" applyNumberFormat="1" applyFont="1" applyFill="1" applyBorder="1" applyAlignment="1" applyProtection="1">
      <alignment horizontal="center" vertical="center"/>
      <protection locked="0"/>
    </xf>
    <xf numFmtId="2" fontId="10" fillId="5" borderId="5" xfId="43" applyNumberFormat="1" applyFont="1" applyFill="1" applyBorder="1" applyAlignment="1" applyProtection="1">
      <alignment horizontal="center" vertical="center"/>
      <protection locked="0"/>
    </xf>
    <xf numFmtId="0" fontId="10" fillId="0" borderId="9" xfId="43" applyFont="1" applyFill="1" applyBorder="1" applyAlignment="1" applyProtection="1">
      <alignment horizontal="center" vertical="center"/>
    </xf>
    <xf numFmtId="0" fontId="10" fillId="0" borderId="19" xfId="43" applyFont="1" applyFill="1" applyBorder="1" applyAlignment="1" applyProtection="1">
      <alignment horizontal="center" vertical="center"/>
    </xf>
    <xf numFmtId="0" fontId="12" fillId="0" borderId="0" xfId="43" applyFont="1" applyFill="1" applyBorder="1" applyAlignment="1" applyProtection="1">
      <alignment horizontal="right" vertical="center"/>
    </xf>
    <xf numFmtId="0" fontId="12" fillId="0" borderId="7" xfId="43" applyFont="1" applyFill="1" applyBorder="1" applyAlignment="1" applyProtection="1">
      <alignment horizontal="right" vertical="center"/>
    </xf>
    <xf numFmtId="0" fontId="10" fillId="11" borderId="18" xfId="23" applyFont="1" applyFill="1" applyBorder="1" applyAlignment="1" applyProtection="1">
      <alignment horizontal="center" vertical="center" wrapText="1"/>
    </xf>
    <xf numFmtId="0" fontId="10" fillId="11" borderId="19" xfId="23" applyFont="1" applyFill="1" applyBorder="1" applyAlignment="1" applyProtection="1">
      <alignment horizontal="center" vertical="center" wrapText="1"/>
    </xf>
    <xf numFmtId="0" fontId="10" fillId="11" borderId="14" xfId="23" applyFont="1" applyFill="1" applyBorder="1" applyAlignment="1" applyProtection="1">
      <alignment horizontal="center" vertical="center" wrapText="1"/>
    </xf>
    <xf numFmtId="14" fontId="10" fillId="7" borderId="18" xfId="43" applyNumberFormat="1" applyFont="1" applyFill="1" applyBorder="1" applyAlignment="1" applyProtection="1">
      <alignment horizontal="center" vertical="center"/>
      <protection locked="0"/>
    </xf>
    <xf numFmtId="14" fontId="10" fillId="7" borderId="19" xfId="43" applyNumberFormat="1" applyFont="1" applyFill="1" applyBorder="1" applyAlignment="1" applyProtection="1">
      <alignment horizontal="center" vertical="center"/>
      <protection locked="0"/>
    </xf>
    <xf numFmtId="14" fontId="10" fillId="7" borderId="14" xfId="43" applyNumberFormat="1" applyFont="1" applyFill="1" applyBorder="1" applyAlignment="1" applyProtection="1">
      <alignment horizontal="center" vertical="center"/>
      <protection locked="0"/>
    </xf>
    <xf numFmtId="0" fontId="10" fillId="11" borderId="18" xfId="43" applyFont="1" applyFill="1" applyBorder="1" applyAlignment="1" applyProtection="1">
      <alignment horizontal="left" vertical="center"/>
    </xf>
    <xf numFmtId="0" fontId="10" fillId="11" borderId="19" xfId="43" applyFont="1" applyFill="1" applyBorder="1" applyAlignment="1" applyProtection="1">
      <alignment horizontal="left" vertical="center"/>
    </xf>
    <xf numFmtId="0" fontId="10" fillId="11" borderId="14" xfId="43" applyFont="1" applyFill="1" applyBorder="1" applyAlignment="1" applyProtection="1">
      <alignment horizontal="left" vertical="center"/>
    </xf>
    <xf numFmtId="0" fontId="12" fillId="0" borderId="0" xfId="43" applyFont="1" applyBorder="1" applyAlignment="1" applyProtection="1">
      <alignment horizontal="center" vertical="center"/>
    </xf>
    <xf numFmtId="0" fontId="12" fillId="0" borderId="7" xfId="43" applyFont="1" applyBorder="1" applyAlignment="1" applyProtection="1">
      <alignment horizontal="center" vertical="center"/>
    </xf>
    <xf numFmtId="0" fontId="54" fillId="0" borderId="0" xfId="12" applyFont="1" applyFill="1" applyBorder="1" applyAlignment="1">
      <alignment horizontal="center" vertical="center" wrapText="1"/>
    </xf>
    <xf numFmtId="0" fontId="34" fillId="0" borderId="0" xfId="12" applyFont="1" applyFill="1" applyBorder="1" applyAlignment="1">
      <alignment horizontal="left" wrapText="1"/>
    </xf>
    <xf numFmtId="0" fontId="35" fillId="9" borderId="20" xfId="12" applyFont="1" applyFill="1" applyBorder="1" applyAlignment="1" applyProtection="1">
      <alignment horizontal="center" vertical="center"/>
      <protection locked="0"/>
    </xf>
    <xf numFmtId="0" fontId="35" fillId="9" borderId="44" xfId="12" applyFont="1" applyFill="1" applyBorder="1" applyAlignment="1" applyProtection="1">
      <alignment horizontal="center" vertical="center"/>
      <protection locked="0"/>
    </xf>
    <xf numFmtId="0" fontId="34" fillId="0" borderId="43" xfId="12" applyFont="1" applyFill="1" applyBorder="1" applyAlignment="1">
      <alignment horizontal="right" vertical="center"/>
    </xf>
    <xf numFmtId="0" fontId="34" fillId="0" borderId="20" xfId="12" applyFont="1" applyFill="1" applyBorder="1" applyAlignment="1">
      <alignment horizontal="right" vertical="center"/>
    </xf>
    <xf numFmtId="0" fontId="34" fillId="9" borderId="20" xfId="12" applyFont="1" applyFill="1" applyBorder="1" applyAlignment="1" applyProtection="1">
      <alignment horizontal="center" vertical="center"/>
      <protection locked="0"/>
    </xf>
    <xf numFmtId="0" fontId="34" fillId="9" borderId="25" xfId="12" applyFont="1" applyFill="1" applyBorder="1" applyAlignment="1" applyProtection="1">
      <alignment horizontal="center" vertical="center"/>
      <protection locked="0"/>
    </xf>
    <xf numFmtId="0" fontId="34" fillId="7" borderId="19" xfId="12" applyFont="1" applyFill="1" applyBorder="1" applyAlignment="1" applyProtection="1">
      <alignment horizontal="center" vertical="center"/>
      <protection locked="0"/>
    </xf>
    <xf numFmtId="0" fontId="34" fillId="7" borderId="14" xfId="12" applyFont="1" applyFill="1" applyBorder="1" applyAlignment="1" applyProtection="1">
      <alignment horizontal="center" vertical="center"/>
      <protection locked="0"/>
    </xf>
    <xf numFmtId="0" fontId="34" fillId="5" borderId="19" xfId="12" applyFont="1" applyFill="1" applyBorder="1" applyAlignment="1" applyProtection="1">
      <alignment horizontal="center" vertical="center"/>
      <protection locked="0"/>
    </xf>
    <xf numFmtId="0" fontId="34" fillId="5" borderId="14" xfId="12" applyFont="1" applyFill="1" applyBorder="1" applyAlignment="1" applyProtection="1">
      <alignment horizontal="center" vertical="center"/>
      <protection locked="0"/>
    </xf>
    <xf numFmtId="0" fontId="34" fillId="0" borderId="18" xfId="12" applyFont="1" applyFill="1" applyBorder="1" applyAlignment="1">
      <alignment horizontal="right" vertical="center" wrapText="1"/>
    </xf>
    <xf numFmtId="0" fontId="34" fillId="0" borderId="19" xfId="12" applyFont="1" applyFill="1" applyBorder="1" applyAlignment="1">
      <alignment horizontal="right" vertical="center" wrapText="1"/>
    </xf>
    <xf numFmtId="0" fontId="34" fillId="0" borderId="18" xfId="12" applyFont="1" applyFill="1" applyBorder="1" applyAlignment="1">
      <alignment horizontal="right" vertical="center"/>
    </xf>
    <xf numFmtId="0" fontId="34" fillId="0" borderId="19" xfId="12" applyFont="1" applyFill="1" applyBorder="1" applyAlignment="1">
      <alignment horizontal="right" vertical="center"/>
    </xf>
    <xf numFmtId="0" fontId="34" fillId="0" borderId="18" xfId="12" applyFont="1" applyBorder="1" applyAlignment="1">
      <alignment horizontal="center" vertical="center"/>
    </xf>
    <xf numFmtId="0" fontId="34" fillId="0" borderId="19" xfId="12" applyFont="1" applyBorder="1" applyAlignment="1">
      <alignment horizontal="center" vertical="center"/>
    </xf>
    <xf numFmtId="0" fontId="34" fillId="0" borderId="26" xfId="12" applyFont="1" applyFill="1" applyBorder="1" applyAlignment="1">
      <alignment horizontal="left" vertical="center"/>
    </xf>
    <xf numFmtId="0" fontId="34" fillId="0" borderId="19" xfId="12" applyFont="1" applyFill="1" applyBorder="1" applyAlignment="1">
      <alignment horizontal="left" vertical="center"/>
    </xf>
    <xf numFmtId="0" fontId="34" fillId="5" borderId="8" xfId="12" applyFont="1" applyFill="1" applyBorder="1" applyAlignment="1" applyProtection="1">
      <alignment horizontal="center" vertical="center"/>
      <protection locked="0"/>
    </xf>
    <xf numFmtId="0" fontId="34" fillId="5" borderId="18" xfId="12" applyFont="1" applyFill="1" applyBorder="1" applyAlignment="1" applyProtection="1">
      <alignment horizontal="center" vertical="center"/>
      <protection locked="0"/>
    </xf>
    <xf numFmtId="174" fontId="34" fillId="5" borderId="19" xfId="12" applyNumberFormat="1" applyFont="1" applyFill="1" applyBorder="1" applyAlignment="1" applyProtection="1">
      <alignment horizontal="center" vertical="center"/>
      <protection locked="0"/>
    </xf>
    <xf numFmtId="174" fontId="34" fillId="5" borderId="39" xfId="12" applyNumberFormat="1" applyFont="1" applyFill="1" applyBorder="1" applyAlignment="1" applyProtection="1">
      <alignment horizontal="center" vertical="center"/>
      <protection locked="0"/>
    </xf>
    <xf numFmtId="0" fontId="35" fillId="0" borderId="27" xfId="12" applyFont="1" applyFill="1" applyBorder="1" applyAlignment="1">
      <alignment horizontal="right" vertical="center"/>
    </xf>
    <xf numFmtId="0" fontId="35" fillId="0" borderId="41" xfId="12" applyFont="1" applyFill="1" applyBorder="1" applyAlignment="1">
      <alignment horizontal="right" vertical="center"/>
    </xf>
    <xf numFmtId="0" fontId="34" fillId="5" borderId="8" xfId="12" applyFont="1" applyFill="1" applyBorder="1" applyAlignment="1" applyProtection="1">
      <alignment horizontal="center" vertical="center" wrapText="1"/>
      <protection locked="0"/>
    </xf>
    <xf numFmtId="0" fontId="34" fillId="0" borderId="49" xfId="12" applyFont="1" applyFill="1" applyBorder="1" applyAlignment="1">
      <alignment horizontal="right" vertical="center"/>
    </xf>
    <xf numFmtId="0" fontId="34" fillId="0" borderId="41" xfId="12" applyFont="1" applyFill="1" applyBorder="1" applyAlignment="1">
      <alignment horizontal="right" vertical="center"/>
    </xf>
    <xf numFmtId="0" fontId="34" fillId="5" borderId="41" xfId="12" applyFont="1" applyFill="1" applyBorder="1" applyAlignment="1" applyProtection="1">
      <alignment horizontal="center" vertical="center" wrapText="1"/>
      <protection locked="0"/>
    </xf>
    <xf numFmtId="0" fontId="34" fillId="5" borderId="51" xfId="12" applyFont="1" applyFill="1" applyBorder="1" applyAlignment="1" applyProtection="1">
      <alignment horizontal="center" vertical="center" wrapText="1"/>
      <protection locked="0"/>
    </xf>
    <xf numFmtId="0" fontId="34" fillId="2" borderId="12" xfId="12" applyFont="1" applyFill="1" applyBorder="1" applyAlignment="1">
      <alignment horizontal="center" vertical="center"/>
    </xf>
    <xf numFmtId="0" fontId="34" fillId="2" borderId="97" xfId="12" applyFont="1" applyFill="1" applyBorder="1" applyAlignment="1">
      <alignment horizontal="center" vertical="center"/>
    </xf>
    <xf numFmtId="0" fontId="35" fillId="2" borderId="12" xfId="12" applyFont="1" applyFill="1" applyBorder="1" applyAlignment="1">
      <alignment horizontal="center" vertical="center"/>
    </xf>
    <xf numFmtId="0" fontId="35" fillId="2" borderId="55" xfId="12" applyFont="1" applyFill="1" applyBorder="1" applyAlignment="1">
      <alignment horizontal="center" vertical="center"/>
    </xf>
    <xf numFmtId="0" fontId="34" fillId="2" borderId="100" xfId="12" applyFont="1" applyFill="1" applyBorder="1" applyAlignment="1">
      <alignment horizontal="center" vertical="center"/>
    </xf>
    <xf numFmtId="49" fontId="34" fillId="5" borderId="94" xfId="12" applyNumberFormat="1" applyFont="1" applyFill="1" applyBorder="1" applyAlignment="1" applyProtection="1">
      <alignment horizontal="center" vertical="center" wrapText="1"/>
      <protection locked="0"/>
    </xf>
    <xf numFmtId="49" fontId="34" fillId="5" borderId="45" xfId="12" applyNumberFormat="1" applyFont="1" applyFill="1" applyBorder="1" applyAlignment="1" applyProtection="1">
      <alignment horizontal="center" vertical="center" wrapText="1"/>
      <protection locked="0"/>
    </xf>
    <xf numFmtId="0" fontId="34" fillId="5" borderId="95" xfId="12" applyFont="1" applyFill="1" applyBorder="1" applyAlignment="1" applyProtection="1">
      <alignment horizontal="center" vertical="center" wrapText="1"/>
      <protection locked="0"/>
    </xf>
    <xf numFmtId="0" fontId="34" fillId="5" borderId="46" xfId="12" applyFont="1" applyFill="1" applyBorder="1" applyAlignment="1" applyProtection="1">
      <alignment horizontal="center" vertical="center" wrapText="1"/>
      <protection locked="0"/>
    </xf>
    <xf numFmtId="49" fontId="34" fillId="5" borderId="95" xfId="12" applyNumberFormat="1" applyFont="1" applyFill="1" applyBorder="1" applyAlignment="1" applyProtection="1">
      <alignment horizontal="center" vertical="center" wrapText="1"/>
      <protection locked="0"/>
    </xf>
    <xf numFmtId="49" fontId="34" fillId="5" borderId="46" xfId="12" applyNumberFormat="1" applyFont="1" applyFill="1" applyBorder="1" applyAlignment="1" applyProtection="1">
      <alignment horizontal="center" vertical="center" wrapText="1"/>
      <protection locked="0"/>
    </xf>
    <xf numFmtId="0" fontId="34" fillId="5" borderId="95" xfId="12" applyFont="1" applyFill="1" applyBorder="1" applyAlignment="1" applyProtection="1">
      <alignment horizontal="center" vertical="center"/>
      <protection locked="0"/>
    </xf>
    <xf numFmtId="0" fontId="34" fillId="5" borderId="46" xfId="12" applyFont="1" applyFill="1" applyBorder="1" applyAlignment="1" applyProtection="1">
      <alignment horizontal="center" vertical="center"/>
      <protection locked="0"/>
    </xf>
    <xf numFmtId="0" fontId="34" fillId="5" borderId="102" xfId="12" applyFont="1" applyFill="1" applyBorder="1" applyAlignment="1" applyProtection="1">
      <alignment horizontal="center" vertical="center"/>
      <protection locked="0"/>
    </xf>
    <xf numFmtId="0" fontId="34" fillId="5" borderId="103" xfId="12" applyFont="1" applyFill="1" applyBorder="1" applyAlignment="1" applyProtection="1">
      <alignment horizontal="center" vertical="center"/>
      <protection locked="0"/>
    </xf>
    <xf numFmtId="0" fontId="34" fillId="5" borderId="88" xfId="12" applyFont="1" applyFill="1" applyBorder="1" applyAlignment="1" applyProtection="1">
      <alignment horizontal="center" vertical="center"/>
      <protection locked="0"/>
    </xf>
    <xf numFmtId="0" fontId="34" fillId="5" borderId="38" xfId="12" applyFont="1" applyFill="1" applyBorder="1" applyAlignment="1" applyProtection="1">
      <alignment horizontal="center" vertical="center"/>
      <protection locked="0"/>
    </xf>
    <xf numFmtId="0" fontId="34" fillId="2" borderId="53" xfId="12" applyFont="1" applyFill="1" applyBorder="1" applyAlignment="1">
      <alignment horizontal="center" vertical="center"/>
    </xf>
    <xf numFmtId="0" fontId="34" fillId="2" borderId="96" xfId="12" applyFont="1" applyFill="1" applyBorder="1" applyAlignment="1">
      <alignment horizontal="center" vertical="center"/>
    </xf>
    <xf numFmtId="0" fontId="129" fillId="2" borderId="12" xfId="12" applyFont="1" applyFill="1" applyBorder="1" applyAlignment="1">
      <alignment horizontal="center" vertical="center" wrapText="1"/>
    </xf>
    <xf numFmtId="0" fontId="32" fillId="2" borderId="97" xfId="43" applyFont="1" applyFill="1" applyBorder="1" applyAlignment="1">
      <alignment horizontal="center" vertical="center" wrapText="1"/>
    </xf>
    <xf numFmtId="0" fontId="34" fillId="2" borderId="6" xfId="12" applyFont="1" applyFill="1" applyBorder="1" applyAlignment="1">
      <alignment horizontal="center" vertical="center"/>
    </xf>
    <xf numFmtId="0" fontId="0" fillId="0" borderId="7" xfId="0" applyBorder="1"/>
    <xf numFmtId="0" fontId="0" fillId="0" borderId="98" xfId="0" applyBorder="1"/>
    <xf numFmtId="0" fontId="0" fillId="0" borderId="99" xfId="0" applyBorder="1"/>
    <xf numFmtId="0" fontId="34" fillId="2" borderId="7" xfId="12" applyFont="1" applyFill="1" applyBorder="1" applyAlignment="1">
      <alignment horizontal="center" vertical="center"/>
    </xf>
    <xf numFmtId="0" fontId="34" fillId="2" borderId="98" xfId="12" applyFont="1" applyFill="1" applyBorder="1" applyAlignment="1">
      <alignment horizontal="center" vertical="center"/>
    </xf>
    <xf numFmtId="0" fontId="34" fillId="2" borderId="99" xfId="12" applyFont="1" applyFill="1" applyBorder="1" applyAlignment="1">
      <alignment horizontal="center" vertical="center"/>
    </xf>
    <xf numFmtId="0" fontId="34" fillId="5" borderId="101" xfId="12" applyFont="1" applyFill="1" applyBorder="1" applyAlignment="1" applyProtection="1">
      <alignment horizontal="center" vertical="center"/>
      <protection locked="0"/>
    </xf>
    <xf numFmtId="0" fontId="34" fillId="5" borderId="36" xfId="12" applyFont="1" applyFill="1" applyBorder="1" applyAlignment="1" applyProtection="1">
      <alignment horizontal="center" vertical="center"/>
      <protection locked="0"/>
    </xf>
    <xf numFmtId="49" fontId="34" fillId="5" borderId="84" xfId="12" applyNumberFormat="1" applyFont="1" applyFill="1" applyBorder="1" applyAlignment="1" applyProtection="1">
      <alignment horizontal="center" vertical="center" wrapText="1"/>
      <protection locked="0"/>
    </xf>
    <xf numFmtId="0" fontId="34" fillId="5" borderId="85" xfId="12" applyFont="1" applyFill="1" applyBorder="1" applyAlignment="1" applyProtection="1">
      <alignment horizontal="center" vertical="center" wrapText="1"/>
      <protection locked="0"/>
    </xf>
    <xf numFmtId="49" fontId="34" fillId="5" borderId="85" xfId="12" applyNumberFormat="1" applyFont="1" applyFill="1" applyBorder="1" applyAlignment="1" applyProtection="1">
      <alignment horizontal="center" vertical="center" wrapText="1"/>
      <protection locked="0"/>
    </xf>
    <xf numFmtId="0" fontId="34" fillId="5" borderId="85" xfId="12" applyFont="1" applyFill="1" applyBorder="1" applyAlignment="1" applyProtection="1">
      <alignment horizontal="center" vertical="center"/>
      <protection locked="0"/>
    </xf>
    <xf numFmtId="0" fontId="34" fillId="5" borderId="92" xfId="12" applyFont="1" applyFill="1" applyBorder="1" applyAlignment="1" applyProtection="1">
      <alignment horizontal="center" vertical="center"/>
      <protection locked="0"/>
    </xf>
    <xf numFmtId="0" fontId="34" fillId="5" borderId="23" xfId="12" applyFont="1" applyFill="1" applyBorder="1" applyAlignment="1" applyProtection="1">
      <alignment horizontal="center" vertical="center"/>
      <protection locked="0"/>
    </xf>
    <xf numFmtId="49" fontId="34" fillId="5" borderId="86" xfId="12" applyNumberFormat="1" applyFont="1" applyFill="1" applyBorder="1" applyAlignment="1" applyProtection="1">
      <alignment horizontal="center" vertical="center" wrapText="1"/>
      <protection locked="0"/>
    </xf>
    <xf numFmtId="0" fontId="34" fillId="5" borderId="63" xfId="12" applyFont="1" applyFill="1" applyBorder="1" applyAlignment="1" applyProtection="1">
      <alignment horizontal="center" vertical="center" wrapText="1"/>
      <protection locked="0"/>
    </xf>
    <xf numFmtId="49" fontId="34" fillId="5" borderId="63" xfId="12" applyNumberFormat="1" applyFont="1" applyFill="1" applyBorder="1" applyAlignment="1" applyProtection="1">
      <alignment horizontal="center" vertical="center" wrapText="1"/>
      <protection locked="0"/>
    </xf>
    <xf numFmtId="0" fontId="34" fillId="5" borderId="63" xfId="12" applyFont="1" applyFill="1" applyBorder="1" applyAlignment="1" applyProtection="1">
      <alignment horizontal="center" vertical="center"/>
      <protection locked="0"/>
    </xf>
    <xf numFmtId="0" fontId="10" fillId="5" borderId="49" xfId="12" applyFont="1" applyFill="1" applyBorder="1" applyAlignment="1" applyProtection="1">
      <alignment horizontal="left" vertical="center" wrapText="1"/>
      <protection locked="0"/>
    </xf>
    <xf numFmtId="0" fontId="10" fillId="5" borderId="41" xfId="12" applyFont="1" applyFill="1" applyBorder="1" applyAlignment="1" applyProtection="1">
      <alignment horizontal="left" vertical="center" wrapText="1"/>
      <protection locked="0"/>
    </xf>
    <xf numFmtId="0" fontId="10" fillId="5" borderId="51" xfId="12" applyFont="1" applyFill="1" applyBorder="1" applyAlignment="1" applyProtection="1">
      <alignment horizontal="left" vertical="center" wrapText="1"/>
      <protection locked="0"/>
    </xf>
    <xf numFmtId="0" fontId="10" fillId="7" borderId="21" xfId="43" applyFont="1" applyFill="1" applyBorder="1" applyAlignment="1" applyProtection="1">
      <alignment horizontal="center"/>
      <protection locked="0"/>
    </xf>
    <xf numFmtId="0" fontId="10" fillId="7" borderId="2" xfId="43" applyFont="1" applyFill="1" applyBorder="1" applyAlignment="1" applyProtection="1">
      <alignment horizontal="center"/>
      <protection locked="0"/>
    </xf>
    <xf numFmtId="0" fontId="8" fillId="7" borderId="2" xfId="43" applyFill="1" applyBorder="1" applyAlignment="1" applyProtection="1">
      <protection locked="0"/>
    </xf>
    <xf numFmtId="0" fontId="8" fillId="7" borderId="2" xfId="43" applyFill="1" applyBorder="1" applyAlignment="1" applyProtection="1">
      <alignment horizontal="center"/>
      <protection locked="0"/>
    </xf>
    <xf numFmtId="0" fontId="8" fillId="7" borderId="23" xfId="43" applyFill="1" applyBorder="1" applyAlignment="1" applyProtection="1">
      <alignment horizontal="center"/>
      <protection locked="0"/>
    </xf>
    <xf numFmtId="0" fontId="10" fillId="0" borderId="30" xfId="43" applyFont="1" applyBorder="1" applyAlignment="1">
      <alignment horizontal="center" vertical="center"/>
    </xf>
    <xf numFmtId="0" fontId="10" fillId="0" borderId="28" xfId="43" applyFont="1" applyBorder="1" applyAlignment="1">
      <alignment horizontal="center" vertical="center"/>
    </xf>
    <xf numFmtId="0" fontId="8" fillId="0" borderId="28" xfId="43" applyBorder="1" applyAlignment="1">
      <alignment horizontal="center" vertical="center"/>
    </xf>
    <xf numFmtId="0" fontId="10" fillId="0" borderId="2" xfId="43" applyFont="1" applyBorder="1" applyAlignment="1">
      <alignment horizontal="center" vertical="center"/>
    </xf>
    <xf numFmtId="0" fontId="8" fillId="0" borderId="23" xfId="43" applyBorder="1" applyAlignment="1">
      <alignment horizontal="center" vertical="center"/>
    </xf>
    <xf numFmtId="0" fontId="34" fillId="0" borderId="0" xfId="13" applyFont="1" applyAlignment="1">
      <alignment horizontal="left"/>
    </xf>
    <xf numFmtId="0" fontId="34" fillId="0" borderId="7" xfId="13" applyFont="1" applyBorder="1" applyAlignment="1">
      <alignment horizontal="left"/>
    </xf>
    <xf numFmtId="0" fontId="34" fillId="3" borderId="6" xfId="43" applyFont="1" applyFill="1" applyBorder="1" applyAlignment="1">
      <alignment horizontal="left"/>
    </xf>
    <xf numFmtId="0" fontId="34" fillId="3" borderId="0" xfId="43" applyFont="1" applyFill="1" applyAlignment="1">
      <alignment horizontal="left"/>
    </xf>
    <xf numFmtId="0" fontId="34" fillId="3" borderId="7" xfId="43" applyFont="1" applyFill="1" applyBorder="1" applyAlignment="1">
      <alignment horizontal="left"/>
    </xf>
    <xf numFmtId="0" fontId="34" fillId="0" borderId="4" xfId="13" applyFont="1" applyBorder="1" applyAlignment="1">
      <alignment horizontal="left"/>
    </xf>
    <xf numFmtId="0" fontId="34" fillId="0" borderId="5" xfId="13" applyFont="1" applyBorder="1" applyAlignment="1">
      <alignment horizontal="left"/>
    </xf>
    <xf numFmtId="0" fontId="35" fillId="11" borderId="18" xfId="13" applyFont="1" applyFill="1" applyBorder="1" applyAlignment="1">
      <alignment horizontal="left"/>
    </xf>
    <xf numFmtId="0" fontId="35" fillId="11" borderId="19" xfId="13" applyFont="1" applyFill="1" applyBorder="1" applyAlignment="1">
      <alignment horizontal="left"/>
    </xf>
    <xf numFmtId="0" fontId="35" fillId="11" borderId="14" xfId="13" applyFont="1" applyFill="1" applyBorder="1" applyAlignment="1">
      <alignment horizontal="left"/>
    </xf>
    <xf numFmtId="0" fontId="35" fillId="11" borderId="18" xfId="43" applyFont="1" applyFill="1" applyBorder="1" applyAlignment="1">
      <alignment horizontal="left"/>
    </xf>
    <xf numFmtId="0" fontId="35" fillId="11" borderId="19" xfId="43" applyFont="1" applyFill="1" applyBorder="1" applyAlignment="1">
      <alignment horizontal="left"/>
    </xf>
    <xf numFmtId="0" fontId="35" fillId="11" borderId="14" xfId="43" applyFont="1" applyFill="1" applyBorder="1" applyAlignment="1">
      <alignment horizontal="left"/>
    </xf>
    <xf numFmtId="0" fontId="34" fillId="0" borderId="9" xfId="13" applyFont="1" applyBorder="1" applyAlignment="1">
      <alignment horizontal="left"/>
    </xf>
    <xf numFmtId="0" fontId="34" fillId="0" borderId="11" xfId="13" applyFont="1" applyBorder="1" applyAlignment="1">
      <alignment horizontal="left"/>
    </xf>
    <xf numFmtId="0" fontId="34" fillId="3" borderId="10" xfId="43" applyFont="1" applyFill="1" applyBorder="1" applyAlignment="1">
      <alignment horizontal="left"/>
    </xf>
    <xf numFmtId="0" fontId="34" fillId="3" borderId="9" xfId="43" applyFont="1" applyFill="1" applyBorder="1" applyAlignment="1">
      <alignment horizontal="left"/>
    </xf>
    <xf numFmtId="0" fontId="34" fillId="3" borderId="11" xfId="43" applyFont="1" applyFill="1" applyBorder="1" applyAlignment="1">
      <alignment horizontal="left"/>
    </xf>
    <xf numFmtId="0" fontId="97" fillId="3" borderId="10" xfId="43" applyFont="1" applyFill="1" applyBorder="1" applyAlignment="1">
      <alignment horizontal="right" vertical="top"/>
    </xf>
    <xf numFmtId="0" fontId="97" fillId="3" borderId="9" xfId="43" applyFont="1" applyFill="1" applyBorder="1" applyAlignment="1">
      <alignment horizontal="right" vertical="top"/>
    </xf>
    <xf numFmtId="0" fontId="34" fillId="3" borderId="0" xfId="43" applyFont="1" applyFill="1" applyAlignment="1">
      <alignment horizontal="left" vertical="top" wrapText="1"/>
    </xf>
    <xf numFmtId="0" fontId="34" fillId="3" borderId="7" xfId="43" applyFont="1" applyFill="1" applyBorder="1" applyAlignment="1">
      <alignment horizontal="left" vertical="top" wrapText="1"/>
    </xf>
    <xf numFmtId="0" fontId="97" fillId="3" borderId="6" xfId="43" applyFont="1" applyFill="1" applyBorder="1" applyAlignment="1">
      <alignment horizontal="right" vertical="top"/>
    </xf>
    <xf numFmtId="0" fontId="97" fillId="3" borderId="0" xfId="43" applyFont="1" applyFill="1" applyAlignment="1">
      <alignment horizontal="right" vertical="top"/>
    </xf>
    <xf numFmtId="0" fontId="10" fillId="3" borderId="3" xfId="43" applyFont="1" applyFill="1" applyBorder="1" applyAlignment="1">
      <alignment horizontal="left"/>
    </xf>
    <xf numFmtId="0" fontId="10" fillId="3" borderId="4" xfId="43" applyFont="1" applyFill="1" applyBorder="1" applyAlignment="1">
      <alignment horizontal="left"/>
    </xf>
    <xf numFmtId="0" fontId="10" fillId="3" borderId="5" xfId="43" applyFont="1" applyFill="1" applyBorder="1" applyAlignment="1">
      <alignment horizontal="left"/>
    </xf>
    <xf numFmtId="0" fontId="34" fillId="3" borderId="0" xfId="43" applyFont="1" applyFill="1" applyAlignment="1">
      <alignment horizontal="left" wrapText="1"/>
    </xf>
    <xf numFmtId="0" fontId="34" fillId="3" borderId="7" xfId="43" applyFont="1" applyFill="1" applyBorder="1" applyAlignment="1">
      <alignment horizontal="left" wrapText="1"/>
    </xf>
    <xf numFmtId="0" fontId="34" fillId="3" borderId="6" xfId="43" applyFont="1" applyFill="1" applyBorder="1" applyAlignment="1">
      <alignment horizontal="left" vertical="center" wrapText="1"/>
    </xf>
    <xf numFmtId="0" fontId="34" fillId="3" borderId="0" xfId="43" applyFont="1" applyFill="1" applyAlignment="1">
      <alignment horizontal="left" vertical="center" wrapText="1"/>
    </xf>
    <xf numFmtId="0" fontId="34" fillId="3" borderId="7" xfId="43" applyFont="1" applyFill="1" applyBorder="1" applyAlignment="1">
      <alignment horizontal="left" vertical="center" wrapText="1"/>
    </xf>
    <xf numFmtId="0" fontId="34" fillId="3" borderId="3" xfId="43" applyFont="1" applyFill="1" applyBorder="1" applyAlignment="1">
      <alignment horizontal="left" vertical="center" wrapText="1"/>
    </xf>
    <xf numFmtId="0" fontId="34" fillId="3" borderId="4" xfId="43" applyFont="1" applyFill="1" applyBorder="1" applyAlignment="1">
      <alignment horizontal="left" vertical="center" wrapText="1"/>
    </xf>
    <xf numFmtId="0" fontId="34" fillId="3" borderId="5" xfId="43" applyFont="1" applyFill="1" applyBorder="1" applyAlignment="1">
      <alignment horizontal="left" vertical="center" wrapText="1"/>
    </xf>
    <xf numFmtId="0" fontId="97" fillId="3" borderId="3" xfId="43" applyFont="1" applyFill="1" applyBorder="1" applyAlignment="1">
      <alignment horizontal="right" vertical="top"/>
    </xf>
    <xf numFmtId="0" fontId="97" fillId="3" borderId="4" xfId="43" applyFont="1" applyFill="1" applyBorder="1" applyAlignment="1">
      <alignment horizontal="right" vertical="top"/>
    </xf>
    <xf numFmtId="0" fontId="34" fillId="3" borderId="4" xfId="43" applyFont="1" applyFill="1" applyBorder="1" applyAlignment="1">
      <alignment horizontal="left" vertical="top" wrapText="1"/>
    </xf>
    <xf numFmtId="0" fontId="34" fillId="3" borderId="5" xfId="43" applyFont="1" applyFill="1" applyBorder="1" applyAlignment="1">
      <alignment horizontal="left" vertical="top" wrapText="1"/>
    </xf>
    <xf numFmtId="0" fontId="34" fillId="3" borderId="4" xfId="43" applyFont="1" applyFill="1" applyBorder="1" applyAlignment="1">
      <alignment horizontal="left"/>
    </xf>
    <xf numFmtId="0" fontId="34" fillId="3" borderId="5" xfId="43" applyFont="1" applyFill="1" applyBorder="1" applyAlignment="1">
      <alignment horizontal="left"/>
    </xf>
    <xf numFmtId="0" fontId="10" fillId="7" borderId="4" xfId="23" applyFont="1" applyFill="1" applyBorder="1" applyAlignment="1" applyProtection="1">
      <alignment horizontal="center"/>
      <protection locked="0"/>
    </xf>
    <xf numFmtId="0" fontId="10" fillId="7" borderId="30" xfId="23" applyFont="1" applyFill="1" applyBorder="1" applyAlignment="1" applyProtection="1">
      <alignment horizontal="left" vertical="top"/>
      <protection locked="0"/>
    </xf>
    <xf numFmtId="0" fontId="10" fillId="7" borderId="28" xfId="23" applyFont="1" applyFill="1" applyBorder="1" applyAlignment="1" applyProtection="1">
      <alignment horizontal="left" vertical="top"/>
      <protection locked="0"/>
    </xf>
    <xf numFmtId="0" fontId="10" fillId="7" borderId="29" xfId="23" applyFont="1" applyFill="1" applyBorder="1" applyAlignment="1" applyProtection="1">
      <alignment horizontal="left" vertical="top"/>
      <protection locked="0"/>
    </xf>
    <xf numFmtId="0" fontId="10" fillId="9" borderId="28" xfId="23" applyNumberFormat="1" applyFont="1" applyFill="1" applyBorder="1" applyAlignment="1" applyProtection="1">
      <alignment horizontal="left" vertical="center"/>
    </xf>
    <xf numFmtId="0" fontId="10" fillId="7" borderId="4" xfId="23" applyFont="1" applyFill="1" applyBorder="1" applyAlignment="1" applyProtection="1">
      <alignment horizontal="left"/>
      <protection locked="0"/>
    </xf>
    <xf numFmtId="0" fontId="10" fillId="7" borderId="19" xfId="23" applyFont="1" applyFill="1" applyBorder="1" applyAlignment="1" applyProtection="1">
      <alignment horizontal="left"/>
      <protection locked="0"/>
    </xf>
    <xf numFmtId="0" fontId="10" fillId="0" borderId="0" xfId="23" applyFont="1" applyBorder="1" applyAlignment="1">
      <alignment horizontal="left"/>
    </xf>
    <xf numFmtId="0" fontId="10" fillId="5" borderId="18" xfId="23" applyFont="1" applyFill="1" applyBorder="1" applyAlignment="1" applyProtection="1">
      <protection locked="0"/>
    </xf>
    <xf numFmtId="0" fontId="10" fillId="5" borderId="19" xfId="23" applyFont="1" applyFill="1" applyBorder="1" applyAlignment="1" applyProtection="1">
      <protection locked="0"/>
    </xf>
    <xf numFmtId="0" fontId="10" fillId="5" borderId="14" xfId="23" applyFont="1" applyFill="1" applyBorder="1" applyAlignment="1" applyProtection="1">
      <protection locked="0"/>
    </xf>
    <xf numFmtId="0" fontId="126" fillId="7" borderId="19" xfId="23" applyFont="1" applyFill="1" applyBorder="1" applyAlignment="1" applyProtection="1">
      <alignment horizontal="center"/>
      <protection locked="0"/>
    </xf>
    <xf numFmtId="0" fontId="10" fillId="5" borderId="18" xfId="23" applyFont="1" applyFill="1" applyBorder="1" applyAlignment="1" applyProtection="1">
      <alignment horizontal="center"/>
      <protection locked="0"/>
    </xf>
    <xf numFmtId="0" fontId="10" fillId="5" borderId="19" xfId="23" applyFont="1" applyFill="1" applyBorder="1" applyAlignment="1" applyProtection="1">
      <alignment horizontal="center"/>
      <protection locked="0"/>
    </xf>
    <xf numFmtId="0" fontId="10" fillId="5" borderId="14" xfId="23" applyFont="1" applyFill="1" applyBorder="1" applyAlignment="1" applyProtection="1">
      <alignment horizontal="center"/>
      <protection locked="0"/>
    </xf>
    <xf numFmtId="14" fontId="10" fillId="7" borderId="18" xfId="23" applyNumberFormat="1" applyFont="1" applyFill="1" applyBorder="1" applyAlignment="1" applyProtection="1">
      <alignment horizontal="left"/>
      <protection locked="0"/>
    </xf>
    <xf numFmtId="14" fontId="10" fillId="7" borderId="19" xfId="23" applyNumberFormat="1" applyFont="1" applyFill="1" applyBorder="1" applyAlignment="1" applyProtection="1">
      <alignment horizontal="left"/>
      <protection locked="0"/>
    </xf>
    <xf numFmtId="14" fontId="10" fillId="7" borderId="14" xfId="23" applyNumberFormat="1" applyFont="1" applyFill="1" applyBorder="1" applyAlignment="1" applyProtection="1">
      <alignment horizontal="left"/>
      <protection locked="0"/>
    </xf>
    <xf numFmtId="0" fontId="12" fillId="0" borderId="30" xfId="23" applyFont="1" applyBorder="1" applyAlignment="1">
      <alignment horizontal="center" vertical="center" wrapText="1"/>
    </xf>
    <xf numFmtId="0" fontId="12" fillId="0" borderId="28" xfId="23" applyFont="1" applyBorder="1" applyAlignment="1">
      <alignment horizontal="center" vertical="center" wrapText="1"/>
    </xf>
    <xf numFmtId="0" fontId="10" fillId="0" borderId="22" xfId="23" applyFont="1" applyBorder="1" applyAlignment="1" applyProtection="1">
      <alignment horizontal="center"/>
    </xf>
    <xf numFmtId="0" fontId="10" fillId="0" borderId="0" xfId="23" applyFont="1" applyBorder="1" applyAlignment="1" applyProtection="1">
      <alignment horizontal="center"/>
    </xf>
    <xf numFmtId="0" fontId="126" fillId="7" borderId="4" xfId="23" applyFont="1" applyFill="1" applyBorder="1" applyAlignment="1" applyProtection="1">
      <alignment horizontal="center"/>
      <protection locked="0"/>
    </xf>
    <xf numFmtId="0" fontId="12" fillId="0" borderId="22" xfId="23" applyFont="1" applyBorder="1" applyAlignment="1">
      <alignment horizontal="center" vertical="center" wrapText="1"/>
    </xf>
    <xf numFmtId="0" fontId="12" fillId="0" borderId="0" xfId="23" applyFont="1" applyBorder="1" applyAlignment="1">
      <alignment horizontal="center" vertical="center" wrapText="1"/>
    </xf>
    <xf numFmtId="0" fontId="10" fillId="9" borderId="0" xfId="23" applyNumberFormat="1" applyFont="1" applyFill="1" applyBorder="1" applyAlignment="1" applyProtection="1">
      <alignment horizontal="left" vertical="center"/>
    </xf>
    <xf numFmtId="0" fontId="31" fillId="0" borderId="0" xfId="23" applyFont="1" applyBorder="1" applyAlignment="1">
      <alignment horizontal="center" vertical="center" wrapText="1"/>
    </xf>
    <xf numFmtId="0" fontId="10" fillId="2" borderId="28" xfId="23" applyFont="1" applyFill="1" applyBorder="1" applyAlignment="1">
      <alignment horizontal="center" vertical="center" wrapText="1"/>
    </xf>
    <xf numFmtId="0" fontId="10" fillId="2" borderId="28" xfId="23" applyFont="1" applyFill="1" applyBorder="1" applyAlignment="1" applyProtection="1">
      <alignment horizontal="right" vertical="center" wrapText="1"/>
    </xf>
    <xf numFmtId="0" fontId="10" fillId="2" borderId="28" xfId="23" applyFont="1" applyFill="1" applyBorder="1" applyAlignment="1">
      <alignment horizontal="left" vertical="center" wrapText="1"/>
    </xf>
    <xf numFmtId="0" fontId="8" fillId="2" borderId="28" xfId="23" applyFill="1" applyBorder="1" applyAlignment="1">
      <alignment horizontal="right" vertical="center" wrapText="1"/>
    </xf>
    <xf numFmtId="0" fontId="8" fillId="2" borderId="29" xfId="23" applyFill="1" applyBorder="1" applyAlignment="1">
      <alignment horizontal="right" vertical="center" wrapText="1"/>
    </xf>
    <xf numFmtId="0" fontId="8" fillId="2" borderId="28" xfId="23" applyFont="1" applyFill="1" applyBorder="1" applyAlignment="1">
      <alignment horizontal="right" vertical="center" wrapText="1"/>
    </xf>
    <xf numFmtId="0" fontId="8" fillId="2" borderId="28" xfId="23" applyFill="1" applyBorder="1" applyAlignment="1">
      <alignment horizontal="right" wrapText="1"/>
    </xf>
    <xf numFmtId="0" fontId="8" fillId="2" borderId="29" xfId="23" applyFill="1" applyBorder="1" applyAlignment="1">
      <alignment horizontal="right" wrapText="1"/>
    </xf>
    <xf numFmtId="0" fontId="35" fillId="9" borderId="82" xfId="12" applyFont="1" applyFill="1" applyBorder="1" applyAlignment="1" applyProtection="1">
      <alignment horizontal="center" vertical="center"/>
      <protection locked="0"/>
    </xf>
    <xf numFmtId="0" fontId="35" fillId="9" borderId="33" xfId="12" applyFont="1" applyFill="1" applyBorder="1" applyAlignment="1" applyProtection="1">
      <alignment horizontal="center" vertical="center"/>
      <protection locked="0"/>
    </xf>
    <xf numFmtId="0" fontId="35" fillId="9" borderId="83" xfId="12" applyFont="1" applyFill="1" applyBorder="1" applyAlignment="1" applyProtection="1">
      <alignment horizontal="center" vertical="center"/>
      <protection locked="0"/>
    </xf>
    <xf numFmtId="0" fontId="8" fillId="11" borderId="28" xfId="23" applyFont="1" applyFill="1" applyBorder="1" applyAlignment="1" applyProtection="1">
      <alignment horizontal="left" vertical="center" wrapText="1"/>
    </xf>
    <xf numFmtId="0" fontId="10" fillId="0" borderId="22" xfId="23" applyFont="1" applyBorder="1" applyAlignment="1">
      <alignment horizontal="center"/>
    </xf>
    <xf numFmtId="0" fontId="10" fillId="0" borderId="0" xfId="23" applyFont="1" applyBorder="1" applyAlignment="1">
      <alignment horizontal="center"/>
    </xf>
    <xf numFmtId="0" fontId="12" fillId="0" borderId="22" xfId="23" applyFont="1" applyBorder="1" applyAlignment="1">
      <alignment horizontal="right" vertical="center" wrapText="1"/>
    </xf>
    <xf numFmtId="0" fontId="8" fillId="0" borderId="0" xfId="23" applyBorder="1" applyAlignment="1">
      <alignment horizontal="right" wrapText="1"/>
    </xf>
    <xf numFmtId="0" fontId="10" fillId="0" borderId="22" xfId="43" applyFont="1" applyFill="1" applyBorder="1" applyAlignment="1" applyProtection="1">
      <alignment horizontal="center" vertical="center"/>
    </xf>
    <xf numFmtId="0" fontId="10" fillId="0" borderId="0" xfId="43" applyFont="1" applyFill="1" applyBorder="1" applyAlignment="1" applyProtection="1">
      <alignment horizontal="center" vertical="center"/>
    </xf>
    <xf numFmtId="14" fontId="12" fillId="7" borderId="18" xfId="43" applyNumberFormat="1" applyFont="1" applyFill="1" applyBorder="1" applyAlignment="1" applyProtection="1">
      <alignment horizontal="center" vertical="center"/>
      <protection locked="0"/>
    </xf>
    <xf numFmtId="14" fontId="12" fillId="7" borderId="19" xfId="43" applyNumberFormat="1" applyFont="1" applyFill="1" applyBorder="1" applyAlignment="1" applyProtection="1">
      <alignment horizontal="center" vertical="center"/>
      <protection locked="0"/>
    </xf>
    <xf numFmtId="14" fontId="12" fillId="7" borderId="14" xfId="43" applyNumberFormat="1" applyFont="1" applyFill="1" applyBorder="1" applyAlignment="1" applyProtection="1">
      <alignment horizontal="center" vertical="center"/>
      <protection locked="0"/>
    </xf>
    <xf numFmtId="2" fontId="10" fillId="0" borderId="22" xfId="43" applyNumberFormat="1" applyFont="1" applyBorder="1" applyAlignment="1" applyProtection="1">
      <alignment horizontal="right" vertical="center"/>
    </xf>
    <xf numFmtId="2" fontId="10" fillId="0" borderId="0" xfId="43" applyNumberFormat="1" applyFont="1" applyBorder="1" applyAlignment="1" applyProtection="1">
      <alignment horizontal="right" vertical="center"/>
    </xf>
    <xf numFmtId="49" fontId="10" fillId="5" borderId="8" xfId="43" applyNumberFormat="1" applyFont="1" applyFill="1" applyBorder="1" applyAlignment="1" applyProtection="1">
      <alignment horizontal="center" vertical="center"/>
      <protection locked="0"/>
    </xf>
    <xf numFmtId="0" fontId="10" fillId="2" borderId="8" xfId="43" applyFont="1" applyFill="1" applyBorder="1" applyAlignment="1" applyProtection="1">
      <alignment horizontal="center" vertical="center" wrapText="1"/>
    </xf>
    <xf numFmtId="0" fontId="10" fillId="2" borderId="8" xfId="43" applyFont="1" applyFill="1" applyBorder="1" applyAlignment="1" applyProtection="1">
      <alignment horizontal="center" vertical="center"/>
    </xf>
    <xf numFmtId="0" fontId="12" fillId="2" borderId="26" xfId="43" applyFont="1" applyFill="1" applyBorder="1" applyAlignment="1" applyProtection="1">
      <alignment vertical="center"/>
    </xf>
    <xf numFmtId="0" fontId="8" fillId="2" borderId="19" xfId="43" applyFill="1" applyBorder="1" applyAlignment="1" applyProtection="1">
      <alignment vertical="center"/>
    </xf>
    <xf numFmtId="0" fontId="8" fillId="2" borderId="39" xfId="43" applyFill="1" applyBorder="1" applyAlignment="1" applyProtection="1">
      <alignment vertical="center"/>
    </xf>
    <xf numFmtId="178" fontId="10" fillId="5" borderId="8" xfId="43" applyNumberFormat="1" applyFont="1" applyFill="1" applyBorder="1" applyAlignment="1" applyProtection="1">
      <alignment horizontal="center" vertical="center"/>
      <protection locked="0"/>
    </xf>
    <xf numFmtId="0" fontId="8" fillId="7" borderId="8" xfId="43" applyFill="1" applyBorder="1" applyAlignment="1" applyProtection="1">
      <alignment horizontal="center" vertical="center"/>
      <protection locked="0"/>
    </xf>
    <xf numFmtId="0" fontId="10" fillId="2" borderId="8" xfId="43" applyFont="1" applyFill="1" applyBorder="1" applyAlignment="1" applyProtection="1">
      <alignment horizontal="center" vertical="center" wrapText="1" shrinkToFit="1"/>
    </xf>
    <xf numFmtId="49" fontId="10" fillId="2" borderId="8" xfId="43" applyNumberFormat="1" applyFont="1" applyFill="1" applyBorder="1" applyAlignment="1" applyProtection="1">
      <alignment horizontal="center" vertical="center" wrapText="1"/>
    </xf>
    <xf numFmtId="0" fontId="8" fillId="0" borderId="0" xfId="43" applyFill="1" applyBorder="1" applyAlignment="1" applyProtection="1">
      <alignment horizontal="center" vertical="center"/>
    </xf>
    <xf numFmtId="0" fontId="10" fillId="2" borderId="54" xfId="43" applyFont="1" applyFill="1" applyBorder="1" applyAlignment="1" applyProtection="1">
      <alignment horizontal="center" vertical="center"/>
    </xf>
    <xf numFmtId="0" fontId="8" fillId="5" borderId="18" xfId="43" applyFill="1" applyBorder="1" applyAlignment="1" applyProtection="1">
      <alignment horizontal="center" vertical="center"/>
      <protection locked="0"/>
    </xf>
    <xf numFmtId="0" fontId="8" fillId="5" borderId="14" xfId="43" applyFill="1" applyBorder="1" applyAlignment="1" applyProtection="1">
      <alignment horizontal="center" vertical="center"/>
      <protection locked="0"/>
    </xf>
    <xf numFmtId="0" fontId="12" fillId="0" borderId="22" xfId="43" applyFont="1" applyFill="1" applyBorder="1" applyAlignment="1" applyProtection="1">
      <alignment horizontal="right" vertical="center"/>
    </xf>
    <xf numFmtId="0" fontId="8" fillId="7" borderId="8" xfId="43" applyFill="1" applyBorder="1" applyAlignment="1" applyProtection="1">
      <alignment horizontal="center" vertical="center"/>
    </xf>
    <xf numFmtId="0" fontId="10" fillId="2" borderId="17" xfId="43" applyFont="1" applyFill="1" applyBorder="1" applyAlignment="1" applyProtection="1">
      <alignment horizontal="center" vertical="center" wrapText="1" shrinkToFit="1"/>
    </xf>
    <xf numFmtId="0" fontId="11" fillId="0" borderId="0" xfId="43" applyFont="1" applyBorder="1" applyAlignment="1" applyProtection="1">
      <alignment horizontal="center" vertical="center" wrapText="1"/>
    </xf>
    <xf numFmtId="0" fontId="10" fillId="0" borderId="22" xfId="43" applyFont="1" applyBorder="1" applyAlignment="1" applyProtection="1">
      <alignment horizontal="right" vertical="center" indent="1"/>
    </xf>
    <xf numFmtId="0" fontId="10" fillId="0" borderId="0" xfId="43" applyFont="1" applyBorder="1" applyAlignment="1" applyProtection="1">
      <alignment horizontal="right" vertical="center" indent="1"/>
    </xf>
    <xf numFmtId="0" fontId="8" fillId="2" borderId="28" xfId="23" applyFont="1" applyFill="1" applyBorder="1" applyAlignment="1" applyProtection="1">
      <alignment horizontal="left" vertical="center" wrapText="1"/>
    </xf>
    <xf numFmtId="0" fontId="8" fillId="2" borderId="33" xfId="23" applyFont="1" applyFill="1" applyBorder="1" applyAlignment="1" applyProtection="1">
      <alignment horizontal="left" vertical="center" wrapText="1"/>
    </xf>
    <xf numFmtId="0" fontId="12" fillId="2" borderId="30" xfId="43" applyFont="1" applyFill="1" applyBorder="1" applyAlignment="1" applyProtection="1">
      <alignment vertical="center"/>
    </xf>
    <xf numFmtId="0" fontId="8" fillId="2" borderId="28" xfId="43" applyFill="1" applyBorder="1" applyAlignment="1" applyProtection="1">
      <alignment vertical="center"/>
    </xf>
    <xf numFmtId="0" fontId="8" fillId="2" borderId="29" xfId="43" applyFill="1" applyBorder="1" applyAlignment="1" applyProtection="1">
      <alignment vertical="center"/>
    </xf>
    <xf numFmtId="0" fontId="10" fillId="0" borderId="6" xfId="43" applyFont="1" applyBorder="1" applyAlignment="1" applyProtection="1">
      <alignment horizontal="center" vertical="center"/>
    </xf>
    <xf numFmtId="0" fontId="10" fillId="0" borderId="7" xfId="43" applyFont="1" applyBorder="1" applyAlignment="1" applyProtection="1">
      <alignment horizontal="center" vertical="center"/>
    </xf>
    <xf numFmtId="0" fontId="10" fillId="0" borderId="22" xfId="43" applyFont="1" applyBorder="1" applyAlignment="1" applyProtection="1">
      <alignment horizontal="right" vertical="center"/>
    </xf>
    <xf numFmtId="0" fontId="8" fillId="0" borderId="0" xfId="43" applyBorder="1" applyAlignment="1" applyProtection="1">
      <alignment horizontal="right" vertical="center"/>
    </xf>
    <xf numFmtId="0" fontId="10" fillId="0" borderId="22" xfId="43" applyFont="1" applyBorder="1" applyAlignment="1" applyProtection="1">
      <alignment horizontal="right"/>
    </xf>
    <xf numFmtId="0" fontId="10" fillId="0" borderId="0" xfId="43" applyFont="1" applyBorder="1" applyAlignment="1" applyProtection="1">
      <alignment horizontal="right"/>
    </xf>
    <xf numFmtId="0" fontId="10" fillId="0" borderId="0" xfId="43" applyFont="1" applyBorder="1" applyAlignment="1" applyProtection="1">
      <alignment horizontal="right" wrapText="1"/>
    </xf>
    <xf numFmtId="0" fontId="12" fillId="0" borderId="22" xfId="43" applyFont="1" applyBorder="1" applyAlignment="1" applyProtection="1">
      <alignment horizontal="right" vertical="center"/>
    </xf>
    <xf numFmtId="0" fontId="8" fillId="0" borderId="0" xfId="43" applyBorder="1" applyProtection="1"/>
    <xf numFmtId="0" fontId="10" fillId="2" borderId="18" xfId="43" applyFont="1" applyFill="1" applyBorder="1" applyAlignment="1" applyProtection="1">
      <alignment horizontal="center" vertical="center"/>
    </xf>
    <xf numFmtId="0" fontId="10" fillId="2" borderId="14" xfId="43" applyFont="1" applyFill="1" applyBorder="1" applyAlignment="1" applyProtection="1">
      <alignment horizontal="center" vertical="center"/>
    </xf>
    <xf numFmtId="0" fontId="42" fillId="0" borderId="20" xfId="43" applyFont="1" applyBorder="1" applyAlignment="1" applyProtection="1">
      <alignment horizontal="center" vertical="center" wrapText="1"/>
    </xf>
    <xf numFmtId="1" fontId="10" fillId="0" borderId="22" xfId="43" applyNumberFormat="1" applyFont="1" applyBorder="1" applyAlignment="1" applyProtection="1">
      <alignment horizontal="left" vertical="center" wrapText="1"/>
    </xf>
    <xf numFmtId="0" fontId="8" fillId="0" borderId="0" xfId="43" applyFont="1" applyBorder="1" applyAlignment="1" applyProtection="1">
      <alignment horizontal="left" vertical="center"/>
    </xf>
    <xf numFmtId="0" fontId="10" fillId="0" borderId="22" xfId="43" applyFont="1" applyFill="1" applyBorder="1" applyAlignment="1" applyProtection="1">
      <alignment horizontal="left" vertical="center" wrapText="1"/>
    </xf>
    <xf numFmtId="0" fontId="10" fillId="0" borderId="0" xfId="43" applyFont="1" applyFill="1" applyBorder="1" applyAlignment="1" applyProtection="1">
      <alignment vertical="center" wrapText="1"/>
    </xf>
    <xf numFmtId="0" fontId="10" fillId="0" borderId="1" xfId="43" applyFont="1" applyFill="1" applyBorder="1" applyAlignment="1" applyProtection="1">
      <alignment vertical="center" wrapText="1"/>
    </xf>
    <xf numFmtId="0" fontId="12" fillId="0" borderId="22" xfId="43" applyFont="1" applyFill="1" applyBorder="1" applyAlignment="1" applyProtection="1">
      <alignment horizontal="center" vertical="center"/>
    </xf>
    <xf numFmtId="0" fontId="12" fillId="0" borderId="0" xfId="43" applyFont="1" applyFill="1" applyBorder="1" applyAlignment="1" applyProtection="1">
      <alignment horizontal="center" vertical="center"/>
    </xf>
    <xf numFmtId="0" fontId="42" fillId="0" borderId="28" xfId="43" applyFont="1" applyBorder="1" applyAlignment="1" applyProtection="1">
      <alignment horizontal="center" vertical="center" wrapText="1"/>
    </xf>
    <xf numFmtId="0" fontId="31" fillId="0" borderId="28" xfId="43" applyFont="1" applyBorder="1" applyAlignment="1" applyProtection="1">
      <alignment horizontal="center" vertical="center" wrapText="1"/>
    </xf>
    <xf numFmtId="0" fontId="10" fillId="2" borderId="12" xfId="43" applyFont="1" applyFill="1" applyBorder="1" applyAlignment="1" applyProtection="1">
      <alignment horizontal="center" vertical="center" wrapText="1" shrinkToFit="1"/>
    </xf>
    <xf numFmtId="0" fontId="12" fillId="0" borderId="0" xfId="43" applyFont="1" applyBorder="1" applyAlignment="1" applyProtection="1">
      <alignment horizontal="right" vertical="center"/>
    </xf>
    <xf numFmtId="0" fontId="10" fillId="9" borderId="18" xfId="43" applyNumberFormat="1" applyFont="1" applyFill="1" applyBorder="1" applyAlignment="1" applyProtection="1">
      <alignment horizontal="center" vertical="center"/>
    </xf>
    <xf numFmtId="0" fontId="10" fillId="9" borderId="19" xfId="43" applyNumberFormat="1" applyFont="1" applyFill="1" applyBorder="1" applyAlignment="1" applyProtection="1">
      <alignment horizontal="center" vertical="center"/>
    </xf>
    <xf numFmtId="0" fontId="10" fillId="9" borderId="14" xfId="43" applyNumberFormat="1" applyFont="1" applyFill="1" applyBorder="1" applyAlignment="1" applyProtection="1">
      <alignment horizontal="center" vertical="center"/>
    </xf>
    <xf numFmtId="0" fontId="10" fillId="2" borderId="53" xfId="43" applyFont="1" applyFill="1" applyBorder="1" applyAlignment="1" applyProtection="1">
      <alignment horizontal="center" vertical="center"/>
    </xf>
    <xf numFmtId="178" fontId="10" fillId="5" borderId="8" xfId="43" applyNumberFormat="1" applyFont="1" applyFill="1" applyBorder="1" applyAlignment="1" applyProtection="1">
      <alignment horizontal="center" vertical="center" wrapText="1"/>
      <protection locked="0"/>
    </xf>
    <xf numFmtId="1" fontId="10" fillId="0" borderId="24" xfId="43" applyNumberFormat="1" applyFont="1" applyBorder="1" applyAlignment="1" applyProtection="1">
      <alignment horizontal="center" vertical="center"/>
    </xf>
    <xf numFmtId="1" fontId="10" fillId="0" borderId="20" xfId="43" applyNumberFormat="1" applyFont="1" applyBorder="1" applyAlignment="1" applyProtection="1">
      <alignment horizontal="center" vertical="center"/>
    </xf>
    <xf numFmtId="1" fontId="10" fillId="0" borderId="25" xfId="43" applyNumberFormat="1" applyFont="1" applyBorder="1" applyAlignment="1" applyProtection="1">
      <alignment horizontal="center" vertical="center"/>
    </xf>
    <xf numFmtId="0" fontId="8" fillId="5" borderId="8" xfId="43" applyFill="1" applyBorder="1" applyAlignment="1" applyProtection="1">
      <alignment horizontal="center" vertical="center"/>
      <protection locked="0"/>
    </xf>
    <xf numFmtId="2" fontId="10" fillId="0" borderId="21" xfId="43" applyNumberFormat="1" applyFont="1" applyFill="1" applyBorder="1" applyAlignment="1" applyProtection="1">
      <alignment horizontal="right" vertical="center"/>
    </xf>
    <xf numFmtId="2" fontId="10" fillId="0" borderId="2" xfId="43" applyNumberFormat="1" applyFont="1" applyFill="1" applyBorder="1" applyAlignment="1" applyProtection="1">
      <alignment horizontal="right" vertical="center"/>
    </xf>
    <xf numFmtId="49" fontId="10" fillId="2" borderId="12" xfId="43" applyNumberFormat="1" applyFont="1" applyFill="1" applyBorder="1" applyAlignment="1" applyProtection="1">
      <alignment horizontal="center" vertical="center" wrapText="1"/>
    </xf>
    <xf numFmtId="0" fontId="8" fillId="0" borderId="0" xfId="43" applyFill="1" applyBorder="1" applyAlignment="1" applyProtection="1">
      <alignment vertical="center"/>
    </xf>
    <xf numFmtId="2" fontId="10" fillId="0" borderId="22" xfId="43" applyNumberFormat="1" applyFont="1" applyBorder="1" applyAlignment="1" applyProtection="1">
      <alignment horizontal="center" vertical="center"/>
    </xf>
    <xf numFmtId="2" fontId="10" fillId="0" borderId="0" xfId="43" applyNumberFormat="1" applyFont="1" applyBorder="1" applyAlignment="1" applyProtection="1">
      <alignment horizontal="center" vertical="center"/>
    </xf>
    <xf numFmtId="2" fontId="10" fillId="0" borderId="7" xfId="43" applyNumberFormat="1" applyFont="1" applyBorder="1" applyAlignment="1" applyProtection="1">
      <alignment horizontal="center" vertical="center"/>
    </xf>
    <xf numFmtId="2" fontId="10" fillId="0" borderId="21" xfId="43" applyNumberFormat="1" applyFont="1" applyBorder="1" applyAlignment="1" applyProtection="1">
      <alignment horizontal="right" vertical="center"/>
    </xf>
    <xf numFmtId="2" fontId="10" fillId="0" borderId="2" xfId="43" applyNumberFormat="1" applyFont="1" applyBorder="1" applyAlignment="1" applyProtection="1">
      <alignment horizontal="right" vertical="center"/>
    </xf>
    <xf numFmtId="2" fontId="10" fillId="0" borderId="48" xfId="43" applyNumberFormat="1" applyFont="1" applyBorder="1" applyAlignment="1" applyProtection="1">
      <alignment horizontal="right" vertical="center"/>
    </xf>
    <xf numFmtId="0" fontId="10" fillId="2" borderId="55" xfId="43" applyFont="1" applyFill="1" applyBorder="1" applyAlignment="1" applyProtection="1">
      <alignment horizontal="center" vertical="center" wrapText="1" shrinkToFit="1"/>
    </xf>
    <xf numFmtId="0" fontId="10" fillId="11" borderId="18" xfId="0" applyNumberFormat="1" applyFont="1" applyFill="1" applyBorder="1" applyAlignment="1" applyProtection="1">
      <alignment horizontal="center" vertical="center"/>
      <protection locked="0"/>
    </xf>
    <xf numFmtId="0" fontId="10" fillId="11" borderId="19" xfId="0" applyNumberFormat="1" applyFont="1" applyFill="1" applyBorder="1" applyAlignment="1" applyProtection="1">
      <alignment horizontal="center" vertical="center"/>
      <protection locked="0"/>
    </xf>
    <xf numFmtId="0" fontId="10" fillId="11" borderId="14" xfId="0" applyNumberFormat="1" applyFont="1" applyFill="1" applyBorder="1" applyAlignment="1" applyProtection="1">
      <alignment horizontal="center" vertical="center"/>
      <protection locked="0"/>
    </xf>
    <xf numFmtId="174" fontId="10" fillId="5" borderId="18" xfId="0" applyNumberFormat="1" applyFont="1" applyFill="1" applyBorder="1" applyAlignment="1" applyProtection="1">
      <alignment horizontal="center" vertical="center"/>
      <protection locked="0"/>
    </xf>
    <xf numFmtId="174" fontId="10" fillId="5" borderId="19" xfId="0" applyNumberFormat="1" applyFont="1" applyFill="1" applyBorder="1" applyAlignment="1" applyProtection="1">
      <alignment horizontal="center" vertical="center"/>
      <protection locked="0"/>
    </xf>
    <xf numFmtId="174" fontId="10" fillId="5" borderId="14" xfId="0" applyNumberFormat="1" applyFont="1" applyFill="1" applyBorder="1" applyAlignment="1" applyProtection="1">
      <alignment horizontal="center" vertical="center"/>
      <protection locked="0"/>
    </xf>
    <xf numFmtId="0" fontId="10" fillId="11" borderId="18" xfId="0" applyNumberFormat="1" applyFont="1" applyFill="1" applyBorder="1" applyAlignment="1" applyProtection="1">
      <alignment horizontal="left" vertical="center" wrapText="1" indent="1"/>
      <protection locked="0"/>
    </xf>
    <xf numFmtId="0" fontId="10" fillId="11" borderId="19" xfId="0" applyNumberFormat="1" applyFont="1" applyFill="1" applyBorder="1" applyAlignment="1" applyProtection="1">
      <alignment horizontal="left" vertical="center" wrapText="1" indent="1"/>
      <protection locked="0"/>
    </xf>
    <xf numFmtId="0" fontId="10" fillId="11" borderId="14" xfId="0" applyNumberFormat="1" applyFont="1" applyFill="1" applyBorder="1" applyAlignment="1" applyProtection="1">
      <alignment horizontal="left" vertical="center" wrapText="1" indent="1"/>
      <protection locked="0"/>
    </xf>
    <xf numFmtId="165" fontId="10" fillId="11" borderId="18" xfId="0" applyNumberFormat="1" applyFont="1" applyFill="1" applyBorder="1" applyAlignment="1" applyProtection="1">
      <alignment horizontal="center" vertical="center"/>
    </xf>
    <xf numFmtId="165" fontId="10" fillId="11" borderId="14" xfId="0" applyNumberFormat="1" applyFont="1" applyFill="1" applyBorder="1" applyAlignment="1" applyProtection="1">
      <alignment horizontal="center" vertical="center"/>
    </xf>
    <xf numFmtId="1" fontId="10" fillId="5" borderId="18" xfId="0" applyNumberFormat="1" applyFont="1" applyFill="1" applyBorder="1" applyAlignment="1" applyProtection="1">
      <alignment horizontal="center" vertical="center"/>
      <protection locked="0"/>
    </xf>
    <xf numFmtId="1" fontId="10" fillId="5" borderId="14" xfId="0" applyNumberFormat="1" applyFont="1" applyFill="1" applyBorder="1" applyAlignment="1" applyProtection="1">
      <alignment horizontal="center" vertical="center"/>
      <protection locked="0"/>
    </xf>
    <xf numFmtId="0" fontId="10" fillId="7" borderId="18" xfId="0" applyFont="1" applyFill="1" applyBorder="1" applyAlignment="1" applyProtection="1">
      <alignment horizontal="center" vertical="center"/>
      <protection locked="0"/>
    </xf>
    <xf numFmtId="0" fontId="10" fillId="7" borderId="14" xfId="0" applyFont="1" applyFill="1" applyBorder="1" applyAlignment="1" applyProtection="1">
      <alignment horizontal="center" vertical="center"/>
      <protection locked="0"/>
    </xf>
    <xf numFmtId="167" fontId="10" fillId="11" borderId="18" xfId="0" applyNumberFormat="1" applyFont="1" applyFill="1" applyBorder="1" applyAlignment="1" applyProtection="1">
      <alignment horizontal="center" vertical="center"/>
    </xf>
    <xf numFmtId="167" fontId="10" fillId="11" borderId="14" xfId="0" applyNumberFormat="1" applyFont="1" applyFill="1" applyBorder="1" applyAlignment="1" applyProtection="1">
      <alignment horizontal="center" vertical="center"/>
    </xf>
    <xf numFmtId="165" fontId="10" fillId="11" borderId="18" xfId="0" applyNumberFormat="1" applyFont="1" applyFill="1" applyBorder="1" applyAlignment="1" applyProtection="1">
      <alignment horizontal="center" vertical="center"/>
      <protection hidden="1"/>
    </xf>
    <xf numFmtId="165" fontId="10" fillId="11" borderId="14" xfId="0" applyNumberFormat="1" applyFont="1" applyFill="1" applyBorder="1" applyAlignment="1" applyProtection="1">
      <alignment horizontal="center" vertical="center"/>
      <protection hidden="1"/>
    </xf>
    <xf numFmtId="0" fontId="10" fillId="11" borderId="18" xfId="0" applyFont="1" applyFill="1" applyBorder="1" applyAlignment="1" applyProtection="1">
      <alignment horizontal="center" vertical="center"/>
    </xf>
    <xf numFmtId="0" fontId="10" fillId="11" borderId="14" xfId="0" applyFont="1" applyFill="1" applyBorder="1" applyAlignment="1" applyProtection="1">
      <alignment horizontal="center" vertical="center"/>
    </xf>
    <xf numFmtId="1" fontId="10" fillId="11" borderId="18" xfId="0" applyNumberFormat="1" applyFont="1" applyFill="1" applyBorder="1" applyAlignment="1" applyProtection="1">
      <alignment horizontal="center" vertical="center"/>
    </xf>
    <xf numFmtId="1" fontId="10" fillId="11" borderId="14" xfId="0" applyNumberFormat="1" applyFont="1" applyFill="1" applyBorder="1" applyAlignment="1" applyProtection="1">
      <alignment horizontal="center" vertical="center"/>
    </xf>
    <xf numFmtId="1" fontId="10" fillId="7" borderId="18" xfId="55" applyNumberFormat="1" applyFont="1" applyFill="1" applyBorder="1" applyAlignment="1" applyProtection="1">
      <alignment horizontal="center" vertical="center"/>
      <protection locked="0"/>
    </xf>
    <xf numFmtId="1" fontId="10" fillId="7" borderId="14" xfId="55" applyNumberFormat="1" applyFont="1" applyFill="1" applyBorder="1" applyAlignment="1" applyProtection="1">
      <alignment horizontal="center" vertical="center"/>
      <protection locked="0"/>
    </xf>
    <xf numFmtId="0" fontId="10" fillId="7" borderId="19" xfId="0" applyFont="1" applyFill="1" applyBorder="1" applyAlignment="1" applyProtection="1">
      <alignment horizontal="center" vertical="center"/>
      <protection locked="0"/>
    </xf>
    <xf numFmtId="169" fontId="10" fillId="7" borderId="18" xfId="55" applyNumberFormat="1" applyFont="1" applyFill="1" applyBorder="1" applyAlignment="1" applyProtection="1">
      <alignment horizontal="center" vertical="center"/>
      <protection locked="0"/>
    </xf>
    <xf numFmtId="169" fontId="10" fillId="7" borderId="14" xfId="55" applyNumberFormat="1" applyFont="1" applyFill="1" applyBorder="1" applyAlignment="1" applyProtection="1">
      <alignment horizontal="center" vertical="center"/>
      <protection locked="0"/>
    </xf>
    <xf numFmtId="0" fontId="12" fillId="11" borderId="19" xfId="0" applyFont="1" applyFill="1" applyBorder="1" applyAlignment="1" applyProtection="1">
      <alignment vertical="center"/>
    </xf>
    <xf numFmtId="2" fontId="10" fillId="11" borderId="18" xfId="55" applyNumberFormat="1" applyFont="1" applyFill="1" applyBorder="1" applyAlignment="1" applyProtection="1">
      <alignment horizontal="center" vertical="center"/>
      <protection locked="0"/>
    </xf>
    <xf numFmtId="2" fontId="10" fillId="11" borderId="14" xfId="55" applyNumberFormat="1" applyFont="1" applyFill="1" applyBorder="1" applyAlignment="1" applyProtection="1">
      <alignment horizontal="center" vertical="center"/>
      <protection locked="0"/>
    </xf>
    <xf numFmtId="0" fontId="10" fillId="2" borderId="33" xfId="23" applyFont="1" applyFill="1" applyBorder="1" applyAlignment="1" applyProtection="1">
      <alignment horizontal="center" vertical="center" wrapText="1"/>
    </xf>
    <xf numFmtId="0" fontId="10" fillId="2" borderId="33" xfId="23" applyFont="1" applyFill="1" applyBorder="1" applyAlignment="1" applyProtection="1">
      <alignment horizontal="left" vertical="center" wrapText="1"/>
    </xf>
    <xf numFmtId="0" fontId="10" fillId="0" borderId="41" xfId="0" applyFont="1" applyBorder="1" applyAlignment="1" applyProtection="1">
      <alignment horizontal="center" vertical="center"/>
    </xf>
    <xf numFmtId="2" fontId="10" fillId="11" borderId="18" xfId="0" applyNumberFormat="1" applyFont="1" applyFill="1" applyBorder="1" applyAlignment="1" applyProtection="1">
      <alignment horizontal="center" vertical="center"/>
    </xf>
    <xf numFmtId="2" fontId="10" fillId="11" borderId="14" xfId="0" applyNumberFormat="1" applyFont="1" applyFill="1" applyBorder="1" applyAlignment="1" applyProtection="1">
      <alignment horizontal="center" vertical="center"/>
    </xf>
    <xf numFmtId="0" fontId="10" fillId="0" borderId="2" xfId="0" applyFont="1" applyBorder="1" applyAlignment="1" applyProtection="1">
      <alignment horizontal="center" vertical="center"/>
    </xf>
    <xf numFmtId="0" fontId="10" fillId="7" borderId="10" xfId="0" applyFont="1" applyFill="1" applyBorder="1" applyAlignment="1" applyProtection="1">
      <alignment horizontal="center" wrapText="1"/>
      <protection locked="0" hidden="1"/>
    </xf>
    <xf numFmtId="0" fontId="10" fillId="7" borderId="9" xfId="0" applyFont="1" applyFill="1" applyBorder="1" applyAlignment="1" applyProtection="1">
      <alignment horizontal="center" wrapText="1"/>
      <protection locked="0" hidden="1"/>
    </xf>
    <xf numFmtId="0" fontId="10" fillId="7" borderId="11" xfId="0" applyFont="1" applyFill="1" applyBorder="1" applyAlignment="1" applyProtection="1">
      <alignment horizontal="center" wrapText="1"/>
      <protection locked="0" hidden="1"/>
    </xf>
    <xf numFmtId="0" fontId="10" fillId="7" borderId="3" xfId="0" applyFont="1" applyFill="1" applyBorder="1" applyAlignment="1" applyProtection="1">
      <alignment horizontal="center" wrapText="1"/>
      <protection locked="0" hidden="1"/>
    </xf>
    <xf numFmtId="0" fontId="10" fillId="7" borderId="4" xfId="0" applyFont="1" applyFill="1" applyBorder="1" applyAlignment="1" applyProtection="1">
      <alignment horizontal="center" wrapText="1"/>
      <protection locked="0" hidden="1"/>
    </xf>
    <xf numFmtId="0" fontId="10" fillId="7" borderId="5" xfId="0" applyFont="1" applyFill="1" applyBorder="1" applyAlignment="1" applyProtection="1">
      <alignment horizontal="center" wrapText="1"/>
      <protection locked="0" hidden="1"/>
    </xf>
    <xf numFmtId="0" fontId="10" fillId="0" borderId="6" xfId="0" applyFont="1" applyBorder="1" applyAlignment="1" applyProtection="1">
      <alignment horizontal="left" vertical="center"/>
    </xf>
    <xf numFmtId="0" fontId="10" fillId="0" borderId="7" xfId="0" applyFont="1" applyBorder="1" applyAlignment="1" applyProtection="1">
      <alignment horizontal="left" vertical="center"/>
    </xf>
    <xf numFmtId="0" fontId="10" fillId="0" borderId="0" xfId="0" applyFont="1" applyBorder="1" applyAlignment="1" applyProtection="1">
      <alignment horizontal="left" vertical="center"/>
    </xf>
    <xf numFmtId="0" fontId="10" fillId="0" borderId="0" xfId="0" applyFont="1" applyBorder="1" applyAlignment="1" applyProtection="1">
      <alignment vertical="center"/>
    </xf>
    <xf numFmtId="0" fontId="10" fillId="7" borderId="18" xfId="0" applyFont="1" applyFill="1" applyBorder="1" applyAlignment="1" applyProtection="1">
      <alignment horizontal="left" vertical="center" indent="1"/>
      <protection locked="0"/>
    </xf>
    <xf numFmtId="0" fontId="10" fillId="7" borderId="19" xfId="0" applyFont="1" applyFill="1" applyBorder="1" applyAlignment="1" applyProtection="1">
      <alignment horizontal="left" vertical="center" indent="1"/>
      <protection locked="0"/>
    </xf>
    <xf numFmtId="0" fontId="10" fillId="7" borderId="14" xfId="0" applyFont="1" applyFill="1" applyBorder="1" applyAlignment="1" applyProtection="1">
      <alignment horizontal="left" vertical="center" indent="1"/>
      <protection locked="0"/>
    </xf>
    <xf numFmtId="0" fontId="10" fillId="7" borderId="10" xfId="0" applyFont="1" applyFill="1" applyBorder="1" applyAlignment="1" applyProtection="1">
      <alignment horizontal="left" vertical="top" wrapText="1"/>
      <protection locked="0"/>
    </xf>
    <xf numFmtId="0" fontId="10" fillId="7" borderId="9" xfId="0" applyFont="1" applyFill="1" applyBorder="1" applyAlignment="1" applyProtection="1">
      <alignment horizontal="left" vertical="top" wrapText="1"/>
      <protection locked="0"/>
    </xf>
    <xf numFmtId="0" fontId="10" fillId="7" borderId="11" xfId="0" applyFont="1" applyFill="1" applyBorder="1" applyAlignment="1" applyProtection="1">
      <alignment horizontal="left" vertical="top" wrapText="1"/>
      <protection locked="0"/>
    </xf>
    <xf numFmtId="0" fontId="10" fillId="7" borderId="3" xfId="0" applyFont="1" applyFill="1" applyBorder="1" applyAlignment="1" applyProtection="1">
      <alignment horizontal="left" vertical="top" wrapText="1"/>
      <protection locked="0"/>
    </xf>
    <xf numFmtId="0" fontId="10" fillId="7" borderId="4"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2" fillId="11" borderId="19" xfId="0" applyFont="1" applyFill="1" applyBorder="1" applyAlignment="1" applyProtection="1">
      <alignment horizontal="left" vertical="center"/>
    </xf>
    <xf numFmtId="0" fontId="10" fillId="11" borderId="8" xfId="0" applyFont="1" applyFill="1" applyBorder="1" applyAlignment="1" applyProtection="1">
      <alignment horizontal="center" vertical="center"/>
    </xf>
    <xf numFmtId="176" fontId="10" fillId="11" borderId="18" xfId="0" applyNumberFormat="1" applyFont="1" applyFill="1" applyBorder="1" applyAlignment="1" applyProtection="1">
      <alignment horizontal="center" vertical="center"/>
    </xf>
    <xf numFmtId="176" fontId="10" fillId="11" borderId="14" xfId="0" applyNumberFormat="1" applyFont="1" applyFill="1" applyBorder="1" applyAlignment="1" applyProtection="1">
      <alignment horizontal="center" vertical="center"/>
    </xf>
    <xf numFmtId="0" fontId="10" fillId="0" borderId="0" xfId="0" applyFont="1" applyBorder="1" applyAlignment="1" applyProtection="1">
      <alignment horizontal="left" vertical="center" wrapText="1"/>
    </xf>
    <xf numFmtId="0" fontId="10" fillId="0" borderId="7" xfId="0" applyFont="1" applyBorder="1" applyAlignment="1" applyProtection="1">
      <alignment horizontal="left" vertical="center" wrapText="1"/>
    </xf>
    <xf numFmtId="165" fontId="10" fillId="11" borderId="8" xfId="0" applyNumberFormat="1" applyFont="1" applyFill="1" applyBorder="1" applyAlignment="1" applyProtection="1">
      <alignment horizontal="center" vertical="center"/>
    </xf>
    <xf numFmtId="1" fontId="10" fillId="11" borderId="18" xfId="0" applyNumberFormat="1" applyFont="1" applyFill="1" applyBorder="1" applyAlignment="1" applyProtection="1">
      <alignment horizontal="center" vertical="center" wrapText="1"/>
    </xf>
    <xf numFmtId="0" fontId="10" fillId="11" borderId="14" xfId="0" applyFont="1" applyFill="1" applyBorder="1" applyAlignment="1" applyProtection="1">
      <alignment horizontal="center" vertical="center" wrapText="1"/>
    </xf>
    <xf numFmtId="0" fontId="10" fillId="0" borderId="0" xfId="43" applyFont="1" applyFill="1" applyBorder="1" applyAlignment="1" applyProtection="1">
      <alignment horizontal="center"/>
    </xf>
    <xf numFmtId="0" fontId="10" fillId="11" borderId="18" xfId="55" applyFont="1" applyFill="1" applyBorder="1" applyAlignment="1" applyProtection="1">
      <alignment horizontal="center" vertical="center"/>
      <protection locked="0"/>
    </xf>
    <xf numFmtId="0" fontId="10" fillId="11" borderId="14" xfId="55" applyFont="1" applyFill="1" applyBorder="1" applyAlignment="1" applyProtection="1">
      <alignment horizontal="center" vertical="center"/>
      <protection locked="0"/>
    </xf>
    <xf numFmtId="2" fontId="10" fillId="11" borderId="18" xfId="43" applyNumberFormat="1" applyFont="1" applyFill="1" applyBorder="1" applyAlignment="1" applyProtection="1">
      <alignment horizontal="center" vertical="center"/>
      <protection locked="0"/>
    </xf>
    <xf numFmtId="2" fontId="10" fillId="11" borderId="14" xfId="43" applyNumberFormat="1" applyFont="1" applyFill="1" applyBorder="1" applyAlignment="1" applyProtection="1">
      <alignment horizontal="center" vertical="center"/>
      <protection locked="0"/>
    </xf>
    <xf numFmtId="0" fontId="10" fillId="11" borderId="18" xfId="0" applyFont="1" applyFill="1" applyBorder="1" applyAlignment="1" applyProtection="1">
      <alignment horizontal="left" vertical="center" indent="1"/>
      <protection locked="0"/>
    </xf>
    <xf numFmtId="0" fontId="10" fillId="11" borderId="19" xfId="0" applyFont="1" applyFill="1" applyBorder="1" applyAlignment="1" applyProtection="1">
      <alignment horizontal="left" vertical="center" indent="1"/>
      <protection locked="0"/>
    </xf>
    <xf numFmtId="0" fontId="10" fillId="11" borderId="14" xfId="0" applyFont="1" applyFill="1" applyBorder="1" applyAlignment="1" applyProtection="1">
      <alignment horizontal="left" vertical="center" indent="1"/>
      <protection locked="0"/>
    </xf>
    <xf numFmtId="0" fontId="10" fillId="0" borderId="6" xfId="0" applyFont="1" applyBorder="1" applyAlignment="1" applyProtection="1">
      <alignment horizontal="center"/>
    </xf>
    <xf numFmtId="0" fontId="10" fillId="0" borderId="0" xfId="0" applyFont="1" applyBorder="1" applyAlignment="1" applyProtection="1">
      <alignment horizontal="center"/>
    </xf>
    <xf numFmtId="0" fontId="10" fillId="0" borderId="76" xfId="0" applyFont="1" applyBorder="1" applyAlignment="1" applyProtection="1">
      <alignment horizontal="center"/>
    </xf>
    <xf numFmtId="0" fontId="101" fillId="0" borderId="0" xfId="0" applyFont="1" applyBorder="1" applyAlignment="1" applyProtection="1">
      <alignment horizontal="left" vertical="center" wrapText="1"/>
    </xf>
    <xf numFmtId="0" fontId="101" fillId="0" borderId="76" xfId="0" applyFont="1" applyBorder="1" applyAlignment="1" applyProtection="1">
      <alignment horizontal="left" vertical="center" wrapText="1"/>
    </xf>
    <xf numFmtId="0" fontId="10" fillId="7" borderId="18" xfId="0" applyFont="1" applyFill="1" applyBorder="1" applyAlignment="1" applyProtection="1">
      <alignment horizontal="left" vertical="top" wrapText="1"/>
      <protection locked="0"/>
    </xf>
    <xf numFmtId="0" fontId="10" fillId="7" borderId="19" xfId="0" applyFont="1" applyFill="1" applyBorder="1" applyAlignment="1" applyProtection="1">
      <alignment horizontal="left" vertical="top" wrapText="1"/>
      <protection locked="0"/>
    </xf>
    <xf numFmtId="0" fontId="10" fillId="7" borderId="14" xfId="0" applyFont="1" applyFill="1" applyBorder="1" applyAlignment="1" applyProtection="1">
      <alignment horizontal="left" vertical="top" wrapText="1"/>
      <protection locked="0"/>
    </xf>
    <xf numFmtId="0" fontId="10" fillId="0" borderId="0" xfId="0" applyFont="1" applyBorder="1" applyAlignment="1" applyProtection="1">
      <alignment horizontal="right" vertical="center"/>
    </xf>
    <xf numFmtId="0" fontId="10" fillId="11" borderId="18" xfId="0" applyFont="1" applyFill="1" applyBorder="1" applyAlignment="1" applyProtection="1">
      <alignment horizontal="center" vertical="center"/>
      <protection locked="0"/>
    </xf>
    <xf numFmtId="0" fontId="10" fillId="11" borderId="19" xfId="0" applyFont="1" applyFill="1" applyBorder="1" applyAlignment="1" applyProtection="1">
      <alignment horizontal="center" vertical="center"/>
      <protection locked="0"/>
    </xf>
    <xf numFmtId="0" fontId="10" fillId="11" borderId="14" xfId="0" applyFont="1" applyFill="1" applyBorder="1" applyAlignment="1" applyProtection="1">
      <alignment horizontal="center" vertical="center"/>
      <protection locked="0"/>
    </xf>
    <xf numFmtId="0" fontId="18" fillId="11" borderId="18" xfId="0" applyFont="1" applyFill="1" applyBorder="1" applyAlignment="1" applyProtection="1">
      <alignment horizontal="center" vertical="center"/>
      <protection locked="0"/>
    </xf>
    <xf numFmtId="0" fontId="18" fillId="11" borderId="19" xfId="0" applyFont="1" applyFill="1" applyBorder="1" applyAlignment="1" applyProtection="1">
      <alignment horizontal="center" vertical="center"/>
      <protection locked="0"/>
    </xf>
    <xf numFmtId="0" fontId="18" fillId="11" borderId="14" xfId="0" applyFont="1" applyFill="1" applyBorder="1" applyAlignment="1" applyProtection="1">
      <alignment horizontal="center" vertical="center"/>
      <protection locked="0"/>
    </xf>
    <xf numFmtId="165" fontId="10" fillId="7" borderId="18" xfId="55" applyNumberFormat="1" applyFont="1" applyFill="1" applyBorder="1" applyAlignment="1" applyProtection="1">
      <alignment horizontal="left" vertical="center" indent="1"/>
      <protection locked="0"/>
    </xf>
    <xf numFmtId="165" fontId="10" fillId="7" borderId="19" xfId="55" applyNumberFormat="1" applyFont="1" applyFill="1" applyBorder="1" applyAlignment="1" applyProtection="1">
      <alignment horizontal="left" vertical="center" indent="1"/>
      <protection locked="0"/>
    </xf>
    <xf numFmtId="165" fontId="10" fillId="7" borderId="14" xfId="55" applyNumberFormat="1" applyFont="1" applyFill="1" applyBorder="1" applyAlignment="1" applyProtection="1">
      <alignment horizontal="left" vertical="center" indent="1"/>
      <protection locked="0"/>
    </xf>
    <xf numFmtId="0" fontId="10" fillId="5" borderId="18" xfId="55" applyFont="1" applyFill="1" applyBorder="1" applyAlignment="1" applyProtection="1">
      <alignment horizontal="center" vertical="center"/>
      <protection locked="0"/>
    </xf>
    <xf numFmtId="0" fontId="10" fillId="5" borderId="14" xfId="55" applyFont="1" applyFill="1" applyBorder="1" applyAlignment="1" applyProtection="1">
      <alignment horizontal="center" vertical="center"/>
      <protection locked="0"/>
    </xf>
    <xf numFmtId="0" fontId="10" fillId="11" borderId="18" xfId="43" applyFont="1" applyFill="1" applyBorder="1" applyAlignment="1" applyProtection="1">
      <alignment horizontal="center" vertical="center"/>
    </xf>
    <xf numFmtId="0" fontId="10" fillId="11" borderId="14" xfId="43" applyFont="1" applyFill="1" applyBorder="1" applyAlignment="1" applyProtection="1">
      <alignment horizontal="center" vertical="center"/>
    </xf>
    <xf numFmtId="0" fontId="10" fillId="0" borderId="6" xfId="0" applyFont="1" applyBorder="1" applyAlignment="1" applyProtection="1">
      <alignment horizontal="center" vertical="center"/>
    </xf>
    <xf numFmtId="0" fontId="10" fillId="0" borderId="7" xfId="0" applyFont="1" applyBorder="1" applyAlignment="1" applyProtection="1">
      <alignment horizontal="center" vertical="center"/>
    </xf>
    <xf numFmtId="49" fontId="10" fillId="7" borderId="18" xfId="0" applyNumberFormat="1" applyFont="1" applyFill="1" applyBorder="1" applyAlignment="1" applyProtection="1">
      <alignment horizontal="left" vertical="center" indent="1"/>
      <protection locked="0"/>
    </xf>
    <xf numFmtId="49" fontId="10" fillId="7" borderId="19" xfId="0" applyNumberFormat="1" applyFont="1" applyFill="1" applyBorder="1" applyAlignment="1" applyProtection="1">
      <alignment horizontal="left" vertical="center" indent="1"/>
      <protection locked="0"/>
    </xf>
    <xf numFmtId="49" fontId="10" fillId="7" borderId="14" xfId="0" applyNumberFormat="1" applyFont="1" applyFill="1" applyBorder="1" applyAlignment="1" applyProtection="1">
      <alignment horizontal="left" vertical="center" indent="1"/>
      <protection locked="0"/>
    </xf>
    <xf numFmtId="0" fontId="10" fillId="7" borderId="18" xfId="0" applyFont="1" applyFill="1" applyBorder="1" applyAlignment="1" applyProtection="1">
      <alignment horizontal="left" vertical="center" wrapText="1" indent="1"/>
      <protection locked="0"/>
    </xf>
    <xf numFmtId="0" fontId="10" fillId="7" borderId="19" xfId="0" applyFont="1" applyFill="1" applyBorder="1" applyAlignment="1" applyProtection="1">
      <alignment horizontal="left" vertical="center" wrapText="1" indent="1"/>
      <protection locked="0"/>
    </xf>
    <xf numFmtId="0" fontId="10" fillId="7" borderId="14" xfId="0" applyFont="1" applyFill="1" applyBorder="1" applyAlignment="1" applyProtection="1">
      <alignment horizontal="left" vertical="center" wrapText="1" indent="1"/>
      <protection locked="0"/>
    </xf>
    <xf numFmtId="0" fontId="10" fillId="7" borderId="18" xfId="23" applyFont="1" applyFill="1" applyBorder="1" applyAlignment="1" applyProtection="1">
      <alignment horizontal="left" vertical="center" indent="1"/>
      <protection locked="0"/>
    </xf>
    <xf numFmtId="0" fontId="10" fillId="7" borderId="19" xfId="23" applyFont="1" applyFill="1" applyBorder="1" applyAlignment="1" applyProtection="1">
      <alignment horizontal="left" vertical="center" indent="1"/>
      <protection locked="0"/>
    </xf>
    <xf numFmtId="0" fontId="10" fillId="7" borderId="14" xfId="23" applyFont="1" applyFill="1" applyBorder="1" applyAlignment="1" applyProtection="1">
      <alignment horizontal="left" vertical="center" indent="1"/>
      <protection locked="0"/>
    </xf>
    <xf numFmtId="1" fontId="10" fillId="7" borderId="18" xfId="0" applyNumberFormat="1" applyFont="1" applyFill="1" applyBorder="1" applyAlignment="1" applyProtection="1">
      <alignment horizontal="center" vertical="center"/>
      <protection locked="0"/>
    </xf>
    <xf numFmtId="1" fontId="10" fillId="7" borderId="14" xfId="0" applyNumberFormat="1" applyFont="1" applyFill="1" applyBorder="1" applyAlignment="1" applyProtection="1">
      <alignment horizontal="center" vertical="center"/>
      <protection locked="0"/>
    </xf>
    <xf numFmtId="0" fontId="10" fillId="0" borderId="6" xfId="0" applyFont="1" applyBorder="1" applyAlignment="1" applyProtection="1">
      <alignment horizontal="right" vertical="center"/>
    </xf>
    <xf numFmtId="0" fontId="10" fillId="0" borderId="8" xfId="0" applyFont="1" applyBorder="1" applyAlignment="1" applyProtection="1">
      <alignment horizontal="center" vertical="center" wrapText="1"/>
    </xf>
    <xf numFmtId="0" fontId="10" fillId="5" borderId="19" xfId="55" applyFont="1" applyFill="1" applyBorder="1" applyAlignment="1" applyProtection="1">
      <alignment horizontal="center" vertical="center"/>
      <protection locked="0"/>
    </xf>
    <xf numFmtId="0" fontId="10" fillId="0" borderId="4" xfId="43" applyFont="1" applyFill="1" applyBorder="1" applyAlignment="1" applyProtection="1">
      <alignment horizontal="center"/>
    </xf>
    <xf numFmtId="0" fontId="31" fillId="0" borderId="2" xfId="23" applyFont="1" applyBorder="1" applyAlignment="1">
      <alignment horizontal="center" vertical="center" wrapText="1"/>
    </xf>
    <xf numFmtId="0" fontId="10" fillId="0" borderId="30" xfId="23" applyFont="1" applyBorder="1" applyAlignment="1" applyProtection="1">
      <alignment horizontal="left" vertical="top"/>
      <protection locked="0"/>
    </xf>
    <xf numFmtId="0" fontId="10" fillId="0" borderId="28" xfId="23" applyFont="1" applyBorder="1" applyAlignment="1" applyProtection="1">
      <alignment horizontal="left" vertical="top"/>
      <protection locked="0"/>
    </xf>
    <xf numFmtId="0" fontId="10" fillId="0" borderId="29" xfId="23" applyFont="1" applyBorder="1" applyAlignment="1" applyProtection="1">
      <alignment horizontal="left" vertical="top"/>
      <protection locked="0"/>
    </xf>
    <xf numFmtId="0" fontId="10" fillId="2" borderId="28" xfId="23" applyFont="1" applyFill="1" applyBorder="1" applyAlignment="1">
      <alignment horizontal="center" wrapText="1"/>
    </xf>
    <xf numFmtId="0" fontId="10" fillId="9" borderId="0" xfId="23" applyNumberFormat="1" applyFont="1" applyFill="1" applyBorder="1" applyAlignment="1" applyProtection="1">
      <alignment horizontal="center" vertical="center"/>
      <protection locked="0"/>
    </xf>
    <xf numFmtId="0" fontId="10" fillId="9" borderId="1" xfId="23" applyNumberFormat="1" applyFont="1" applyFill="1" applyBorder="1" applyAlignment="1" applyProtection="1">
      <alignment horizontal="center" vertical="center"/>
      <protection locked="0"/>
    </xf>
    <xf numFmtId="0" fontId="10" fillId="0" borderId="0" xfId="23" applyFont="1" applyBorder="1" applyAlignment="1">
      <alignment horizontal="center" vertical="center" wrapText="1"/>
    </xf>
    <xf numFmtId="0" fontId="10" fillId="0" borderId="1" xfId="23" applyFont="1" applyBorder="1" applyAlignment="1">
      <alignment horizontal="center" vertical="center" wrapText="1"/>
    </xf>
    <xf numFmtId="0" fontId="10" fillId="0" borderId="2" xfId="23" applyFont="1" applyBorder="1" applyAlignment="1">
      <alignment horizontal="center" vertical="center" wrapText="1"/>
    </xf>
    <xf numFmtId="0" fontId="10" fillId="0" borderId="23" xfId="23" applyFont="1" applyBorder="1" applyAlignment="1">
      <alignment horizontal="center" vertical="center" wrapText="1"/>
    </xf>
    <xf numFmtId="49" fontId="10" fillId="7" borderId="10" xfId="23" applyNumberFormat="1" applyFont="1" applyFill="1" applyBorder="1" applyAlignment="1" applyProtection="1">
      <alignment horizontal="left" vertical="top" wrapText="1"/>
      <protection locked="0"/>
    </xf>
    <xf numFmtId="49" fontId="10" fillId="7" borderId="9" xfId="23" applyNumberFormat="1" applyFont="1" applyFill="1" applyBorder="1" applyAlignment="1" applyProtection="1">
      <alignment horizontal="left" vertical="top" wrapText="1"/>
      <protection locked="0"/>
    </xf>
    <xf numFmtId="49" fontId="10" fillId="7" borderId="11" xfId="23" applyNumberFormat="1" applyFont="1" applyFill="1" applyBorder="1" applyAlignment="1" applyProtection="1">
      <alignment horizontal="left" vertical="top" wrapText="1"/>
      <protection locked="0"/>
    </xf>
    <xf numFmtId="49" fontId="10" fillId="7" borderId="6" xfId="23" applyNumberFormat="1" applyFont="1" applyFill="1" applyBorder="1" applyAlignment="1" applyProtection="1">
      <alignment horizontal="left" vertical="top" wrapText="1"/>
      <protection locked="0"/>
    </xf>
    <xf numFmtId="49" fontId="10" fillId="7" borderId="0" xfId="23" applyNumberFormat="1" applyFont="1" applyFill="1" applyBorder="1" applyAlignment="1" applyProtection="1">
      <alignment horizontal="left" vertical="top" wrapText="1"/>
      <protection locked="0"/>
    </xf>
    <xf numFmtId="49" fontId="10" fillId="7" borderId="7" xfId="23" applyNumberFormat="1" applyFont="1" applyFill="1" applyBorder="1" applyAlignment="1" applyProtection="1">
      <alignment horizontal="left" vertical="top" wrapText="1"/>
      <protection locked="0"/>
    </xf>
    <xf numFmtId="49" fontId="10" fillId="7" borderId="3" xfId="23" applyNumberFormat="1" applyFont="1" applyFill="1" applyBorder="1" applyAlignment="1" applyProtection="1">
      <alignment horizontal="left" vertical="top" wrapText="1"/>
      <protection locked="0"/>
    </xf>
    <xf numFmtId="49" fontId="10" fillId="7" borderId="4" xfId="23" applyNumberFormat="1" applyFont="1" applyFill="1" applyBorder="1" applyAlignment="1" applyProtection="1">
      <alignment horizontal="left" vertical="top" wrapText="1"/>
      <protection locked="0"/>
    </xf>
    <xf numFmtId="49" fontId="10" fillId="7" borderId="5" xfId="23" applyNumberFormat="1" applyFont="1" applyFill="1" applyBorder="1" applyAlignment="1" applyProtection="1">
      <alignment horizontal="left" vertical="top" wrapText="1"/>
      <protection locked="0"/>
    </xf>
    <xf numFmtId="0" fontId="10" fillId="0" borderId="6" xfId="23" applyFont="1" applyBorder="1" applyAlignment="1">
      <alignment horizontal="left" vertical="center"/>
    </xf>
    <xf numFmtId="0" fontId="8" fillId="0" borderId="7" xfId="23" applyFont="1" applyBorder="1" applyAlignment="1">
      <alignment horizontal="left" vertical="center"/>
    </xf>
    <xf numFmtId="169" fontId="10" fillId="2" borderId="18" xfId="23" applyNumberFormat="1" applyFont="1" applyFill="1" applyBorder="1" applyAlignment="1">
      <alignment horizontal="center" vertical="center"/>
    </xf>
    <xf numFmtId="169" fontId="10" fillId="2" borderId="14" xfId="23" applyNumberFormat="1" applyFont="1" applyFill="1" applyBorder="1" applyAlignment="1">
      <alignment horizontal="center" vertical="center"/>
    </xf>
    <xf numFmtId="0" fontId="10" fillId="5" borderId="18" xfId="23" applyFont="1" applyFill="1" applyBorder="1" applyAlignment="1" applyProtection="1">
      <alignment horizontal="center" vertical="center"/>
      <protection locked="0"/>
    </xf>
    <xf numFmtId="0" fontId="10" fillId="5" borderId="14" xfId="23" applyFont="1" applyFill="1" applyBorder="1" applyAlignment="1" applyProtection="1">
      <alignment horizontal="center" vertical="center"/>
      <protection locked="0"/>
    </xf>
    <xf numFmtId="167" fontId="10" fillId="2" borderId="18" xfId="23" applyNumberFormat="1" applyFont="1" applyFill="1" applyBorder="1" applyAlignment="1">
      <alignment horizontal="center" vertical="center"/>
    </xf>
    <xf numFmtId="167" fontId="10" fillId="2" borderId="14" xfId="23" applyNumberFormat="1" applyFont="1" applyFill="1" applyBorder="1" applyAlignment="1">
      <alignment horizontal="center" vertical="center"/>
    </xf>
    <xf numFmtId="167" fontId="10" fillId="7" borderId="18" xfId="23" applyNumberFormat="1" applyFont="1" applyFill="1" applyBorder="1" applyAlignment="1" applyProtection="1">
      <alignment horizontal="center" vertical="center"/>
      <protection locked="0"/>
    </xf>
    <xf numFmtId="167" fontId="10" fillId="7" borderId="19" xfId="23" applyNumberFormat="1" applyFont="1" applyFill="1" applyBorder="1" applyAlignment="1" applyProtection="1">
      <alignment horizontal="center" vertical="center"/>
      <protection locked="0"/>
    </xf>
    <xf numFmtId="167" fontId="10" fillId="7" borderId="14" xfId="23" applyNumberFormat="1" applyFont="1" applyFill="1" applyBorder="1" applyAlignment="1" applyProtection="1">
      <alignment horizontal="center" vertical="center"/>
      <protection locked="0"/>
    </xf>
    <xf numFmtId="0" fontId="10" fillId="11" borderId="28" xfId="23" applyFont="1" applyFill="1" applyBorder="1" applyAlignment="1">
      <alignment horizontal="right" vertical="center"/>
    </xf>
    <xf numFmtId="0" fontId="10" fillId="11" borderId="28" xfId="23" applyFont="1" applyFill="1" applyBorder="1" applyAlignment="1">
      <alignment horizontal="center" vertical="center"/>
    </xf>
    <xf numFmtId="165" fontId="10" fillId="2" borderId="18" xfId="23" applyNumberFormat="1" applyFont="1" applyFill="1" applyBorder="1" applyAlignment="1">
      <alignment horizontal="center" vertical="center"/>
    </xf>
    <xf numFmtId="165" fontId="8" fillId="2" borderId="14" xfId="23" applyNumberFormat="1" applyFont="1" applyFill="1" applyBorder="1" applyAlignment="1">
      <alignment vertical="center"/>
    </xf>
    <xf numFmtId="1" fontId="10" fillId="9" borderId="18" xfId="23" applyNumberFormat="1" applyFont="1" applyFill="1" applyBorder="1" applyAlignment="1">
      <alignment horizontal="center" vertical="center"/>
    </xf>
    <xf numFmtId="1" fontId="10" fillId="9" borderId="14" xfId="23" applyNumberFormat="1" applyFont="1" applyFill="1" applyBorder="1" applyAlignment="1">
      <alignment horizontal="center" vertical="center"/>
    </xf>
    <xf numFmtId="0" fontId="10" fillId="11" borderId="18" xfId="23" applyFont="1" applyFill="1" applyBorder="1" applyAlignment="1">
      <alignment horizontal="center" vertical="center"/>
    </xf>
    <xf numFmtId="0" fontId="10" fillId="11" borderId="19" xfId="23" applyFont="1" applyFill="1" applyBorder="1" applyAlignment="1">
      <alignment horizontal="center" vertical="center"/>
    </xf>
    <xf numFmtId="0" fontId="10" fillId="11" borderId="14" xfId="23" applyFont="1" applyFill="1" applyBorder="1" applyAlignment="1">
      <alignment horizontal="center" vertical="center"/>
    </xf>
    <xf numFmtId="0" fontId="10" fillId="0" borderId="0" xfId="23" applyFont="1" applyBorder="1" applyAlignment="1">
      <alignment horizontal="left" vertical="center"/>
    </xf>
    <xf numFmtId="0" fontId="10" fillId="0" borderId="0" xfId="23" applyFont="1" applyBorder="1" applyAlignment="1">
      <alignment horizontal="center" vertical="center"/>
    </xf>
    <xf numFmtId="0" fontId="10" fillId="0" borderId="0" xfId="23" applyFont="1" applyBorder="1" applyAlignment="1">
      <alignment horizontal="center" vertical="top" wrapText="1"/>
    </xf>
    <xf numFmtId="0" fontId="10" fillId="9" borderId="18" xfId="23" applyFont="1" applyFill="1" applyBorder="1" applyAlignment="1">
      <alignment horizontal="center"/>
    </xf>
    <xf numFmtId="0" fontId="10" fillId="9" borderId="19" xfId="23" applyFont="1" applyFill="1" applyBorder="1" applyAlignment="1">
      <alignment horizontal="center"/>
    </xf>
    <xf numFmtId="0" fontId="10" fillId="9" borderId="14" xfId="23" applyFont="1" applyFill="1" applyBorder="1" applyAlignment="1">
      <alignment horizontal="center"/>
    </xf>
    <xf numFmtId="168" fontId="10" fillId="0" borderId="0" xfId="23" applyNumberFormat="1" applyFont="1" applyBorder="1" applyAlignment="1">
      <alignment horizontal="center"/>
    </xf>
    <xf numFmtId="0" fontId="10" fillId="9" borderId="18" xfId="23" applyFont="1" applyFill="1" applyBorder="1" applyAlignment="1">
      <alignment horizontal="center" vertical="center"/>
    </xf>
    <xf numFmtId="0" fontId="10" fillId="9" borderId="14" xfId="23" applyFont="1" applyFill="1" applyBorder="1" applyAlignment="1">
      <alignment horizontal="center" vertical="center"/>
    </xf>
    <xf numFmtId="49" fontId="31" fillId="0" borderId="0" xfId="23" applyNumberFormat="1" applyFont="1" applyFill="1" applyBorder="1" applyAlignment="1">
      <alignment horizontal="center" vertical="center" wrapText="1"/>
    </xf>
    <xf numFmtId="0" fontId="10" fillId="2" borderId="8" xfId="23" applyFont="1" applyFill="1" applyBorder="1" applyAlignment="1">
      <alignment horizontal="center" vertical="center" wrapText="1"/>
    </xf>
    <xf numFmtId="167" fontId="10" fillId="2" borderId="8" xfId="23" applyNumberFormat="1" applyFont="1" applyFill="1" applyBorder="1" applyAlignment="1" applyProtection="1">
      <alignment horizontal="center" vertical="center"/>
    </xf>
    <xf numFmtId="167" fontId="10" fillId="2" borderId="18" xfId="23" applyNumberFormat="1" applyFont="1" applyFill="1" applyBorder="1" applyAlignment="1">
      <alignment horizontal="center" vertical="center" wrapText="1"/>
    </xf>
    <xf numFmtId="167" fontId="10" fillId="2" borderId="14" xfId="23" applyNumberFormat="1" applyFont="1" applyFill="1" applyBorder="1" applyAlignment="1">
      <alignment horizontal="center" vertical="center" wrapText="1"/>
    </xf>
    <xf numFmtId="0" fontId="10" fillId="2" borderId="28" xfId="23" applyFont="1" applyFill="1" applyBorder="1" applyAlignment="1">
      <alignment horizontal="right" vertical="center"/>
    </xf>
    <xf numFmtId="0" fontId="10" fillId="0" borderId="8" xfId="23" applyNumberFormat="1" applyFont="1" applyBorder="1" applyAlignment="1">
      <alignment horizontal="center" vertical="center"/>
    </xf>
    <xf numFmtId="0" fontId="8" fillId="2" borderId="14" xfId="23" applyFont="1" applyFill="1" applyBorder="1" applyAlignment="1">
      <alignment horizontal="center" vertical="center"/>
    </xf>
    <xf numFmtId="0" fontId="10" fillId="0" borderId="0" xfId="23" applyFont="1" applyBorder="1" applyAlignment="1">
      <alignment horizontal="right" vertical="center"/>
    </xf>
    <xf numFmtId="0" fontId="10" fillId="7" borderId="8" xfId="23" applyFont="1" applyFill="1" applyBorder="1" applyAlignment="1" applyProtection="1">
      <alignment horizontal="center" vertical="center"/>
      <protection locked="0"/>
    </xf>
    <xf numFmtId="0" fontId="10" fillId="5" borderId="8" xfId="23" applyFont="1" applyFill="1" applyBorder="1" applyAlignment="1" applyProtection="1">
      <alignment horizontal="center" vertical="center"/>
      <protection locked="0"/>
    </xf>
    <xf numFmtId="0" fontId="10" fillId="2" borderId="28" xfId="23" applyFont="1" applyFill="1" applyBorder="1" applyAlignment="1">
      <alignment horizontal="left" vertical="center"/>
    </xf>
    <xf numFmtId="0" fontId="10" fillId="0" borderId="8" xfId="23" applyFont="1" applyBorder="1" applyAlignment="1">
      <alignment horizontal="center" vertical="center"/>
    </xf>
    <xf numFmtId="0" fontId="10" fillId="2" borderId="29" xfId="23" applyFont="1" applyFill="1" applyBorder="1" applyAlignment="1">
      <alignment horizontal="right" vertical="center"/>
    </xf>
    <xf numFmtId="165" fontId="103" fillId="5" borderId="18" xfId="23" applyNumberFormat="1" applyFont="1" applyFill="1" applyBorder="1" applyAlignment="1" applyProtection="1">
      <alignment horizontal="center" vertical="center"/>
      <protection locked="0"/>
    </xf>
    <xf numFmtId="165" fontId="103" fillId="5" borderId="14" xfId="23" applyNumberFormat="1" applyFont="1" applyFill="1" applyBorder="1" applyAlignment="1" applyProtection="1">
      <alignment horizontal="center" vertical="center"/>
      <protection locked="0"/>
    </xf>
    <xf numFmtId="1" fontId="103" fillId="9" borderId="18" xfId="23" applyNumberFormat="1" applyFont="1" applyFill="1" applyBorder="1" applyAlignment="1" applyProtection="1">
      <alignment horizontal="center" vertical="center"/>
    </xf>
    <xf numFmtId="1" fontId="103" fillId="9" borderId="14" xfId="23" applyNumberFormat="1" applyFont="1" applyFill="1" applyBorder="1" applyAlignment="1" applyProtection="1">
      <alignment horizontal="center" vertical="center"/>
    </xf>
    <xf numFmtId="0" fontId="10" fillId="0" borderId="9" xfId="23" applyFont="1" applyBorder="1" applyAlignment="1">
      <alignment horizontal="center" vertical="top"/>
    </xf>
    <xf numFmtId="0" fontId="10" fillId="5" borderId="19" xfId="23" applyFont="1" applyFill="1" applyBorder="1" applyAlignment="1" applyProtection="1">
      <alignment horizontal="center" vertical="center"/>
      <protection locked="0"/>
    </xf>
    <xf numFmtId="0" fontId="8" fillId="0" borderId="0" xfId="23" applyFont="1" applyBorder="1" applyAlignment="1">
      <alignment vertical="center"/>
    </xf>
    <xf numFmtId="0" fontId="10" fillId="2" borderId="10" xfId="23" applyFont="1" applyFill="1" applyBorder="1" applyAlignment="1">
      <alignment horizontal="center" vertical="center" wrapText="1"/>
    </xf>
    <xf numFmtId="0" fontId="10" fillId="2" borderId="11" xfId="23" applyFont="1" applyFill="1" applyBorder="1" applyAlignment="1">
      <alignment horizontal="center" vertical="center" wrapText="1"/>
    </xf>
    <xf numFmtId="0" fontId="10" fillId="2" borderId="3" xfId="23" applyFont="1" applyFill="1" applyBorder="1" applyAlignment="1">
      <alignment horizontal="center" vertical="center" wrapText="1"/>
    </xf>
    <xf numFmtId="0" fontId="10" fillId="2" borderId="5" xfId="23" applyFont="1" applyFill="1" applyBorder="1" applyAlignment="1">
      <alignment horizontal="center" vertical="center" wrapText="1"/>
    </xf>
    <xf numFmtId="0" fontId="10" fillId="0" borderId="7" xfId="23" applyFont="1" applyBorder="1" applyAlignment="1">
      <alignment horizontal="left" vertical="center"/>
    </xf>
    <xf numFmtId="9" fontId="10" fillId="0" borderId="8" xfId="23" applyNumberFormat="1" applyFont="1" applyBorder="1" applyAlignment="1">
      <alignment horizontal="center" vertical="center"/>
    </xf>
    <xf numFmtId="168" fontId="10" fillId="2" borderId="18" xfId="23" applyNumberFormat="1" applyFont="1" applyFill="1" applyBorder="1" applyAlignment="1">
      <alignment horizontal="center" vertical="center"/>
    </xf>
    <xf numFmtId="0" fontId="8" fillId="2" borderId="14" xfId="23" applyFont="1" applyFill="1" applyBorder="1" applyAlignment="1">
      <alignment vertical="center"/>
    </xf>
    <xf numFmtId="168" fontId="10" fillId="2" borderId="14" xfId="23" applyNumberFormat="1" applyFont="1" applyFill="1" applyBorder="1" applyAlignment="1">
      <alignment horizontal="center" vertical="center"/>
    </xf>
    <xf numFmtId="0" fontId="10" fillId="11" borderId="8" xfId="23" applyFont="1" applyFill="1" applyBorder="1" applyAlignment="1">
      <alignment horizontal="left" vertical="center"/>
    </xf>
    <xf numFmtId="1" fontId="10" fillId="11" borderId="18" xfId="23" applyNumberFormat="1" applyFont="1" applyFill="1" applyBorder="1" applyAlignment="1">
      <alignment horizontal="center" vertical="center"/>
    </xf>
    <xf numFmtId="1" fontId="10" fillId="11" borderId="14" xfId="23" applyNumberFormat="1" applyFont="1" applyFill="1" applyBorder="1" applyAlignment="1">
      <alignment horizontal="center" vertical="center"/>
    </xf>
    <xf numFmtId="1" fontId="8" fillId="2" borderId="14" xfId="23" applyNumberFormat="1" applyFont="1" applyFill="1" applyBorder="1" applyAlignment="1">
      <alignment horizontal="center" vertical="center"/>
    </xf>
    <xf numFmtId="0" fontId="10" fillId="11" borderId="18" xfId="23" applyFont="1" applyFill="1" applyBorder="1" applyAlignment="1" applyProtection="1">
      <alignment horizontal="center" vertical="center"/>
    </xf>
    <xf numFmtId="0" fontId="10" fillId="11" borderId="19" xfId="23" applyFont="1" applyFill="1" applyBorder="1" applyAlignment="1" applyProtection="1">
      <alignment horizontal="center" vertical="center"/>
    </xf>
    <xf numFmtId="0" fontId="10" fillId="11" borderId="14" xfId="23" applyFont="1" applyFill="1" applyBorder="1" applyAlignment="1" applyProtection="1">
      <alignment horizontal="center" vertical="center"/>
    </xf>
    <xf numFmtId="0" fontId="11" fillId="0" borderId="0" xfId="23" applyFont="1" applyBorder="1" applyAlignment="1">
      <alignment horizontal="center" vertical="center" wrapText="1"/>
    </xf>
    <xf numFmtId="9" fontId="10" fillId="0" borderId="8" xfId="23" quotePrefix="1" applyNumberFormat="1" applyFont="1" applyBorder="1" applyAlignment="1">
      <alignment horizontal="center" vertical="center"/>
    </xf>
    <xf numFmtId="165" fontId="10" fillId="3" borderId="0" xfId="23" applyNumberFormat="1" applyFont="1" applyFill="1" applyBorder="1" applyAlignment="1">
      <alignment horizontal="center" vertical="center"/>
    </xf>
    <xf numFmtId="167" fontId="10" fillId="5" borderId="18" xfId="23" applyNumberFormat="1" applyFont="1" applyFill="1" applyBorder="1" applyAlignment="1" applyProtection="1">
      <alignment horizontal="center" vertical="center"/>
      <protection locked="0"/>
    </xf>
    <xf numFmtId="167" fontId="10" fillId="5" borderId="14" xfId="23" applyNumberFormat="1" applyFont="1" applyFill="1" applyBorder="1" applyAlignment="1" applyProtection="1">
      <alignment horizontal="center" vertical="center"/>
      <protection locked="0"/>
    </xf>
    <xf numFmtId="0" fontId="10" fillId="0" borderId="9" xfId="23" applyFont="1" applyBorder="1" applyAlignment="1">
      <alignment horizontal="center" vertical="center"/>
    </xf>
    <xf numFmtId="0" fontId="10" fillId="0" borderId="6" xfId="23" applyFont="1" applyFill="1" applyBorder="1" applyAlignment="1">
      <alignment horizontal="center" vertical="center"/>
    </xf>
    <xf numFmtId="0" fontId="10" fillId="0" borderId="0" xfId="23" applyFont="1" applyFill="1" applyBorder="1" applyAlignment="1">
      <alignment horizontal="center" vertical="center"/>
    </xf>
    <xf numFmtId="9" fontId="10" fillId="0" borderId="0" xfId="23" applyNumberFormat="1" applyFont="1" applyFill="1" applyBorder="1" applyAlignment="1">
      <alignment horizontal="center" vertical="center"/>
    </xf>
    <xf numFmtId="165" fontId="10" fillId="9" borderId="18" xfId="23" applyNumberFormat="1" applyFont="1" applyFill="1" applyBorder="1" applyAlignment="1">
      <alignment horizontal="center" vertical="center"/>
    </xf>
    <xf numFmtId="168" fontId="10" fillId="0" borderId="0" xfId="10" applyNumberFormat="1" applyFont="1" applyFill="1" applyBorder="1" applyAlignment="1">
      <alignment horizontal="center" vertical="center"/>
    </xf>
    <xf numFmtId="168" fontId="10" fillId="0" borderId="7" xfId="10" applyNumberFormat="1" applyFont="1" applyFill="1" applyBorder="1" applyAlignment="1">
      <alignment horizontal="center" vertical="center"/>
    </xf>
    <xf numFmtId="49" fontId="10" fillId="7" borderId="8" xfId="23" applyNumberFormat="1" applyFont="1" applyFill="1" applyBorder="1" applyAlignment="1" applyProtection="1">
      <alignment horizontal="left" vertical="top" wrapText="1"/>
      <protection locked="0"/>
    </xf>
    <xf numFmtId="0" fontId="10" fillId="0" borderId="0" xfId="23" applyFont="1" applyBorder="1" applyAlignment="1" applyProtection="1">
      <alignment horizontal="right" vertical="center"/>
    </xf>
    <xf numFmtId="165" fontId="12" fillId="11" borderId="8" xfId="23" applyNumberFormat="1" applyFont="1" applyFill="1" applyBorder="1" applyAlignment="1" applyProtection="1">
      <alignment horizontal="center" vertical="center"/>
    </xf>
    <xf numFmtId="0" fontId="10" fillId="2" borderId="28" xfId="23" applyFont="1" applyFill="1" applyBorder="1" applyAlignment="1" applyProtection="1">
      <alignment horizontal="right" vertical="center"/>
    </xf>
    <xf numFmtId="0" fontId="10" fillId="2" borderId="28" xfId="23" applyFont="1" applyFill="1" applyBorder="1" applyAlignment="1" applyProtection="1">
      <alignment horizontal="left" vertical="center"/>
    </xf>
    <xf numFmtId="0" fontId="10" fillId="2" borderId="29" xfId="23" applyFont="1" applyFill="1" applyBorder="1" applyAlignment="1" applyProtection="1">
      <alignment horizontal="left" vertical="center"/>
    </xf>
    <xf numFmtId="0" fontId="10" fillId="0" borderId="0" xfId="23" applyFont="1" applyFill="1" applyBorder="1" applyAlignment="1" applyProtection="1">
      <alignment horizontal="center" vertical="center" wrapText="1"/>
    </xf>
    <xf numFmtId="168" fontId="10" fillId="0" borderId="0" xfId="23" applyNumberFormat="1" applyFont="1" applyBorder="1" applyAlignment="1" applyProtection="1">
      <alignment horizontal="center"/>
    </xf>
    <xf numFmtId="167" fontId="10" fillId="0" borderId="0" xfId="23" applyNumberFormat="1" applyFont="1" applyFill="1" applyBorder="1" applyAlignment="1" applyProtection="1">
      <alignment horizontal="right" vertical="center"/>
    </xf>
    <xf numFmtId="167" fontId="10" fillId="0" borderId="7" xfId="23" applyNumberFormat="1" applyFont="1" applyFill="1" applyBorder="1" applyAlignment="1" applyProtection="1">
      <alignment horizontal="right" vertical="center"/>
    </xf>
    <xf numFmtId="0" fontId="11" fillId="0" borderId="0" xfId="23" applyFont="1" applyBorder="1" applyAlignment="1" applyProtection="1">
      <alignment horizontal="center" vertical="center" wrapText="1"/>
    </xf>
    <xf numFmtId="2" fontId="10" fillId="11" borderId="18" xfId="23" applyNumberFormat="1" applyFont="1" applyFill="1" applyBorder="1" applyAlignment="1" applyProtection="1">
      <alignment horizontal="center" vertical="center"/>
    </xf>
    <xf numFmtId="0" fontId="10" fillId="0" borderId="6" xfId="23" applyFont="1" applyBorder="1" applyAlignment="1">
      <alignment horizontal="right" vertical="center"/>
    </xf>
    <xf numFmtId="0" fontId="10" fillId="0" borderId="7" xfId="23" applyFont="1" applyBorder="1" applyAlignment="1">
      <alignment horizontal="right" vertical="center"/>
    </xf>
    <xf numFmtId="165" fontId="10" fillId="2" borderId="14" xfId="23" applyNumberFormat="1" applyFont="1" applyFill="1" applyBorder="1" applyAlignment="1">
      <alignment horizontal="center" vertical="center"/>
    </xf>
    <xf numFmtId="2" fontId="10" fillId="9" borderId="18" xfId="23" applyNumberFormat="1" applyFont="1" applyFill="1" applyBorder="1" applyAlignment="1">
      <alignment horizontal="center" vertical="center"/>
    </xf>
    <xf numFmtId="2" fontId="10" fillId="9" borderId="14" xfId="23" applyNumberFormat="1" applyFont="1" applyFill="1" applyBorder="1" applyAlignment="1">
      <alignment horizontal="center" vertical="center"/>
    </xf>
    <xf numFmtId="1" fontId="10" fillId="5" borderId="18" xfId="23" applyNumberFormat="1" applyFont="1" applyFill="1" applyBorder="1" applyAlignment="1" applyProtection="1">
      <alignment horizontal="center" vertical="center"/>
      <protection locked="0"/>
    </xf>
    <xf numFmtId="1" fontId="10" fillId="5" borderId="14" xfId="23" applyNumberFormat="1" applyFont="1" applyFill="1" applyBorder="1" applyAlignment="1" applyProtection="1">
      <alignment horizontal="center" vertical="center"/>
      <protection locked="0"/>
    </xf>
    <xf numFmtId="0" fontId="10" fillId="0" borderId="0" xfId="23" applyFont="1" applyBorder="1" applyAlignment="1" applyProtection="1">
      <alignment horizontal="center" vertical="top" wrapText="1"/>
    </xf>
    <xf numFmtId="0" fontId="10" fillId="0" borderId="0" xfId="23" applyFont="1" applyBorder="1" applyAlignment="1">
      <alignment horizontal="left" vertical="center" wrapText="1"/>
    </xf>
    <xf numFmtId="0" fontId="10" fillId="0" borderId="6" xfId="23" applyFont="1" applyBorder="1" applyAlignment="1">
      <alignment horizontal="left" vertical="center" wrapText="1"/>
    </xf>
    <xf numFmtId="0" fontId="8" fillId="0" borderId="0" xfId="23" applyFont="1" applyBorder="1" applyAlignment="1">
      <alignment vertical="center" wrapText="1"/>
    </xf>
    <xf numFmtId="0" fontId="8" fillId="0" borderId="7" xfId="23" applyFont="1" applyBorder="1" applyAlignment="1">
      <alignment vertical="center" wrapText="1"/>
    </xf>
    <xf numFmtId="165" fontId="10" fillId="5" borderId="18" xfId="23" applyNumberFormat="1" applyFont="1" applyFill="1" applyBorder="1" applyAlignment="1" applyProtection="1">
      <alignment horizontal="center" vertical="center"/>
      <protection locked="0"/>
    </xf>
    <xf numFmtId="165" fontId="10" fillId="5" borderId="14" xfId="23" applyNumberFormat="1" applyFont="1" applyFill="1" applyBorder="1" applyAlignment="1" applyProtection="1">
      <alignment horizontal="center" vertical="center"/>
      <protection locked="0"/>
    </xf>
    <xf numFmtId="0" fontId="8" fillId="5" borderId="14" xfId="23" applyFont="1" applyFill="1" applyBorder="1" applyAlignment="1" applyProtection="1">
      <alignment horizontal="center" vertical="center"/>
      <protection locked="0"/>
    </xf>
    <xf numFmtId="0" fontId="10" fillId="5" borderId="18" xfId="23" applyFont="1" applyFill="1" applyBorder="1" applyAlignment="1" applyProtection="1">
      <alignment horizontal="left" vertical="center"/>
      <protection locked="0"/>
    </xf>
    <xf numFmtId="0" fontId="10" fillId="5" borderId="19" xfId="23" applyFont="1" applyFill="1" applyBorder="1" applyAlignment="1" applyProtection="1">
      <alignment horizontal="left" vertical="center"/>
      <protection locked="0"/>
    </xf>
    <xf numFmtId="0" fontId="10" fillId="5" borderId="39" xfId="23" applyFont="1" applyFill="1" applyBorder="1" applyAlignment="1" applyProtection="1">
      <alignment horizontal="left" vertical="center"/>
      <protection locked="0"/>
    </xf>
    <xf numFmtId="2" fontId="10" fillId="2" borderId="18" xfId="23" applyNumberFormat="1" applyFont="1" applyFill="1" applyBorder="1" applyAlignment="1">
      <alignment horizontal="center" vertical="center"/>
    </xf>
    <xf numFmtId="2" fontId="10" fillId="2" borderId="14" xfId="23" applyNumberFormat="1" applyFont="1" applyFill="1" applyBorder="1" applyAlignment="1">
      <alignment horizontal="center" vertical="center"/>
    </xf>
    <xf numFmtId="1" fontId="10" fillId="0" borderId="0" xfId="23" applyNumberFormat="1" applyFont="1" applyFill="1" applyBorder="1" applyAlignment="1" applyProtection="1">
      <alignment horizontal="center" vertical="center"/>
    </xf>
    <xf numFmtId="168" fontId="10" fillId="11" borderId="8" xfId="10" applyNumberFormat="1" applyFont="1" applyFill="1" applyBorder="1" applyAlignment="1">
      <alignment horizontal="center" vertical="center"/>
    </xf>
    <xf numFmtId="0" fontId="12" fillId="11" borderId="18" xfId="23" applyFont="1" applyFill="1" applyBorder="1" applyAlignment="1" applyProtection="1">
      <alignment horizontal="center" vertical="center"/>
    </xf>
    <xf numFmtId="0" fontId="12" fillId="11" borderId="19" xfId="23" applyFont="1" applyFill="1" applyBorder="1" applyAlignment="1" applyProtection="1">
      <alignment horizontal="center" vertical="center"/>
    </xf>
    <xf numFmtId="0" fontId="12" fillId="11" borderId="14" xfId="23" applyFont="1" applyFill="1" applyBorder="1" applyAlignment="1" applyProtection="1">
      <alignment horizontal="center" vertical="center"/>
    </xf>
    <xf numFmtId="0" fontId="10" fillId="11" borderId="8" xfId="23" applyFont="1" applyFill="1" applyBorder="1" applyAlignment="1" applyProtection="1">
      <alignment horizontal="center" vertical="center"/>
    </xf>
    <xf numFmtId="168" fontId="10" fillId="0" borderId="0" xfId="23" applyNumberFormat="1" applyFont="1" applyFill="1" applyBorder="1" applyAlignment="1" applyProtection="1">
      <alignment horizontal="center" vertical="center"/>
    </xf>
    <xf numFmtId="0" fontId="10" fillId="0" borderId="0" xfId="23" applyFont="1" applyFill="1" applyBorder="1" applyAlignment="1" applyProtection="1">
      <alignment horizontal="left" vertical="center"/>
    </xf>
    <xf numFmtId="0" fontId="8" fillId="0" borderId="0" xfId="23" applyFont="1" applyFill="1" applyBorder="1" applyAlignment="1" applyProtection="1">
      <alignment horizontal="left" vertical="center"/>
    </xf>
    <xf numFmtId="0" fontId="10" fillId="0" borderId="0" xfId="23" applyFont="1" applyBorder="1" applyAlignment="1" applyProtection="1">
      <alignment horizontal="center" vertical="center" wrapText="1"/>
    </xf>
    <xf numFmtId="0" fontId="10" fillId="0" borderId="0" xfId="0" applyFont="1" applyFill="1" applyBorder="1" applyAlignment="1">
      <alignment horizontal="center" vertical="center"/>
    </xf>
    <xf numFmtId="0" fontId="10" fillId="11" borderId="18" xfId="0" applyFont="1" applyFill="1" applyBorder="1" applyAlignment="1">
      <alignment horizontal="center"/>
    </xf>
    <xf numFmtId="0" fontId="10" fillId="11" borderId="14" xfId="0" applyFont="1" applyFill="1" applyBorder="1" applyAlignment="1">
      <alignment horizontal="center"/>
    </xf>
    <xf numFmtId="0" fontId="10" fillId="0" borderId="0" xfId="0" applyFont="1" applyFill="1" applyBorder="1" applyAlignment="1">
      <alignment horizontal="left" vertical="center"/>
    </xf>
    <xf numFmtId="2" fontId="10" fillId="9" borderId="18" xfId="0" applyNumberFormat="1" applyFont="1" applyFill="1" applyBorder="1" applyAlignment="1">
      <alignment horizontal="center"/>
    </xf>
    <xf numFmtId="2" fontId="10" fillId="2" borderId="14" xfId="0" applyNumberFormat="1" applyFont="1" applyFill="1" applyBorder="1" applyAlignment="1">
      <alignment horizontal="center"/>
    </xf>
    <xf numFmtId="2" fontId="10" fillId="2" borderId="18" xfId="0" applyNumberFormat="1" applyFont="1" applyFill="1" applyBorder="1" applyAlignment="1">
      <alignment horizontal="center" vertical="center"/>
    </xf>
    <xf numFmtId="2" fontId="10" fillId="2" borderId="14" xfId="0" applyNumberFormat="1" applyFont="1" applyFill="1" applyBorder="1" applyAlignment="1">
      <alignment horizontal="center" vertical="center"/>
    </xf>
    <xf numFmtId="165" fontId="10" fillId="2" borderId="18" xfId="0" applyNumberFormat="1" applyFont="1" applyFill="1" applyBorder="1" applyAlignment="1">
      <alignment horizontal="center" vertical="center"/>
    </xf>
    <xf numFmtId="165" fontId="10" fillId="2" borderId="14" xfId="0" applyNumberFormat="1" applyFont="1" applyFill="1" applyBorder="1" applyAlignment="1">
      <alignment horizontal="center" vertical="center"/>
    </xf>
    <xf numFmtId="2" fontId="10" fillId="0" borderId="6" xfId="0" applyNumberFormat="1" applyFont="1" applyFill="1" applyBorder="1" applyAlignment="1">
      <alignment horizontal="left" vertical="center"/>
    </xf>
    <xf numFmtId="0" fontId="0" fillId="0" borderId="0" xfId="0" applyBorder="1" applyAlignment="1">
      <alignment vertical="center"/>
    </xf>
    <xf numFmtId="0" fontId="10" fillId="8" borderId="14" xfId="0" applyFont="1" applyFill="1" applyBorder="1" applyAlignment="1">
      <alignment horizontal="center" vertical="center"/>
    </xf>
    <xf numFmtId="2" fontId="10" fillId="5" borderId="18" xfId="0" applyNumberFormat="1" applyFont="1" applyFill="1" applyBorder="1" applyAlignment="1" applyProtection="1">
      <alignment horizontal="center" vertical="center"/>
      <protection locked="0"/>
    </xf>
    <xf numFmtId="2" fontId="10" fillId="5" borderId="14" xfId="0" applyNumberFormat="1" applyFont="1" applyFill="1" applyBorder="1" applyAlignment="1" applyProtection="1">
      <alignment horizontal="center" vertical="center"/>
      <protection locked="0"/>
    </xf>
    <xf numFmtId="165" fontId="10" fillId="2" borderId="18" xfId="0" applyNumberFormat="1" applyFont="1" applyFill="1" applyBorder="1" applyAlignment="1">
      <alignment horizontal="center"/>
    </xf>
    <xf numFmtId="0" fontId="10" fillId="2" borderId="14" xfId="0" applyFont="1" applyFill="1" applyBorder="1" applyAlignment="1">
      <alignment horizontal="center"/>
    </xf>
    <xf numFmtId="2" fontId="10" fillId="0" borderId="0" xfId="0" applyNumberFormat="1" applyFont="1" applyFill="1" applyBorder="1" applyAlignment="1">
      <alignment horizontal="center"/>
    </xf>
    <xf numFmtId="0" fontId="10" fillId="0" borderId="0" xfId="0" applyFont="1" applyFill="1" applyBorder="1" applyAlignment="1">
      <alignment horizontal="center" wrapText="1"/>
    </xf>
    <xf numFmtId="0" fontId="10" fillId="0" borderId="0" xfId="0" applyFont="1" applyFill="1" applyBorder="1" applyAlignment="1">
      <alignment horizontal="center"/>
    </xf>
    <xf numFmtId="0" fontId="10" fillId="7" borderId="18" xfId="0" applyFont="1" applyFill="1" applyBorder="1" applyAlignment="1" applyProtection="1">
      <alignment horizontal="center" vertical="top" wrapText="1"/>
      <protection locked="0"/>
    </xf>
    <xf numFmtId="0" fontId="10" fillId="7" borderId="19" xfId="0" applyFont="1" applyFill="1" applyBorder="1" applyAlignment="1" applyProtection="1">
      <alignment horizontal="center" vertical="top" wrapText="1"/>
      <protection locked="0"/>
    </xf>
    <xf numFmtId="0" fontId="10" fillId="7" borderId="14" xfId="0" applyFont="1" applyFill="1" applyBorder="1" applyAlignment="1" applyProtection="1">
      <alignment horizontal="center" vertical="top" wrapText="1"/>
      <protection locked="0"/>
    </xf>
    <xf numFmtId="0" fontId="10" fillId="16" borderId="0" xfId="0" applyFont="1" applyFill="1" applyAlignment="1">
      <alignment horizontal="center"/>
    </xf>
    <xf numFmtId="168" fontId="10" fillId="0" borderId="0" xfId="23" applyNumberFormat="1" applyFont="1" applyBorder="1" applyAlignment="1" applyProtection="1">
      <alignment horizontal="right"/>
    </xf>
    <xf numFmtId="0" fontId="10" fillId="11" borderId="8" xfId="23" applyFont="1" applyFill="1" applyBorder="1" applyAlignment="1" applyProtection="1">
      <alignment horizontal="center"/>
    </xf>
    <xf numFmtId="0" fontId="10" fillId="9" borderId="14" xfId="0" applyFont="1" applyFill="1" applyBorder="1" applyAlignment="1">
      <alignment horizontal="center"/>
    </xf>
    <xf numFmtId="168" fontId="10" fillId="11" borderId="8" xfId="23" applyNumberFormat="1" applyFont="1" applyFill="1" applyBorder="1" applyAlignment="1" applyProtection="1">
      <alignment horizontal="center" vertical="center"/>
    </xf>
    <xf numFmtId="167" fontId="11" fillId="0" borderId="0" xfId="23" applyNumberFormat="1" applyFont="1" applyFill="1" applyBorder="1" applyAlignment="1" applyProtection="1">
      <alignment horizontal="center" vertical="center"/>
    </xf>
    <xf numFmtId="0" fontId="10" fillId="0" borderId="6" xfId="0" applyFont="1" applyBorder="1" applyAlignment="1">
      <alignment horizontal="left" vertical="center"/>
    </xf>
    <xf numFmtId="0" fontId="10" fillId="0" borderId="7" xfId="0" applyFont="1" applyBorder="1" applyAlignment="1">
      <alignment horizontal="left" vertical="center"/>
    </xf>
    <xf numFmtId="165" fontId="12" fillId="2" borderId="18" xfId="0" applyNumberFormat="1" applyFont="1" applyFill="1" applyBorder="1" applyAlignment="1">
      <alignment horizontal="center" vertical="center"/>
    </xf>
    <xf numFmtId="165" fontId="12" fillId="2" borderId="14" xfId="0" applyNumberFormat="1" applyFont="1" applyFill="1" applyBorder="1" applyAlignment="1">
      <alignment horizontal="center" vertical="center"/>
    </xf>
    <xf numFmtId="0" fontId="10" fillId="2" borderId="28" xfId="0" applyFont="1" applyFill="1" applyBorder="1" applyAlignment="1">
      <alignment horizontal="left"/>
    </xf>
    <xf numFmtId="165" fontId="10" fillId="3" borderId="0" xfId="0" applyNumberFormat="1" applyFont="1" applyFill="1" applyBorder="1" applyAlignment="1">
      <alignment horizontal="center" vertical="center"/>
    </xf>
    <xf numFmtId="165" fontId="10" fillId="3" borderId="1" xfId="0" applyNumberFormat="1" applyFont="1" applyFill="1" applyBorder="1" applyAlignment="1">
      <alignment horizontal="center" vertical="center"/>
    </xf>
    <xf numFmtId="0" fontId="10" fillId="2" borderId="28" xfId="0" applyFont="1" applyFill="1" applyBorder="1" applyAlignment="1">
      <alignment horizontal="right"/>
    </xf>
    <xf numFmtId="0" fontId="10" fillId="0" borderId="0" xfId="0" applyFont="1" applyBorder="1" applyAlignment="1">
      <alignment horizontal="left" vertical="top" wrapText="1"/>
    </xf>
    <xf numFmtId="165" fontId="10" fillId="2" borderId="39" xfId="0" applyNumberFormat="1" applyFont="1" applyFill="1" applyBorder="1" applyAlignment="1">
      <alignment horizontal="center" vertical="center"/>
    </xf>
    <xf numFmtId="2" fontId="10" fillId="0" borderId="0" xfId="0" applyNumberFormat="1" applyFont="1" applyFill="1" applyBorder="1" applyAlignment="1">
      <alignment horizontal="center" vertical="center"/>
    </xf>
    <xf numFmtId="1" fontId="10" fillId="0" borderId="0" xfId="0" applyNumberFormat="1" applyFont="1" applyFill="1" applyBorder="1" applyAlignment="1">
      <alignment horizontal="center"/>
    </xf>
    <xf numFmtId="164" fontId="10" fillId="0" borderId="0" xfId="0" applyNumberFormat="1" applyFont="1" applyFill="1" applyBorder="1" applyAlignment="1">
      <alignment horizontal="center" vertical="center"/>
    </xf>
    <xf numFmtId="0" fontId="128" fillId="0" borderId="0" xfId="23" applyFont="1" applyBorder="1" applyAlignment="1">
      <alignment horizontal="center" wrapText="1"/>
    </xf>
    <xf numFmtId="49" fontId="31" fillId="0" borderId="0" xfId="0" applyNumberFormat="1" applyFont="1" applyFill="1" applyBorder="1" applyAlignment="1">
      <alignment horizontal="center" vertical="center" wrapText="1"/>
    </xf>
    <xf numFmtId="1" fontId="10" fillId="2" borderId="18" xfId="0" applyNumberFormat="1" applyFont="1" applyFill="1" applyBorder="1" applyAlignment="1">
      <alignment horizontal="center" vertical="center"/>
    </xf>
    <xf numFmtId="1" fontId="10" fillId="2" borderId="14" xfId="0" applyNumberFormat="1" applyFont="1" applyFill="1" applyBorder="1" applyAlignment="1">
      <alignment horizontal="center" vertical="center"/>
    </xf>
    <xf numFmtId="0" fontId="10" fillId="8" borderId="18" xfId="0" applyFont="1" applyFill="1" applyBorder="1" applyAlignment="1">
      <alignment horizontal="center" vertical="center"/>
    </xf>
    <xf numFmtId="0" fontId="10" fillId="0" borderId="6" xfId="0" applyFont="1" applyFill="1" applyBorder="1" applyAlignment="1">
      <alignment horizontal="left" vertical="center"/>
    </xf>
    <xf numFmtId="0" fontId="10" fillId="0" borderId="7" xfId="0" applyFont="1" applyFill="1" applyBorder="1" applyAlignment="1">
      <alignment horizontal="left" vertical="center"/>
    </xf>
    <xf numFmtId="0" fontId="10" fillId="0" borderId="0" xfId="0" applyFont="1" applyFill="1" applyBorder="1" applyAlignment="1">
      <alignment vertical="center"/>
    </xf>
    <xf numFmtId="0" fontId="11" fillId="0" borderId="0" xfId="0" applyFont="1" applyFill="1" applyBorder="1" applyAlignment="1">
      <alignment horizontal="left" vertical="center"/>
    </xf>
    <xf numFmtId="1" fontId="10" fillId="0" borderId="0" xfId="0" applyNumberFormat="1" applyFont="1" applyFill="1" applyBorder="1" applyAlignment="1">
      <alignment horizontal="center" vertical="center"/>
    </xf>
    <xf numFmtId="0" fontId="10" fillId="0" borderId="0" xfId="0" applyFont="1" applyFill="1" applyBorder="1" applyAlignment="1">
      <alignment horizontal="left" vertical="top" wrapText="1"/>
    </xf>
    <xf numFmtId="0" fontId="8" fillId="0" borderId="0" xfId="0" applyFont="1" applyBorder="1" applyAlignment="1">
      <alignment horizontal="left"/>
    </xf>
    <xf numFmtId="168" fontId="141" fillId="11" borderId="0" xfId="10" applyNumberFormat="1" applyFont="1" applyFill="1" applyBorder="1" applyAlignment="1">
      <alignment horizontal="center" vertical="center"/>
    </xf>
    <xf numFmtId="168" fontId="10" fillId="2" borderId="18" xfId="10" applyNumberFormat="1" applyFont="1" applyFill="1" applyBorder="1" applyAlignment="1">
      <alignment horizontal="center" vertical="center"/>
    </xf>
    <xf numFmtId="168" fontId="10" fillId="2" borderId="14" xfId="10" applyNumberFormat="1" applyFont="1" applyFill="1" applyBorder="1" applyAlignment="1">
      <alignment horizontal="center" vertical="center"/>
    </xf>
    <xf numFmtId="165" fontId="10" fillId="5" borderId="18" xfId="10" applyNumberFormat="1" applyFont="1" applyFill="1" applyBorder="1" applyAlignment="1" applyProtection="1">
      <alignment horizontal="center" vertical="center"/>
      <protection locked="0"/>
    </xf>
    <xf numFmtId="165" fontId="10" fillId="5" borderId="14" xfId="10" applyNumberFormat="1" applyFont="1" applyFill="1" applyBorder="1" applyAlignment="1" applyProtection="1">
      <alignment horizontal="center" vertical="center"/>
      <protection locked="0"/>
    </xf>
    <xf numFmtId="0" fontId="10" fillId="2" borderId="14" xfId="10" applyFont="1" applyFill="1" applyBorder="1" applyAlignment="1">
      <alignment horizontal="center" vertical="center"/>
    </xf>
    <xf numFmtId="165" fontId="10" fillId="2" borderId="18" xfId="10" applyNumberFormat="1" applyFont="1" applyFill="1" applyBorder="1" applyAlignment="1">
      <alignment horizontal="center" vertical="center"/>
    </xf>
    <xf numFmtId="165" fontId="10" fillId="2" borderId="14" xfId="10" applyNumberFormat="1" applyFont="1" applyFill="1" applyBorder="1" applyAlignment="1">
      <alignment horizontal="center" vertical="center"/>
    </xf>
    <xf numFmtId="0" fontId="10" fillId="2" borderId="28" xfId="23" applyFont="1" applyFill="1" applyBorder="1" applyAlignment="1" applyProtection="1">
      <alignment horizontal="center" vertical="center" wrapText="1"/>
    </xf>
    <xf numFmtId="1" fontId="10" fillId="5" borderId="18" xfId="10" applyNumberFormat="1" applyFont="1" applyFill="1" applyBorder="1" applyAlignment="1" applyProtection="1">
      <alignment horizontal="center" vertical="center"/>
      <protection locked="0"/>
    </xf>
    <xf numFmtId="1" fontId="10" fillId="5" borderId="14" xfId="10" applyNumberFormat="1" applyFont="1" applyFill="1" applyBorder="1" applyAlignment="1" applyProtection="1">
      <alignment horizontal="center" vertical="center"/>
      <protection locked="0"/>
    </xf>
    <xf numFmtId="0" fontId="10" fillId="0" borderId="0" xfId="10" applyFont="1" applyBorder="1" applyAlignment="1">
      <alignment horizontal="right" vertical="center" wrapText="1"/>
    </xf>
    <xf numFmtId="0" fontId="10" fillId="0" borderId="7" xfId="10" applyFont="1" applyBorder="1" applyAlignment="1">
      <alignment horizontal="right" vertical="center" wrapText="1"/>
    </xf>
    <xf numFmtId="0" fontId="10" fillId="2" borderId="28" xfId="23" applyFont="1" applyFill="1" applyBorder="1" applyAlignment="1" applyProtection="1">
      <alignment horizontal="left" vertical="center" wrapText="1"/>
    </xf>
    <xf numFmtId="1" fontId="10" fillId="5" borderId="8" xfId="10" applyNumberFormat="1" applyFont="1" applyFill="1" applyBorder="1" applyAlignment="1" applyProtection="1">
      <alignment horizontal="center" vertical="center"/>
      <protection locked="0"/>
    </xf>
    <xf numFmtId="0" fontId="10" fillId="2" borderId="28" xfId="23" applyFont="1" applyFill="1" applyBorder="1" applyAlignment="1">
      <alignment horizontal="right" vertical="center" wrapText="1"/>
    </xf>
    <xf numFmtId="1" fontId="10" fillId="2" borderId="8" xfId="10" applyNumberFormat="1" applyFont="1" applyFill="1" applyBorder="1" applyAlignment="1">
      <alignment horizontal="center" vertical="center"/>
    </xf>
    <xf numFmtId="165" fontId="10" fillId="2" borderId="8" xfId="10" applyNumberFormat="1" applyFont="1" applyFill="1" applyBorder="1" applyAlignment="1">
      <alignment horizontal="center" vertical="center"/>
    </xf>
    <xf numFmtId="1" fontId="10" fillId="2" borderId="18" xfId="10" applyNumberFormat="1" applyFont="1" applyFill="1" applyBorder="1" applyAlignment="1">
      <alignment horizontal="center" vertical="center"/>
    </xf>
    <xf numFmtId="1" fontId="10" fillId="2" borderId="14" xfId="10" applyNumberFormat="1" applyFont="1" applyFill="1" applyBorder="1" applyAlignment="1">
      <alignment horizontal="center" vertical="center"/>
    </xf>
    <xf numFmtId="49" fontId="31" fillId="0" borderId="0" xfId="10" applyNumberFormat="1" applyFont="1" applyFill="1" applyBorder="1" applyAlignment="1">
      <alignment horizontal="center" vertical="center" wrapText="1"/>
    </xf>
    <xf numFmtId="0" fontId="10" fillId="2" borderId="28" xfId="0" applyFont="1" applyFill="1" applyBorder="1" applyAlignment="1">
      <alignment horizontal="left" vertical="center"/>
    </xf>
    <xf numFmtId="0" fontId="10" fillId="0" borderId="0" xfId="10" applyFont="1" applyBorder="1" applyAlignment="1">
      <alignment horizontal="center" vertical="center" wrapText="1"/>
    </xf>
    <xf numFmtId="0" fontId="10" fillId="0" borderId="1" xfId="10" applyFont="1" applyBorder="1" applyAlignment="1">
      <alignment horizontal="center" vertical="center" wrapText="1"/>
    </xf>
    <xf numFmtId="0" fontId="10" fillId="0" borderId="2" xfId="10" applyFont="1" applyBorder="1" applyAlignment="1">
      <alignment horizontal="center" vertical="center" wrapText="1"/>
    </xf>
    <xf numFmtId="0" fontId="10" fillId="0" borderId="23" xfId="10" applyFont="1" applyBorder="1" applyAlignment="1">
      <alignment horizontal="center" vertical="center" wrapText="1"/>
    </xf>
    <xf numFmtId="0" fontId="0" fillId="0" borderId="1" xfId="0" applyBorder="1" applyAlignment="1">
      <alignment vertical="center"/>
    </xf>
    <xf numFmtId="1" fontId="8" fillId="2" borderId="14" xfId="10" applyNumberFormat="1" applyFont="1" applyFill="1" applyBorder="1" applyAlignment="1">
      <alignment vertical="center"/>
    </xf>
    <xf numFmtId="0" fontId="10" fillId="2" borderId="28" xfId="10" applyFont="1" applyFill="1" applyBorder="1" applyAlignment="1">
      <alignment horizontal="right" vertical="center"/>
    </xf>
    <xf numFmtId="0" fontId="10" fillId="2" borderId="29" xfId="10" applyFont="1" applyFill="1" applyBorder="1" applyAlignment="1">
      <alignment horizontal="right" vertical="center"/>
    </xf>
    <xf numFmtId="167" fontId="10" fillId="2" borderId="18" xfId="10" applyNumberFormat="1" applyFont="1" applyFill="1" applyBorder="1" applyAlignment="1">
      <alignment horizontal="center" vertical="center"/>
    </xf>
    <xf numFmtId="167" fontId="10" fillId="2" borderId="14" xfId="10" applyNumberFormat="1" applyFont="1" applyFill="1" applyBorder="1" applyAlignment="1">
      <alignment horizontal="center" vertical="center"/>
    </xf>
    <xf numFmtId="165" fontId="10" fillId="7" borderId="18" xfId="10" applyNumberFormat="1" applyFont="1" applyFill="1" applyBorder="1" applyAlignment="1" applyProtection="1">
      <alignment horizontal="center" vertical="center"/>
      <protection locked="0"/>
    </xf>
    <xf numFmtId="165" fontId="10" fillId="7" borderId="14" xfId="10" applyNumberFormat="1" applyFont="1" applyFill="1" applyBorder="1" applyAlignment="1" applyProtection="1">
      <alignment horizontal="center" vertical="center"/>
      <protection locked="0"/>
    </xf>
    <xf numFmtId="2" fontId="10" fillId="5" borderId="18" xfId="10" applyNumberFormat="1" applyFont="1" applyFill="1" applyBorder="1" applyAlignment="1" applyProtection="1">
      <alignment horizontal="center" vertical="center"/>
      <protection locked="0"/>
    </xf>
    <xf numFmtId="2" fontId="10" fillId="5" borderId="14" xfId="10" applyNumberFormat="1" applyFont="1" applyFill="1" applyBorder="1" applyAlignment="1" applyProtection="1">
      <alignment horizontal="center" vertical="center"/>
      <protection locked="0"/>
    </xf>
    <xf numFmtId="0" fontId="10" fillId="2" borderId="28" xfId="0" applyFont="1" applyFill="1" applyBorder="1" applyAlignment="1">
      <alignment horizontal="right" vertical="center"/>
    </xf>
    <xf numFmtId="0" fontId="10" fillId="0" borderId="6" xfId="10" applyFont="1" applyBorder="1" applyAlignment="1">
      <alignment horizontal="left" vertical="center"/>
    </xf>
    <xf numFmtId="0" fontId="10" fillId="0" borderId="7" xfId="10" applyFont="1" applyBorder="1" applyAlignment="1">
      <alignment horizontal="left" vertical="center"/>
    </xf>
    <xf numFmtId="2" fontId="10" fillId="2" borderId="18" xfId="10" applyNumberFormat="1" applyFont="1" applyFill="1" applyBorder="1" applyAlignment="1">
      <alignment horizontal="center" vertical="center"/>
    </xf>
    <xf numFmtId="2" fontId="10" fillId="2" borderId="14" xfId="10" applyNumberFormat="1" applyFont="1" applyFill="1" applyBorder="1" applyAlignment="1">
      <alignment horizontal="center" vertical="center"/>
    </xf>
    <xf numFmtId="171" fontId="10" fillId="2" borderId="18" xfId="10" applyNumberFormat="1" applyFont="1" applyFill="1" applyBorder="1" applyAlignment="1">
      <alignment horizontal="center" vertical="center"/>
    </xf>
    <xf numFmtId="171" fontId="10" fillId="2" borderId="14" xfId="10" applyNumberFormat="1" applyFont="1" applyFill="1" applyBorder="1" applyAlignment="1">
      <alignment horizontal="center" vertical="center"/>
    </xf>
    <xf numFmtId="0" fontId="10" fillId="9" borderId="8" xfId="23" applyFont="1" applyFill="1" applyBorder="1" applyAlignment="1">
      <alignment horizontal="center"/>
    </xf>
    <xf numFmtId="0" fontId="10" fillId="0" borderId="0" xfId="10" applyFont="1" applyBorder="1" applyAlignment="1">
      <alignment horizontal="center" vertical="center"/>
    </xf>
    <xf numFmtId="0" fontId="10" fillId="0" borderId="1" xfId="23" applyFont="1" applyBorder="1" applyAlignment="1">
      <alignment horizontal="left" vertical="center" wrapText="1"/>
    </xf>
    <xf numFmtId="2" fontId="10" fillId="2" borderId="18" xfId="10" applyNumberFormat="1" applyFont="1" applyFill="1" applyBorder="1" applyAlignment="1" applyProtection="1">
      <alignment horizontal="center" vertical="center"/>
    </xf>
    <xf numFmtId="2" fontId="10" fillId="2" borderId="14" xfId="10" applyNumberFormat="1" applyFont="1" applyFill="1" applyBorder="1" applyAlignment="1" applyProtection="1">
      <alignment horizontal="center" vertical="center"/>
    </xf>
    <xf numFmtId="0" fontId="10" fillId="7" borderId="8" xfId="10" applyFont="1" applyFill="1" applyBorder="1" applyAlignment="1" applyProtection="1">
      <alignment horizontal="center" vertical="center"/>
      <protection locked="0"/>
    </xf>
    <xf numFmtId="165" fontId="10" fillId="2" borderId="18" xfId="10" applyNumberFormat="1" applyFont="1" applyFill="1" applyBorder="1" applyAlignment="1" applyProtection="1">
      <alignment horizontal="center" vertical="center"/>
    </xf>
    <xf numFmtId="165" fontId="10" fillId="2" borderId="14" xfId="10" applyNumberFormat="1" applyFont="1" applyFill="1" applyBorder="1" applyAlignment="1" applyProtection="1">
      <alignment horizontal="center" vertical="center"/>
    </xf>
    <xf numFmtId="165" fontId="10" fillId="2" borderId="18" xfId="10" applyNumberFormat="1" applyFont="1" applyFill="1" applyBorder="1" applyAlignment="1">
      <alignment horizontal="center" vertical="center" wrapText="1"/>
    </xf>
    <xf numFmtId="165" fontId="10" fillId="2" borderId="14" xfId="10" applyNumberFormat="1" applyFont="1" applyFill="1" applyBorder="1" applyAlignment="1">
      <alignment horizontal="center" vertical="center" wrapText="1"/>
    </xf>
    <xf numFmtId="0" fontId="10" fillId="7" borderId="18" xfId="10" applyFont="1" applyFill="1" applyBorder="1" applyAlignment="1" applyProtection="1">
      <alignment horizontal="left" vertical="top" wrapText="1"/>
      <protection locked="0"/>
    </xf>
    <xf numFmtId="0" fontId="10" fillId="7" borderId="19" xfId="10" applyFont="1" applyFill="1" applyBorder="1" applyAlignment="1" applyProtection="1">
      <alignment horizontal="left" vertical="top" wrapText="1"/>
      <protection locked="0"/>
    </xf>
    <xf numFmtId="0" fontId="10" fillId="7" borderId="14" xfId="10" applyFont="1" applyFill="1" applyBorder="1" applyAlignment="1" applyProtection="1">
      <alignment horizontal="left" vertical="top" wrapText="1"/>
      <protection locked="0"/>
    </xf>
    <xf numFmtId="0" fontId="11" fillId="0" borderId="0" xfId="23" applyFont="1" applyFill="1" applyBorder="1" applyAlignment="1">
      <alignment horizontal="center" vertical="center" wrapText="1"/>
    </xf>
    <xf numFmtId="0" fontId="10" fillId="11" borderId="8" xfId="10" applyFont="1" applyFill="1" applyBorder="1" applyAlignment="1" applyProtection="1">
      <alignment horizontal="center" vertical="center"/>
    </xf>
    <xf numFmtId="2" fontId="10" fillId="11" borderId="18" xfId="10" applyNumberFormat="1" applyFont="1" applyFill="1" applyBorder="1" applyAlignment="1">
      <alignment horizontal="center" vertical="center"/>
    </xf>
    <xf numFmtId="2" fontId="10" fillId="11" borderId="14" xfId="10" applyNumberFormat="1" applyFont="1" applyFill="1" applyBorder="1" applyAlignment="1">
      <alignment horizontal="center" vertical="center"/>
    </xf>
    <xf numFmtId="167" fontId="10" fillId="0" borderId="0" xfId="23" applyNumberFormat="1" applyFont="1" applyFill="1" applyBorder="1" applyAlignment="1" applyProtection="1">
      <alignment horizontal="left" vertical="center"/>
    </xf>
    <xf numFmtId="167" fontId="10" fillId="0" borderId="7" xfId="23" applyNumberFormat="1" applyFont="1" applyFill="1" applyBorder="1" applyAlignment="1" applyProtection="1">
      <alignment horizontal="left" vertical="center"/>
    </xf>
    <xf numFmtId="168" fontId="141" fillId="0" borderId="0" xfId="10" applyNumberFormat="1" applyFont="1" applyFill="1" applyBorder="1" applyAlignment="1">
      <alignment horizontal="center" vertical="center"/>
    </xf>
    <xf numFmtId="2" fontId="10" fillId="11" borderId="8" xfId="23" applyNumberFormat="1" applyFont="1" applyFill="1" applyBorder="1" applyAlignment="1" applyProtection="1">
      <alignment horizontal="center" vertical="center"/>
    </xf>
    <xf numFmtId="0" fontId="10" fillId="7" borderId="49" xfId="10" applyNumberFormat="1" applyFont="1" applyFill="1" applyBorder="1" applyAlignment="1" applyProtection="1">
      <alignment horizontal="center" vertical="top" wrapText="1"/>
      <protection locked="0"/>
    </xf>
    <xf numFmtId="0" fontId="10" fillId="7" borderId="41" xfId="10" applyNumberFormat="1" applyFont="1" applyFill="1" applyBorder="1" applyAlignment="1" applyProtection="1">
      <alignment horizontal="center" vertical="top" wrapText="1"/>
      <protection locked="0"/>
    </xf>
    <xf numFmtId="0" fontId="10" fillId="7" borderId="50" xfId="10" applyNumberFormat="1" applyFont="1" applyFill="1" applyBorder="1" applyAlignment="1" applyProtection="1">
      <alignment horizontal="center" vertical="top" wrapText="1"/>
      <protection locked="0"/>
    </xf>
    <xf numFmtId="168" fontId="10" fillId="0" borderId="7" xfId="23" applyNumberFormat="1" applyFont="1" applyBorder="1" applyAlignment="1">
      <alignment horizontal="center"/>
    </xf>
    <xf numFmtId="168" fontId="10" fillId="11" borderId="18" xfId="10" applyNumberFormat="1" applyFont="1" applyFill="1" applyBorder="1" applyAlignment="1">
      <alignment horizontal="center" vertical="center"/>
    </xf>
    <xf numFmtId="168" fontId="10" fillId="11" borderId="14" xfId="10" applyNumberFormat="1" applyFont="1" applyFill="1" applyBorder="1" applyAlignment="1">
      <alignment horizontal="center" vertical="center"/>
    </xf>
    <xf numFmtId="0" fontId="10" fillId="7" borderId="8" xfId="10" applyFont="1" applyFill="1" applyBorder="1" applyAlignment="1" applyProtection="1">
      <alignment horizontal="center" vertical="center" wrapText="1"/>
      <protection locked="0"/>
    </xf>
    <xf numFmtId="169" fontId="10" fillId="2" borderId="18" xfId="10" applyNumberFormat="1" applyFont="1" applyFill="1" applyBorder="1" applyAlignment="1">
      <alignment horizontal="center" vertical="center"/>
    </xf>
    <xf numFmtId="169" fontId="10" fillId="2" borderId="14" xfId="10" applyNumberFormat="1" applyFont="1" applyFill="1" applyBorder="1" applyAlignment="1">
      <alignment horizontal="center" vertical="center"/>
    </xf>
    <xf numFmtId="169" fontId="10" fillId="5" borderId="18" xfId="10" applyNumberFormat="1" applyFont="1" applyFill="1" applyBorder="1" applyAlignment="1" applyProtection="1">
      <alignment horizontal="center" vertical="center"/>
      <protection locked="0"/>
    </xf>
    <xf numFmtId="169" fontId="10" fillId="5" borderId="14" xfId="10" applyNumberFormat="1" applyFont="1" applyFill="1" applyBorder="1" applyAlignment="1" applyProtection="1">
      <alignment horizontal="center" vertical="center"/>
      <protection locked="0"/>
    </xf>
    <xf numFmtId="0" fontId="10" fillId="2" borderId="18" xfId="10" applyFont="1" applyFill="1" applyBorder="1" applyAlignment="1">
      <alignment horizontal="center" vertical="center"/>
    </xf>
    <xf numFmtId="168" fontId="10" fillId="11" borderId="0" xfId="10" applyNumberFormat="1" applyFont="1" applyFill="1" applyBorder="1" applyAlignment="1">
      <alignment horizontal="center" vertical="center"/>
    </xf>
    <xf numFmtId="0" fontId="10" fillId="0" borderId="6" xfId="10" applyFont="1" applyBorder="1" applyAlignment="1">
      <alignment horizontal="center" vertical="center"/>
    </xf>
    <xf numFmtId="0" fontId="10" fillId="0" borderId="7" xfId="10" applyFont="1" applyBorder="1" applyAlignment="1">
      <alignment horizontal="center" vertical="center"/>
    </xf>
    <xf numFmtId="0" fontId="10" fillId="7" borderId="18" xfId="10" applyFont="1" applyFill="1" applyBorder="1" applyAlignment="1" applyProtection="1">
      <alignment horizontal="center" vertical="center"/>
      <protection locked="0"/>
    </xf>
    <xf numFmtId="0" fontId="10" fillId="7" borderId="14" xfId="10" applyFont="1" applyFill="1" applyBorder="1" applyAlignment="1" applyProtection="1">
      <alignment horizontal="center" vertical="center"/>
      <protection locked="0"/>
    </xf>
    <xf numFmtId="2" fontId="10" fillId="2" borderId="8" xfId="10" applyNumberFormat="1" applyFont="1" applyFill="1" applyBorder="1" applyAlignment="1" applyProtection="1">
      <alignment horizontal="center" vertical="center"/>
    </xf>
    <xf numFmtId="2" fontId="10" fillId="0" borderId="0" xfId="23" applyNumberFormat="1" applyFont="1" applyFill="1" applyBorder="1" applyAlignment="1">
      <alignment horizontal="center" vertical="center"/>
    </xf>
    <xf numFmtId="0" fontId="13" fillId="0" borderId="0" xfId="10" applyFont="1" applyBorder="1" applyAlignment="1">
      <alignment horizontal="center" vertical="center" textRotation="90"/>
    </xf>
    <xf numFmtId="0" fontId="10" fillId="5" borderId="18" xfId="10" applyFont="1" applyFill="1" applyBorder="1" applyAlignment="1" applyProtection="1">
      <alignment horizontal="center" vertical="center"/>
      <protection locked="0"/>
    </xf>
    <xf numFmtId="0" fontId="10" fillId="5" borderId="14" xfId="10" applyFont="1" applyFill="1" applyBorder="1" applyAlignment="1" applyProtection="1">
      <alignment horizontal="center" vertical="center"/>
      <protection locked="0"/>
    </xf>
    <xf numFmtId="0" fontId="10" fillId="2" borderId="0" xfId="23" applyFont="1" applyFill="1" applyBorder="1" applyAlignment="1">
      <alignment horizontal="right" vertical="center" wrapText="1"/>
    </xf>
    <xf numFmtId="0" fontId="10" fillId="7" borderId="18" xfId="10" applyNumberFormat="1" applyFont="1" applyFill="1" applyBorder="1" applyAlignment="1" applyProtection="1">
      <alignment horizontal="left" vertical="top" wrapText="1"/>
      <protection locked="0"/>
    </xf>
    <xf numFmtId="0" fontId="10" fillId="7" borderId="19" xfId="10" applyNumberFormat="1" applyFont="1" applyFill="1" applyBorder="1" applyAlignment="1" applyProtection="1">
      <alignment horizontal="left" vertical="top" wrapText="1"/>
      <protection locked="0"/>
    </xf>
    <xf numFmtId="0" fontId="10" fillId="7" borderId="14" xfId="10" applyNumberFormat="1" applyFont="1" applyFill="1" applyBorder="1" applyAlignment="1" applyProtection="1">
      <alignment horizontal="left" vertical="top" wrapText="1"/>
      <protection locked="0"/>
    </xf>
    <xf numFmtId="0" fontId="10" fillId="0" borderId="0" xfId="10" applyFont="1" applyBorder="1" applyAlignment="1">
      <alignment horizontal="left" vertical="center"/>
    </xf>
    <xf numFmtId="165" fontId="10" fillId="2" borderId="18" xfId="10" quotePrefix="1" applyNumberFormat="1" applyFont="1" applyFill="1" applyBorder="1" applyAlignment="1">
      <alignment horizontal="center" vertical="center"/>
    </xf>
    <xf numFmtId="165" fontId="10" fillId="2" borderId="18" xfId="10" applyNumberFormat="1" applyFont="1" applyFill="1" applyBorder="1" applyAlignment="1">
      <alignment horizontal="center"/>
    </xf>
    <xf numFmtId="165" fontId="10" fillId="2" borderId="14" xfId="10" applyNumberFormat="1" applyFont="1" applyFill="1" applyBorder="1" applyAlignment="1">
      <alignment horizontal="center"/>
    </xf>
    <xf numFmtId="168" fontId="12" fillId="0" borderId="0" xfId="10" applyNumberFormat="1" applyFont="1" applyFill="1" applyBorder="1" applyAlignment="1">
      <alignment horizontal="center" vertical="center"/>
    </xf>
    <xf numFmtId="0" fontId="12" fillId="0" borderId="0" xfId="10" applyFont="1" applyFill="1" applyBorder="1" applyAlignment="1">
      <alignment horizontal="center"/>
    </xf>
    <xf numFmtId="0" fontId="12" fillId="0" borderId="0" xfId="10" applyFont="1" applyFill="1" applyBorder="1" applyAlignment="1">
      <alignment horizontal="center" vertical="center"/>
    </xf>
    <xf numFmtId="0" fontId="12" fillId="0" borderId="19" xfId="10" applyFont="1" applyFill="1" applyBorder="1" applyAlignment="1">
      <alignment horizontal="center" vertical="center"/>
    </xf>
    <xf numFmtId="168" fontId="136" fillId="0" borderId="0" xfId="10" applyNumberFormat="1" applyFont="1" applyFill="1" applyBorder="1" applyAlignment="1">
      <alignment horizontal="center"/>
    </xf>
    <xf numFmtId="0" fontId="136" fillId="0" borderId="0" xfId="10" applyFont="1" applyFill="1" applyBorder="1" applyAlignment="1">
      <alignment horizontal="center"/>
    </xf>
    <xf numFmtId="168" fontId="12" fillId="0" borderId="0" xfId="10" applyNumberFormat="1" applyFont="1" applyFill="1" applyBorder="1" applyAlignment="1">
      <alignment horizontal="center"/>
    </xf>
    <xf numFmtId="0" fontId="10" fillId="0" borderId="0" xfId="10" quotePrefix="1" applyFont="1" applyFill="1" applyBorder="1" applyAlignment="1">
      <alignment horizontal="center" vertical="center"/>
    </xf>
    <xf numFmtId="165" fontId="10" fillId="3" borderId="0" xfId="10" applyNumberFormat="1" applyFont="1" applyFill="1" applyBorder="1" applyAlignment="1">
      <alignment horizontal="left" vertical="center"/>
    </xf>
    <xf numFmtId="165" fontId="14" fillId="3" borderId="0" xfId="10" applyNumberFormat="1" applyFont="1" applyFill="1" applyBorder="1" applyAlignment="1">
      <alignment horizontal="left" vertical="center"/>
    </xf>
    <xf numFmtId="0" fontId="20" fillId="0" borderId="7" xfId="10" applyBorder="1" applyAlignment="1">
      <alignment horizontal="left" vertical="center"/>
    </xf>
    <xf numFmtId="1" fontId="10" fillId="9" borderId="18" xfId="10" applyNumberFormat="1" applyFont="1" applyFill="1" applyBorder="1" applyAlignment="1">
      <alignment horizontal="center" vertical="center"/>
    </xf>
    <xf numFmtId="1" fontId="10" fillId="9" borderId="14" xfId="10" applyNumberFormat="1" applyFont="1" applyFill="1" applyBorder="1" applyAlignment="1">
      <alignment horizontal="center" vertical="center"/>
    </xf>
    <xf numFmtId="0" fontId="20" fillId="0" borderId="0" xfId="10" applyBorder="1" applyAlignment="1"/>
    <xf numFmtId="0" fontId="20" fillId="0" borderId="7" xfId="10" applyBorder="1" applyAlignment="1"/>
    <xf numFmtId="0" fontId="74" fillId="0" borderId="4" xfId="46" applyFont="1" applyBorder="1" applyAlignment="1">
      <alignment horizontal="center" vertical="center" wrapText="1"/>
    </xf>
    <xf numFmtId="0" fontId="34" fillId="5" borderId="18" xfId="0" applyFont="1" applyFill="1" applyBorder="1" applyAlignment="1" applyProtection="1">
      <alignment horizontal="center" vertical="center"/>
      <protection locked="0"/>
    </xf>
    <xf numFmtId="0" fontId="34" fillId="5" borderId="14" xfId="0" applyFont="1" applyFill="1" applyBorder="1" applyAlignment="1" applyProtection="1">
      <alignment horizontal="center" vertical="center"/>
      <protection locked="0"/>
    </xf>
    <xf numFmtId="165" fontId="34" fillId="2" borderId="18" xfId="0" applyNumberFormat="1" applyFont="1" applyFill="1" applyBorder="1" applyAlignment="1">
      <alignment horizontal="center" vertical="center"/>
    </xf>
    <xf numFmtId="0" fontId="34" fillId="2" borderId="14" xfId="0" applyFont="1" applyFill="1" applyBorder="1" applyAlignment="1">
      <alignment horizontal="center" vertical="center"/>
    </xf>
    <xf numFmtId="0" fontId="34" fillId="2" borderId="18" xfId="0" applyFont="1" applyFill="1" applyBorder="1" applyAlignment="1">
      <alignment horizontal="center" vertical="center"/>
    </xf>
    <xf numFmtId="0" fontId="75" fillId="2" borderId="18" xfId="0" applyFont="1" applyFill="1" applyBorder="1" applyAlignment="1">
      <alignment horizontal="left"/>
    </xf>
    <xf numFmtId="0" fontId="75" fillId="2" borderId="19" xfId="0" applyFont="1" applyFill="1" applyBorder="1" applyAlignment="1">
      <alignment horizontal="left"/>
    </xf>
    <xf numFmtId="0" fontId="75" fillId="2" borderId="14" xfId="0" applyFont="1" applyFill="1" applyBorder="1" applyAlignment="1">
      <alignment horizontal="left"/>
    </xf>
    <xf numFmtId="1" fontId="34" fillId="2" borderId="18" xfId="0" applyNumberFormat="1" applyFont="1" applyFill="1" applyBorder="1" applyAlignment="1">
      <alignment horizontal="center" vertical="center"/>
    </xf>
    <xf numFmtId="1" fontId="34" fillId="2" borderId="14" xfId="0" applyNumberFormat="1" applyFont="1" applyFill="1" applyBorder="1" applyAlignment="1">
      <alignment horizontal="center" vertical="center"/>
    </xf>
    <xf numFmtId="165" fontId="34" fillId="2" borderId="14" xfId="0" applyNumberFormat="1" applyFont="1" applyFill="1" applyBorder="1" applyAlignment="1">
      <alignment horizontal="center" vertical="center"/>
    </xf>
    <xf numFmtId="0" fontId="8" fillId="0" borderId="14" xfId="0" applyFont="1" applyBorder="1" applyAlignment="1">
      <alignment horizontal="center" vertical="center"/>
    </xf>
    <xf numFmtId="0" fontId="10" fillId="2" borderId="19" xfId="0" applyFont="1" applyFill="1" applyBorder="1" applyAlignment="1">
      <alignment horizontal="right"/>
    </xf>
    <xf numFmtId="0" fontId="10" fillId="2" borderId="19" xfId="0" applyFont="1" applyFill="1" applyBorder="1" applyAlignment="1">
      <alignment horizontal="left"/>
    </xf>
    <xf numFmtId="0" fontId="76" fillId="0" borderId="6" xfId="0" applyFont="1" applyBorder="1" applyAlignment="1">
      <alignment horizontal="center" vertical="center"/>
    </xf>
    <xf numFmtId="0" fontId="76" fillId="0" borderId="7" xfId="0" applyFont="1" applyBorder="1" applyAlignment="1">
      <alignment horizontal="center" vertical="center"/>
    </xf>
    <xf numFmtId="0" fontId="34" fillId="7" borderId="10" xfId="0" applyFont="1" applyFill="1" applyBorder="1" applyAlignment="1" applyProtection="1">
      <alignment horizontal="left" vertical="top"/>
      <protection locked="0"/>
    </xf>
    <xf numFmtId="0" fontId="34" fillId="7" borderId="9" xfId="0" applyFont="1" applyFill="1" applyBorder="1" applyAlignment="1" applyProtection="1">
      <alignment horizontal="left" vertical="top"/>
      <protection locked="0"/>
    </xf>
    <xf numFmtId="0" fontId="34" fillId="7" borderId="11" xfId="0" applyFont="1" applyFill="1" applyBorder="1" applyAlignment="1" applyProtection="1">
      <alignment horizontal="left" vertical="top"/>
      <protection locked="0"/>
    </xf>
    <xf numFmtId="0" fontId="34" fillId="7" borderId="6" xfId="0" applyFont="1" applyFill="1" applyBorder="1" applyAlignment="1" applyProtection="1">
      <alignment horizontal="left" vertical="top"/>
      <protection locked="0"/>
    </xf>
    <xf numFmtId="0" fontId="34" fillId="7" borderId="0" xfId="0" applyFont="1" applyFill="1" applyBorder="1" applyAlignment="1" applyProtection="1">
      <alignment horizontal="left" vertical="top"/>
      <protection locked="0"/>
    </xf>
    <xf numFmtId="0" fontId="34" fillId="7" borderId="7" xfId="0" applyFont="1" applyFill="1" applyBorder="1" applyAlignment="1" applyProtection="1">
      <alignment horizontal="left" vertical="top"/>
      <protection locked="0"/>
    </xf>
    <xf numFmtId="0" fontId="34" fillId="7" borderId="3" xfId="0" applyFont="1" applyFill="1" applyBorder="1" applyAlignment="1" applyProtection="1">
      <alignment horizontal="left" vertical="top"/>
      <protection locked="0"/>
    </xf>
    <xf numFmtId="0" fontId="34" fillId="7" borderId="4" xfId="0" applyFont="1" applyFill="1" applyBorder="1" applyAlignment="1" applyProtection="1">
      <alignment horizontal="left" vertical="top"/>
      <protection locked="0"/>
    </xf>
    <xf numFmtId="0" fontId="34" fillId="7" borderId="5" xfId="0" applyFont="1" applyFill="1" applyBorder="1" applyAlignment="1" applyProtection="1">
      <alignment horizontal="left" vertical="top"/>
      <protection locked="0"/>
    </xf>
    <xf numFmtId="2" fontId="34" fillId="5" borderId="18" xfId="0" applyNumberFormat="1" applyFont="1" applyFill="1" applyBorder="1" applyAlignment="1" applyProtection="1">
      <alignment horizontal="center" vertical="center"/>
      <protection locked="0"/>
    </xf>
    <xf numFmtId="2" fontId="34" fillId="5" borderId="14" xfId="0" applyNumberFormat="1" applyFont="1" applyFill="1" applyBorder="1" applyAlignment="1" applyProtection="1">
      <alignment horizontal="center" vertical="center"/>
      <protection locked="0"/>
    </xf>
    <xf numFmtId="0" fontId="34" fillId="0" borderId="0" xfId="0" applyFont="1" applyBorder="1" applyAlignment="1">
      <alignment horizontal="center"/>
    </xf>
    <xf numFmtId="0" fontId="71" fillId="0" borderId="0" xfId="0" applyFont="1" applyBorder="1" applyAlignment="1">
      <alignment horizontal="left" vertical="top" wrapText="1"/>
    </xf>
    <xf numFmtId="164" fontId="34" fillId="2" borderId="18" xfId="0" applyNumberFormat="1" applyFont="1" applyFill="1" applyBorder="1" applyAlignment="1">
      <alignment horizontal="center" vertical="center"/>
    </xf>
    <xf numFmtId="164" fontId="34" fillId="2" borderId="14" xfId="0" applyNumberFormat="1" applyFont="1" applyFill="1" applyBorder="1" applyAlignment="1">
      <alignment horizontal="center" vertical="center"/>
    </xf>
    <xf numFmtId="170" fontId="34" fillId="2" borderId="18" xfId="0" applyNumberFormat="1" applyFont="1" applyFill="1" applyBorder="1" applyAlignment="1">
      <alignment horizontal="center" vertical="center"/>
    </xf>
    <xf numFmtId="0" fontId="35" fillId="0" borderId="0" xfId="0" applyFont="1" applyBorder="1" applyAlignment="1">
      <alignment horizontal="center" vertical="center"/>
    </xf>
    <xf numFmtId="0" fontId="35" fillId="0" borderId="0" xfId="0" applyFont="1" applyBorder="1" applyAlignment="1">
      <alignment horizontal="center"/>
    </xf>
    <xf numFmtId="1" fontId="34" fillId="2" borderId="18" xfId="0" applyNumberFormat="1" applyFont="1" applyFill="1" applyBorder="1" applyAlignment="1">
      <alignment horizontal="center"/>
    </xf>
    <xf numFmtId="0" fontId="34" fillId="2" borderId="14" xfId="0" applyFont="1" applyFill="1" applyBorder="1" applyAlignment="1">
      <alignment horizontal="center"/>
    </xf>
    <xf numFmtId="165" fontId="34" fillId="2" borderId="18" xfId="0" applyNumberFormat="1" applyFont="1" applyFill="1" applyBorder="1" applyAlignment="1">
      <alignment horizontal="center"/>
    </xf>
    <xf numFmtId="165" fontId="34" fillId="2" borderId="14" xfId="0" applyNumberFormat="1" applyFont="1" applyFill="1" applyBorder="1" applyAlignment="1">
      <alignment horizontal="center"/>
    </xf>
    <xf numFmtId="0" fontId="34" fillId="2" borderId="18" xfId="0" applyFont="1" applyFill="1" applyBorder="1" applyAlignment="1">
      <alignment horizontal="center"/>
    </xf>
    <xf numFmtId="0" fontId="34" fillId="5" borderId="18" xfId="0" applyFont="1" applyFill="1" applyBorder="1" applyAlignment="1">
      <alignment horizontal="center" vertical="center"/>
    </xf>
    <xf numFmtId="0" fontId="34" fillId="5" borderId="14" xfId="0" applyFont="1" applyFill="1" applyBorder="1" applyAlignment="1">
      <alignment horizontal="center" vertical="center"/>
    </xf>
    <xf numFmtId="0" fontId="34" fillId="5" borderId="18" xfId="0" applyFont="1" applyFill="1" applyBorder="1" applyAlignment="1" applyProtection="1">
      <alignment horizontal="center"/>
      <protection locked="0"/>
    </xf>
    <xf numFmtId="0" fontId="34" fillId="5" borderId="14" xfId="0" applyFont="1" applyFill="1" applyBorder="1" applyAlignment="1" applyProtection="1">
      <alignment horizontal="center"/>
      <protection locked="0"/>
    </xf>
    <xf numFmtId="0" fontId="35" fillId="0" borderId="6" xfId="0" applyFont="1" applyBorder="1" applyAlignment="1">
      <alignment horizontal="center" vertical="center"/>
    </xf>
    <xf numFmtId="0" fontId="35" fillId="0" borderId="7" xfId="0" applyFont="1" applyBorder="1" applyAlignment="1">
      <alignment horizontal="center" vertical="center"/>
    </xf>
    <xf numFmtId="2" fontId="34" fillId="5" borderId="18" xfId="0" applyNumberFormat="1" applyFont="1" applyFill="1" applyBorder="1" applyAlignment="1" applyProtection="1">
      <alignment horizontal="center"/>
      <protection locked="0"/>
    </xf>
    <xf numFmtId="2" fontId="34" fillId="5" borderId="14" xfId="0" applyNumberFormat="1" applyFont="1" applyFill="1" applyBorder="1" applyAlignment="1" applyProtection="1">
      <alignment horizontal="center"/>
      <protection locked="0"/>
    </xf>
    <xf numFmtId="0" fontId="71" fillId="5" borderId="18" xfId="0" applyFont="1" applyFill="1" applyBorder="1" applyAlignment="1" applyProtection="1">
      <alignment horizontal="center" vertical="center"/>
      <protection locked="0"/>
    </xf>
    <xf numFmtId="0" fontId="71" fillId="5" borderId="14" xfId="0" applyFont="1" applyFill="1" applyBorder="1" applyAlignment="1" applyProtection="1">
      <alignment horizontal="center" vertical="center"/>
      <protection locked="0"/>
    </xf>
    <xf numFmtId="0" fontId="71" fillId="5" borderId="18" xfId="0" applyFont="1" applyFill="1" applyBorder="1" applyAlignment="1">
      <alignment horizontal="center" vertical="center"/>
    </xf>
    <xf numFmtId="0" fontId="71" fillId="5" borderId="14" xfId="0" applyFont="1" applyFill="1" applyBorder="1" applyAlignment="1">
      <alignment horizontal="center" vertical="center"/>
    </xf>
    <xf numFmtId="1" fontId="34" fillId="5" borderId="18" xfId="0" applyNumberFormat="1" applyFont="1" applyFill="1" applyBorder="1" applyAlignment="1" applyProtection="1">
      <alignment horizontal="center" vertical="center"/>
      <protection locked="0"/>
    </xf>
    <xf numFmtId="1" fontId="34" fillId="5" borderId="14" xfId="0" applyNumberFormat="1" applyFont="1" applyFill="1" applyBorder="1" applyAlignment="1" applyProtection="1">
      <alignment horizontal="center" vertical="center"/>
      <protection locked="0"/>
    </xf>
    <xf numFmtId="170" fontId="34" fillId="5" borderId="18" xfId="0" applyNumberFormat="1" applyFont="1" applyFill="1" applyBorder="1" applyAlignment="1" applyProtection="1">
      <alignment horizontal="center" vertical="center"/>
      <protection locked="0"/>
    </xf>
    <xf numFmtId="170" fontId="34" fillId="5" borderId="14" xfId="0" applyNumberFormat="1" applyFont="1" applyFill="1" applyBorder="1" applyAlignment="1" applyProtection="1">
      <alignment horizontal="center" vertical="center"/>
      <protection locked="0"/>
    </xf>
    <xf numFmtId="0" fontId="10" fillId="0" borderId="6" xfId="0" quotePrefix="1" applyFont="1" applyBorder="1" applyAlignment="1">
      <alignment horizontal="center" vertical="center"/>
    </xf>
    <xf numFmtId="0" fontId="10" fillId="0" borderId="0" xfId="0" applyFont="1" applyBorder="1" applyAlignment="1">
      <alignment horizontal="center" vertical="center"/>
    </xf>
    <xf numFmtId="0" fontId="10" fillId="0" borderId="7" xfId="0" applyFont="1" applyBorder="1" applyAlignment="1">
      <alignment horizontal="center" vertical="center"/>
    </xf>
    <xf numFmtId="0" fontId="12" fillId="0" borderId="7" xfId="0" applyFont="1" applyFill="1" applyBorder="1" applyAlignment="1">
      <alignment horizontal="center" wrapText="1"/>
    </xf>
    <xf numFmtId="0" fontId="10" fillId="0" borderId="0" xfId="0" applyFont="1" applyBorder="1" applyAlignment="1">
      <alignment horizontal="left" vertical="center" wrapText="1"/>
    </xf>
    <xf numFmtId="0" fontId="10" fillId="0" borderId="7" xfId="0" applyFont="1" applyBorder="1" applyAlignment="1">
      <alignment horizontal="left" vertical="center" wrapText="1"/>
    </xf>
    <xf numFmtId="0" fontId="10" fillId="2" borderId="18" xfId="0" applyFont="1" applyFill="1" applyBorder="1" applyAlignment="1" applyProtection="1">
      <alignment horizontal="center" vertical="center"/>
    </xf>
    <xf numFmtId="0" fontId="10" fillId="2" borderId="14" xfId="0" applyFont="1" applyFill="1" applyBorder="1" applyAlignment="1" applyProtection="1">
      <alignment horizontal="center" vertical="center"/>
    </xf>
    <xf numFmtId="165" fontId="10" fillId="8" borderId="18" xfId="0" applyNumberFormat="1" applyFont="1" applyFill="1" applyBorder="1" applyAlignment="1">
      <alignment horizontal="center" vertical="center"/>
    </xf>
    <xf numFmtId="165" fontId="10" fillId="8" borderId="14" xfId="0" applyNumberFormat="1" applyFont="1" applyFill="1" applyBorder="1" applyAlignment="1">
      <alignment horizontal="center" vertical="center"/>
    </xf>
    <xf numFmtId="0" fontId="11" fillId="0" borderId="6" xfId="0" applyFont="1" applyBorder="1" applyAlignment="1">
      <alignment horizontal="left" vertical="top" wrapText="1"/>
    </xf>
    <xf numFmtId="0" fontId="0" fillId="0" borderId="0" xfId="0" applyBorder="1" applyAlignment="1">
      <alignment horizontal="left" vertical="top" wrapText="1"/>
    </xf>
    <xf numFmtId="0" fontId="0" fillId="0" borderId="7" xfId="0" applyBorder="1" applyAlignment="1">
      <alignment horizontal="left" vertical="top" wrapText="1"/>
    </xf>
    <xf numFmtId="0" fontId="11" fillId="0" borderId="0" xfId="0" applyFont="1" applyBorder="1" applyAlignment="1">
      <alignment vertical="center" wrapText="1"/>
    </xf>
    <xf numFmtId="0" fontId="0" fillId="0" borderId="0" xfId="0" applyBorder="1" applyAlignment="1">
      <alignment wrapText="1"/>
    </xf>
    <xf numFmtId="0" fontId="0" fillId="0" borderId="7" xfId="0" applyBorder="1" applyAlignment="1">
      <alignment wrapText="1"/>
    </xf>
    <xf numFmtId="49" fontId="31" fillId="0" borderId="4" xfId="0" applyNumberFormat="1" applyFont="1" applyBorder="1" applyAlignment="1">
      <alignment horizontal="center" vertical="center" wrapText="1"/>
    </xf>
    <xf numFmtId="165" fontId="10" fillId="7" borderId="18" xfId="0" applyNumberFormat="1" applyFont="1" applyFill="1" applyBorder="1" applyAlignment="1" applyProtection="1">
      <alignment horizontal="center" vertical="center"/>
      <protection locked="0"/>
    </xf>
    <xf numFmtId="165" fontId="10" fillId="7" borderId="14" xfId="0" applyNumberFormat="1" applyFont="1" applyFill="1" applyBorder="1" applyAlignment="1" applyProtection="1">
      <alignment horizontal="center" vertical="center"/>
      <protection locked="0"/>
    </xf>
    <xf numFmtId="0" fontId="118" fillId="0" borderId="0" xfId="0" applyFont="1" applyFill="1" applyBorder="1" applyAlignment="1">
      <alignment horizontal="center" vertical="center"/>
    </xf>
    <xf numFmtId="0" fontId="118" fillId="0" borderId="7" xfId="0" applyFont="1" applyFill="1" applyBorder="1" applyAlignment="1">
      <alignment horizontal="center" vertical="center"/>
    </xf>
    <xf numFmtId="0" fontId="11" fillId="0" borderId="0" xfId="0" applyFont="1" applyBorder="1" applyAlignment="1">
      <alignment horizontal="right" vertical="center"/>
    </xf>
    <xf numFmtId="0" fontId="11" fillId="0" borderId="7" xfId="0" applyFont="1" applyBorder="1" applyAlignment="1">
      <alignment horizontal="right" vertical="center"/>
    </xf>
    <xf numFmtId="1" fontId="8" fillId="5" borderId="14" xfId="0" applyNumberFormat="1" applyFont="1" applyFill="1" applyBorder="1" applyAlignment="1" applyProtection="1">
      <alignment horizontal="center" vertical="center"/>
      <protection locked="0"/>
    </xf>
    <xf numFmtId="165" fontId="13" fillId="3" borderId="0" xfId="0" applyNumberFormat="1" applyFont="1" applyFill="1" applyBorder="1" applyAlignment="1" applyProtection="1">
      <alignment horizontal="center" vertical="center"/>
    </xf>
    <xf numFmtId="165" fontId="10" fillId="5" borderId="18" xfId="0" applyNumberFormat="1" applyFont="1" applyFill="1" applyBorder="1" applyAlignment="1" applyProtection="1">
      <alignment horizontal="center" vertical="center"/>
      <protection locked="0"/>
    </xf>
    <xf numFmtId="165" fontId="10" fillId="5" borderId="14" xfId="0" applyNumberFormat="1" applyFont="1" applyFill="1" applyBorder="1" applyAlignment="1" applyProtection="1">
      <alignment horizontal="center" vertical="center"/>
      <protection locked="0"/>
    </xf>
    <xf numFmtId="0" fontId="11" fillId="0" borderId="9" xfId="0" applyFont="1" applyBorder="1" applyAlignment="1">
      <alignment horizontal="left" vertical="center" wrapText="1"/>
    </xf>
    <xf numFmtId="0" fontId="11" fillId="0" borderId="11" xfId="0" applyFont="1" applyBorder="1" applyAlignment="1">
      <alignment horizontal="left" vertical="center" wrapText="1"/>
    </xf>
    <xf numFmtId="0" fontId="11" fillId="0" borderId="0" xfId="0" applyFont="1" applyBorder="1" applyAlignment="1">
      <alignment horizontal="left" vertical="center" wrapText="1"/>
    </xf>
    <xf numFmtId="0" fontId="11" fillId="0" borderId="7" xfId="0" applyFont="1" applyBorder="1" applyAlignment="1">
      <alignment horizontal="left" vertical="center" wrapText="1"/>
    </xf>
    <xf numFmtId="0" fontId="12" fillId="0" borderId="0" xfId="0" applyFont="1" applyFill="1" applyBorder="1" applyAlignment="1">
      <alignment horizontal="center" wrapText="1"/>
    </xf>
    <xf numFmtId="164" fontId="10" fillId="0" borderId="7" xfId="0" applyNumberFormat="1" applyFont="1" applyFill="1" applyBorder="1" applyAlignment="1">
      <alignment horizontal="center"/>
    </xf>
    <xf numFmtId="0" fontId="10" fillId="7" borderId="6" xfId="0" applyFont="1" applyFill="1" applyBorder="1" applyAlignment="1" applyProtection="1">
      <alignment horizontal="left" vertical="top" wrapText="1"/>
      <protection locked="0"/>
    </xf>
    <xf numFmtId="0" fontId="10" fillId="7" borderId="0" xfId="0" applyFont="1" applyFill="1" applyBorder="1" applyAlignment="1" applyProtection="1">
      <alignment horizontal="left" vertical="top" wrapText="1"/>
      <protection locked="0"/>
    </xf>
    <xf numFmtId="0" fontId="10" fillId="7" borderId="7" xfId="0" applyFont="1" applyFill="1" applyBorder="1" applyAlignment="1" applyProtection="1">
      <alignment horizontal="left" vertical="top" wrapText="1"/>
      <protection locked="0"/>
    </xf>
    <xf numFmtId="0" fontId="10" fillId="0" borderId="0" xfId="0" quotePrefix="1" applyFont="1" applyBorder="1" applyAlignment="1">
      <alignment horizontal="left" vertical="center" wrapText="1"/>
    </xf>
    <xf numFmtId="165" fontId="8" fillId="2" borderId="14" xfId="0" applyNumberFormat="1" applyFont="1" applyFill="1" applyBorder="1" applyAlignment="1">
      <alignment horizontal="center" vertical="center"/>
    </xf>
    <xf numFmtId="164" fontId="10" fillId="2" borderId="18" xfId="0" applyNumberFormat="1" applyFont="1" applyFill="1" applyBorder="1" applyAlignment="1">
      <alignment horizontal="center" vertical="center"/>
    </xf>
    <xf numFmtId="164" fontId="10" fillId="2" borderId="14" xfId="0" applyNumberFormat="1" applyFont="1" applyFill="1" applyBorder="1" applyAlignment="1">
      <alignment horizontal="center" vertical="center"/>
    </xf>
    <xf numFmtId="49" fontId="31" fillId="0" borderId="0" xfId="0" applyNumberFormat="1" applyFont="1" applyBorder="1" applyAlignment="1">
      <alignment horizontal="center" vertical="center" wrapText="1"/>
    </xf>
    <xf numFmtId="39" fontId="10" fillId="2" borderId="18" xfId="1" applyNumberFormat="1" applyFont="1" applyFill="1" applyBorder="1" applyAlignment="1">
      <alignment horizontal="center" vertical="center"/>
    </xf>
    <xf numFmtId="39" fontId="10" fillId="2" borderId="14" xfId="1" applyNumberFormat="1" applyFont="1" applyFill="1" applyBorder="1" applyAlignment="1">
      <alignment horizontal="center" vertical="center"/>
    </xf>
    <xf numFmtId="0" fontId="10" fillId="0" borderId="0" xfId="0" applyFont="1" applyFill="1" applyBorder="1" applyAlignment="1">
      <alignment horizontal="left" vertical="center" wrapText="1"/>
    </xf>
    <xf numFmtId="0" fontId="10" fillId="0" borderId="6" xfId="0" applyFont="1" applyBorder="1" applyAlignment="1">
      <alignment horizontal="center" vertical="center"/>
    </xf>
    <xf numFmtId="0" fontId="10" fillId="0" borderId="6" xfId="0" applyFont="1" applyBorder="1" applyAlignment="1">
      <alignment horizontal="center"/>
    </xf>
    <xf numFmtId="0" fontId="10" fillId="0" borderId="0" xfId="0" applyFont="1" applyBorder="1" applyAlignment="1">
      <alignment horizontal="center"/>
    </xf>
    <xf numFmtId="0" fontId="10" fillId="0" borderId="7" xfId="0" applyFont="1" applyBorder="1" applyAlignment="1">
      <alignment horizontal="center"/>
    </xf>
    <xf numFmtId="0" fontId="10" fillId="0" borderId="7" xfId="0" quotePrefix="1" applyFont="1" applyBorder="1" applyAlignment="1">
      <alignment horizontal="center" vertical="center"/>
    </xf>
    <xf numFmtId="165" fontId="10" fillId="0" borderId="0" xfId="0" applyNumberFormat="1" applyFont="1" applyFill="1" applyBorder="1" applyAlignment="1">
      <alignment horizontal="center" vertical="center"/>
    </xf>
    <xf numFmtId="0" fontId="10" fillId="2" borderId="33" xfId="0" applyFont="1" applyFill="1" applyBorder="1" applyAlignment="1">
      <alignment horizontal="left"/>
    </xf>
    <xf numFmtId="0" fontId="18" fillId="0" borderId="0" xfId="0" applyFont="1" applyBorder="1" applyAlignment="1"/>
    <xf numFmtId="0" fontId="60" fillId="0" borderId="0" xfId="0" applyFont="1" applyBorder="1" applyAlignment="1"/>
    <xf numFmtId="0" fontId="60" fillId="0" borderId="7" xfId="0" applyFont="1" applyBorder="1" applyAlignment="1"/>
    <xf numFmtId="165" fontId="10" fillId="2" borderId="18" xfId="0" applyNumberFormat="1" applyFont="1" applyFill="1" applyBorder="1" applyAlignment="1">
      <alignment horizontal="center" vertical="center" wrapText="1"/>
    </xf>
    <xf numFmtId="165" fontId="10" fillId="2" borderId="14" xfId="0" applyNumberFormat="1" applyFont="1" applyFill="1" applyBorder="1" applyAlignment="1">
      <alignment horizontal="center" vertical="center" wrapText="1"/>
    </xf>
    <xf numFmtId="0" fontId="10" fillId="2" borderId="33" xfId="0" applyFont="1" applyFill="1" applyBorder="1" applyAlignment="1">
      <alignment horizontal="right"/>
    </xf>
    <xf numFmtId="0" fontId="10" fillId="0" borderId="0" xfId="0" applyFont="1" applyBorder="1" applyAlignment="1">
      <alignment horizontal="center" vertical="center" wrapText="1"/>
    </xf>
    <xf numFmtId="0" fontId="10" fillId="0" borderId="10" xfId="0" applyFont="1" applyBorder="1" applyAlignment="1">
      <alignment horizontal="center" wrapText="1"/>
    </xf>
    <xf numFmtId="0" fontId="10" fillId="0" borderId="11" xfId="0" applyFont="1" applyBorder="1" applyAlignment="1">
      <alignment horizontal="center" wrapText="1"/>
    </xf>
    <xf numFmtId="0" fontId="10" fillId="0" borderId="6" xfId="0" applyFont="1" applyBorder="1" applyAlignment="1">
      <alignment horizontal="center" wrapText="1"/>
    </xf>
    <xf numFmtId="0" fontId="10" fillId="0" borderId="7" xfId="0" applyFont="1" applyBorder="1" applyAlignment="1">
      <alignment horizontal="center" wrapText="1"/>
    </xf>
    <xf numFmtId="0" fontId="10" fillId="0" borderId="3" xfId="0" applyFont="1" applyBorder="1" applyAlignment="1">
      <alignment horizontal="center" wrapText="1"/>
    </xf>
    <xf numFmtId="0" fontId="10" fillId="0" borderId="5" xfId="0" applyFont="1" applyBorder="1" applyAlignment="1">
      <alignment horizontal="center" wrapText="1"/>
    </xf>
    <xf numFmtId="0" fontId="10" fillId="0" borderId="0" xfId="0" quotePrefix="1" applyFont="1" applyBorder="1" applyAlignment="1">
      <alignment horizontal="center" vertical="center"/>
    </xf>
    <xf numFmtId="0" fontId="10" fillId="0" borderId="26" xfId="0" applyFont="1" applyBorder="1" applyAlignment="1">
      <alignment horizontal="right" vertical="center"/>
    </xf>
    <xf numFmtId="0" fontId="0" fillId="0" borderId="19" xfId="0" applyBorder="1" applyAlignment="1"/>
    <xf numFmtId="0" fontId="0" fillId="0" borderId="14" xfId="0" applyBorder="1" applyAlignment="1"/>
    <xf numFmtId="165" fontId="13" fillId="2" borderId="8" xfId="0" applyNumberFormat="1" applyFont="1" applyFill="1" applyBorder="1" applyAlignment="1">
      <alignment horizontal="center" vertical="center"/>
    </xf>
    <xf numFmtId="165" fontId="14" fillId="5" borderId="8" xfId="0" applyNumberFormat="1" applyFont="1" applyFill="1" applyBorder="1" applyAlignment="1" applyProtection="1">
      <alignment horizontal="center" vertical="center"/>
      <protection locked="0"/>
    </xf>
    <xf numFmtId="0" fontId="10" fillId="0" borderId="8" xfId="0" applyFont="1" applyBorder="1" applyAlignment="1">
      <alignment horizontal="left" vertical="center"/>
    </xf>
    <xf numFmtId="0" fontId="14" fillId="2" borderId="18" xfId="0" applyFont="1" applyFill="1" applyBorder="1" applyAlignment="1">
      <alignment horizontal="center" vertical="center"/>
    </xf>
    <xf numFmtId="0" fontId="14" fillId="2" borderId="14" xfId="0" applyFont="1" applyFill="1" applyBorder="1" applyAlignment="1">
      <alignment horizontal="center" vertical="center"/>
    </xf>
    <xf numFmtId="0" fontId="14" fillId="2" borderId="8" xfId="0" applyFont="1" applyFill="1" applyBorder="1" applyAlignment="1">
      <alignment horizontal="center" vertical="center"/>
    </xf>
    <xf numFmtId="165" fontId="14" fillId="2" borderId="18" xfId="0" applyNumberFormat="1" applyFont="1" applyFill="1" applyBorder="1" applyAlignment="1">
      <alignment horizontal="center" vertical="center"/>
    </xf>
    <xf numFmtId="165" fontId="14" fillId="2" borderId="14" xfId="0" applyNumberFormat="1" applyFont="1" applyFill="1" applyBorder="1" applyAlignment="1">
      <alignment horizontal="center" vertical="center"/>
    </xf>
    <xf numFmtId="0" fontId="10" fillId="7" borderId="35" xfId="0" applyFont="1" applyFill="1" applyBorder="1" applyAlignment="1" applyProtection="1">
      <alignment horizontal="left" vertical="top" wrapText="1"/>
      <protection locked="0"/>
    </xf>
    <xf numFmtId="0" fontId="10" fillId="7" borderId="36" xfId="0" applyFont="1" applyFill="1" applyBorder="1" applyAlignment="1" applyProtection="1">
      <alignment horizontal="left" vertical="top" wrapText="1"/>
      <protection locked="0"/>
    </xf>
    <xf numFmtId="0" fontId="10" fillId="7" borderId="22" xfId="0" applyFont="1" applyFill="1" applyBorder="1" applyAlignment="1" applyProtection="1">
      <alignment horizontal="left" vertical="top" wrapText="1"/>
      <protection locked="0"/>
    </xf>
    <xf numFmtId="0" fontId="10" fillId="7" borderId="1" xfId="0" applyFont="1" applyFill="1" applyBorder="1" applyAlignment="1" applyProtection="1">
      <alignment horizontal="left" vertical="top" wrapText="1"/>
      <protection locked="0"/>
    </xf>
    <xf numFmtId="0" fontId="10" fillId="7" borderId="21" xfId="0" applyFont="1" applyFill="1" applyBorder="1" applyAlignment="1" applyProtection="1">
      <alignment horizontal="left" vertical="top" wrapText="1"/>
      <protection locked="0"/>
    </xf>
    <xf numFmtId="0" fontId="10" fillId="7" borderId="2" xfId="0" applyFont="1" applyFill="1" applyBorder="1" applyAlignment="1" applyProtection="1">
      <alignment horizontal="left" vertical="top" wrapText="1"/>
      <protection locked="0"/>
    </xf>
    <xf numFmtId="0" fontId="10" fillId="7" borderId="23" xfId="0" applyFont="1" applyFill="1" applyBorder="1" applyAlignment="1" applyProtection="1">
      <alignment horizontal="left" vertical="top" wrapText="1"/>
      <protection locked="0"/>
    </xf>
    <xf numFmtId="165" fontId="13" fillId="2" borderId="18" xfId="0" applyNumberFormat="1" applyFont="1" applyFill="1" applyBorder="1" applyAlignment="1">
      <alignment horizontal="center" vertical="center"/>
    </xf>
    <xf numFmtId="165" fontId="13" fillId="2" borderId="19" xfId="0" applyNumberFormat="1" applyFont="1" applyFill="1" applyBorder="1" applyAlignment="1">
      <alignment horizontal="center" vertical="center"/>
    </xf>
    <xf numFmtId="165" fontId="13" fillId="2" borderId="14" xfId="0" applyNumberFormat="1" applyFont="1" applyFill="1" applyBorder="1" applyAlignment="1">
      <alignment horizontal="center" vertical="center"/>
    </xf>
    <xf numFmtId="165" fontId="13" fillId="2" borderId="10" xfId="0" applyNumberFormat="1" applyFont="1" applyFill="1" applyBorder="1" applyAlignment="1">
      <alignment horizontal="center" vertical="center"/>
    </xf>
    <xf numFmtId="165" fontId="13" fillId="2" borderId="9" xfId="0" applyNumberFormat="1" applyFont="1" applyFill="1" applyBorder="1" applyAlignment="1">
      <alignment horizontal="center" vertical="center"/>
    </xf>
    <xf numFmtId="165" fontId="13" fillId="2" borderId="11" xfId="0" applyNumberFormat="1" applyFont="1" applyFill="1" applyBorder="1" applyAlignment="1">
      <alignment horizontal="center" vertical="center"/>
    </xf>
    <xf numFmtId="0" fontId="10" fillId="0" borderId="10" xfId="0" applyFont="1" applyBorder="1" applyAlignment="1">
      <alignment horizontal="right" vertical="center"/>
    </xf>
    <xf numFmtId="0" fontId="10" fillId="0" borderId="9" xfId="0" applyFont="1" applyBorder="1" applyAlignment="1">
      <alignment horizontal="right" vertical="center"/>
    </xf>
    <xf numFmtId="0" fontId="10" fillId="0" borderId="11" xfId="0" applyFont="1" applyBorder="1" applyAlignment="1">
      <alignment horizontal="right" vertical="center"/>
    </xf>
    <xf numFmtId="1" fontId="10" fillId="0" borderId="0" xfId="0" applyNumberFormat="1" applyFont="1" applyFill="1" applyBorder="1" applyAlignment="1">
      <alignment horizontal="center" vertical="center" wrapText="1"/>
    </xf>
    <xf numFmtId="0" fontId="10" fillId="0" borderId="1" xfId="0" applyFont="1" applyFill="1" applyBorder="1" applyAlignment="1">
      <alignment horizontal="left" vertical="center" wrapText="1"/>
    </xf>
    <xf numFmtId="0" fontId="10" fillId="0" borderId="0" xfId="0" applyFont="1" applyBorder="1" applyAlignment="1">
      <alignment horizontal="left" vertical="center"/>
    </xf>
    <xf numFmtId="0" fontId="10" fillId="0" borderId="9" xfId="0" applyFont="1" applyBorder="1" applyAlignment="1">
      <alignment horizontal="center" wrapText="1"/>
    </xf>
    <xf numFmtId="0" fontId="10" fillId="0" borderId="4" xfId="0" applyFont="1" applyBorder="1" applyAlignment="1">
      <alignment horizontal="center" wrapText="1"/>
    </xf>
    <xf numFmtId="0" fontId="10" fillId="0" borderId="10" xfId="0" applyFont="1" applyBorder="1" applyAlignment="1">
      <alignment horizontal="center"/>
    </xf>
    <xf numFmtId="0" fontId="10" fillId="0" borderId="11" xfId="0" applyFont="1" applyBorder="1" applyAlignment="1">
      <alignment horizontal="center"/>
    </xf>
    <xf numFmtId="0" fontId="10" fillId="0" borderId="3" xfId="0" applyFont="1" applyBorder="1" applyAlignment="1">
      <alignment horizontal="center"/>
    </xf>
    <xf numFmtId="0" fontId="10" fillId="0" borderId="5" xfId="0" applyFont="1" applyBorder="1" applyAlignment="1">
      <alignment horizontal="center"/>
    </xf>
    <xf numFmtId="0" fontId="12" fillId="0" borderId="0" xfId="0" applyFont="1" applyFill="1" applyBorder="1" applyAlignment="1">
      <alignment horizontal="center" vertical="center" wrapText="1"/>
    </xf>
    <xf numFmtId="0" fontId="34" fillId="2" borderId="33" xfId="0" applyFont="1" applyFill="1" applyBorder="1" applyAlignment="1">
      <alignment horizontal="center"/>
    </xf>
    <xf numFmtId="0" fontId="34" fillId="2" borderId="34" xfId="0" applyFont="1" applyFill="1" applyBorder="1" applyAlignment="1">
      <alignment horizontal="center"/>
    </xf>
    <xf numFmtId="0" fontId="10" fillId="0" borderId="9" xfId="0" applyFont="1" applyBorder="1" applyAlignment="1">
      <alignment horizontal="right" vertical="top"/>
    </xf>
    <xf numFmtId="0" fontId="10" fillId="0" borderId="36" xfId="0" applyFont="1" applyBorder="1" applyAlignment="1">
      <alignment horizontal="right" vertical="top"/>
    </xf>
    <xf numFmtId="0" fontId="10" fillId="0" borderId="0" xfId="0" applyFont="1" applyBorder="1" applyAlignment="1">
      <alignment horizontal="right" vertical="top"/>
    </xf>
    <xf numFmtId="0" fontId="10" fillId="0" borderId="1" xfId="0" applyFont="1" applyBorder="1" applyAlignment="1">
      <alignment horizontal="right" vertical="top"/>
    </xf>
    <xf numFmtId="0" fontId="10" fillId="0" borderId="9" xfId="0" applyFont="1" applyBorder="1" applyAlignment="1">
      <alignment horizontal="left" vertical="center" wrapText="1"/>
    </xf>
    <xf numFmtId="49" fontId="12" fillId="2" borderId="18" xfId="0" applyNumberFormat="1" applyFont="1" applyFill="1" applyBorder="1" applyAlignment="1">
      <alignment horizontal="left" vertical="center" wrapText="1"/>
    </xf>
    <xf numFmtId="49" fontId="12" fillId="2" borderId="19" xfId="0" applyNumberFormat="1" applyFont="1" applyFill="1" applyBorder="1" applyAlignment="1">
      <alignment horizontal="left" vertical="center" wrapText="1"/>
    </xf>
    <xf numFmtId="49" fontId="12" fillId="2" borderId="14" xfId="0" applyNumberFormat="1" applyFont="1" applyFill="1" applyBorder="1" applyAlignment="1">
      <alignment horizontal="left" vertical="center" wrapText="1"/>
    </xf>
    <xf numFmtId="0" fontId="10" fillId="2" borderId="9" xfId="0" applyFont="1" applyFill="1" applyBorder="1" applyAlignment="1">
      <alignment horizontal="right"/>
    </xf>
    <xf numFmtId="49" fontId="12" fillId="0" borderId="0" xfId="0" applyNumberFormat="1" applyFont="1" applyFill="1" applyBorder="1" applyAlignment="1">
      <alignment horizontal="left" vertical="center" wrapText="1"/>
    </xf>
    <xf numFmtId="0" fontId="0" fillId="0" borderId="0" xfId="0" applyBorder="1" applyAlignment="1">
      <alignment horizontal="left" vertical="center"/>
    </xf>
    <xf numFmtId="165" fontId="8" fillId="5" borderId="14" xfId="0" applyNumberFormat="1" applyFont="1" applyFill="1" applyBorder="1" applyAlignment="1" applyProtection="1">
      <alignment horizontal="center" vertical="center"/>
      <protection locked="0"/>
    </xf>
    <xf numFmtId="0" fontId="10" fillId="2" borderId="9" xfId="0" applyFont="1" applyFill="1" applyBorder="1" applyAlignment="1">
      <alignment horizontal="left"/>
    </xf>
    <xf numFmtId="0" fontId="10" fillId="5" borderId="3" xfId="0" applyFont="1" applyFill="1" applyBorder="1" applyAlignment="1" applyProtection="1">
      <alignment horizontal="center" vertical="center"/>
      <protection locked="0"/>
    </xf>
    <xf numFmtId="0" fontId="10" fillId="5" borderId="5" xfId="0" applyFont="1" applyFill="1" applyBorder="1" applyAlignment="1" applyProtection="1">
      <alignment horizontal="center" vertical="center"/>
      <protection locked="0"/>
    </xf>
    <xf numFmtId="49" fontId="10" fillId="5" borderId="18" xfId="0" applyNumberFormat="1" applyFont="1" applyFill="1" applyBorder="1" applyAlignment="1" applyProtection="1">
      <alignment horizontal="center" vertical="center"/>
      <protection locked="0"/>
    </xf>
    <xf numFmtId="49" fontId="10" fillId="5" borderId="19" xfId="0" applyNumberFormat="1" applyFont="1" applyFill="1" applyBorder="1" applyAlignment="1" applyProtection="1">
      <alignment horizontal="center" vertical="center"/>
      <protection locked="0"/>
    </xf>
    <xf numFmtId="49" fontId="10" fillId="5" borderId="14" xfId="0" applyNumberFormat="1" applyFont="1" applyFill="1" applyBorder="1" applyAlignment="1" applyProtection="1">
      <alignment horizontal="center" vertical="center"/>
      <protection locked="0"/>
    </xf>
    <xf numFmtId="49" fontId="12" fillId="5" borderId="18" xfId="0" applyNumberFormat="1" applyFont="1" applyFill="1" applyBorder="1" applyAlignment="1" applyProtection="1">
      <alignment horizontal="center" vertical="center" wrapText="1"/>
      <protection locked="0"/>
    </xf>
    <xf numFmtId="49" fontId="12" fillId="5" borderId="19" xfId="0" applyNumberFormat="1" applyFont="1" applyFill="1" applyBorder="1" applyAlignment="1" applyProtection="1">
      <alignment horizontal="center" vertical="center" wrapText="1"/>
      <protection locked="0"/>
    </xf>
    <xf numFmtId="49" fontId="12" fillId="5" borderId="14" xfId="0" applyNumberFormat="1" applyFont="1" applyFill="1" applyBorder="1" applyAlignment="1" applyProtection="1">
      <alignment horizontal="center" vertical="center" wrapText="1"/>
      <protection locked="0"/>
    </xf>
    <xf numFmtId="0" fontId="10" fillId="0" borderId="7" xfId="0" applyFont="1" applyFill="1" applyBorder="1" applyAlignment="1">
      <alignment horizontal="left" vertical="center" wrapText="1"/>
    </xf>
    <xf numFmtId="0" fontId="10" fillId="0" borderId="3" xfId="0" applyFont="1" applyBorder="1" applyAlignment="1">
      <alignment horizontal="left" vertical="center" wrapText="1"/>
    </xf>
    <xf numFmtId="0" fontId="0" fillId="0" borderId="4" xfId="0" applyBorder="1" applyAlignment="1">
      <alignment horizontal="left" vertical="center" wrapText="1"/>
    </xf>
    <xf numFmtId="0" fontId="0" fillId="0" borderId="4" xfId="0" applyBorder="1" applyAlignment="1">
      <alignment horizontal="left" vertical="center"/>
    </xf>
    <xf numFmtId="0" fontId="0" fillId="0" borderId="5" xfId="0" applyBorder="1" applyAlignment="1">
      <alignment horizontal="left" vertical="center"/>
    </xf>
    <xf numFmtId="0" fontId="32" fillId="0" borderId="26" xfId="0" applyFont="1" applyBorder="1" applyAlignment="1">
      <alignment horizontal="center"/>
    </xf>
    <xf numFmtId="0" fontId="32" fillId="0" borderId="14" xfId="0" applyFont="1" applyBorder="1" applyAlignment="1">
      <alignment horizontal="center"/>
    </xf>
    <xf numFmtId="0" fontId="32" fillId="0" borderId="54" xfId="0" applyFont="1" applyBorder="1" applyAlignment="1">
      <alignment horizontal="center"/>
    </xf>
    <xf numFmtId="0" fontId="32" fillId="0" borderId="8" xfId="0" applyFont="1" applyBorder="1" applyAlignment="1">
      <alignment horizontal="center"/>
    </xf>
    <xf numFmtId="49" fontId="12" fillId="2" borderId="3" xfId="0" applyNumberFormat="1" applyFont="1" applyFill="1" applyBorder="1" applyAlignment="1">
      <alignment horizontal="left" vertical="center" wrapText="1"/>
    </xf>
    <xf numFmtId="49" fontId="12" fillId="2" borderId="4" xfId="0" applyNumberFormat="1" applyFont="1" applyFill="1" applyBorder="1" applyAlignment="1">
      <alignment horizontal="left" vertical="center" wrapText="1"/>
    </xf>
    <xf numFmtId="49" fontId="12" fillId="2" borderId="5" xfId="0" applyNumberFormat="1" applyFont="1" applyFill="1" applyBorder="1" applyAlignment="1">
      <alignment horizontal="left" vertical="center" wrapText="1"/>
    </xf>
    <xf numFmtId="0" fontId="10" fillId="0" borderId="3" xfId="0" applyFont="1" applyBorder="1" applyAlignment="1">
      <alignment horizontal="center" vertical="center"/>
    </xf>
    <xf numFmtId="0" fontId="10" fillId="0" borderId="4" xfId="0" applyFont="1" applyBorder="1" applyAlignment="1">
      <alignment horizontal="center" vertical="center"/>
    </xf>
    <xf numFmtId="165" fontId="9" fillId="0" borderId="19" xfId="0" applyNumberFormat="1" applyFont="1" applyFill="1" applyBorder="1" applyAlignment="1">
      <alignment horizontal="center" vertical="center"/>
    </xf>
    <xf numFmtId="0" fontId="10" fillId="7" borderId="49" xfId="0" applyFont="1" applyFill="1" applyBorder="1" applyAlignment="1" applyProtection="1">
      <alignment horizontal="left" vertical="top" wrapText="1"/>
      <protection locked="0"/>
    </xf>
    <xf numFmtId="0" fontId="0" fillId="7" borderId="41" xfId="0" applyFill="1" applyBorder="1" applyAlignment="1" applyProtection="1">
      <alignment horizontal="left" vertical="top" wrapText="1"/>
      <protection locked="0"/>
    </xf>
    <xf numFmtId="0" fontId="0" fillId="7" borderId="50" xfId="0" applyFill="1" applyBorder="1" applyAlignment="1" applyProtection="1">
      <alignment horizontal="left" vertical="top" wrapText="1"/>
      <protection locked="0"/>
    </xf>
    <xf numFmtId="0" fontId="10" fillId="8" borderId="33" xfId="0" applyFont="1" applyFill="1" applyBorder="1" applyAlignment="1">
      <alignment horizontal="right" vertical="center"/>
    </xf>
    <xf numFmtId="0" fontId="12" fillId="2" borderId="33" xfId="0" applyFont="1" applyFill="1" applyBorder="1" applyAlignment="1">
      <alignment horizontal="left" vertical="center"/>
    </xf>
    <xf numFmtId="0" fontId="10" fillId="2" borderId="33" xfId="0" applyFont="1" applyFill="1" applyBorder="1" applyAlignment="1">
      <alignment horizontal="left" vertical="center"/>
    </xf>
    <xf numFmtId="0" fontId="12" fillId="7" borderId="18" xfId="0" applyFont="1" applyFill="1" applyBorder="1" applyAlignment="1" applyProtection="1">
      <alignment horizontal="center" vertical="center"/>
      <protection locked="0"/>
    </xf>
    <xf numFmtId="0" fontId="12" fillId="7" borderId="19" xfId="0" applyFont="1" applyFill="1" applyBorder="1" applyAlignment="1" applyProtection="1">
      <alignment horizontal="center" vertical="center"/>
      <protection locked="0"/>
    </xf>
    <xf numFmtId="0" fontId="12" fillId="7" borderId="14" xfId="0" applyFont="1" applyFill="1" applyBorder="1" applyAlignment="1" applyProtection="1">
      <alignment horizontal="center" vertical="center"/>
      <protection locked="0"/>
    </xf>
    <xf numFmtId="0" fontId="14" fillId="0" borderId="6" xfId="0" applyFont="1" applyBorder="1" applyAlignment="1">
      <alignment horizontal="left" vertical="center"/>
    </xf>
    <xf numFmtId="0" fontId="14" fillId="0" borderId="7" xfId="0" applyFont="1" applyBorder="1" applyAlignment="1">
      <alignment horizontal="left" vertical="center"/>
    </xf>
    <xf numFmtId="0" fontId="12" fillId="2" borderId="26" xfId="0" applyFont="1" applyFill="1" applyBorder="1" applyAlignment="1">
      <alignment horizontal="left" vertical="center"/>
    </xf>
    <xf numFmtId="0" fontId="12" fillId="2" borderId="19" xfId="0" applyFont="1" applyFill="1" applyBorder="1" applyAlignment="1">
      <alignment horizontal="left" vertical="center"/>
    </xf>
    <xf numFmtId="0" fontId="12" fillId="2" borderId="39" xfId="0" applyFont="1" applyFill="1" applyBorder="1" applyAlignment="1">
      <alignment horizontal="left" vertical="center"/>
    </xf>
    <xf numFmtId="1" fontId="10" fillId="5" borderId="19" xfId="0" applyNumberFormat="1" applyFont="1" applyFill="1" applyBorder="1" applyAlignment="1" applyProtection="1">
      <alignment horizontal="center" vertical="center"/>
      <protection locked="0"/>
    </xf>
    <xf numFmtId="0" fontId="17" fillId="0" borderId="0" xfId="0" applyFont="1" applyBorder="1" applyAlignment="1">
      <alignment horizontal="left" vertical="top" wrapText="1"/>
    </xf>
    <xf numFmtId="0" fontId="17" fillId="0" borderId="1" xfId="0" applyFont="1" applyBorder="1" applyAlignment="1">
      <alignment horizontal="left" vertical="top" wrapText="1"/>
    </xf>
    <xf numFmtId="0" fontId="8" fillId="2" borderId="14" xfId="0" applyFont="1" applyFill="1" applyBorder="1" applyAlignment="1">
      <alignment horizontal="center" vertical="center"/>
    </xf>
    <xf numFmtId="181" fontId="10" fillId="8" borderId="18" xfId="0" applyNumberFormat="1" applyFont="1" applyFill="1" applyBorder="1" applyAlignment="1">
      <alignment horizontal="center" vertical="center"/>
    </xf>
    <xf numFmtId="181" fontId="10" fillId="2" borderId="14" xfId="0" applyNumberFormat="1" applyFont="1" applyFill="1" applyBorder="1" applyAlignment="1">
      <alignment horizontal="center" vertical="center"/>
    </xf>
    <xf numFmtId="0" fontId="10" fillId="2" borderId="18" xfId="0" quotePrefix="1" applyFont="1" applyFill="1" applyBorder="1" applyAlignment="1">
      <alignment horizontal="center" vertical="center"/>
    </xf>
    <xf numFmtId="0" fontId="10" fillId="2" borderId="14" xfId="0" quotePrefix="1" applyFont="1" applyFill="1" applyBorder="1" applyAlignment="1">
      <alignment horizontal="center" vertical="center"/>
    </xf>
    <xf numFmtId="0" fontId="14" fillId="0" borderId="0" xfId="0" applyFont="1" applyBorder="1" applyAlignment="1">
      <alignment horizontal="left" vertical="center"/>
    </xf>
    <xf numFmtId="1" fontId="12" fillId="0" borderId="0" xfId="0" applyNumberFormat="1" applyFont="1" applyBorder="1" applyAlignment="1">
      <alignment horizontal="right" vertical="center"/>
    </xf>
    <xf numFmtId="165" fontId="10" fillId="2" borderId="18" xfId="0" applyNumberFormat="1" applyFont="1" applyFill="1" applyBorder="1" applyAlignment="1" applyProtection="1">
      <alignment horizontal="center" vertical="center"/>
      <protection hidden="1"/>
    </xf>
    <xf numFmtId="165" fontId="10" fillId="2" borderId="14" xfId="0" applyNumberFormat="1" applyFont="1" applyFill="1" applyBorder="1" applyAlignment="1" applyProtection="1">
      <alignment horizontal="center" vertical="center"/>
      <protection hidden="1"/>
    </xf>
    <xf numFmtId="165" fontId="10" fillId="4" borderId="18" xfId="0" applyNumberFormat="1" applyFont="1" applyFill="1" applyBorder="1" applyAlignment="1" applyProtection="1">
      <alignment horizontal="center" vertical="center"/>
    </xf>
    <xf numFmtId="165" fontId="10" fillId="4" borderId="14" xfId="0" applyNumberFormat="1" applyFont="1" applyFill="1" applyBorder="1" applyAlignment="1" applyProtection="1">
      <alignment horizontal="center" vertical="center"/>
    </xf>
    <xf numFmtId="165" fontId="10" fillId="4" borderId="18" xfId="0" applyNumberFormat="1" applyFont="1" applyFill="1" applyBorder="1" applyAlignment="1" applyProtection="1">
      <alignment horizontal="center" vertical="center"/>
      <protection hidden="1"/>
    </xf>
    <xf numFmtId="165" fontId="10" fillId="4" borderId="14" xfId="0" applyNumberFormat="1" applyFont="1" applyFill="1" applyBorder="1" applyAlignment="1" applyProtection="1">
      <alignment horizontal="center" vertical="center"/>
      <protection hidden="1"/>
    </xf>
    <xf numFmtId="0" fontId="10" fillId="4" borderId="18" xfId="0" applyFont="1" applyFill="1" applyBorder="1" applyAlignment="1" applyProtection="1">
      <alignment horizontal="center" vertical="center"/>
    </xf>
    <xf numFmtId="0" fontId="10" fillId="4" borderId="14" xfId="0" applyFont="1" applyFill="1" applyBorder="1" applyAlignment="1" applyProtection="1">
      <alignment horizontal="center" vertical="center"/>
    </xf>
    <xf numFmtId="165" fontId="10" fillId="11" borderId="18" xfId="0" applyNumberFormat="1" applyFont="1" applyFill="1" applyBorder="1" applyAlignment="1">
      <alignment horizontal="center" vertical="center"/>
    </xf>
    <xf numFmtId="165" fontId="10" fillId="11" borderId="14" xfId="0" applyNumberFormat="1" applyFont="1" applyFill="1" applyBorder="1" applyAlignment="1">
      <alignment horizontal="center" vertical="center"/>
    </xf>
    <xf numFmtId="0" fontId="124" fillId="0" borderId="0" xfId="0" applyFont="1" applyBorder="1" applyAlignment="1">
      <alignment horizontal="left" vertical="top" wrapText="1"/>
    </xf>
    <xf numFmtId="0" fontId="124" fillId="0" borderId="1" xfId="0" applyFont="1" applyBorder="1" applyAlignment="1">
      <alignment horizontal="left" vertical="top" wrapText="1"/>
    </xf>
    <xf numFmtId="179" fontId="10" fillId="8" borderId="18" xfId="0" applyNumberFormat="1" applyFont="1" applyFill="1" applyBorder="1" applyAlignment="1">
      <alignment horizontal="center" vertical="center"/>
    </xf>
    <xf numFmtId="179" fontId="10" fillId="2" borderId="14" xfId="0" applyNumberFormat="1" applyFont="1" applyFill="1" applyBorder="1" applyAlignment="1">
      <alignment horizontal="center" vertical="center"/>
    </xf>
    <xf numFmtId="0" fontId="11" fillId="0" borderId="0" xfId="0" applyFont="1" applyBorder="1" applyAlignment="1">
      <alignment horizontal="center" vertical="center" wrapText="1"/>
    </xf>
    <xf numFmtId="0" fontId="11" fillId="0" borderId="7" xfId="0" applyFont="1" applyBorder="1" applyAlignment="1">
      <alignment horizontal="center" vertical="center" wrapText="1"/>
    </xf>
    <xf numFmtId="165" fontId="10" fillId="2" borderId="18" xfId="0" applyNumberFormat="1" applyFont="1" applyFill="1" applyBorder="1" applyAlignment="1" applyProtection="1">
      <alignment horizontal="center" vertical="center"/>
    </xf>
    <xf numFmtId="165" fontId="10" fillId="2" borderId="14" xfId="0" applyNumberFormat="1" applyFont="1" applyFill="1" applyBorder="1" applyAlignment="1" applyProtection="1">
      <alignment horizontal="center" vertical="center"/>
    </xf>
    <xf numFmtId="49" fontId="31" fillId="0" borderId="2" xfId="0" applyNumberFormat="1" applyFont="1" applyBorder="1" applyAlignment="1">
      <alignment horizontal="center" vertical="center" wrapText="1"/>
    </xf>
    <xf numFmtId="1" fontId="10" fillId="9" borderId="18" xfId="0" applyNumberFormat="1" applyFont="1" applyFill="1" applyBorder="1" applyAlignment="1" applyProtection="1">
      <alignment horizontal="center" vertical="center"/>
    </xf>
    <xf numFmtId="1" fontId="10" fillId="9" borderId="14" xfId="0" applyNumberFormat="1" applyFont="1" applyFill="1" applyBorder="1" applyAlignment="1" applyProtection="1">
      <alignment horizontal="center" vertical="center"/>
    </xf>
    <xf numFmtId="0" fontId="12" fillId="0" borderId="0" xfId="23" applyFont="1" applyFill="1" applyBorder="1" applyAlignment="1" applyProtection="1">
      <alignment horizontal="center" vertical="center"/>
    </xf>
    <xf numFmtId="0" fontId="11" fillId="0" borderId="0" xfId="23" applyFont="1" applyBorder="1" applyAlignment="1" applyProtection="1">
      <alignment horizontal="right" vertical="center"/>
    </xf>
    <xf numFmtId="165" fontId="10" fillId="2" borderId="18" xfId="23" applyNumberFormat="1" applyFont="1" applyFill="1" applyBorder="1" applyAlignment="1" applyProtection="1">
      <alignment horizontal="center" vertical="center"/>
    </xf>
    <xf numFmtId="165" fontId="8" fillId="2" borderId="14" xfId="23" applyNumberFormat="1" applyFont="1" applyFill="1" applyBorder="1" applyAlignment="1" applyProtection="1">
      <alignment horizontal="center" vertical="center"/>
    </xf>
    <xf numFmtId="0" fontId="8" fillId="2" borderId="14" xfId="23" applyFont="1" applyFill="1" applyBorder="1" applyAlignment="1" applyProtection="1">
      <alignment horizontal="center" vertical="center"/>
    </xf>
    <xf numFmtId="0" fontId="11" fillId="0" borderId="0" xfId="23" applyFont="1" applyFill="1" applyBorder="1" applyAlignment="1" applyProtection="1">
      <alignment horizontal="left" vertical="top"/>
    </xf>
    <xf numFmtId="1" fontId="10" fillId="11" borderId="8" xfId="23" applyNumberFormat="1" applyFont="1" applyFill="1" applyBorder="1" applyAlignment="1" applyProtection="1">
      <alignment horizontal="center" vertical="center"/>
    </xf>
    <xf numFmtId="0" fontId="10" fillId="0" borderId="7" xfId="23" applyFont="1" applyFill="1" applyBorder="1" applyAlignment="1" applyProtection="1">
      <alignment horizontal="left" vertical="center"/>
    </xf>
    <xf numFmtId="165" fontId="10" fillId="7" borderId="49" xfId="0" applyNumberFormat="1" applyFont="1" applyFill="1" applyBorder="1" applyAlignment="1" applyProtection="1">
      <alignment horizontal="center" vertical="center"/>
      <protection locked="0"/>
    </xf>
    <xf numFmtId="165" fontId="10" fillId="7" borderId="50" xfId="0" applyNumberFormat="1" applyFont="1" applyFill="1" applyBorder="1" applyAlignment="1" applyProtection="1">
      <alignment horizontal="center" vertical="center"/>
      <protection locked="0"/>
    </xf>
    <xf numFmtId="1" fontId="10" fillId="9" borderId="18" xfId="23" applyNumberFormat="1" applyFont="1" applyFill="1" applyBorder="1" applyAlignment="1" applyProtection="1">
      <alignment horizontal="center" vertical="center"/>
    </xf>
    <xf numFmtId="0" fontId="10" fillId="0" borderId="36" xfId="0" applyFont="1" applyBorder="1" applyAlignment="1">
      <alignment horizontal="left" vertical="center" wrapText="1"/>
    </xf>
    <xf numFmtId="0" fontId="10" fillId="8" borderId="14" xfId="0" applyFont="1" applyFill="1" applyBorder="1" applyAlignment="1" applyProtection="1">
      <alignment horizontal="center" vertical="center"/>
    </xf>
    <xf numFmtId="0" fontId="10" fillId="0" borderId="6" xfId="23" applyFont="1" applyFill="1" applyBorder="1" applyAlignment="1" applyProtection="1">
      <alignment horizontal="left" vertical="center"/>
    </xf>
    <xf numFmtId="0" fontId="14" fillId="0" borderId="6" xfId="23" applyFont="1" applyFill="1" applyBorder="1" applyAlignment="1" applyProtection="1">
      <alignment horizontal="left" vertical="center"/>
    </xf>
    <xf numFmtId="0" fontId="14" fillId="0" borderId="7" xfId="23" applyFont="1" applyFill="1" applyBorder="1" applyAlignment="1" applyProtection="1">
      <alignment horizontal="left" vertical="center"/>
    </xf>
    <xf numFmtId="0" fontId="14" fillId="0" borderId="6" xfId="23" applyFont="1" applyBorder="1" applyAlignment="1" applyProtection="1">
      <alignment horizontal="left" vertical="center"/>
    </xf>
    <xf numFmtId="0" fontId="14" fillId="0" borderId="0" xfId="23" applyFont="1" applyBorder="1" applyAlignment="1" applyProtection="1">
      <alignment horizontal="left" vertical="center"/>
    </xf>
    <xf numFmtId="0" fontId="11" fillId="0" borderId="0" xfId="23" applyFont="1" applyBorder="1" applyAlignment="1" applyProtection="1">
      <alignment horizontal="right" wrapText="1"/>
    </xf>
    <xf numFmtId="0" fontId="11" fillId="0" borderId="0" xfId="23" applyFont="1" applyFill="1" applyBorder="1" applyAlignment="1" applyProtection="1">
      <alignment horizontal="center" vertical="center" wrapText="1"/>
    </xf>
    <xf numFmtId="0" fontId="11" fillId="0" borderId="7" xfId="23" applyFont="1" applyBorder="1" applyAlignment="1" applyProtection="1">
      <alignment horizontal="right" vertical="center"/>
    </xf>
    <xf numFmtId="0" fontId="118" fillId="0" borderId="0" xfId="0" applyFont="1" applyBorder="1" applyAlignment="1">
      <alignment horizontal="center" vertical="center" wrapText="1"/>
    </xf>
    <xf numFmtId="1" fontId="10" fillId="5" borderId="18" xfId="0" applyNumberFormat="1" applyFont="1" applyFill="1" applyBorder="1" applyAlignment="1" applyProtection="1">
      <alignment vertical="center"/>
      <protection locked="0"/>
    </xf>
    <xf numFmtId="1" fontId="10" fillId="5" borderId="14" xfId="0" applyNumberFormat="1" applyFont="1" applyFill="1" applyBorder="1" applyAlignment="1" applyProtection="1">
      <alignment vertical="center"/>
      <protection locked="0"/>
    </xf>
    <xf numFmtId="1" fontId="12" fillId="11" borderId="0" xfId="23" applyNumberFormat="1" applyFont="1" applyFill="1" applyBorder="1" applyAlignment="1" applyProtection="1">
      <alignment horizontal="center" vertical="center"/>
    </xf>
    <xf numFmtId="165" fontId="10" fillId="11" borderId="18" xfId="23" applyNumberFormat="1" applyFont="1" applyFill="1" applyBorder="1" applyAlignment="1" applyProtection="1">
      <alignment horizontal="center" vertical="center"/>
    </xf>
    <xf numFmtId="165" fontId="10" fillId="11" borderId="14" xfId="23" applyNumberFormat="1" applyFont="1" applyFill="1" applyBorder="1" applyAlignment="1" applyProtection="1">
      <alignment horizontal="center" vertical="center"/>
    </xf>
    <xf numFmtId="0" fontId="10" fillId="7" borderId="18" xfId="23" applyFont="1" applyFill="1" applyBorder="1" applyAlignment="1" applyProtection="1">
      <alignment horizontal="center" vertical="center"/>
      <protection locked="0"/>
    </xf>
    <xf numFmtId="0" fontId="10" fillId="7" borderId="14" xfId="23" applyFont="1" applyFill="1" applyBorder="1" applyAlignment="1" applyProtection="1">
      <alignment horizontal="center" vertical="center"/>
      <protection locked="0"/>
    </xf>
    <xf numFmtId="0" fontId="10" fillId="0" borderId="7" xfId="23" applyFont="1" applyFill="1" applyBorder="1" applyAlignment="1" applyProtection="1">
      <alignment horizontal="center" vertical="center"/>
    </xf>
    <xf numFmtId="1" fontId="10" fillId="11" borderId="18" xfId="23" applyNumberFormat="1" applyFont="1" applyFill="1" applyBorder="1" applyAlignment="1" applyProtection="1">
      <alignment horizontal="center" vertical="center"/>
    </xf>
    <xf numFmtId="1" fontId="10" fillId="11" borderId="14" xfId="23" applyNumberFormat="1" applyFont="1" applyFill="1" applyBorder="1" applyAlignment="1" applyProtection="1">
      <alignment horizontal="center" vertical="center"/>
    </xf>
    <xf numFmtId="0" fontId="12" fillId="11" borderId="22" xfId="0" quotePrefix="1" applyFont="1" applyFill="1" applyBorder="1" applyAlignment="1">
      <alignment horizontal="left" vertical="center"/>
    </xf>
    <xf numFmtId="0" fontId="12" fillId="11" borderId="0" xfId="0" quotePrefix="1" applyFont="1" applyFill="1" applyBorder="1" applyAlignment="1">
      <alignment horizontal="left" vertical="center"/>
    </xf>
    <xf numFmtId="0" fontId="49" fillId="0" borderId="6" xfId="23" applyFont="1" applyBorder="1" applyAlignment="1" applyProtection="1">
      <alignment horizontal="center" vertical="center"/>
    </xf>
    <xf numFmtId="0" fontId="49" fillId="0" borderId="0" xfId="23" applyFont="1" applyBorder="1" applyAlignment="1" applyProtection="1">
      <alignment horizontal="center" vertical="center"/>
    </xf>
    <xf numFmtId="0" fontId="49" fillId="0" borderId="7" xfId="23" applyFont="1" applyBorder="1" applyAlignment="1" applyProtection="1">
      <alignment horizontal="center" vertical="center"/>
    </xf>
    <xf numFmtId="0" fontId="133" fillId="0" borderId="0" xfId="0" applyFont="1" applyBorder="1" applyAlignment="1">
      <alignment horizontal="center" vertical="center" wrapText="1"/>
    </xf>
    <xf numFmtId="0" fontId="133" fillId="0" borderId="2" xfId="0" applyFont="1" applyBorder="1" applyAlignment="1">
      <alignment horizontal="center" vertical="center" wrapText="1"/>
    </xf>
    <xf numFmtId="180" fontId="10" fillId="5" borderId="18" xfId="0" applyNumberFormat="1" applyFont="1" applyFill="1" applyBorder="1" applyAlignment="1" applyProtection="1">
      <alignment horizontal="center" vertical="center"/>
      <protection locked="0"/>
    </xf>
    <xf numFmtId="180" fontId="8" fillId="5" borderId="14" xfId="0" applyNumberFormat="1" applyFont="1" applyFill="1" applyBorder="1" applyAlignment="1" applyProtection="1">
      <alignment horizontal="center" vertical="center"/>
      <protection locked="0"/>
    </xf>
    <xf numFmtId="180" fontId="10" fillId="2" borderId="18" xfId="0" applyNumberFormat="1" applyFont="1" applyFill="1" applyBorder="1" applyAlignment="1">
      <alignment horizontal="center" vertical="center"/>
    </xf>
    <xf numFmtId="180" fontId="8" fillId="2" borderId="14" xfId="0" applyNumberFormat="1" applyFont="1" applyFill="1" applyBorder="1" applyAlignment="1">
      <alignment horizontal="center" vertical="center"/>
    </xf>
    <xf numFmtId="0" fontId="10" fillId="2" borderId="20" xfId="0" applyFont="1" applyFill="1" applyBorder="1" applyAlignment="1">
      <alignment horizontal="right"/>
    </xf>
    <xf numFmtId="0" fontId="10" fillId="2" borderId="20" xfId="0" applyFont="1" applyFill="1" applyBorder="1" applyAlignment="1">
      <alignment horizontal="left"/>
    </xf>
    <xf numFmtId="49" fontId="12" fillId="2" borderId="26" xfId="0" applyNumberFormat="1" applyFont="1" applyFill="1" applyBorder="1" applyAlignment="1">
      <alignment horizontal="left" vertical="center" wrapText="1"/>
    </xf>
    <xf numFmtId="49" fontId="12" fillId="2" borderId="39" xfId="0" applyNumberFormat="1" applyFont="1" applyFill="1" applyBorder="1" applyAlignment="1">
      <alignment horizontal="left" vertical="center" wrapText="1"/>
    </xf>
    <xf numFmtId="0" fontId="12" fillId="0" borderId="0" xfId="0" applyFont="1" applyFill="1" applyBorder="1" applyAlignment="1">
      <alignment horizontal="left" vertical="center"/>
    </xf>
    <xf numFmtId="49" fontId="12" fillId="2" borderId="37" xfId="0" applyNumberFormat="1" applyFont="1" applyFill="1" applyBorder="1" applyAlignment="1">
      <alignment horizontal="left" vertical="center" wrapText="1"/>
    </xf>
    <xf numFmtId="49" fontId="12" fillId="2" borderId="38" xfId="0" applyNumberFormat="1" applyFont="1" applyFill="1" applyBorder="1" applyAlignment="1">
      <alignment horizontal="left" vertical="center" wrapText="1"/>
    </xf>
    <xf numFmtId="0" fontId="10" fillId="0" borderId="37" xfId="0" applyFont="1" applyBorder="1" applyAlignment="1">
      <alignment horizontal="center" vertical="center"/>
    </xf>
    <xf numFmtId="0" fontId="10" fillId="0" borderId="37" xfId="0" applyFont="1" applyBorder="1" applyAlignment="1">
      <alignment horizontal="left" vertical="center" wrapText="1"/>
    </xf>
    <xf numFmtId="0" fontId="0" fillId="0" borderId="38" xfId="0" applyBorder="1" applyAlignment="1">
      <alignment horizontal="left" vertical="center"/>
    </xf>
    <xf numFmtId="0" fontId="10" fillId="7" borderId="27" xfId="0" applyFont="1" applyFill="1" applyBorder="1" applyAlignment="1" applyProtection="1">
      <alignment horizontal="left" vertical="top" wrapText="1"/>
      <protection locked="0"/>
    </xf>
    <xf numFmtId="0" fontId="0" fillId="7" borderId="51" xfId="0" applyFill="1" applyBorder="1" applyAlignment="1" applyProtection="1">
      <alignment horizontal="left" vertical="top" wrapText="1"/>
      <protection locked="0"/>
    </xf>
    <xf numFmtId="0" fontId="11" fillId="0" borderId="0" xfId="0" applyFont="1" applyBorder="1" applyAlignment="1">
      <alignment horizontal="left" vertical="top" wrapText="1"/>
    </xf>
    <xf numFmtId="0" fontId="11" fillId="0" borderId="1" xfId="0" applyFont="1" applyBorder="1" applyAlignment="1">
      <alignment horizontal="left" vertical="top" wrapText="1"/>
    </xf>
    <xf numFmtId="0" fontId="8" fillId="7" borderId="18" xfId="0" applyFont="1" applyFill="1" applyBorder="1" applyAlignment="1" applyProtection="1">
      <alignment horizontal="center" vertical="center"/>
      <protection locked="0"/>
    </xf>
    <xf numFmtId="0" fontId="8" fillId="7" borderId="19" xfId="0" applyFont="1" applyFill="1" applyBorder="1" applyAlignment="1" applyProtection="1">
      <alignment horizontal="center" vertical="center"/>
      <protection locked="0"/>
    </xf>
    <xf numFmtId="0" fontId="8" fillId="7" borderId="14" xfId="0" applyFont="1" applyFill="1" applyBorder="1" applyAlignment="1" applyProtection="1">
      <alignment horizontal="center" vertical="center"/>
      <protection locked="0"/>
    </xf>
    <xf numFmtId="49" fontId="10" fillId="0" borderId="0" xfId="0" applyNumberFormat="1" applyFont="1" applyFill="1" applyBorder="1" applyAlignment="1">
      <alignment horizontal="center" vertical="center" wrapText="1"/>
    </xf>
    <xf numFmtId="0" fontId="12" fillId="2" borderId="10" xfId="0" applyFont="1" applyFill="1" applyBorder="1" applyAlignment="1">
      <alignment horizontal="center" vertical="center" wrapText="1"/>
    </xf>
    <xf numFmtId="0" fontId="12" fillId="2" borderId="11"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12" fillId="2" borderId="5" xfId="0" applyFont="1" applyFill="1" applyBorder="1" applyAlignment="1">
      <alignment horizontal="center" vertical="center" wrapText="1"/>
    </xf>
    <xf numFmtId="0" fontId="12" fillId="2" borderId="9" xfId="0" applyFont="1" applyFill="1" applyBorder="1" applyAlignment="1">
      <alignment horizontal="center" vertical="center" wrapText="1"/>
    </xf>
    <xf numFmtId="0" fontId="12" fillId="2" borderId="4" xfId="0" applyFont="1" applyFill="1" applyBorder="1" applyAlignment="1">
      <alignment horizontal="center" vertical="center" wrapText="1"/>
    </xf>
    <xf numFmtId="0" fontId="10" fillId="0" borderId="8" xfId="0" applyFont="1" applyFill="1" applyBorder="1" applyAlignment="1" applyProtection="1">
      <alignment horizontal="left"/>
      <protection locked="0"/>
    </xf>
    <xf numFmtId="0" fontId="10" fillId="0" borderId="8" xfId="0" applyFont="1" applyFill="1" applyBorder="1" applyAlignment="1">
      <alignment horizontal="left"/>
    </xf>
    <xf numFmtId="0" fontId="13" fillId="2" borderId="18" xfId="0" applyFont="1" applyFill="1" applyBorder="1" applyAlignment="1">
      <alignment horizontal="center" vertical="center"/>
    </xf>
    <xf numFmtId="0" fontId="13" fillId="2" borderId="14" xfId="0" applyFont="1" applyFill="1" applyBorder="1" applyAlignment="1">
      <alignment horizontal="center" vertical="center"/>
    </xf>
    <xf numFmtId="0" fontId="13" fillId="5" borderId="8" xfId="0" applyFont="1" applyFill="1" applyBorder="1" applyAlignment="1" applyProtection="1">
      <alignment horizontal="center" vertical="center"/>
      <protection locked="0"/>
    </xf>
    <xf numFmtId="0" fontId="13" fillId="7" borderId="18" xfId="0" applyFont="1" applyFill="1" applyBorder="1" applyAlignment="1" applyProtection="1">
      <alignment horizontal="center" vertical="center"/>
      <protection locked="0"/>
    </xf>
    <xf numFmtId="0" fontId="13" fillId="7" borderId="14" xfId="0" applyFont="1" applyFill="1" applyBorder="1" applyAlignment="1" applyProtection="1">
      <alignment horizontal="center" vertical="center"/>
      <protection locked="0"/>
    </xf>
    <xf numFmtId="0" fontId="10" fillId="0" borderId="22" xfId="0" applyFont="1" applyBorder="1" applyAlignment="1">
      <alignment horizontal="center" vertical="center"/>
    </xf>
    <xf numFmtId="0" fontId="10" fillId="0" borderId="27" xfId="0" applyFont="1" applyBorder="1" applyAlignment="1">
      <alignment horizontal="left" vertical="top" wrapText="1"/>
    </xf>
    <xf numFmtId="0" fontId="0" fillId="0" borderId="41" xfId="0" applyBorder="1" applyAlignment="1">
      <alignment horizontal="left" vertical="top" wrapText="1"/>
    </xf>
    <xf numFmtId="165" fontId="9" fillId="0" borderId="9" xfId="0" applyNumberFormat="1" applyFont="1" applyFill="1" applyBorder="1" applyAlignment="1">
      <alignment horizontal="center" vertical="center"/>
    </xf>
    <xf numFmtId="0" fontId="10" fillId="7" borderId="41" xfId="0" applyFont="1" applyFill="1" applyBorder="1" applyAlignment="1" applyProtection="1">
      <alignment horizontal="left" vertical="top" wrapText="1"/>
      <protection locked="0"/>
    </xf>
    <xf numFmtId="0" fontId="10" fillId="7" borderId="51" xfId="0" applyFont="1" applyFill="1" applyBorder="1" applyAlignment="1" applyProtection="1">
      <alignment horizontal="left" vertical="top" wrapText="1"/>
      <protection locked="0"/>
    </xf>
    <xf numFmtId="0" fontId="0" fillId="0" borderId="0" xfId="0" applyBorder="1" applyAlignment="1">
      <alignment horizontal="left" vertical="center" wrapText="1"/>
    </xf>
    <xf numFmtId="0" fontId="10" fillId="0" borderId="0" xfId="0" quotePrefix="1" applyFont="1" applyFill="1" applyBorder="1" applyAlignment="1">
      <alignment horizontal="center" vertical="center"/>
    </xf>
    <xf numFmtId="0" fontId="12" fillId="0" borderId="0" xfId="0" applyFont="1" applyFill="1" applyBorder="1" applyAlignment="1">
      <alignment horizontal="left" vertical="top" wrapText="1"/>
    </xf>
    <xf numFmtId="0" fontId="12" fillId="0" borderId="1" xfId="0" applyFont="1" applyFill="1" applyBorder="1" applyAlignment="1">
      <alignment horizontal="left" vertical="top" wrapText="1"/>
    </xf>
    <xf numFmtId="2" fontId="10" fillId="2" borderId="18" xfId="0" applyNumberFormat="1" applyFont="1" applyFill="1" applyBorder="1" applyAlignment="1">
      <alignment horizontal="center" vertical="center" wrapText="1"/>
    </xf>
    <xf numFmtId="2" fontId="8" fillId="0" borderId="14" xfId="0" applyNumberFormat="1" applyFont="1" applyBorder="1" applyAlignment="1">
      <alignment horizontal="center" vertical="center"/>
    </xf>
    <xf numFmtId="1" fontId="10" fillId="2" borderId="18" xfId="0" applyNumberFormat="1" applyFont="1" applyFill="1" applyBorder="1" applyAlignment="1">
      <alignment horizontal="center" vertical="center" wrapText="1"/>
    </xf>
    <xf numFmtId="1" fontId="8" fillId="0" borderId="14" xfId="0" applyNumberFormat="1" applyFont="1" applyBorder="1" applyAlignment="1">
      <alignment horizontal="center" vertical="center"/>
    </xf>
    <xf numFmtId="0" fontId="92" fillId="5" borderId="14" xfId="0" applyFont="1" applyFill="1" applyBorder="1" applyAlignment="1" applyProtection="1">
      <alignment horizontal="center" vertical="center"/>
      <protection locked="0"/>
    </xf>
    <xf numFmtId="0" fontId="51" fillId="0" borderId="0" xfId="0" applyFont="1" applyBorder="1" applyAlignment="1">
      <alignment horizontal="left" vertical="center" wrapText="1"/>
    </xf>
    <xf numFmtId="0" fontId="51" fillId="0" borderId="0" xfId="0" applyFont="1" applyBorder="1" applyAlignment="1">
      <alignment vertical="center"/>
    </xf>
    <xf numFmtId="0" fontId="40" fillId="0" borderId="0" xfId="0" applyFont="1" applyFill="1" applyBorder="1" applyAlignment="1">
      <alignment horizontal="left" vertical="center"/>
    </xf>
    <xf numFmtId="0" fontId="0" fillId="0" borderId="0" xfId="0" applyFill="1" applyBorder="1" applyAlignment="1">
      <alignment horizontal="left" vertical="center"/>
    </xf>
    <xf numFmtId="0" fontId="14" fillId="0" borderId="0" xfId="0" applyFont="1" applyFill="1" applyBorder="1" applyAlignment="1" applyProtection="1">
      <alignment horizontal="center" vertical="center"/>
    </xf>
    <xf numFmtId="0" fontId="62" fillId="0" borderId="0" xfId="0" applyFont="1" applyFill="1" applyBorder="1" applyAlignment="1" applyProtection="1">
      <alignment horizontal="center" vertical="center"/>
    </xf>
    <xf numFmtId="165" fontId="8" fillId="0" borderId="14" xfId="0" applyNumberFormat="1" applyFont="1" applyBorder="1" applyAlignment="1">
      <alignment horizontal="center" vertical="center"/>
    </xf>
    <xf numFmtId="0" fontId="11" fillId="0" borderId="0" xfId="59" applyFont="1" applyFill="1" applyBorder="1" applyAlignment="1" applyProtection="1">
      <alignment horizontal="center" vertical="center"/>
    </xf>
    <xf numFmtId="49" fontId="10" fillId="0" borderId="0" xfId="59" applyNumberFormat="1" applyFont="1" applyFill="1" applyBorder="1" applyAlignment="1" applyProtection="1">
      <alignment horizontal="left" vertical="center" wrapText="1"/>
    </xf>
    <xf numFmtId="0" fontId="10" fillId="0" borderId="0" xfId="0" applyFont="1" applyFill="1" applyBorder="1" applyAlignment="1" applyProtection="1">
      <alignment horizontal="left" vertical="center" wrapText="1"/>
    </xf>
    <xf numFmtId="0" fontId="12" fillId="0" borderId="0" xfId="59" applyFont="1" applyFill="1" applyBorder="1" applyAlignment="1" applyProtection="1">
      <alignment horizontal="center" vertical="center"/>
    </xf>
    <xf numFmtId="0" fontId="35" fillId="0" borderId="0" xfId="59" applyFont="1" applyFill="1" applyBorder="1" applyAlignment="1" applyProtection="1">
      <alignment horizontal="center" vertical="center"/>
    </xf>
    <xf numFmtId="0" fontId="10" fillId="0" borderId="0" xfId="59" applyFont="1" applyFill="1" applyBorder="1" applyAlignment="1" applyProtection="1">
      <alignment horizontal="center" vertical="center"/>
    </xf>
    <xf numFmtId="0" fontId="34" fillId="0" borderId="0" xfId="59" applyFont="1" applyFill="1" applyBorder="1" applyAlignment="1" applyProtection="1">
      <alignment horizontal="center" vertical="center"/>
    </xf>
    <xf numFmtId="0" fontId="10" fillId="0" borderId="0" xfId="59" applyFont="1" applyFill="1" applyBorder="1" applyAlignment="1" applyProtection="1">
      <alignment wrapText="1"/>
    </xf>
    <xf numFmtId="0" fontId="34" fillId="0" borderId="0" xfId="59" applyFont="1" applyFill="1" applyBorder="1" applyAlignment="1" applyProtection="1"/>
    <xf numFmtId="0" fontId="11" fillId="0" borderId="0" xfId="59" applyFont="1" applyFill="1" applyBorder="1" applyAlignment="1" applyProtection="1">
      <alignment horizontal="left" wrapText="1"/>
    </xf>
    <xf numFmtId="0" fontId="10" fillId="0" borderId="0" xfId="59" applyFont="1" applyFill="1" applyBorder="1" applyAlignment="1" applyProtection="1">
      <alignment horizontal="left" vertical="center" wrapText="1"/>
    </xf>
    <xf numFmtId="0" fontId="11" fillId="0" borderId="0" xfId="59" applyFont="1" applyFill="1" applyBorder="1" applyAlignment="1" applyProtection="1">
      <alignment horizontal="left" vertical="center" wrapText="1"/>
    </xf>
    <xf numFmtId="0" fontId="10" fillId="0" borderId="0" xfId="59" applyFont="1" applyFill="1" applyBorder="1" applyAlignment="1" applyProtection="1">
      <alignment horizontal="left" wrapText="1"/>
    </xf>
    <xf numFmtId="0" fontId="10" fillId="0" borderId="0" xfId="0" applyFont="1" applyFill="1" applyBorder="1" applyAlignment="1" applyProtection="1">
      <alignment wrapText="1"/>
    </xf>
    <xf numFmtId="0" fontId="12" fillId="0" borderId="0" xfId="59" applyFont="1" applyFill="1" applyBorder="1" applyAlignment="1" applyProtection="1">
      <alignment horizontal="center"/>
    </xf>
    <xf numFmtId="0" fontId="11" fillId="0" borderId="0" xfId="59" applyFont="1" applyFill="1" applyBorder="1" applyAlignment="1" applyProtection="1">
      <alignment horizontal="right"/>
    </xf>
    <xf numFmtId="0" fontId="34" fillId="0" borderId="0" xfId="59" applyFont="1" applyBorder="1" applyAlignment="1" applyProtection="1">
      <alignment horizontal="right"/>
    </xf>
    <xf numFmtId="0" fontId="10" fillId="0" borderId="0" xfId="59" applyFont="1" applyFill="1" applyBorder="1" applyAlignment="1" applyProtection="1">
      <alignment horizontal="left" vertical="center"/>
    </xf>
    <xf numFmtId="0" fontId="34" fillId="0" borderId="0" xfId="59" applyFont="1" applyFill="1" applyBorder="1" applyAlignment="1" applyProtection="1">
      <alignment horizontal="left" vertical="center" wrapText="1"/>
    </xf>
    <xf numFmtId="0" fontId="10" fillId="0" borderId="0" xfId="23" applyFont="1" applyBorder="1" applyAlignment="1" applyProtection="1">
      <alignment horizontal="right"/>
    </xf>
    <xf numFmtId="49" fontId="12" fillId="10" borderId="37" xfId="59" applyNumberFormat="1" applyFont="1" applyFill="1" applyBorder="1" applyAlignment="1" applyProtection="1">
      <alignment horizontal="left"/>
    </xf>
    <xf numFmtId="49" fontId="12" fillId="10" borderId="4" xfId="59" applyNumberFormat="1" applyFont="1" applyFill="1" applyBorder="1" applyAlignment="1" applyProtection="1">
      <alignment horizontal="left"/>
    </xf>
    <xf numFmtId="1" fontId="10" fillId="10" borderId="0" xfId="23" applyNumberFormat="1" applyFont="1" applyFill="1" applyBorder="1" applyAlignment="1" applyProtection="1">
      <alignment horizontal="right"/>
    </xf>
    <xf numFmtId="1" fontId="10" fillId="0" borderId="0" xfId="23" applyNumberFormat="1" applyFont="1" applyBorder="1" applyAlignment="1" applyProtection="1">
      <alignment horizontal="right"/>
    </xf>
    <xf numFmtId="1" fontId="10" fillId="0" borderId="7" xfId="23" applyNumberFormat="1" applyFont="1" applyBorder="1" applyAlignment="1" applyProtection="1">
      <alignment horizontal="right"/>
    </xf>
    <xf numFmtId="0" fontId="10" fillId="10" borderId="22" xfId="23" applyFont="1" applyFill="1" applyBorder="1" applyAlignment="1" applyProtection="1">
      <alignment horizontal="right"/>
    </xf>
    <xf numFmtId="0" fontId="10" fillId="10" borderId="0" xfId="23" applyFont="1" applyFill="1" applyBorder="1" applyAlignment="1" applyProtection="1">
      <alignment horizontal="right"/>
    </xf>
    <xf numFmtId="0" fontId="10" fillId="0" borderId="22" xfId="23" applyFont="1" applyBorder="1" applyAlignment="1" applyProtection="1">
      <alignment horizontal="right" indent="1"/>
    </xf>
    <xf numFmtId="0" fontId="10" fillId="0" borderId="0" xfId="23" applyFont="1" applyBorder="1" applyAlignment="1" applyProtection="1">
      <alignment horizontal="right" indent="1"/>
    </xf>
    <xf numFmtId="0" fontId="10" fillId="0" borderId="7" xfId="23" applyFont="1" applyBorder="1" applyAlignment="1" applyProtection="1">
      <alignment horizontal="right" indent="1"/>
    </xf>
    <xf numFmtId="0" fontId="10" fillId="0" borderId="22" xfId="23" applyFont="1" applyBorder="1" applyAlignment="1" applyProtection="1">
      <alignment horizontal="right"/>
    </xf>
    <xf numFmtId="0" fontId="10" fillId="0" borderId="7" xfId="23" applyFont="1" applyBorder="1" applyAlignment="1" applyProtection="1">
      <alignment horizontal="right"/>
    </xf>
    <xf numFmtId="49" fontId="10" fillId="10" borderId="22" xfId="59" applyNumberFormat="1" applyFont="1" applyFill="1" applyBorder="1" applyAlignment="1" applyProtection="1">
      <alignment horizontal="right"/>
    </xf>
    <xf numFmtId="49" fontId="10" fillId="10" borderId="0" xfId="59" applyNumberFormat="1" applyFont="1" applyFill="1" applyBorder="1" applyAlignment="1" applyProtection="1">
      <alignment horizontal="right"/>
    </xf>
    <xf numFmtId="0" fontId="10" fillId="10" borderId="22" xfId="23" applyFont="1" applyFill="1" applyBorder="1" applyAlignment="1" applyProtection="1">
      <alignment horizontal="left" indent="1"/>
    </xf>
    <xf numFmtId="0" fontId="10" fillId="10" borderId="0" xfId="23" applyFont="1" applyFill="1" applyBorder="1" applyAlignment="1" applyProtection="1">
      <alignment horizontal="left" indent="1"/>
    </xf>
    <xf numFmtId="49" fontId="31" fillId="10" borderId="2" xfId="59" applyNumberFormat="1" applyFont="1" applyFill="1" applyBorder="1" applyAlignment="1" applyProtection="1">
      <alignment horizontal="center" vertical="center" wrapText="1"/>
    </xf>
    <xf numFmtId="0" fontId="11" fillId="0" borderId="0" xfId="59" applyFont="1" applyFill="1" applyBorder="1" applyAlignment="1" applyProtection="1">
      <alignment horizontal="center" wrapText="1"/>
    </xf>
    <xf numFmtId="0" fontId="34" fillId="0" borderId="0" xfId="59" applyFont="1" applyFill="1" applyBorder="1" applyAlignment="1" applyProtection="1">
      <alignment horizontal="left" vertical="center"/>
    </xf>
    <xf numFmtId="0" fontId="11" fillId="0" borderId="0" xfId="59" applyFont="1" applyFill="1" applyBorder="1" applyAlignment="1" applyProtection="1">
      <alignment wrapText="1"/>
    </xf>
    <xf numFmtId="0" fontId="34" fillId="0" borderId="0" xfId="59" applyFont="1" applyFill="1" applyBorder="1" applyAlignment="1" applyProtection="1">
      <alignment wrapText="1"/>
    </xf>
    <xf numFmtId="0" fontId="10" fillId="0" borderId="0" xfId="59" applyFont="1" applyFill="1" applyBorder="1" applyAlignment="1" applyProtection="1">
      <alignment horizontal="left"/>
    </xf>
    <xf numFmtId="0" fontId="10" fillId="0" borderId="0" xfId="0" applyFont="1" applyFill="1" applyBorder="1" applyAlignment="1" applyProtection="1">
      <alignment horizontal="left"/>
    </xf>
    <xf numFmtId="0" fontId="10" fillId="0" borderId="0" xfId="0" applyFont="1" applyFill="1" applyBorder="1" applyAlignment="1" applyProtection="1"/>
    <xf numFmtId="0" fontId="137" fillId="10" borderId="81" xfId="0" applyFont="1" applyFill="1" applyBorder="1" applyAlignment="1" applyProtection="1">
      <alignment horizontal="center" vertical="center" wrapText="1"/>
    </xf>
    <xf numFmtId="0" fontId="10" fillId="0" borderId="0" xfId="59" applyFont="1" applyFill="1" applyBorder="1" applyAlignment="1">
      <alignment wrapText="1"/>
    </xf>
    <xf numFmtId="0" fontId="44" fillId="0" borderId="0" xfId="59" applyBorder="1" applyAlignment="1"/>
    <xf numFmtId="0" fontId="44" fillId="0" borderId="7" xfId="59" applyBorder="1" applyAlignment="1"/>
    <xf numFmtId="0" fontId="10" fillId="0" borderId="0" xfId="59" applyFont="1" applyBorder="1" applyAlignment="1">
      <alignment horizontal="left" vertical="center" wrapText="1"/>
    </xf>
    <xf numFmtId="0" fontId="0" fillId="0" borderId="0" xfId="0" applyAlignment="1">
      <alignment wrapText="1"/>
    </xf>
    <xf numFmtId="0" fontId="11" fillId="0" borderId="0" xfId="59" applyFont="1" applyBorder="1" applyAlignment="1">
      <alignment horizontal="left" wrapText="1"/>
    </xf>
    <xf numFmtId="0" fontId="11" fillId="0" borderId="0" xfId="59" applyFont="1" applyFill="1" applyBorder="1" applyAlignment="1">
      <alignment horizontal="right"/>
    </xf>
    <xf numFmtId="0" fontId="44" fillId="0" borderId="0" xfId="59" applyBorder="1" applyAlignment="1">
      <alignment horizontal="right"/>
    </xf>
    <xf numFmtId="0" fontId="50" fillId="0" borderId="10" xfId="59" applyFont="1" applyBorder="1" applyAlignment="1">
      <alignment horizontal="center" vertical="center" wrapText="1"/>
    </xf>
    <xf numFmtId="0" fontId="50" fillId="0" borderId="11" xfId="59" applyFont="1" applyBorder="1" applyAlignment="1">
      <alignment horizontal="center" vertical="center" wrapText="1"/>
    </xf>
    <xf numFmtId="0" fontId="50" fillId="0" borderId="6" xfId="59" applyFont="1" applyBorder="1" applyAlignment="1">
      <alignment horizontal="center" vertical="center" wrapText="1"/>
    </xf>
    <xf numFmtId="0" fontId="50" fillId="0" borderId="7" xfId="59" applyFont="1" applyBorder="1" applyAlignment="1">
      <alignment horizontal="center" vertical="center" wrapText="1"/>
    </xf>
    <xf numFmtId="0" fontId="50" fillId="0" borderId="3" xfId="59" applyFont="1" applyBorder="1" applyAlignment="1">
      <alignment horizontal="center" vertical="center" wrapText="1"/>
    </xf>
    <xf numFmtId="0" fontId="50" fillId="0" borderId="5" xfId="59" applyFont="1" applyBorder="1" applyAlignment="1">
      <alignment horizontal="center" vertical="center" wrapText="1"/>
    </xf>
    <xf numFmtId="0" fontId="10" fillId="0" borderId="0" xfId="59" applyFont="1" applyBorder="1" applyAlignment="1">
      <alignment horizontal="left" wrapText="1"/>
    </xf>
    <xf numFmtId="0" fontId="44" fillId="0" borderId="7" xfId="59" applyBorder="1" applyAlignment="1">
      <alignment wrapText="1"/>
    </xf>
    <xf numFmtId="0" fontId="11" fillId="0" borderId="0" xfId="59" applyFont="1" applyBorder="1" applyAlignment="1">
      <alignment horizontal="left" vertical="center" wrapText="1"/>
    </xf>
    <xf numFmtId="0" fontId="11" fillId="0" borderId="6" xfId="59" applyFont="1" applyFill="1" applyBorder="1" applyAlignment="1">
      <alignment horizontal="center" vertical="center"/>
    </xf>
    <xf numFmtId="0" fontId="11" fillId="0" borderId="0" xfId="59" applyFont="1" applyFill="1" applyBorder="1" applyAlignment="1">
      <alignment horizontal="center" vertical="center"/>
    </xf>
    <xf numFmtId="49" fontId="10" fillId="0" borderId="3" xfId="59" applyNumberFormat="1" applyFont="1" applyBorder="1" applyAlignment="1">
      <alignment horizontal="left" vertical="center" wrapText="1"/>
    </xf>
    <xf numFmtId="0" fontId="8" fillId="0" borderId="4" xfId="0" applyFont="1" applyBorder="1" applyAlignment="1">
      <alignment horizontal="left" vertical="center" wrapText="1"/>
    </xf>
    <xf numFmtId="0" fontId="10" fillId="5" borderId="18" xfId="59" applyFont="1" applyFill="1" applyBorder="1" applyAlignment="1" applyProtection="1">
      <alignment horizontal="center" vertical="center"/>
      <protection locked="0"/>
    </xf>
    <xf numFmtId="0" fontId="10" fillId="5" borderId="19" xfId="59" applyFont="1" applyFill="1" applyBorder="1" applyAlignment="1" applyProtection="1">
      <alignment horizontal="center" vertical="center"/>
      <protection locked="0"/>
    </xf>
    <xf numFmtId="0" fontId="10" fillId="5" borderId="14" xfId="59" applyFont="1" applyFill="1" applyBorder="1" applyAlignment="1" applyProtection="1">
      <alignment horizontal="center" vertical="center"/>
      <protection locked="0"/>
    </xf>
    <xf numFmtId="0" fontId="34" fillId="5" borderId="19" xfId="59" applyFont="1" applyFill="1" applyBorder="1" applyAlignment="1" applyProtection="1">
      <alignment horizontal="center" vertical="center"/>
      <protection locked="0"/>
    </xf>
    <xf numFmtId="0" fontId="34" fillId="5" borderId="14" xfId="59" applyFont="1" applyFill="1" applyBorder="1" applyAlignment="1" applyProtection="1">
      <alignment horizontal="center" vertical="center"/>
      <protection locked="0"/>
    </xf>
    <xf numFmtId="0" fontId="13" fillId="5" borderId="18" xfId="59" applyFont="1" applyFill="1" applyBorder="1" applyAlignment="1" applyProtection="1">
      <alignment horizontal="center" vertical="center"/>
      <protection locked="0"/>
    </xf>
    <xf numFmtId="0" fontId="63" fillId="5" borderId="19" xfId="59" applyFont="1" applyFill="1" applyBorder="1" applyAlignment="1" applyProtection="1">
      <alignment horizontal="center" vertical="center"/>
      <protection locked="0"/>
    </xf>
    <xf numFmtId="0" fontId="63" fillId="5" borderId="14" xfId="59" applyFont="1" applyFill="1" applyBorder="1" applyAlignment="1" applyProtection="1">
      <alignment horizontal="center" vertical="center"/>
      <protection locked="0"/>
    </xf>
    <xf numFmtId="0" fontId="11" fillId="0" borderId="0" xfId="59" applyFont="1" applyBorder="1" applyAlignment="1">
      <alignment wrapText="1"/>
    </xf>
    <xf numFmtId="0" fontId="44" fillId="0" borderId="0" xfId="59" applyBorder="1" applyAlignment="1">
      <alignment wrapText="1"/>
    </xf>
    <xf numFmtId="0" fontId="10" fillId="0" borderId="0" xfId="59" applyFont="1" applyBorder="1" applyAlignment="1">
      <alignment wrapText="1"/>
    </xf>
    <xf numFmtId="0" fontId="44" fillId="0" borderId="0" xfId="59" applyBorder="1" applyAlignment="1">
      <alignment horizontal="left" vertical="center" wrapText="1"/>
    </xf>
    <xf numFmtId="0" fontId="44" fillId="0" borderId="7" xfId="59" applyBorder="1" applyAlignment="1">
      <alignment horizontal="left" vertical="center" wrapText="1"/>
    </xf>
    <xf numFmtId="0" fontId="11" fillId="0" borderId="0" xfId="59" applyFont="1" applyBorder="1" applyAlignment="1">
      <alignment horizontal="center" wrapText="1"/>
    </xf>
    <xf numFmtId="0" fontId="11" fillId="0" borderId="7" xfId="59" applyFont="1" applyBorder="1" applyAlignment="1">
      <alignment horizontal="center" wrapText="1"/>
    </xf>
    <xf numFmtId="49" fontId="31" fillId="0" borderId="4" xfId="59" applyNumberFormat="1" applyFont="1" applyBorder="1" applyAlignment="1">
      <alignment horizontal="center" wrapText="1"/>
    </xf>
    <xf numFmtId="0" fontId="10" fillId="5" borderId="18" xfId="59" applyFont="1" applyFill="1" applyBorder="1" applyAlignment="1" applyProtection="1">
      <alignment horizontal="left" vertical="center"/>
      <protection locked="0"/>
    </xf>
    <xf numFmtId="0" fontId="34" fillId="5" borderId="19" xfId="59" applyFont="1" applyFill="1" applyBorder="1" applyAlignment="1" applyProtection="1">
      <alignment horizontal="left" vertical="center"/>
      <protection locked="0"/>
    </xf>
    <xf numFmtId="0" fontId="34" fillId="5" borderId="14" xfId="59" applyFont="1" applyFill="1" applyBorder="1" applyAlignment="1" applyProtection="1">
      <alignment horizontal="left" vertical="center"/>
      <protection locked="0"/>
    </xf>
    <xf numFmtId="0" fontId="10" fillId="0" borderId="6" xfId="59" applyFont="1" applyBorder="1" applyAlignment="1">
      <alignment horizontal="left" vertical="center"/>
    </xf>
    <xf numFmtId="0" fontId="10" fillId="0" borderId="7" xfId="59" applyFont="1" applyBorder="1" applyAlignment="1">
      <alignment horizontal="left" vertical="center"/>
    </xf>
    <xf numFmtId="176" fontId="10" fillId="2" borderId="18" xfId="59" applyNumberFormat="1" applyFont="1" applyFill="1" applyBorder="1" applyAlignment="1">
      <alignment horizontal="center" vertical="center"/>
    </xf>
    <xf numFmtId="176" fontId="10" fillId="2" borderId="14" xfId="59" applyNumberFormat="1" applyFont="1" applyFill="1" applyBorder="1" applyAlignment="1">
      <alignment horizontal="center" vertical="center"/>
    </xf>
    <xf numFmtId="0" fontId="12" fillId="0" borderId="0" xfId="59" applyFont="1" applyFill="1" applyBorder="1" applyAlignment="1">
      <alignment horizontal="center"/>
    </xf>
    <xf numFmtId="0" fontId="44" fillId="0" borderId="0" xfId="59" applyFill="1" applyBorder="1" applyAlignment="1">
      <alignment horizontal="center"/>
    </xf>
    <xf numFmtId="0" fontId="10" fillId="0" borderId="0" xfId="59" applyFont="1" applyFill="1" applyBorder="1" applyAlignment="1">
      <alignment horizontal="center"/>
    </xf>
    <xf numFmtId="0" fontId="44" fillId="0" borderId="0" xfId="59" applyFill="1" applyBorder="1" applyAlignment="1"/>
    <xf numFmtId="0" fontId="10" fillId="0" borderId="0" xfId="59" applyFont="1" applyFill="1" applyBorder="1" applyAlignment="1">
      <alignment horizontal="left"/>
    </xf>
    <xf numFmtId="0" fontId="0" fillId="0" borderId="0" xfId="0" applyBorder="1" applyAlignment="1">
      <alignment horizontal="left"/>
    </xf>
    <xf numFmtId="0" fontId="0" fillId="0" borderId="0" xfId="0" applyBorder="1" applyAlignment="1"/>
    <xf numFmtId="0" fontId="0" fillId="0" borderId="7" xfId="0" applyBorder="1" applyAlignment="1"/>
    <xf numFmtId="0" fontId="10" fillId="0" borderId="0" xfId="59" applyFont="1" applyBorder="1" applyAlignment="1">
      <alignment horizontal="left"/>
    </xf>
    <xf numFmtId="0" fontId="35" fillId="0" borderId="0" xfId="58" applyFont="1" applyBorder="1" applyAlignment="1">
      <alignment horizontal="center" vertical="center"/>
    </xf>
    <xf numFmtId="0" fontId="74" fillId="0" borderId="0" xfId="58" applyFont="1" applyBorder="1" applyAlignment="1">
      <alignment horizontal="center" vertical="center" wrapText="1"/>
    </xf>
    <xf numFmtId="0" fontId="8" fillId="0" borderId="8" xfId="0" applyFont="1" applyBorder="1" applyAlignment="1">
      <alignment horizontal="center" vertical="center" wrapText="1"/>
    </xf>
    <xf numFmtId="0" fontId="8" fillId="0" borderId="8" xfId="0" applyFont="1" applyBorder="1" applyAlignment="1">
      <alignment horizontal="center" vertical="center"/>
    </xf>
    <xf numFmtId="0" fontId="34" fillId="0" borderId="10" xfId="58" applyFont="1" applyFill="1" applyBorder="1" applyAlignment="1">
      <alignment wrapText="1"/>
    </xf>
    <xf numFmtId="0" fontId="44" fillId="0" borderId="9" xfId="58" applyBorder="1" applyAlignment="1">
      <alignment wrapText="1"/>
    </xf>
    <xf numFmtId="0" fontId="44" fillId="0" borderId="3" xfId="58" applyBorder="1" applyAlignment="1">
      <alignment wrapText="1"/>
    </xf>
    <xf numFmtId="0" fontId="44" fillId="0" borderId="4" xfId="58" applyBorder="1" applyAlignment="1">
      <alignment wrapText="1"/>
    </xf>
    <xf numFmtId="1" fontId="45" fillId="0" borderId="56" xfId="58" applyNumberFormat="1" applyFont="1" applyBorder="1" applyAlignment="1">
      <alignment horizontal="center" vertical="center" wrapText="1"/>
    </xf>
    <xf numFmtId="1" fontId="45" fillId="0" borderId="57" xfId="58" applyNumberFormat="1" applyFont="1" applyBorder="1" applyAlignment="1">
      <alignment horizontal="center" vertical="center" wrapText="1"/>
    </xf>
    <xf numFmtId="1" fontId="44" fillId="0" borderId="58" xfId="58" applyNumberFormat="1" applyBorder="1" applyAlignment="1"/>
    <xf numFmtId="0" fontId="35" fillId="0" borderId="8" xfId="58" applyFont="1" applyBorder="1" applyAlignment="1">
      <alignment horizontal="right" vertical="top" wrapText="1"/>
    </xf>
    <xf numFmtId="0" fontId="35" fillId="0" borderId="18" xfId="58" applyFont="1" applyBorder="1" applyAlignment="1">
      <alignment horizontal="right" vertical="top" wrapText="1"/>
    </xf>
    <xf numFmtId="0" fontId="138" fillId="0" borderId="6" xfId="62" applyFont="1" applyFill="1" applyBorder="1" applyAlignment="1">
      <alignment horizontal="center"/>
    </xf>
    <xf numFmtId="0" fontId="138" fillId="0" borderId="0" xfId="62" applyFont="1" applyBorder="1" applyAlignment="1">
      <alignment horizontal="center"/>
    </xf>
    <xf numFmtId="0" fontId="74" fillId="0" borderId="2" xfId="62" applyFont="1" applyBorder="1" applyAlignment="1">
      <alignment horizontal="center" vertical="center" wrapText="1"/>
    </xf>
    <xf numFmtId="0" fontId="34" fillId="0" borderId="33" xfId="58" applyFont="1" applyBorder="1" applyAlignment="1">
      <alignment horizontal="right" vertical="center"/>
    </xf>
    <xf numFmtId="0" fontId="138" fillId="0" borderId="6" xfId="62" applyFont="1" applyFill="1" applyBorder="1" applyAlignment="1">
      <alignment horizontal="left" wrapText="1"/>
    </xf>
    <xf numFmtId="0" fontId="138" fillId="0" borderId="0" xfId="62" applyFont="1" applyFill="1" applyBorder="1" applyAlignment="1">
      <alignment horizontal="left" wrapText="1"/>
    </xf>
    <xf numFmtId="0" fontId="138" fillId="0" borderId="7" xfId="62" applyFont="1" applyFill="1" applyBorder="1" applyAlignment="1">
      <alignment horizontal="left" wrapText="1"/>
    </xf>
    <xf numFmtId="0" fontId="139" fillId="2" borderId="6" xfId="62" applyFont="1" applyFill="1" applyBorder="1" applyAlignment="1">
      <alignment horizontal="center"/>
    </xf>
    <xf numFmtId="0" fontId="139" fillId="2" borderId="0" xfId="62" applyFont="1" applyFill="1" applyBorder="1" applyAlignment="1">
      <alignment horizontal="center"/>
    </xf>
    <xf numFmtId="0" fontId="139" fillId="2" borderId="7" xfId="62" applyFont="1" applyFill="1" applyBorder="1" applyAlignment="1">
      <alignment horizontal="center"/>
    </xf>
    <xf numFmtId="0" fontId="35" fillId="0" borderId="30" xfId="57" applyFont="1" applyBorder="1" applyAlignment="1">
      <alignment horizontal="right" vertical="center"/>
    </xf>
    <xf numFmtId="0" fontId="35" fillId="0" borderId="28" xfId="57" applyFont="1" applyBorder="1" applyAlignment="1">
      <alignment horizontal="right" vertical="center"/>
    </xf>
    <xf numFmtId="0" fontId="35" fillId="0" borderId="29" xfId="57" applyFont="1" applyBorder="1" applyAlignment="1">
      <alignment horizontal="right" vertical="center"/>
    </xf>
    <xf numFmtId="0" fontId="74" fillId="0" borderId="0" xfId="57" applyFont="1" applyBorder="1" applyAlignment="1">
      <alignment horizontal="center" vertical="center" wrapText="1"/>
    </xf>
    <xf numFmtId="0" fontId="74" fillId="0" borderId="0" xfId="60" applyFont="1" applyBorder="1" applyAlignment="1">
      <alignment horizontal="center" vertical="center" wrapText="1"/>
    </xf>
    <xf numFmtId="0" fontId="34" fillId="0" borderId="10" xfId="60" applyFont="1" applyBorder="1" applyAlignment="1">
      <alignment horizontal="center" vertical="center" wrapText="1"/>
    </xf>
    <xf numFmtId="0" fontId="34" fillId="0" borderId="9" xfId="60" applyFont="1" applyBorder="1" applyAlignment="1">
      <alignment horizontal="center" vertical="center" wrapText="1"/>
    </xf>
    <xf numFmtId="0" fontId="34" fillId="0" borderId="11" xfId="60" applyFont="1" applyBorder="1" applyAlignment="1">
      <alignment horizontal="center" vertical="center" wrapText="1"/>
    </xf>
    <xf numFmtId="0" fontId="44" fillId="0" borderId="6" xfId="60" applyBorder="1" applyAlignment="1">
      <alignment horizontal="center" vertical="center" wrapText="1"/>
    </xf>
    <xf numFmtId="0" fontId="44" fillId="0" borderId="0" xfId="60" applyBorder="1" applyAlignment="1">
      <alignment horizontal="center" vertical="center" wrapText="1"/>
    </xf>
    <xf numFmtId="0" fontId="44" fillId="0" borderId="7" xfId="60" applyBorder="1" applyAlignment="1">
      <alignment horizontal="center" vertical="center" wrapText="1"/>
    </xf>
    <xf numFmtId="0" fontId="44" fillId="0" borderId="3" xfId="60" applyBorder="1" applyAlignment="1">
      <alignment horizontal="center" vertical="center" wrapText="1"/>
    </xf>
    <xf numFmtId="0" fontId="44" fillId="0" borderId="4" xfId="60" applyBorder="1" applyAlignment="1">
      <alignment horizontal="center" vertical="center" wrapText="1"/>
    </xf>
    <xf numFmtId="0" fontId="44" fillId="0" borderId="5" xfId="60" applyBorder="1" applyAlignment="1">
      <alignment horizontal="center" vertical="center" wrapText="1"/>
    </xf>
    <xf numFmtId="0" fontId="34" fillId="0" borderId="19" xfId="60" applyFont="1" applyBorder="1" applyAlignment="1">
      <alignment horizontal="left" vertical="center"/>
    </xf>
    <xf numFmtId="0" fontId="44" fillId="0" borderId="19" xfId="60" applyBorder="1" applyAlignment="1">
      <alignment vertical="center"/>
    </xf>
    <xf numFmtId="0" fontId="35" fillId="0" borderId="30" xfId="60" applyFont="1" applyBorder="1" applyAlignment="1">
      <alignment horizontal="left" vertical="center" wrapText="1"/>
    </xf>
    <xf numFmtId="0" fontId="44" fillId="0" borderId="52" xfId="60" applyBorder="1" applyAlignment="1">
      <alignment vertical="center"/>
    </xf>
    <xf numFmtId="0" fontId="34" fillId="0" borderId="18" xfId="60" applyFont="1" applyBorder="1" applyAlignment="1">
      <alignment horizontal="left" vertical="center" wrapText="1"/>
    </xf>
    <xf numFmtId="0" fontId="44" fillId="0" borderId="19" xfId="60" applyBorder="1" applyAlignment="1">
      <alignment vertical="center" wrapText="1"/>
    </xf>
    <xf numFmtId="0" fontId="44" fillId="0" borderId="14" xfId="60" applyBorder="1" applyAlignment="1">
      <alignment vertical="center" wrapText="1"/>
    </xf>
    <xf numFmtId="0" fontId="34" fillId="0" borderId="31" xfId="60" applyFont="1" applyBorder="1" applyAlignment="1">
      <alignment horizontal="left" vertical="center" wrapText="1"/>
    </xf>
    <xf numFmtId="0" fontId="44" fillId="0" borderId="28" xfId="60" applyBorder="1" applyAlignment="1">
      <alignment vertical="center" wrapText="1"/>
    </xf>
    <xf numFmtId="0" fontId="44" fillId="0" borderId="29" xfId="60" applyBorder="1" applyAlignment="1">
      <alignment vertical="center" wrapText="1"/>
    </xf>
    <xf numFmtId="0" fontId="35" fillId="3" borderId="15" xfId="60" applyFont="1" applyFill="1" applyBorder="1" applyAlignment="1">
      <alignment horizontal="left" vertical="center" wrapText="1"/>
    </xf>
    <xf numFmtId="0" fontId="44" fillId="0" borderId="42" xfId="60" applyBorder="1" applyAlignment="1">
      <alignment horizontal="left" vertical="center"/>
    </xf>
    <xf numFmtId="0" fontId="44" fillId="0" borderId="12" xfId="60" applyBorder="1" applyAlignment="1">
      <alignment horizontal="left" vertical="center"/>
    </xf>
    <xf numFmtId="0" fontId="34" fillId="0" borderId="4" xfId="60" applyFont="1" applyBorder="1" applyAlignment="1">
      <alignment horizontal="center" vertical="center" wrapText="1"/>
    </xf>
    <xf numFmtId="0" fontId="13" fillId="5" borderId="18" xfId="61" applyFont="1" applyFill="1" applyBorder="1" applyAlignment="1" applyProtection="1">
      <alignment horizontal="center" vertical="center"/>
      <protection locked="0"/>
    </xf>
    <xf numFmtId="0" fontId="13" fillId="5" borderId="19" xfId="61" applyFont="1" applyFill="1" applyBorder="1" applyAlignment="1" applyProtection="1">
      <alignment horizontal="center" vertical="center"/>
      <protection locked="0"/>
    </xf>
    <xf numFmtId="0" fontId="13" fillId="5" borderId="14" xfId="61" applyFont="1" applyFill="1" applyBorder="1" applyAlignment="1" applyProtection="1">
      <alignment horizontal="center" vertical="center"/>
      <protection locked="0"/>
    </xf>
    <xf numFmtId="0" fontId="12" fillId="2" borderId="26" xfId="61" applyFont="1" applyFill="1" applyBorder="1" applyAlignment="1">
      <alignment horizontal="left"/>
    </xf>
    <xf numFmtId="0" fontId="12" fillId="2" borderId="19" xfId="61" applyFont="1" applyFill="1" applyBorder="1" applyAlignment="1">
      <alignment horizontal="left"/>
    </xf>
    <xf numFmtId="0" fontId="12" fillId="2" borderId="39" xfId="61" applyFont="1" applyFill="1" applyBorder="1" applyAlignment="1">
      <alignment horizontal="left"/>
    </xf>
    <xf numFmtId="167" fontId="14" fillId="2" borderId="18" xfId="61" applyNumberFormat="1" applyFont="1" applyFill="1" applyBorder="1" applyAlignment="1">
      <alignment vertical="center"/>
    </xf>
    <xf numFmtId="0" fontId="64" fillId="2" borderId="14" xfId="61" applyFont="1" applyFill="1" applyBorder="1" applyAlignment="1">
      <alignment vertical="center"/>
    </xf>
    <xf numFmtId="0" fontId="46" fillId="0" borderId="10" xfId="61" applyFont="1" applyBorder="1" applyAlignment="1">
      <alignment horizontal="center" vertical="center" wrapText="1"/>
    </xf>
    <xf numFmtId="0" fontId="0" fillId="0" borderId="9" xfId="0" applyBorder="1" applyAlignment="1">
      <alignment horizontal="center" vertical="center" wrapText="1"/>
    </xf>
    <xf numFmtId="0" fontId="0" fillId="0" borderId="11" xfId="0" applyBorder="1" applyAlignment="1">
      <alignment horizontal="center" vertical="center" wrapText="1"/>
    </xf>
    <xf numFmtId="0" fontId="0" fillId="0" borderId="6" xfId="0" applyBorder="1" applyAlignment="1">
      <alignment horizontal="center" vertical="center" wrapText="1"/>
    </xf>
    <xf numFmtId="0" fontId="0" fillId="0" borderId="0" xfId="0" applyBorder="1" applyAlignment="1">
      <alignment horizontal="center" vertical="center" wrapText="1"/>
    </xf>
    <xf numFmtId="0" fontId="0" fillId="0" borderId="7" xfId="0" applyBorder="1" applyAlignment="1">
      <alignment horizontal="center"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0" fillId="0" borderId="5" xfId="0" applyBorder="1" applyAlignment="1">
      <alignment horizontal="center" vertical="center" wrapText="1"/>
    </xf>
    <xf numFmtId="167" fontId="14" fillId="2" borderId="18" xfId="61" applyNumberFormat="1" applyFont="1" applyFill="1" applyBorder="1" applyAlignment="1">
      <alignment horizontal="center" vertical="center"/>
    </xf>
    <xf numFmtId="0" fontId="64" fillId="2" borderId="14" xfId="61" applyFont="1" applyFill="1" applyBorder="1" applyAlignment="1">
      <alignment horizontal="center" vertical="center"/>
    </xf>
    <xf numFmtId="1" fontId="13" fillId="2" borderId="18" xfId="61" applyNumberFormat="1" applyFont="1" applyFill="1" applyBorder="1" applyAlignment="1">
      <alignment horizontal="center" vertical="center"/>
    </xf>
    <xf numFmtId="0" fontId="10" fillId="0" borderId="0" xfId="61" applyFont="1" applyBorder="1" applyAlignment="1">
      <alignment horizontal="left" vertical="center" wrapText="1" shrinkToFit="1"/>
    </xf>
    <xf numFmtId="0" fontId="44" fillId="0" borderId="0" xfId="61" applyBorder="1" applyAlignment="1">
      <alignment wrapText="1" shrinkToFit="1"/>
    </xf>
    <xf numFmtId="0" fontId="12" fillId="2" borderId="3" xfId="61" applyFont="1" applyFill="1" applyBorder="1" applyAlignment="1">
      <alignment horizontal="center" wrapText="1"/>
    </xf>
    <xf numFmtId="0" fontId="12" fillId="2" borderId="4" xfId="61" applyFont="1" applyFill="1" applyBorder="1" applyAlignment="1">
      <alignment horizontal="center" wrapText="1"/>
    </xf>
    <xf numFmtId="0" fontId="12" fillId="2" borderId="5" xfId="61" applyFont="1" applyFill="1" applyBorder="1" applyAlignment="1">
      <alignment horizontal="center" wrapText="1"/>
    </xf>
    <xf numFmtId="0" fontId="11" fillId="0" borderId="0" xfId="61" applyFont="1" applyBorder="1" applyAlignment="1">
      <alignment horizontal="left" vertical="center" wrapText="1"/>
    </xf>
    <xf numFmtId="0" fontId="44" fillId="0" borderId="0" xfId="61" applyBorder="1" applyAlignment="1">
      <alignment horizontal="left" vertical="center" wrapText="1"/>
    </xf>
    <xf numFmtId="1" fontId="13" fillId="5" borderId="18" xfId="61" applyNumberFormat="1" applyFont="1" applyFill="1" applyBorder="1" applyAlignment="1" applyProtection="1">
      <alignment horizontal="center" vertical="center"/>
      <protection locked="0"/>
    </xf>
    <xf numFmtId="0" fontId="64" fillId="5" borderId="14" xfId="61" applyFont="1" applyFill="1" applyBorder="1" applyAlignment="1" applyProtection="1">
      <alignment horizontal="center" vertical="center"/>
      <protection locked="0"/>
    </xf>
    <xf numFmtId="165" fontId="13" fillId="5" borderId="18" xfId="0" applyNumberFormat="1" applyFont="1" applyFill="1" applyBorder="1" applyAlignment="1" applyProtection="1">
      <alignment horizontal="center" vertical="center"/>
      <protection locked="0"/>
    </xf>
    <xf numFmtId="165" fontId="13" fillId="5" borderId="14" xfId="0" applyNumberFormat="1" applyFont="1" applyFill="1" applyBorder="1" applyAlignment="1" applyProtection="1">
      <alignment horizontal="center" vertical="center"/>
      <protection locked="0"/>
    </xf>
    <xf numFmtId="0" fontId="12" fillId="2" borderId="37" xfId="61" applyFont="1" applyFill="1" applyBorder="1" applyAlignment="1">
      <alignment horizontal="left"/>
    </xf>
    <xf numFmtId="0" fontId="12" fillId="2" borderId="4" xfId="61" applyFont="1" applyFill="1" applyBorder="1" applyAlignment="1">
      <alignment horizontal="left"/>
    </xf>
    <xf numFmtId="0" fontId="12" fillId="2" borderId="38" xfId="61" applyFont="1" applyFill="1" applyBorder="1" applyAlignment="1">
      <alignment horizontal="left"/>
    </xf>
    <xf numFmtId="0" fontId="12" fillId="2" borderId="10" xfId="61" applyFont="1" applyFill="1" applyBorder="1" applyAlignment="1">
      <alignment horizontal="center"/>
    </xf>
    <xf numFmtId="0" fontId="12" fillId="2" borderId="9" xfId="61" applyFont="1" applyFill="1" applyBorder="1" applyAlignment="1">
      <alignment horizontal="center"/>
    </xf>
    <xf numFmtId="0" fontId="12" fillId="2" borderId="11" xfId="61" applyFont="1" applyFill="1" applyBorder="1" applyAlignment="1">
      <alignment horizontal="center"/>
    </xf>
    <xf numFmtId="0" fontId="10" fillId="0" borderId="6" xfId="61" applyFont="1" applyBorder="1" applyAlignment="1">
      <alignment horizontal="left" vertical="center"/>
    </xf>
    <xf numFmtId="0" fontId="10" fillId="0" borderId="0" xfId="61" applyFont="1" applyBorder="1" applyAlignment="1">
      <alignment horizontal="left" vertical="center"/>
    </xf>
    <xf numFmtId="165" fontId="13" fillId="5" borderId="18" xfId="61" applyNumberFormat="1" applyFont="1" applyFill="1" applyBorder="1" applyAlignment="1" applyProtection="1">
      <alignment horizontal="center" vertical="center"/>
      <protection locked="0"/>
    </xf>
    <xf numFmtId="165" fontId="13" fillId="5" borderId="14" xfId="61" applyNumberFormat="1" applyFont="1" applyFill="1" applyBorder="1" applyAlignment="1" applyProtection="1">
      <alignment horizontal="center" vertical="center"/>
      <protection locked="0"/>
    </xf>
    <xf numFmtId="0" fontId="10" fillId="0" borderId="6" xfId="61" applyFont="1" applyFill="1" applyBorder="1" applyAlignment="1">
      <alignment horizontal="left" vertical="center"/>
    </xf>
    <xf numFmtId="0" fontId="10" fillId="0" borderId="0" xfId="61" applyFont="1" applyFill="1" applyBorder="1" applyAlignment="1">
      <alignment horizontal="left" vertical="center"/>
    </xf>
    <xf numFmtId="49" fontId="31" fillId="0" borderId="0" xfId="61" applyNumberFormat="1" applyFont="1" applyFill="1" applyBorder="1" applyAlignment="1">
      <alignment horizontal="center" vertical="center" wrapText="1"/>
    </xf>
    <xf numFmtId="0" fontId="12" fillId="2" borderId="35" xfId="61" applyFont="1" applyFill="1" applyBorder="1" applyAlignment="1">
      <alignment horizontal="left"/>
    </xf>
    <xf numFmtId="0" fontId="12" fillId="2" borderId="9" xfId="61" applyFont="1" applyFill="1" applyBorder="1" applyAlignment="1">
      <alignment horizontal="left"/>
    </xf>
    <xf numFmtId="0" fontId="12" fillId="2" borderId="36" xfId="61" applyFont="1" applyFill="1" applyBorder="1" applyAlignment="1">
      <alignment horizontal="left"/>
    </xf>
    <xf numFmtId="0" fontId="13" fillId="2" borderId="18" xfId="61" applyNumberFormat="1" applyFont="1" applyFill="1" applyBorder="1" applyAlignment="1">
      <alignment horizontal="center" vertical="center"/>
    </xf>
    <xf numFmtId="0" fontId="64" fillId="2" borderId="14" xfId="61" applyNumberFormat="1" applyFont="1" applyFill="1" applyBorder="1" applyAlignment="1">
      <alignment horizontal="center" vertical="center"/>
    </xf>
    <xf numFmtId="0" fontId="11" fillId="0" borderId="35" xfId="61" applyFont="1" applyBorder="1" applyAlignment="1">
      <alignment horizontal="left" vertical="center" wrapText="1"/>
    </xf>
    <xf numFmtId="0" fontId="11" fillId="0" borderId="9" xfId="61" applyFont="1" applyBorder="1" applyAlignment="1">
      <alignment horizontal="left" vertical="center" wrapText="1"/>
    </xf>
    <xf numFmtId="0" fontId="11" fillId="0" borderId="22" xfId="61" applyFont="1" applyBorder="1" applyAlignment="1">
      <alignment horizontal="left" vertical="center" wrapText="1"/>
    </xf>
    <xf numFmtId="0" fontId="44" fillId="0" borderId="0" xfId="61" applyBorder="1" applyAlignment="1"/>
    <xf numFmtId="0" fontId="11" fillId="0" borderId="0" xfId="61" applyFont="1" applyBorder="1" applyAlignment="1">
      <alignment horizontal="center" vertical="center" wrapText="1"/>
    </xf>
    <xf numFmtId="0" fontId="48" fillId="0" borderId="0" xfId="61" applyFont="1" applyBorder="1" applyAlignment="1">
      <alignment horizontal="center" vertical="center"/>
    </xf>
    <xf numFmtId="0" fontId="44" fillId="0" borderId="0" xfId="61" applyBorder="1" applyAlignment="1">
      <alignment horizontal="center" vertical="center"/>
    </xf>
    <xf numFmtId="167" fontId="13" fillId="5" borderId="18" xfId="61" applyNumberFormat="1" applyFont="1" applyFill="1" applyBorder="1" applyAlignment="1" applyProtection="1">
      <alignment horizontal="center" vertical="center"/>
      <protection locked="0"/>
    </xf>
    <xf numFmtId="167" fontId="13" fillId="5" borderId="14" xfId="61" applyNumberFormat="1" applyFont="1" applyFill="1" applyBorder="1" applyAlignment="1" applyProtection="1">
      <alignment horizontal="center" vertical="center"/>
      <protection locked="0"/>
    </xf>
    <xf numFmtId="49" fontId="21" fillId="0" borderId="37" xfId="61" applyNumberFormat="1" applyFont="1" applyFill="1" applyBorder="1" applyAlignment="1">
      <alignment horizontal="center" vertical="center" wrapText="1"/>
    </xf>
    <xf numFmtId="0" fontId="44" fillId="0" borderId="4" xfId="61" applyBorder="1" applyAlignment="1">
      <alignment horizontal="center" vertical="center"/>
    </xf>
    <xf numFmtId="0" fontId="13" fillId="2" borderId="18" xfId="61" applyFont="1" applyFill="1" applyBorder="1" applyAlignment="1" applyProtection="1">
      <alignment horizontal="center" vertical="center"/>
    </xf>
    <xf numFmtId="0" fontId="63" fillId="2" borderId="14" xfId="61" applyFont="1" applyFill="1" applyBorder="1" applyAlignment="1" applyProtection="1">
      <alignment horizontal="center" vertical="center"/>
    </xf>
    <xf numFmtId="0" fontId="11" fillId="0" borderId="10" xfId="61" applyFont="1" applyFill="1" applyBorder="1" applyAlignment="1">
      <alignment horizontal="center" vertical="center" wrapText="1"/>
    </xf>
    <xf numFmtId="0" fontId="48" fillId="0" borderId="9" xfId="61" applyFont="1" applyBorder="1" applyAlignment="1">
      <alignment horizontal="center" vertical="center"/>
    </xf>
    <xf numFmtId="0" fontId="48" fillId="0" borderId="11" xfId="61" applyFont="1" applyBorder="1" applyAlignment="1">
      <alignment horizontal="center" vertical="center"/>
    </xf>
    <xf numFmtId="0" fontId="48" fillId="0" borderId="6" xfId="61" applyFont="1" applyBorder="1" applyAlignment="1">
      <alignment horizontal="center" vertical="center"/>
    </xf>
    <xf numFmtId="0" fontId="48" fillId="0" borderId="7" xfId="61" applyFont="1" applyBorder="1" applyAlignment="1">
      <alignment horizontal="center" vertical="center"/>
    </xf>
    <xf numFmtId="0" fontId="48" fillId="0" borderId="3" xfId="61" applyFont="1" applyBorder="1" applyAlignment="1">
      <alignment horizontal="center" vertical="center"/>
    </xf>
    <xf numFmtId="0" fontId="48" fillId="0" borderId="4" xfId="61" applyFont="1" applyBorder="1" applyAlignment="1">
      <alignment horizontal="center" vertical="center"/>
    </xf>
    <xf numFmtId="0" fontId="48" fillId="0" borderId="5" xfId="61" applyFont="1" applyBorder="1" applyAlignment="1">
      <alignment horizontal="center" vertical="center"/>
    </xf>
    <xf numFmtId="0" fontId="13" fillId="2" borderId="18" xfId="61" applyFont="1" applyFill="1" applyBorder="1" applyAlignment="1">
      <alignment horizontal="center" vertical="center"/>
    </xf>
    <xf numFmtId="0" fontId="63" fillId="2" borderId="14" xfId="61" applyFont="1" applyFill="1" applyBorder="1" applyAlignment="1">
      <alignment horizontal="center" vertical="center"/>
    </xf>
    <xf numFmtId="0" fontId="11" fillId="0" borderId="0" xfId="61" applyFont="1" applyFill="1" applyBorder="1" applyAlignment="1">
      <alignment horizontal="left" vertical="center" wrapText="1"/>
    </xf>
    <xf numFmtId="169" fontId="13" fillId="2" borderId="18" xfId="61" applyNumberFormat="1" applyFont="1" applyFill="1" applyBorder="1" applyAlignment="1">
      <alignment horizontal="center" vertical="center"/>
    </xf>
    <xf numFmtId="169" fontId="13" fillId="2" borderId="14" xfId="61" applyNumberFormat="1" applyFont="1" applyFill="1" applyBorder="1" applyAlignment="1">
      <alignment horizontal="center" vertical="center"/>
    </xf>
    <xf numFmtId="0" fontId="10" fillId="0" borderId="6" xfId="61" applyFont="1" applyBorder="1" applyAlignment="1">
      <alignment horizontal="left" vertical="center" wrapText="1"/>
    </xf>
    <xf numFmtId="0" fontId="10" fillId="0" borderId="0" xfId="61" applyFont="1" applyBorder="1" applyAlignment="1">
      <alignment horizontal="left" vertical="center" wrapText="1"/>
    </xf>
    <xf numFmtId="2" fontId="13" fillId="5" borderId="18" xfId="61" applyNumberFormat="1" applyFont="1" applyFill="1" applyBorder="1" applyAlignment="1" applyProtection="1">
      <alignment horizontal="center" vertical="center"/>
      <protection locked="0"/>
    </xf>
    <xf numFmtId="2" fontId="13" fillId="5" borderId="14" xfId="61" applyNumberFormat="1" applyFont="1" applyFill="1" applyBorder="1" applyAlignment="1" applyProtection="1">
      <alignment horizontal="center" vertical="center"/>
      <protection locked="0"/>
    </xf>
    <xf numFmtId="0" fontId="10" fillId="0" borderId="0" xfId="61" applyFont="1" applyBorder="1" applyAlignment="1">
      <alignment horizontal="center" vertical="center"/>
    </xf>
    <xf numFmtId="0" fontId="13" fillId="0" borderId="0" xfId="0" applyFont="1" applyFill="1" applyBorder="1" applyAlignment="1" applyProtection="1">
      <alignment horizontal="center"/>
    </xf>
    <xf numFmtId="169" fontId="13" fillId="5" borderId="18" xfId="61" applyNumberFormat="1" applyFont="1" applyFill="1" applyBorder="1" applyAlignment="1" applyProtection="1">
      <alignment horizontal="center" vertical="center"/>
      <protection locked="0"/>
    </xf>
    <xf numFmtId="169" fontId="13" fillId="5" borderId="19" xfId="61" applyNumberFormat="1" applyFont="1" applyFill="1" applyBorder="1" applyAlignment="1" applyProtection="1">
      <alignment horizontal="center" vertical="center"/>
      <protection locked="0"/>
    </xf>
    <xf numFmtId="169" fontId="13" fillId="5" borderId="14" xfId="61" applyNumberFormat="1" applyFont="1" applyFill="1" applyBorder="1" applyAlignment="1" applyProtection="1">
      <alignment horizontal="center" vertical="center"/>
      <protection locked="0"/>
    </xf>
    <xf numFmtId="0" fontId="14" fillId="5" borderId="18" xfId="61" applyFont="1" applyFill="1" applyBorder="1" applyAlignment="1" applyProtection="1">
      <alignment horizontal="center"/>
      <protection locked="0"/>
    </xf>
    <xf numFmtId="0" fontId="14" fillId="5" borderId="19" xfId="61" applyFont="1" applyFill="1" applyBorder="1" applyAlignment="1" applyProtection="1">
      <alignment horizontal="center"/>
      <protection locked="0"/>
    </xf>
    <xf numFmtId="0" fontId="14" fillId="5" borderId="14" xfId="61" applyFont="1" applyFill="1" applyBorder="1" applyAlignment="1" applyProtection="1">
      <alignment horizontal="center"/>
      <protection locked="0"/>
    </xf>
    <xf numFmtId="0" fontId="10" fillId="0" borderId="0" xfId="61" applyFont="1" applyFill="1" applyBorder="1" applyAlignment="1">
      <alignment horizontal="left" vertical="top" wrapText="1"/>
    </xf>
    <xf numFmtId="165" fontId="13" fillId="0" borderId="0" xfId="0" quotePrefix="1" applyNumberFormat="1" applyFont="1" applyFill="1" applyBorder="1" applyAlignment="1" applyProtection="1">
      <alignment horizontal="center" vertical="center" wrapText="1"/>
      <protection locked="0"/>
    </xf>
    <xf numFmtId="0" fontId="10" fillId="0" borderId="1" xfId="0" applyFont="1" applyBorder="1" applyAlignment="1">
      <alignment horizontal="center" vertical="center" wrapText="1"/>
    </xf>
    <xf numFmtId="0" fontId="10" fillId="5" borderId="10" xfId="0" applyFont="1" applyFill="1" applyBorder="1" applyAlignment="1" applyProtection="1">
      <alignment horizontal="center"/>
      <protection locked="0"/>
    </xf>
    <xf numFmtId="0" fontId="10" fillId="5" borderId="9" xfId="0" applyFont="1" applyFill="1" applyBorder="1" applyAlignment="1" applyProtection="1">
      <alignment horizontal="center"/>
      <protection locked="0"/>
    </xf>
    <xf numFmtId="0" fontId="10" fillId="5" borderId="36" xfId="0" applyFont="1" applyFill="1" applyBorder="1" applyAlignment="1" applyProtection="1">
      <alignment horizontal="center"/>
      <protection locked="0"/>
    </xf>
    <xf numFmtId="0" fontId="10" fillId="5" borderId="3" xfId="0" applyFont="1"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0" fontId="10" fillId="5" borderId="38" xfId="0" applyFont="1" applyFill="1" applyBorder="1" applyAlignment="1" applyProtection="1">
      <alignment horizontal="center"/>
      <protection locked="0"/>
    </xf>
    <xf numFmtId="0" fontId="12" fillId="2" borderId="32" xfId="61" applyFont="1" applyFill="1" applyBorder="1" applyAlignment="1">
      <alignment horizontal="left"/>
    </xf>
    <xf numFmtId="0" fontId="12" fillId="2" borderId="33" xfId="61" applyFont="1" applyFill="1" applyBorder="1" applyAlignment="1">
      <alignment horizontal="left"/>
    </xf>
    <xf numFmtId="0" fontId="12" fillId="2" borderId="34" xfId="61" applyFont="1" applyFill="1" applyBorder="1" applyAlignment="1">
      <alignment horizontal="left"/>
    </xf>
    <xf numFmtId="0" fontId="88" fillId="2" borderId="26" xfId="0" applyFont="1" applyFill="1" applyBorder="1" applyAlignment="1">
      <alignment horizontal="left" vertical="center"/>
    </xf>
    <xf numFmtId="0" fontId="88" fillId="2" borderId="19" xfId="0" applyFont="1" applyFill="1" applyBorder="1" applyAlignment="1">
      <alignment horizontal="left" vertical="center"/>
    </xf>
    <xf numFmtId="0" fontId="88" fillId="2" borderId="39" xfId="0" applyFont="1" applyFill="1" applyBorder="1" applyAlignment="1">
      <alignment horizontal="left" vertical="center"/>
    </xf>
    <xf numFmtId="0" fontId="86" fillId="2" borderId="26" xfId="0" applyFont="1" applyFill="1" applyBorder="1" applyAlignment="1">
      <alignment horizontal="center" vertical="center"/>
    </xf>
    <xf numFmtId="0" fontId="86" fillId="2" borderId="19" xfId="0" applyFont="1" applyFill="1" applyBorder="1" applyAlignment="1">
      <alignment horizontal="center" vertical="center"/>
    </xf>
    <xf numFmtId="0" fontId="86" fillId="2" borderId="14" xfId="0" applyFont="1" applyFill="1" applyBorder="1" applyAlignment="1">
      <alignment horizontal="center" vertical="center"/>
    </xf>
    <xf numFmtId="0" fontId="86" fillId="2" borderId="18" xfId="0" applyFont="1" applyFill="1" applyBorder="1" applyAlignment="1">
      <alignment horizontal="center" vertical="center"/>
    </xf>
    <xf numFmtId="0" fontId="86" fillId="2" borderId="39" xfId="0" applyFont="1" applyFill="1" applyBorder="1" applyAlignment="1">
      <alignment horizontal="center" vertical="center"/>
    </xf>
    <xf numFmtId="165" fontId="86" fillId="2" borderId="18" xfId="0" applyNumberFormat="1" applyFont="1" applyFill="1" applyBorder="1" applyAlignment="1">
      <alignment horizontal="center" vertical="center"/>
    </xf>
    <xf numFmtId="165" fontId="86" fillId="2" borderId="14" xfId="0" applyNumberFormat="1" applyFont="1" applyFill="1" applyBorder="1" applyAlignment="1">
      <alignment horizontal="center" vertical="center"/>
    </xf>
    <xf numFmtId="0" fontId="64" fillId="0" borderId="0" xfId="0" applyFont="1" applyBorder="1" applyAlignment="1">
      <alignment horizontal="center" vertical="center"/>
    </xf>
    <xf numFmtId="0" fontId="86" fillId="0" borderId="0" xfId="0" applyFont="1" applyBorder="1" applyAlignment="1">
      <alignment horizontal="center" vertical="center"/>
    </xf>
    <xf numFmtId="0" fontId="74" fillId="0" borderId="0" xfId="0" applyFont="1" applyBorder="1" applyAlignment="1">
      <alignment horizontal="center" vertical="center" wrapText="1"/>
    </xf>
    <xf numFmtId="0" fontId="86" fillId="5" borderId="18" xfId="0" applyFont="1" applyFill="1" applyBorder="1" applyAlignment="1" applyProtection="1">
      <alignment horizontal="left" vertical="center"/>
      <protection locked="0"/>
    </xf>
    <xf numFmtId="0" fontId="86" fillId="5" borderId="19" xfId="0" applyFont="1" applyFill="1" applyBorder="1" applyAlignment="1" applyProtection="1">
      <alignment horizontal="left" vertical="center"/>
      <protection locked="0"/>
    </xf>
    <xf numFmtId="0" fontId="86" fillId="5" borderId="14" xfId="0" applyFont="1" applyFill="1" applyBorder="1" applyAlignment="1" applyProtection="1">
      <alignment horizontal="left" vertical="center"/>
      <protection locked="0"/>
    </xf>
    <xf numFmtId="0" fontId="86" fillId="0" borderId="0" xfId="0" applyFont="1" applyFill="1" applyBorder="1" applyAlignment="1">
      <alignment horizontal="right" vertical="center"/>
    </xf>
    <xf numFmtId="0" fontId="86" fillId="0" borderId="7" xfId="0" applyFont="1" applyFill="1" applyBorder="1" applyAlignment="1">
      <alignment horizontal="right" vertical="center"/>
    </xf>
    <xf numFmtId="0" fontId="86" fillId="0" borderId="0" xfId="0" applyFont="1" applyBorder="1" applyAlignment="1">
      <alignment horizontal="right" vertical="center"/>
    </xf>
    <xf numFmtId="0" fontId="86" fillId="0" borderId="7" xfId="0" applyFont="1" applyBorder="1" applyAlignment="1">
      <alignment horizontal="right" vertical="center"/>
    </xf>
    <xf numFmtId="0" fontId="10" fillId="2" borderId="33" xfId="0" applyNumberFormat="1" applyFont="1" applyFill="1" applyBorder="1" applyAlignment="1" applyProtection="1">
      <alignment horizontal="center" vertical="center"/>
    </xf>
    <xf numFmtId="0" fontId="10" fillId="2" borderId="34" xfId="0" applyNumberFormat="1" applyFont="1" applyFill="1" applyBorder="1" applyAlignment="1" applyProtection="1">
      <alignment horizontal="center" vertical="center"/>
    </xf>
    <xf numFmtId="0" fontId="86" fillId="7" borderId="18" xfId="0" applyFont="1" applyFill="1" applyBorder="1" applyAlignment="1" applyProtection="1">
      <alignment horizontal="left" vertical="top" wrapText="1"/>
      <protection locked="0"/>
    </xf>
    <xf numFmtId="0" fontId="86" fillId="7" borderId="19" xfId="0" applyFont="1" applyFill="1" applyBorder="1" applyAlignment="1" applyProtection="1">
      <alignment horizontal="left" vertical="top" wrapText="1"/>
      <protection locked="0"/>
    </xf>
    <xf numFmtId="0" fontId="86" fillId="7" borderId="14" xfId="0" applyFont="1" applyFill="1" applyBorder="1" applyAlignment="1" applyProtection="1">
      <alignment horizontal="left" vertical="top" wrapText="1"/>
      <protection locked="0"/>
    </xf>
    <xf numFmtId="0" fontId="88" fillId="0" borderId="8" xfId="0" applyFont="1" applyBorder="1" applyAlignment="1">
      <alignment horizontal="center" vertical="center" wrapText="1"/>
    </xf>
    <xf numFmtId="0" fontId="88" fillId="0" borderId="8" xfId="0" applyFont="1" applyBorder="1" applyAlignment="1">
      <alignment horizontal="center" vertical="center"/>
    </xf>
    <xf numFmtId="0" fontId="86" fillId="2" borderId="8" xfId="0" applyFont="1" applyFill="1" applyBorder="1" applyAlignment="1">
      <alignment horizontal="center" vertical="center"/>
    </xf>
    <xf numFmtId="0" fontId="86" fillId="0" borderId="8" xfId="0" applyFont="1" applyBorder="1" applyAlignment="1">
      <alignment horizontal="center" vertical="center"/>
    </xf>
    <xf numFmtId="1" fontId="86" fillId="2" borderId="18" xfId="0" applyNumberFormat="1" applyFont="1" applyFill="1" applyBorder="1" applyAlignment="1">
      <alignment horizontal="center" vertical="center"/>
    </xf>
    <xf numFmtId="0" fontId="91" fillId="0" borderId="14" xfId="0" applyFont="1" applyBorder="1" applyAlignment="1">
      <alignment vertical="center"/>
    </xf>
    <xf numFmtId="177" fontId="86" fillId="2" borderId="18" xfId="0" applyNumberFormat="1" applyFont="1" applyFill="1" applyBorder="1" applyAlignment="1">
      <alignment horizontal="center" vertical="center"/>
    </xf>
    <xf numFmtId="177" fontId="91" fillId="0" borderId="14" xfId="0" applyNumberFormat="1" applyFont="1" applyBorder="1" applyAlignment="1">
      <alignment vertical="center"/>
    </xf>
    <xf numFmtId="177" fontId="86" fillId="2" borderId="14" xfId="0" applyNumberFormat="1" applyFont="1" applyFill="1" applyBorder="1" applyAlignment="1">
      <alignment horizontal="center" vertical="center"/>
    </xf>
    <xf numFmtId="0" fontId="64" fillId="0" borderId="0" xfId="0" applyFont="1" applyBorder="1" applyAlignment="1">
      <alignment horizontal="left" vertical="center" wrapText="1"/>
    </xf>
    <xf numFmtId="0" fontId="86" fillId="0" borderId="0" xfId="0" applyFont="1" applyBorder="1" applyAlignment="1">
      <alignment horizontal="left" vertical="center" wrapText="1"/>
    </xf>
    <xf numFmtId="0" fontId="86" fillId="0" borderId="1" xfId="0" applyFont="1" applyBorder="1" applyAlignment="1">
      <alignment horizontal="left" vertical="center" wrapText="1"/>
    </xf>
    <xf numFmtId="0" fontId="86" fillId="0" borderId="6" xfId="0" applyFont="1" applyBorder="1" applyAlignment="1">
      <alignment horizontal="center" vertical="center"/>
    </xf>
    <xf numFmtId="0" fontId="86" fillId="0" borderId="7" xfId="0" applyFont="1" applyBorder="1" applyAlignment="1">
      <alignment horizontal="center" vertical="center"/>
    </xf>
    <xf numFmtId="0" fontId="91" fillId="2" borderId="8" xfId="0" applyFont="1" applyFill="1" applyBorder="1" applyAlignment="1">
      <alignment horizontal="center" vertical="center"/>
    </xf>
    <xf numFmtId="0" fontId="86" fillId="5" borderId="18" xfId="0" applyFont="1" applyFill="1" applyBorder="1" applyAlignment="1" applyProtection="1">
      <alignment horizontal="center" vertical="center"/>
      <protection locked="0"/>
    </xf>
    <xf numFmtId="0" fontId="86" fillId="5" borderId="14" xfId="0" applyFont="1" applyFill="1" applyBorder="1" applyAlignment="1" applyProtection="1">
      <alignment horizontal="center" vertical="center"/>
      <protection locked="0"/>
    </xf>
    <xf numFmtId="1" fontId="86" fillId="0" borderId="0" xfId="0" applyNumberFormat="1" applyFont="1" applyFill="1" applyBorder="1" applyAlignment="1">
      <alignment horizontal="center" vertical="center"/>
    </xf>
    <xf numFmtId="1" fontId="86" fillId="0" borderId="1" xfId="0" applyNumberFormat="1" applyFont="1" applyFill="1" applyBorder="1" applyAlignment="1">
      <alignment horizontal="center" vertical="center"/>
    </xf>
    <xf numFmtId="0" fontId="86" fillId="0" borderId="0" xfId="0" applyFont="1" applyFill="1" applyBorder="1" applyAlignment="1">
      <alignment horizontal="center" vertical="center"/>
    </xf>
    <xf numFmtId="0" fontId="86" fillId="0" borderId="0" xfId="0" applyFont="1" applyBorder="1" applyAlignment="1">
      <alignment horizontal="left" vertical="center"/>
    </xf>
    <xf numFmtId="1" fontId="86" fillId="2" borderId="14" xfId="0" applyNumberFormat="1" applyFont="1" applyFill="1" applyBorder="1" applyAlignment="1">
      <alignment horizontal="center" vertical="center"/>
    </xf>
    <xf numFmtId="0" fontId="54" fillId="0" borderId="8" xfId="64" applyFont="1" applyBorder="1" applyAlignment="1">
      <alignment horizontal="center" vertical="center" wrapText="1"/>
    </xf>
  </cellXfs>
  <cellStyles count="300">
    <cellStyle name="Euro" xfId="1"/>
    <cellStyle name="Euro 2" xfId="2"/>
    <cellStyle name="Euro 2 2" xfId="3"/>
    <cellStyle name="Euro 3" xfId="4"/>
    <cellStyle name="Euro 3 2" xfId="5"/>
    <cellStyle name="Euro 4" xfId="6"/>
    <cellStyle name="Euro 4 2" xfId="7"/>
    <cellStyle name="Hyperlink" xfId="8" builtinId="8"/>
    <cellStyle name="Normal" xfId="0" builtinId="0"/>
    <cellStyle name="Normal 2" xfId="9"/>
    <cellStyle name="Normal 2 2" xfId="10"/>
    <cellStyle name="Normal 2 2 2" xfId="11"/>
    <cellStyle name="Normal 2 2 2 2" xfId="12"/>
    <cellStyle name="Normal 2 2 2 2 2" xfId="13"/>
    <cellStyle name="Normal 2 2 2 3" xfId="14"/>
    <cellStyle name="Normal 2 2 2 3 2" xfId="15"/>
    <cellStyle name="Normal 2 2 2 4" xfId="16"/>
    <cellStyle name="Normal 2 2 3" xfId="17"/>
    <cellStyle name="Normal 2 2 3 2" xfId="18"/>
    <cellStyle name="Normal 2 2 3 2 2" xfId="19"/>
    <cellStyle name="Normal 2 2 3 3" xfId="20"/>
    <cellStyle name="Normal 2 2 3 3 2" xfId="21"/>
    <cellStyle name="Normal 2 2 3 4" xfId="22"/>
    <cellStyle name="Normal 2 2 4" xfId="23"/>
    <cellStyle name="Normal 2 2 4 2" xfId="24"/>
    <cellStyle name="Normal 2 2 5" xfId="25"/>
    <cellStyle name="Normal 2 2 6" xfId="26"/>
    <cellStyle name="Normal 2 2 7" xfId="27"/>
    <cellStyle name="Normal 2 3" xfId="28"/>
    <cellStyle name="Normal 2 3 2" xfId="29"/>
    <cellStyle name="Normal 2 3 2 2" xfId="30"/>
    <cellStyle name="Normal 2 3 3" xfId="31"/>
    <cellStyle name="Normal 2 3 3 2" xfId="32"/>
    <cellStyle name="Normal 2 3 4" xfId="33"/>
    <cellStyle name="Normal 2 4" xfId="34"/>
    <cellStyle name="Normal 2 4 2" xfId="35"/>
    <cellStyle name="Normal 2 5" xfId="36"/>
    <cellStyle name="Normal 2 5 2" xfId="37"/>
    <cellStyle name="Normal 2 5 2 2" xfId="38"/>
    <cellStyle name="Normal 2 5 3" xfId="39"/>
    <cellStyle name="Normal 2 6" xfId="40"/>
    <cellStyle name="Normal 2 6 2" xfId="41"/>
    <cellStyle name="Normal 2 7" xfId="42"/>
    <cellStyle name="Normal 2 7 2" xfId="43"/>
    <cellStyle name="Normal 2 7 3" xfId="44"/>
    <cellStyle name="Normal 2 8" xfId="45"/>
    <cellStyle name="Normal 3" xfId="46"/>
    <cellStyle name="Normal 3 2" xfId="47"/>
    <cellStyle name="Normal 3 2 2" xfId="66"/>
    <cellStyle name="Normal 3 2 2 2" xfId="76"/>
    <cellStyle name="Normal 3 2 2 2 2" xfId="96"/>
    <cellStyle name="Normal 3 2 2 2 2 2" xfId="176"/>
    <cellStyle name="Normal 3 2 2 2 2 2 2" xfId="296"/>
    <cellStyle name="Normal 3 2 2 2 2 3" xfId="216"/>
    <cellStyle name="Normal 3 2 2 2 3" xfId="116"/>
    <cellStyle name="Normal 3 2 2 2 3 2" xfId="156"/>
    <cellStyle name="Normal 3 2 2 2 3 2 2" xfId="276"/>
    <cellStyle name="Normal 3 2 2 2 3 3" xfId="236"/>
    <cellStyle name="Normal 3 2 2 2 4" xfId="136"/>
    <cellStyle name="Normal 3 2 2 2 4 2" xfId="256"/>
    <cellStyle name="Normal 3 2 2 2 5" xfId="196"/>
    <cellStyle name="Normal 3 2 2 3" xfId="86"/>
    <cellStyle name="Normal 3 2 2 3 2" xfId="166"/>
    <cellStyle name="Normal 3 2 2 3 2 2" xfId="286"/>
    <cellStyle name="Normal 3 2 2 3 3" xfId="206"/>
    <cellStyle name="Normal 3 2 2 4" xfId="106"/>
    <cellStyle name="Normal 3 2 2 4 2" xfId="146"/>
    <cellStyle name="Normal 3 2 2 4 2 2" xfId="266"/>
    <cellStyle name="Normal 3 2 2 4 3" xfId="226"/>
    <cellStyle name="Normal 3 2 2 5" xfId="126"/>
    <cellStyle name="Normal 3 2 2 5 2" xfId="246"/>
    <cellStyle name="Normal 3 2 2 6" xfId="186"/>
    <cellStyle name="Normal 3 2 3" xfId="71"/>
    <cellStyle name="Normal 3 2 3 2" xfId="91"/>
    <cellStyle name="Normal 3 2 3 2 2" xfId="171"/>
    <cellStyle name="Normal 3 2 3 2 2 2" xfId="291"/>
    <cellStyle name="Normal 3 2 3 2 3" xfId="211"/>
    <cellStyle name="Normal 3 2 3 3" xfId="111"/>
    <cellStyle name="Normal 3 2 3 3 2" xfId="151"/>
    <cellStyle name="Normal 3 2 3 3 2 2" xfId="271"/>
    <cellStyle name="Normal 3 2 3 3 3" xfId="231"/>
    <cellStyle name="Normal 3 2 3 4" xfId="131"/>
    <cellStyle name="Normal 3 2 3 4 2" xfId="251"/>
    <cellStyle name="Normal 3 2 3 5" xfId="191"/>
    <cellStyle name="Normal 3 2 4" xfId="81"/>
    <cellStyle name="Normal 3 2 4 2" xfId="161"/>
    <cellStyle name="Normal 3 2 4 2 2" xfId="281"/>
    <cellStyle name="Normal 3 2 4 3" xfId="201"/>
    <cellStyle name="Normal 3 2 5" xfId="101"/>
    <cellStyle name="Normal 3 2 5 2" xfId="141"/>
    <cellStyle name="Normal 3 2 5 2 2" xfId="261"/>
    <cellStyle name="Normal 3 2 5 3" xfId="221"/>
    <cellStyle name="Normal 3 2 6" xfId="121"/>
    <cellStyle name="Normal 3 2 6 2" xfId="241"/>
    <cellStyle name="Normal 3 2 7" xfId="181"/>
    <cellStyle name="Normal 3 3" xfId="48"/>
    <cellStyle name="Normal 3 3 2" xfId="67"/>
    <cellStyle name="Normal 3 3 2 2" xfId="77"/>
    <cellStyle name="Normal 3 3 2 2 2" xfId="97"/>
    <cellStyle name="Normal 3 3 2 2 2 2" xfId="177"/>
    <cellStyle name="Normal 3 3 2 2 2 2 2" xfId="297"/>
    <cellStyle name="Normal 3 3 2 2 2 3" xfId="217"/>
    <cellStyle name="Normal 3 3 2 2 3" xfId="117"/>
    <cellStyle name="Normal 3 3 2 2 3 2" xfId="157"/>
    <cellStyle name="Normal 3 3 2 2 3 2 2" xfId="277"/>
    <cellStyle name="Normal 3 3 2 2 3 3" xfId="237"/>
    <cellStyle name="Normal 3 3 2 2 4" xfId="137"/>
    <cellStyle name="Normal 3 3 2 2 4 2" xfId="257"/>
    <cellStyle name="Normal 3 3 2 2 5" xfId="197"/>
    <cellStyle name="Normal 3 3 2 3" xfId="87"/>
    <cellStyle name="Normal 3 3 2 3 2" xfId="167"/>
    <cellStyle name="Normal 3 3 2 3 2 2" xfId="287"/>
    <cellStyle name="Normal 3 3 2 3 3" xfId="207"/>
    <cellStyle name="Normal 3 3 2 4" xfId="107"/>
    <cellStyle name="Normal 3 3 2 4 2" xfId="147"/>
    <cellStyle name="Normal 3 3 2 4 2 2" xfId="267"/>
    <cellStyle name="Normal 3 3 2 4 3" xfId="227"/>
    <cellStyle name="Normal 3 3 2 5" xfId="127"/>
    <cellStyle name="Normal 3 3 2 5 2" xfId="247"/>
    <cellStyle name="Normal 3 3 2 6" xfId="187"/>
    <cellStyle name="Normal 3 3 3" xfId="72"/>
    <cellStyle name="Normal 3 3 3 2" xfId="92"/>
    <cellStyle name="Normal 3 3 3 2 2" xfId="172"/>
    <cellStyle name="Normal 3 3 3 2 2 2" xfId="292"/>
    <cellStyle name="Normal 3 3 3 2 3" xfId="212"/>
    <cellStyle name="Normal 3 3 3 3" xfId="112"/>
    <cellStyle name="Normal 3 3 3 3 2" xfId="152"/>
    <cellStyle name="Normal 3 3 3 3 2 2" xfId="272"/>
    <cellStyle name="Normal 3 3 3 3 3" xfId="232"/>
    <cellStyle name="Normal 3 3 3 4" xfId="132"/>
    <cellStyle name="Normal 3 3 3 4 2" xfId="252"/>
    <cellStyle name="Normal 3 3 3 5" xfId="192"/>
    <cellStyle name="Normal 3 3 4" xfId="82"/>
    <cellStyle name="Normal 3 3 4 2" xfId="162"/>
    <cellStyle name="Normal 3 3 4 2 2" xfId="282"/>
    <cellStyle name="Normal 3 3 4 3" xfId="202"/>
    <cellStyle name="Normal 3 3 5" xfId="102"/>
    <cellStyle name="Normal 3 3 5 2" xfId="142"/>
    <cellStyle name="Normal 3 3 5 2 2" xfId="262"/>
    <cellStyle name="Normal 3 3 5 3" xfId="222"/>
    <cellStyle name="Normal 3 3 6" xfId="122"/>
    <cellStyle name="Normal 3 3 6 2" xfId="242"/>
    <cellStyle name="Normal 3 3 7" xfId="182"/>
    <cellStyle name="Normal 3 4" xfId="65"/>
    <cellStyle name="Normal 3 4 2" xfId="75"/>
    <cellStyle name="Normal 3 4 2 2" xfId="95"/>
    <cellStyle name="Normal 3 4 2 2 2" xfId="175"/>
    <cellStyle name="Normal 3 4 2 2 2 2" xfId="295"/>
    <cellStyle name="Normal 3 4 2 2 3" xfId="215"/>
    <cellStyle name="Normal 3 4 2 3" xfId="115"/>
    <cellStyle name="Normal 3 4 2 3 2" xfId="155"/>
    <cellStyle name="Normal 3 4 2 3 2 2" xfId="275"/>
    <cellStyle name="Normal 3 4 2 3 3" xfId="235"/>
    <cellStyle name="Normal 3 4 2 4" xfId="135"/>
    <cellStyle name="Normal 3 4 2 4 2" xfId="255"/>
    <cellStyle name="Normal 3 4 2 5" xfId="195"/>
    <cellStyle name="Normal 3 4 3" xfId="85"/>
    <cellStyle name="Normal 3 4 3 2" xfId="165"/>
    <cellStyle name="Normal 3 4 3 2 2" xfId="285"/>
    <cellStyle name="Normal 3 4 3 3" xfId="205"/>
    <cellStyle name="Normal 3 4 4" xfId="105"/>
    <cellStyle name="Normal 3 4 4 2" xfId="145"/>
    <cellStyle name="Normal 3 4 4 2 2" xfId="265"/>
    <cellStyle name="Normal 3 4 4 3" xfId="225"/>
    <cellStyle name="Normal 3 4 5" xfId="125"/>
    <cellStyle name="Normal 3 4 5 2" xfId="245"/>
    <cellStyle name="Normal 3 4 6" xfId="185"/>
    <cellStyle name="Normal 3 5" xfId="70"/>
    <cellStyle name="Normal 3 5 2" xfId="90"/>
    <cellStyle name="Normal 3 5 2 2" xfId="170"/>
    <cellStyle name="Normal 3 5 2 2 2" xfId="290"/>
    <cellStyle name="Normal 3 5 2 3" xfId="210"/>
    <cellStyle name="Normal 3 5 3" xfId="110"/>
    <cellStyle name="Normal 3 5 3 2" xfId="150"/>
    <cellStyle name="Normal 3 5 3 2 2" xfId="270"/>
    <cellStyle name="Normal 3 5 3 3" xfId="230"/>
    <cellStyle name="Normal 3 5 4" xfId="130"/>
    <cellStyle name="Normal 3 5 4 2" xfId="250"/>
    <cellStyle name="Normal 3 5 5" xfId="190"/>
    <cellStyle name="Normal 3 6" xfId="80"/>
    <cellStyle name="Normal 3 6 2" xfId="160"/>
    <cellStyle name="Normal 3 6 2 2" xfId="280"/>
    <cellStyle name="Normal 3 6 3" xfId="200"/>
    <cellStyle name="Normal 3 7" xfId="100"/>
    <cellStyle name="Normal 3 7 2" xfId="140"/>
    <cellStyle name="Normal 3 7 2 2" xfId="260"/>
    <cellStyle name="Normal 3 7 3" xfId="220"/>
    <cellStyle name="Normal 3 8" xfId="120"/>
    <cellStyle name="Normal 3 8 2" xfId="240"/>
    <cellStyle name="Normal 3 9" xfId="180"/>
    <cellStyle name="Normal 4" xfId="49"/>
    <cellStyle name="Normal 4 2" xfId="50"/>
    <cellStyle name="Normal 4 2 2" xfId="69"/>
    <cellStyle name="Normal 4 2 2 2" xfId="79"/>
    <cellStyle name="Normal 4 2 2 2 2" xfId="99"/>
    <cellStyle name="Normal 4 2 2 2 2 2" xfId="179"/>
    <cellStyle name="Normal 4 2 2 2 2 2 2" xfId="299"/>
    <cellStyle name="Normal 4 2 2 2 2 3" xfId="219"/>
    <cellStyle name="Normal 4 2 2 2 3" xfId="119"/>
    <cellStyle name="Normal 4 2 2 2 3 2" xfId="159"/>
    <cellStyle name="Normal 4 2 2 2 3 2 2" xfId="279"/>
    <cellStyle name="Normal 4 2 2 2 3 3" xfId="239"/>
    <cellStyle name="Normal 4 2 2 2 4" xfId="139"/>
    <cellStyle name="Normal 4 2 2 2 4 2" xfId="259"/>
    <cellStyle name="Normal 4 2 2 2 5" xfId="199"/>
    <cellStyle name="Normal 4 2 2 3" xfId="89"/>
    <cellStyle name="Normal 4 2 2 3 2" xfId="169"/>
    <cellStyle name="Normal 4 2 2 3 2 2" xfId="289"/>
    <cellStyle name="Normal 4 2 2 3 3" xfId="209"/>
    <cellStyle name="Normal 4 2 2 4" xfId="109"/>
    <cellStyle name="Normal 4 2 2 4 2" xfId="149"/>
    <cellStyle name="Normal 4 2 2 4 2 2" xfId="269"/>
    <cellStyle name="Normal 4 2 2 4 3" xfId="229"/>
    <cellStyle name="Normal 4 2 2 5" xfId="129"/>
    <cellStyle name="Normal 4 2 2 5 2" xfId="249"/>
    <cellStyle name="Normal 4 2 2 6" xfId="189"/>
    <cellStyle name="Normal 4 2 3" xfId="74"/>
    <cellStyle name="Normal 4 2 3 2" xfId="94"/>
    <cellStyle name="Normal 4 2 3 2 2" xfId="174"/>
    <cellStyle name="Normal 4 2 3 2 2 2" xfId="294"/>
    <cellStyle name="Normal 4 2 3 2 3" xfId="214"/>
    <cellStyle name="Normal 4 2 3 3" xfId="114"/>
    <cellStyle name="Normal 4 2 3 3 2" xfId="154"/>
    <cellStyle name="Normal 4 2 3 3 2 2" xfId="274"/>
    <cellStyle name="Normal 4 2 3 3 3" xfId="234"/>
    <cellStyle name="Normal 4 2 3 4" xfId="134"/>
    <cellStyle name="Normal 4 2 3 4 2" xfId="254"/>
    <cellStyle name="Normal 4 2 3 5" xfId="194"/>
    <cellStyle name="Normal 4 2 4" xfId="84"/>
    <cellStyle name="Normal 4 2 4 2" xfId="164"/>
    <cellStyle name="Normal 4 2 4 2 2" xfId="284"/>
    <cellStyle name="Normal 4 2 4 3" xfId="204"/>
    <cellStyle name="Normal 4 2 5" xfId="104"/>
    <cellStyle name="Normal 4 2 5 2" xfId="144"/>
    <cellStyle name="Normal 4 2 5 2 2" xfId="264"/>
    <cellStyle name="Normal 4 2 5 3" xfId="224"/>
    <cellStyle name="Normal 4 2 6" xfId="124"/>
    <cellStyle name="Normal 4 2 6 2" xfId="244"/>
    <cellStyle name="Normal 4 2 7" xfId="184"/>
    <cellStyle name="Normal 4 3" xfId="68"/>
    <cellStyle name="Normal 4 3 2" xfId="78"/>
    <cellStyle name="Normal 4 3 2 2" xfId="98"/>
    <cellStyle name="Normal 4 3 2 2 2" xfId="178"/>
    <cellStyle name="Normal 4 3 2 2 2 2" xfId="298"/>
    <cellStyle name="Normal 4 3 2 2 3" xfId="218"/>
    <cellStyle name="Normal 4 3 2 3" xfId="118"/>
    <cellStyle name="Normal 4 3 2 3 2" xfId="158"/>
    <cellStyle name="Normal 4 3 2 3 2 2" xfId="278"/>
    <cellStyle name="Normal 4 3 2 3 3" xfId="238"/>
    <cellStyle name="Normal 4 3 2 4" xfId="138"/>
    <cellStyle name="Normal 4 3 2 4 2" xfId="258"/>
    <cellStyle name="Normal 4 3 2 5" xfId="198"/>
    <cellStyle name="Normal 4 3 3" xfId="88"/>
    <cellStyle name="Normal 4 3 3 2" xfId="168"/>
    <cellStyle name="Normal 4 3 3 2 2" xfId="288"/>
    <cellStyle name="Normal 4 3 3 3" xfId="208"/>
    <cellStyle name="Normal 4 3 4" xfId="108"/>
    <cellStyle name="Normal 4 3 4 2" xfId="148"/>
    <cellStyle name="Normal 4 3 4 2 2" xfId="268"/>
    <cellStyle name="Normal 4 3 4 3" xfId="228"/>
    <cellStyle name="Normal 4 3 5" xfId="128"/>
    <cellStyle name="Normal 4 3 5 2" xfId="248"/>
    <cellStyle name="Normal 4 3 6" xfId="188"/>
    <cellStyle name="Normal 4 4" xfId="73"/>
    <cellStyle name="Normal 4 4 2" xfId="93"/>
    <cellStyle name="Normal 4 4 2 2" xfId="173"/>
    <cellStyle name="Normal 4 4 2 2 2" xfId="293"/>
    <cellStyle name="Normal 4 4 2 3" xfId="213"/>
    <cellStyle name="Normal 4 4 3" xfId="113"/>
    <cellStyle name="Normal 4 4 3 2" xfId="153"/>
    <cellStyle name="Normal 4 4 3 2 2" xfId="273"/>
    <cellStyle name="Normal 4 4 3 3" xfId="233"/>
    <cellStyle name="Normal 4 4 4" xfId="133"/>
    <cellStyle name="Normal 4 4 4 2" xfId="253"/>
    <cellStyle name="Normal 4 4 5" xfId="193"/>
    <cellStyle name="Normal 4 5" xfId="83"/>
    <cellStyle name="Normal 4 5 2" xfId="163"/>
    <cellStyle name="Normal 4 5 2 2" xfId="283"/>
    <cellStyle name="Normal 4 5 3" xfId="203"/>
    <cellStyle name="Normal 4 6" xfId="103"/>
    <cellStyle name="Normal 4 6 2" xfId="143"/>
    <cellStyle name="Normal 4 6 2 2" xfId="263"/>
    <cellStyle name="Normal 4 6 3" xfId="223"/>
    <cellStyle name="Normal 4 7" xfId="123"/>
    <cellStyle name="Normal 4 7 2" xfId="243"/>
    <cellStyle name="Normal 4 8" xfId="183"/>
    <cellStyle name="Normal 5" xfId="51"/>
    <cellStyle name="Normal 5 2" xfId="52"/>
    <cellStyle name="Normal 6" xfId="53"/>
    <cellStyle name="Normal 7" xfId="54"/>
    <cellStyle name="Normal 8" xfId="55"/>
    <cellStyle name="Normal 8 2" xfId="56"/>
    <cellStyle name="Normal_Estimated Flow-OE" xfId="57"/>
    <cellStyle name="Normal_Existing Dwellings" xfId="58"/>
    <cellStyle name="Normal_Filter" xfId="59"/>
    <cellStyle name="Normal_Final Flow Total" xfId="60"/>
    <cellStyle name="Normal_Flow &amp; System Summary" xfId="61"/>
    <cellStyle name="Normal_Measured Flow-OE" xfId="62"/>
    <cellStyle name="Normal_Sheet9" xfId="63"/>
    <cellStyle name="Normal_Waste Strengths" xfId="64"/>
  </cellStyles>
  <dxfs count="15">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FE5E9"/>
      <rgbColor rgb="004B7B6A"/>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139174"/>
      <rgbColor rgb="00003366"/>
      <rgbColor rgb="00339966"/>
      <rgbColor rgb="00003300"/>
      <rgbColor rgb="00333300"/>
      <rgbColor rgb="00993300"/>
      <rgbColor rgb="00993366"/>
      <rgbColor rgb="00333399"/>
      <rgbColor rgb="00333333"/>
    </indexedColors>
    <mruColors>
      <color rgb="FFFFFF99"/>
      <color rgb="FFCFE5E9"/>
      <color rgb="FFFF66FF"/>
      <color rgb="FF66FF33"/>
      <color rgb="FF339966"/>
      <color rgb="FFB5D0E3"/>
      <color rgb="FFFF6600"/>
      <color rgb="FFFF9966"/>
      <color rgb="FF00CC66"/>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styles" Target="styles.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checked="Checked"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0.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8.tiff"/></Relationships>
</file>

<file path=xl/drawings/_rels/drawing11.xml.rels><?xml version="1.0" encoding="UTF-8" standalone="yes"?>
<Relationships xmlns="http://schemas.openxmlformats.org/package/2006/relationships"><Relationship Id="rId8" Type="http://schemas.openxmlformats.org/officeDocument/2006/relationships/image" Target="../media/image19.emf"/><Relationship Id="rId13" Type="http://schemas.openxmlformats.org/officeDocument/2006/relationships/image" Target="../media/image24.emf"/><Relationship Id="rId18" Type="http://schemas.openxmlformats.org/officeDocument/2006/relationships/image" Target="../media/image29.emf"/><Relationship Id="rId26" Type="http://schemas.openxmlformats.org/officeDocument/2006/relationships/image" Target="../media/image37.emf"/><Relationship Id="rId3" Type="http://schemas.openxmlformats.org/officeDocument/2006/relationships/image" Target="../media/image14.emf"/><Relationship Id="rId21" Type="http://schemas.openxmlformats.org/officeDocument/2006/relationships/image" Target="../media/image32.emf"/><Relationship Id="rId7" Type="http://schemas.openxmlformats.org/officeDocument/2006/relationships/image" Target="../media/image18.emf"/><Relationship Id="rId12" Type="http://schemas.openxmlformats.org/officeDocument/2006/relationships/image" Target="../media/image23.emf"/><Relationship Id="rId17" Type="http://schemas.openxmlformats.org/officeDocument/2006/relationships/image" Target="../media/image28.emf"/><Relationship Id="rId25" Type="http://schemas.openxmlformats.org/officeDocument/2006/relationships/image" Target="../media/image36.emf"/><Relationship Id="rId2" Type="http://schemas.openxmlformats.org/officeDocument/2006/relationships/image" Target="../media/image13.png"/><Relationship Id="rId16" Type="http://schemas.openxmlformats.org/officeDocument/2006/relationships/image" Target="../media/image27.emf"/><Relationship Id="rId20" Type="http://schemas.openxmlformats.org/officeDocument/2006/relationships/image" Target="../media/image31.emf"/><Relationship Id="rId1" Type="http://schemas.openxmlformats.org/officeDocument/2006/relationships/image" Target="../media/image8.tiff"/><Relationship Id="rId6" Type="http://schemas.openxmlformats.org/officeDocument/2006/relationships/image" Target="../media/image17.emf"/><Relationship Id="rId11" Type="http://schemas.openxmlformats.org/officeDocument/2006/relationships/image" Target="../media/image22.emf"/><Relationship Id="rId24" Type="http://schemas.openxmlformats.org/officeDocument/2006/relationships/image" Target="../media/image35.emf"/><Relationship Id="rId5" Type="http://schemas.openxmlformats.org/officeDocument/2006/relationships/image" Target="../media/image16.emf"/><Relationship Id="rId15" Type="http://schemas.openxmlformats.org/officeDocument/2006/relationships/image" Target="../media/image26.emf"/><Relationship Id="rId23" Type="http://schemas.openxmlformats.org/officeDocument/2006/relationships/image" Target="../media/image34.emf"/><Relationship Id="rId28" Type="http://schemas.openxmlformats.org/officeDocument/2006/relationships/image" Target="../media/image39.emf"/><Relationship Id="rId10" Type="http://schemas.openxmlformats.org/officeDocument/2006/relationships/image" Target="../media/image21.emf"/><Relationship Id="rId19" Type="http://schemas.openxmlformats.org/officeDocument/2006/relationships/image" Target="../media/image30.emf"/><Relationship Id="rId4" Type="http://schemas.openxmlformats.org/officeDocument/2006/relationships/image" Target="../media/image15.emf"/><Relationship Id="rId9" Type="http://schemas.openxmlformats.org/officeDocument/2006/relationships/image" Target="../media/image20.emf"/><Relationship Id="rId14" Type="http://schemas.openxmlformats.org/officeDocument/2006/relationships/image" Target="../media/image25.emf"/><Relationship Id="rId22" Type="http://schemas.openxmlformats.org/officeDocument/2006/relationships/image" Target="../media/image33.emf"/><Relationship Id="rId27" Type="http://schemas.openxmlformats.org/officeDocument/2006/relationships/image" Target="../media/image38.emf"/></Relationships>
</file>

<file path=xl/drawings/_rels/drawing12.xml.rels><?xml version="1.0" encoding="UTF-8" standalone="yes"?>
<Relationships xmlns="http://schemas.openxmlformats.org/package/2006/relationships"><Relationship Id="rId3" Type="http://schemas.openxmlformats.org/officeDocument/2006/relationships/image" Target="../media/image41.png"/><Relationship Id="rId2" Type="http://schemas.openxmlformats.org/officeDocument/2006/relationships/image" Target="../media/image8.tiff"/><Relationship Id="rId1" Type="http://schemas.openxmlformats.org/officeDocument/2006/relationships/image" Target="../media/image40.png"/><Relationship Id="rId4" Type="http://schemas.openxmlformats.org/officeDocument/2006/relationships/image" Target="../media/image42.png"/></Relationships>
</file>

<file path=xl/drawings/_rels/drawing13.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44.jpeg"/><Relationship Id="rId1" Type="http://schemas.openxmlformats.org/officeDocument/2006/relationships/image" Target="../media/image43.jpeg"/><Relationship Id="rId4" Type="http://schemas.openxmlformats.org/officeDocument/2006/relationships/image" Target="../media/image45.GIF"/></Relationships>
</file>

<file path=xl/drawings/_rels/drawing14.xml.rels><?xml version="1.0" encoding="UTF-8" standalone="yes"?>
<Relationships xmlns="http://schemas.openxmlformats.org/package/2006/relationships"><Relationship Id="rId2" Type="http://schemas.openxmlformats.org/officeDocument/2006/relationships/image" Target="../media/image48.png"/><Relationship Id="rId1" Type="http://schemas.openxmlformats.org/officeDocument/2006/relationships/image" Target="../media/image8.tiff"/></Relationships>
</file>

<file path=xl/drawings/_rels/drawing15.xml.rels><?xml version="1.0" encoding="UTF-8" standalone="yes"?>
<Relationships xmlns="http://schemas.openxmlformats.org/package/2006/relationships"><Relationship Id="rId3" Type="http://schemas.openxmlformats.org/officeDocument/2006/relationships/image" Target="../media/image8.tiff"/><Relationship Id="rId2" Type="http://schemas.openxmlformats.org/officeDocument/2006/relationships/image" Target="../media/image50.png"/><Relationship Id="rId1" Type="http://schemas.openxmlformats.org/officeDocument/2006/relationships/image" Target="../media/image49.emf"/><Relationship Id="rId4" Type="http://schemas.openxmlformats.org/officeDocument/2006/relationships/image" Target="../media/image51.png"/></Relationships>
</file>

<file path=xl/drawings/_rels/drawing16.xml.rels><?xml version="1.0" encoding="UTF-8" standalone="yes"?>
<Relationships xmlns="http://schemas.openxmlformats.org/package/2006/relationships"><Relationship Id="rId3" Type="http://schemas.openxmlformats.org/officeDocument/2006/relationships/image" Target="../media/image52.png"/><Relationship Id="rId2" Type="http://schemas.openxmlformats.org/officeDocument/2006/relationships/image" Target="../media/image8.tiff"/><Relationship Id="rId1" Type="http://schemas.openxmlformats.org/officeDocument/2006/relationships/image" Target="../media/image50.png"/><Relationship Id="rId4" Type="http://schemas.openxmlformats.org/officeDocument/2006/relationships/image" Target="../media/image53.png"/></Relationships>
</file>

<file path=xl/drawings/_rels/drawing17.xml.rels><?xml version="1.0" encoding="UTF-8" standalone="yes"?>
<Relationships xmlns="http://schemas.openxmlformats.org/package/2006/relationships"><Relationship Id="rId3" Type="http://schemas.openxmlformats.org/officeDocument/2006/relationships/image" Target="../media/image56.emf"/><Relationship Id="rId2" Type="http://schemas.openxmlformats.org/officeDocument/2006/relationships/image" Target="../media/image55.png"/><Relationship Id="rId1" Type="http://schemas.openxmlformats.org/officeDocument/2006/relationships/image" Target="../media/image54.png"/><Relationship Id="rId6" Type="http://schemas.openxmlformats.org/officeDocument/2006/relationships/image" Target="../media/image8.tiff"/><Relationship Id="rId5" Type="http://schemas.openxmlformats.org/officeDocument/2006/relationships/image" Target="../media/image58.png"/><Relationship Id="rId4" Type="http://schemas.openxmlformats.org/officeDocument/2006/relationships/image" Target="../media/image57.png"/></Relationships>
</file>

<file path=xl/drawings/_rels/drawing18.xml.rels><?xml version="1.0" encoding="UTF-8" standalone="yes"?>
<Relationships xmlns="http://schemas.openxmlformats.org/package/2006/relationships"><Relationship Id="rId8" Type="http://schemas.openxmlformats.org/officeDocument/2006/relationships/image" Target="../media/image8.tiff"/><Relationship Id="rId3" Type="http://schemas.openxmlformats.org/officeDocument/2006/relationships/image" Target="../media/image61.png"/><Relationship Id="rId7" Type="http://schemas.openxmlformats.org/officeDocument/2006/relationships/image" Target="../media/image42.png"/><Relationship Id="rId2" Type="http://schemas.openxmlformats.org/officeDocument/2006/relationships/image" Target="../media/image60.emf"/><Relationship Id="rId1" Type="http://schemas.openxmlformats.org/officeDocument/2006/relationships/image" Target="../media/image59.png"/><Relationship Id="rId6" Type="http://schemas.openxmlformats.org/officeDocument/2006/relationships/image" Target="../media/image64.emf"/><Relationship Id="rId5" Type="http://schemas.openxmlformats.org/officeDocument/2006/relationships/image" Target="../media/image63.emf"/><Relationship Id="rId4" Type="http://schemas.openxmlformats.org/officeDocument/2006/relationships/image" Target="../media/image62.jpeg"/></Relationships>
</file>

<file path=xl/drawings/_rels/drawing19.xml.rels><?xml version="1.0" encoding="UTF-8" standalone="yes"?>
<Relationships xmlns="http://schemas.openxmlformats.org/package/2006/relationships"><Relationship Id="rId8" Type="http://schemas.openxmlformats.org/officeDocument/2006/relationships/image" Target="../media/image8.tiff"/><Relationship Id="rId3" Type="http://schemas.openxmlformats.org/officeDocument/2006/relationships/image" Target="../media/image60.emf"/><Relationship Id="rId7" Type="http://schemas.openxmlformats.org/officeDocument/2006/relationships/image" Target="../media/image42.png"/><Relationship Id="rId2" Type="http://schemas.openxmlformats.org/officeDocument/2006/relationships/image" Target="../media/image72.jpg"/><Relationship Id="rId1" Type="http://schemas.openxmlformats.org/officeDocument/2006/relationships/image" Target="../media/image71.jpg"/><Relationship Id="rId6" Type="http://schemas.openxmlformats.org/officeDocument/2006/relationships/image" Target="../media/image75.emf"/><Relationship Id="rId5" Type="http://schemas.openxmlformats.org/officeDocument/2006/relationships/image" Target="../media/image74.emf"/><Relationship Id="rId4" Type="http://schemas.openxmlformats.org/officeDocument/2006/relationships/image" Target="../media/image73.jpeg"/></Relationships>
</file>

<file path=xl/drawings/_rels/drawing2.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png"/></Relationships>
</file>

<file path=xl/drawings/_rels/drawing20.xml.rels><?xml version="1.0" encoding="UTF-8" standalone="yes"?>
<Relationships xmlns="http://schemas.openxmlformats.org/package/2006/relationships"><Relationship Id="rId2" Type="http://schemas.openxmlformats.org/officeDocument/2006/relationships/image" Target="../media/image8.tiff"/><Relationship Id="rId1" Type="http://schemas.openxmlformats.org/officeDocument/2006/relationships/image" Target="../media/image42.png"/></Relationships>
</file>

<file path=xl/drawings/_rels/drawing21.xml.rels><?xml version="1.0" encoding="UTF-8" standalone="yes"?>
<Relationships xmlns="http://schemas.openxmlformats.org/package/2006/relationships"><Relationship Id="rId3" Type="http://schemas.openxmlformats.org/officeDocument/2006/relationships/image" Target="../media/image80.jpeg"/><Relationship Id="rId2" Type="http://schemas.openxmlformats.org/officeDocument/2006/relationships/image" Target="../media/image79.jpeg"/><Relationship Id="rId1" Type="http://schemas.openxmlformats.org/officeDocument/2006/relationships/image" Target="../media/image78.jpeg"/><Relationship Id="rId5" Type="http://schemas.openxmlformats.org/officeDocument/2006/relationships/image" Target="../media/image81.png"/><Relationship Id="rId4" Type="http://schemas.openxmlformats.org/officeDocument/2006/relationships/image" Target="../media/image8.tiff"/></Relationships>
</file>

<file path=xl/drawings/_rels/drawing22.xml.rels><?xml version="1.0" encoding="UTF-8" standalone="yes"?>
<Relationships xmlns="http://schemas.openxmlformats.org/package/2006/relationships"><Relationship Id="rId8" Type="http://schemas.openxmlformats.org/officeDocument/2006/relationships/image" Target="../media/image87.png"/><Relationship Id="rId3" Type="http://schemas.openxmlformats.org/officeDocument/2006/relationships/image" Target="../media/image84.jpeg"/><Relationship Id="rId7" Type="http://schemas.openxmlformats.org/officeDocument/2006/relationships/image" Target="../media/image86.png"/><Relationship Id="rId2" Type="http://schemas.openxmlformats.org/officeDocument/2006/relationships/image" Target="../media/image83.emf"/><Relationship Id="rId1" Type="http://schemas.openxmlformats.org/officeDocument/2006/relationships/image" Target="../media/image82.jpeg"/><Relationship Id="rId6" Type="http://schemas.openxmlformats.org/officeDocument/2006/relationships/image" Target="../media/image8.tiff"/><Relationship Id="rId5" Type="http://schemas.openxmlformats.org/officeDocument/2006/relationships/image" Target="../media/image42.png"/><Relationship Id="rId4" Type="http://schemas.openxmlformats.org/officeDocument/2006/relationships/image" Target="../media/image85.png"/></Relationships>
</file>

<file path=xl/drawings/_rels/drawing23.xml.rels><?xml version="1.0" encoding="UTF-8" standalone="yes"?>
<Relationships xmlns="http://schemas.openxmlformats.org/package/2006/relationships"><Relationship Id="rId3" Type="http://schemas.openxmlformats.org/officeDocument/2006/relationships/image" Target="../media/image88.jpeg"/><Relationship Id="rId2" Type="http://schemas.openxmlformats.org/officeDocument/2006/relationships/image" Target="../media/image83.emf"/><Relationship Id="rId1" Type="http://schemas.openxmlformats.org/officeDocument/2006/relationships/image" Target="../media/image80.jpeg"/><Relationship Id="rId5" Type="http://schemas.openxmlformats.org/officeDocument/2006/relationships/image" Target="../media/image8.tiff"/><Relationship Id="rId4" Type="http://schemas.openxmlformats.org/officeDocument/2006/relationships/image" Target="../media/image42.png"/></Relationships>
</file>

<file path=xl/drawings/_rels/drawing24.xml.rels><?xml version="1.0" encoding="UTF-8" standalone="yes"?>
<Relationships xmlns="http://schemas.openxmlformats.org/package/2006/relationships"><Relationship Id="rId3" Type="http://schemas.openxmlformats.org/officeDocument/2006/relationships/image" Target="../media/image91.emf"/><Relationship Id="rId2" Type="http://schemas.openxmlformats.org/officeDocument/2006/relationships/image" Target="../media/image90.jpeg"/><Relationship Id="rId1" Type="http://schemas.openxmlformats.org/officeDocument/2006/relationships/image" Target="../media/image89.png"/><Relationship Id="rId5" Type="http://schemas.openxmlformats.org/officeDocument/2006/relationships/image" Target="../media/image81.png"/><Relationship Id="rId4" Type="http://schemas.openxmlformats.org/officeDocument/2006/relationships/image" Target="../media/image8.tiff"/></Relationships>
</file>

<file path=xl/drawings/_rels/drawing25.xml.rels><?xml version="1.0" encoding="UTF-8" standalone="yes"?>
<Relationships xmlns="http://schemas.openxmlformats.org/package/2006/relationships"><Relationship Id="rId3" Type="http://schemas.openxmlformats.org/officeDocument/2006/relationships/image" Target="../media/image93.png"/><Relationship Id="rId2" Type="http://schemas.openxmlformats.org/officeDocument/2006/relationships/image" Target="../media/image80.jpeg"/><Relationship Id="rId1" Type="http://schemas.openxmlformats.org/officeDocument/2006/relationships/image" Target="../media/image92.jpeg"/><Relationship Id="rId5" Type="http://schemas.openxmlformats.org/officeDocument/2006/relationships/image" Target="../media/image42.png"/><Relationship Id="rId4" Type="http://schemas.openxmlformats.org/officeDocument/2006/relationships/image" Target="../media/image8.tiff"/></Relationships>
</file>

<file path=xl/drawings/_rels/drawing26.xml.rels><?xml version="1.0" encoding="UTF-8" standalone="yes"?>
<Relationships xmlns="http://schemas.openxmlformats.org/package/2006/relationships"><Relationship Id="rId3" Type="http://schemas.openxmlformats.org/officeDocument/2006/relationships/image" Target="../media/image93.png"/><Relationship Id="rId2" Type="http://schemas.openxmlformats.org/officeDocument/2006/relationships/image" Target="../media/image80.jpeg"/><Relationship Id="rId1" Type="http://schemas.openxmlformats.org/officeDocument/2006/relationships/image" Target="../media/image92.jpeg"/><Relationship Id="rId5" Type="http://schemas.openxmlformats.org/officeDocument/2006/relationships/image" Target="../media/image42.png"/><Relationship Id="rId4" Type="http://schemas.openxmlformats.org/officeDocument/2006/relationships/image" Target="../media/image8.tiff"/></Relationships>
</file>

<file path=xl/drawings/_rels/drawing27.xml.rels><?xml version="1.0" encoding="UTF-8" standalone="yes"?>
<Relationships xmlns="http://schemas.openxmlformats.org/package/2006/relationships"><Relationship Id="rId3" Type="http://schemas.openxmlformats.org/officeDocument/2006/relationships/image" Target="../media/image91.emf"/><Relationship Id="rId2" Type="http://schemas.openxmlformats.org/officeDocument/2006/relationships/image" Target="../media/image90.jpeg"/><Relationship Id="rId1" Type="http://schemas.openxmlformats.org/officeDocument/2006/relationships/image" Target="../media/image94.png"/><Relationship Id="rId5" Type="http://schemas.openxmlformats.org/officeDocument/2006/relationships/image" Target="../media/image81.png"/><Relationship Id="rId4" Type="http://schemas.openxmlformats.org/officeDocument/2006/relationships/image" Target="../media/image8.tiff"/></Relationships>
</file>

<file path=xl/drawings/_rels/drawing28.xml.rels><?xml version="1.0" encoding="UTF-8" standalone="yes"?>
<Relationships xmlns="http://schemas.openxmlformats.org/package/2006/relationships"><Relationship Id="rId3" Type="http://schemas.openxmlformats.org/officeDocument/2006/relationships/image" Target="../media/image93.png"/><Relationship Id="rId2" Type="http://schemas.openxmlformats.org/officeDocument/2006/relationships/image" Target="../media/image80.jpeg"/><Relationship Id="rId1" Type="http://schemas.openxmlformats.org/officeDocument/2006/relationships/image" Target="../media/image92.jpeg"/><Relationship Id="rId5" Type="http://schemas.openxmlformats.org/officeDocument/2006/relationships/image" Target="../media/image42.png"/><Relationship Id="rId4" Type="http://schemas.openxmlformats.org/officeDocument/2006/relationships/image" Target="../media/image8.tiff"/></Relationships>
</file>

<file path=xl/drawings/_rels/drawing29.xml.rels><?xml version="1.0" encoding="UTF-8" standalone="yes"?>
<Relationships xmlns="http://schemas.openxmlformats.org/package/2006/relationships"><Relationship Id="rId3" Type="http://schemas.openxmlformats.org/officeDocument/2006/relationships/image" Target="../media/image93.png"/><Relationship Id="rId2" Type="http://schemas.openxmlformats.org/officeDocument/2006/relationships/image" Target="../media/image80.jpeg"/><Relationship Id="rId1" Type="http://schemas.openxmlformats.org/officeDocument/2006/relationships/image" Target="../media/image92.jpeg"/><Relationship Id="rId5" Type="http://schemas.openxmlformats.org/officeDocument/2006/relationships/image" Target="../media/image42.png"/><Relationship Id="rId4" Type="http://schemas.openxmlformats.org/officeDocument/2006/relationships/image" Target="../media/image8.tiff"/></Relationships>
</file>

<file path=xl/drawings/_rels/drawing3.xml.rels><?xml version="1.0" encoding="UTF-8" standalone="yes"?>
<Relationships xmlns="http://schemas.openxmlformats.org/package/2006/relationships"><Relationship Id="rId1" Type="http://schemas.openxmlformats.org/officeDocument/2006/relationships/image" Target="../media/image8.tiff"/></Relationships>
</file>

<file path=xl/drawings/_rels/drawing30.xml.rels><?xml version="1.0" encoding="UTF-8" standalone="yes"?>
<Relationships xmlns="http://schemas.openxmlformats.org/package/2006/relationships"><Relationship Id="rId3" Type="http://schemas.openxmlformats.org/officeDocument/2006/relationships/image" Target="../media/image98.emf"/><Relationship Id="rId2" Type="http://schemas.openxmlformats.org/officeDocument/2006/relationships/image" Target="../media/image97.emf"/><Relationship Id="rId1" Type="http://schemas.openxmlformats.org/officeDocument/2006/relationships/image" Target="../media/image96.jpeg"/><Relationship Id="rId5" Type="http://schemas.openxmlformats.org/officeDocument/2006/relationships/image" Target="../media/image81.png"/><Relationship Id="rId4" Type="http://schemas.openxmlformats.org/officeDocument/2006/relationships/image" Target="../media/image8.tiff"/></Relationships>
</file>

<file path=xl/drawings/_rels/drawing31.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8.tiff"/></Relationships>
</file>

<file path=xl/drawings/_rels/drawing32.xml.rels><?xml version="1.0" encoding="UTF-8" standalone="yes"?>
<Relationships xmlns="http://schemas.openxmlformats.org/package/2006/relationships"><Relationship Id="rId8" Type="http://schemas.openxmlformats.org/officeDocument/2006/relationships/image" Target="../media/image105.emf"/><Relationship Id="rId3" Type="http://schemas.openxmlformats.org/officeDocument/2006/relationships/image" Target="../media/image8.tiff"/><Relationship Id="rId7" Type="http://schemas.openxmlformats.org/officeDocument/2006/relationships/image" Target="../media/image104.emf"/><Relationship Id="rId2" Type="http://schemas.openxmlformats.org/officeDocument/2006/relationships/image" Target="../media/image100.png"/><Relationship Id="rId1" Type="http://schemas.openxmlformats.org/officeDocument/2006/relationships/image" Target="../media/image99.jpeg"/><Relationship Id="rId6" Type="http://schemas.openxmlformats.org/officeDocument/2006/relationships/image" Target="../media/image103.emf"/><Relationship Id="rId5" Type="http://schemas.openxmlformats.org/officeDocument/2006/relationships/image" Target="../media/image102.emf"/><Relationship Id="rId4" Type="http://schemas.openxmlformats.org/officeDocument/2006/relationships/image" Target="../media/image101.png"/></Relationships>
</file>

<file path=xl/drawings/_rels/drawing3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8.tiff"/></Relationships>
</file>

<file path=xl/drawings/_rels/drawing34.xml.rels><?xml version="1.0" encoding="UTF-8" standalone="yes"?>
<Relationships xmlns="http://schemas.openxmlformats.org/package/2006/relationships"><Relationship Id="rId2" Type="http://schemas.openxmlformats.org/officeDocument/2006/relationships/image" Target="../media/image42.png"/><Relationship Id="rId1" Type="http://schemas.openxmlformats.org/officeDocument/2006/relationships/image" Target="../media/image8.tiff"/></Relationships>
</file>

<file path=xl/drawings/_rels/drawing35.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8.tiff"/></Relationships>
</file>

<file path=xl/drawings/_rels/drawing36.xml.rels><?xml version="1.0" encoding="UTF-8" standalone="yes"?>
<Relationships xmlns="http://schemas.openxmlformats.org/package/2006/relationships"><Relationship Id="rId2" Type="http://schemas.openxmlformats.org/officeDocument/2006/relationships/image" Target="../media/image42.png"/><Relationship Id="rId1" Type="http://schemas.openxmlformats.org/officeDocument/2006/relationships/image" Target="../media/image8.tiff"/></Relationships>
</file>

<file path=xl/drawings/_rels/drawing37.xml.rels><?xml version="1.0" encoding="UTF-8" standalone="yes"?>
<Relationships xmlns="http://schemas.openxmlformats.org/package/2006/relationships"><Relationship Id="rId8" Type="http://schemas.openxmlformats.org/officeDocument/2006/relationships/image" Target="../media/image111.emf"/><Relationship Id="rId13" Type="http://schemas.openxmlformats.org/officeDocument/2006/relationships/image" Target="../media/image116.emf"/><Relationship Id="rId18" Type="http://schemas.openxmlformats.org/officeDocument/2006/relationships/image" Target="../media/image121.emf"/><Relationship Id="rId3" Type="http://schemas.openxmlformats.org/officeDocument/2006/relationships/image" Target="../media/image42.png"/><Relationship Id="rId7" Type="http://schemas.openxmlformats.org/officeDocument/2006/relationships/image" Target="../media/image110.emf"/><Relationship Id="rId12" Type="http://schemas.openxmlformats.org/officeDocument/2006/relationships/image" Target="../media/image115.emf"/><Relationship Id="rId17" Type="http://schemas.openxmlformats.org/officeDocument/2006/relationships/image" Target="../media/image120.emf"/><Relationship Id="rId2" Type="http://schemas.openxmlformats.org/officeDocument/2006/relationships/image" Target="../media/image8.tiff"/><Relationship Id="rId16" Type="http://schemas.openxmlformats.org/officeDocument/2006/relationships/image" Target="../media/image119.emf"/><Relationship Id="rId20" Type="http://schemas.openxmlformats.org/officeDocument/2006/relationships/image" Target="../media/image123.emf"/><Relationship Id="rId1" Type="http://schemas.openxmlformats.org/officeDocument/2006/relationships/image" Target="../media/image106.jpeg"/><Relationship Id="rId6" Type="http://schemas.openxmlformats.org/officeDocument/2006/relationships/image" Target="../media/image109.emf"/><Relationship Id="rId11" Type="http://schemas.openxmlformats.org/officeDocument/2006/relationships/image" Target="../media/image114.emf"/><Relationship Id="rId5" Type="http://schemas.openxmlformats.org/officeDocument/2006/relationships/image" Target="../media/image108.emf"/><Relationship Id="rId15" Type="http://schemas.openxmlformats.org/officeDocument/2006/relationships/image" Target="../media/image118.emf"/><Relationship Id="rId10" Type="http://schemas.openxmlformats.org/officeDocument/2006/relationships/image" Target="../media/image113.emf"/><Relationship Id="rId19" Type="http://schemas.openxmlformats.org/officeDocument/2006/relationships/image" Target="../media/image122.emf"/><Relationship Id="rId4" Type="http://schemas.openxmlformats.org/officeDocument/2006/relationships/image" Target="../media/image107.emf"/><Relationship Id="rId9" Type="http://schemas.openxmlformats.org/officeDocument/2006/relationships/image" Target="../media/image112.emf"/><Relationship Id="rId14" Type="http://schemas.openxmlformats.org/officeDocument/2006/relationships/image" Target="../media/image117.emf"/></Relationships>
</file>

<file path=xl/drawings/_rels/drawing38.xml.rels><?xml version="1.0" encoding="UTF-8" standalone="yes"?>
<Relationships xmlns="http://schemas.openxmlformats.org/package/2006/relationships"><Relationship Id="rId3" Type="http://schemas.openxmlformats.org/officeDocument/2006/relationships/image" Target="../media/image125.png"/><Relationship Id="rId2" Type="http://schemas.openxmlformats.org/officeDocument/2006/relationships/image" Target="../media/image8.tiff"/><Relationship Id="rId1" Type="http://schemas.openxmlformats.org/officeDocument/2006/relationships/image" Target="../media/image124.png"/></Relationships>
</file>

<file path=xl/drawings/_rels/drawing39.xml.rels><?xml version="1.0" encoding="UTF-8" standalone="yes"?>
<Relationships xmlns="http://schemas.openxmlformats.org/package/2006/relationships"><Relationship Id="rId3" Type="http://schemas.openxmlformats.org/officeDocument/2006/relationships/image" Target="../media/image125.png"/><Relationship Id="rId2" Type="http://schemas.openxmlformats.org/officeDocument/2006/relationships/image" Target="../media/image8.tiff"/><Relationship Id="rId1" Type="http://schemas.openxmlformats.org/officeDocument/2006/relationships/image" Target="../media/image124.png"/></Relationships>
</file>

<file path=xl/drawings/_rels/drawing4.xml.rels><?xml version="1.0" encoding="UTF-8" standalone="yes"?>
<Relationships xmlns="http://schemas.openxmlformats.org/package/2006/relationships"><Relationship Id="rId1" Type="http://schemas.openxmlformats.org/officeDocument/2006/relationships/image" Target="../media/image8.tiff"/></Relationships>
</file>

<file path=xl/drawings/_rels/drawing5.xml.rels><?xml version="1.0" encoding="UTF-8" standalone="yes"?>
<Relationships xmlns="http://schemas.openxmlformats.org/package/2006/relationships"><Relationship Id="rId1" Type="http://schemas.openxmlformats.org/officeDocument/2006/relationships/image" Target="../media/image8.tiff"/></Relationships>
</file>

<file path=xl/drawings/_rels/drawing6.xml.rels><?xml version="1.0" encoding="UTF-8" standalone="yes"?>
<Relationships xmlns="http://schemas.openxmlformats.org/package/2006/relationships"><Relationship Id="rId1" Type="http://schemas.openxmlformats.org/officeDocument/2006/relationships/image" Target="../media/image8.tiff"/></Relationships>
</file>

<file path=xl/drawings/_rels/drawing7.xml.rels><?xml version="1.0" encoding="UTF-8" standalone="yes"?>
<Relationships xmlns="http://schemas.openxmlformats.org/package/2006/relationships"><Relationship Id="rId1" Type="http://schemas.openxmlformats.org/officeDocument/2006/relationships/image" Target="../media/image8.tiff"/></Relationships>
</file>

<file path=xl/drawings/_rels/drawing8.xml.rels><?xml version="1.0" encoding="UTF-8" standalone="yes"?>
<Relationships xmlns="http://schemas.openxmlformats.org/package/2006/relationships"><Relationship Id="rId1" Type="http://schemas.openxmlformats.org/officeDocument/2006/relationships/image" Target="../media/image8.tiff"/></Relationships>
</file>

<file path=xl/drawings/_rels/drawing9.xml.rels><?xml version="1.0" encoding="UTF-8" standalone="yes"?>
<Relationships xmlns="http://schemas.openxmlformats.org/package/2006/relationships"><Relationship Id="rId2" Type="http://schemas.openxmlformats.org/officeDocument/2006/relationships/image" Target="../media/image11.gif"/><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9.emf"/></Relationships>
</file>

<file path=xl/drawings/_rels/vmlDrawing15.vml.rels><?xml version="1.0" encoding="UTF-8" standalone="yes"?>
<Relationships xmlns="http://schemas.openxmlformats.org/package/2006/relationships"><Relationship Id="rId3" Type="http://schemas.openxmlformats.org/officeDocument/2006/relationships/image" Target="../media/image46.tiff"/><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47.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66.emf"/><Relationship Id="rId1" Type="http://schemas.openxmlformats.org/officeDocument/2006/relationships/image" Target="../media/image65.emf"/></Relationships>
</file>

<file path=xl/drawings/_rels/vmlDrawing18.vml.rels><?xml version="1.0" encoding="UTF-8" standalone="yes"?>
<Relationships xmlns="http://schemas.openxmlformats.org/package/2006/relationships"><Relationship Id="rId3" Type="http://schemas.openxmlformats.org/officeDocument/2006/relationships/image" Target="../media/image69.emf"/><Relationship Id="rId2" Type="http://schemas.openxmlformats.org/officeDocument/2006/relationships/image" Target="../media/image68.emf"/><Relationship Id="rId1" Type="http://schemas.openxmlformats.org/officeDocument/2006/relationships/image" Target="../media/image67.emf"/><Relationship Id="rId6" Type="http://schemas.openxmlformats.org/officeDocument/2006/relationships/image" Target="../media/image77.emf"/><Relationship Id="rId5" Type="http://schemas.openxmlformats.org/officeDocument/2006/relationships/image" Target="../media/image76.emf"/><Relationship Id="rId4" Type="http://schemas.openxmlformats.org/officeDocument/2006/relationships/image" Target="../media/image70.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95.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5.jpeg"/></Relationships>
</file>

<file path=xl/drawings/_rels/vmlDrawing5.v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297180</xdr:colOff>
          <xdr:row>17</xdr:row>
          <xdr:rowOff>30480</xdr:rowOff>
        </xdr:from>
        <xdr:to>
          <xdr:col>9</xdr:col>
          <xdr:colOff>0</xdr:colOff>
          <xdr:row>17</xdr:row>
          <xdr:rowOff>220980</xdr:rowOff>
        </xdr:to>
        <xdr:sp macro="" textlink="">
          <xdr:nvSpPr>
            <xdr:cNvPr id="2543246" name="Check Box 2702" hidden="1">
              <a:extLst>
                <a:ext uri="{63B3BB69-23CF-44E3-9099-C40C66FF867C}">
                  <a14:compatExt spid="_x0000_s2543246"/>
                </a:ext>
                <a:ext uri="{FF2B5EF4-FFF2-40B4-BE49-F238E27FC236}">
                  <a16:creationId xmlns:a16="http://schemas.microsoft.com/office/drawing/2014/main" id="{00000000-0008-0000-0200-00008E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New Construction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76200</xdr:colOff>
          <xdr:row>17</xdr:row>
          <xdr:rowOff>7620</xdr:rowOff>
        </xdr:from>
        <xdr:to>
          <xdr:col>12</xdr:col>
          <xdr:colOff>182880</xdr:colOff>
          <xdr:row>17</xdr:row>
          <xdr:rowOff>220980</xdr:rowOff>
        </xdr:to>
        <xdr:sp macro="" textlink="">
          <xdr:nvSpPr>
            <xdr:cNvPr id="2543247" name="Check Box 2703" hidden="1">
              <a:extLst>
                <a:ext uri="{63B3BB69-23CF-44E3-9099-C40C66FF867C}">
                  <a14:compatExt spid="_x0000_s2543247"/>
                </a:ext>
                <a:ext uri="{FF2B5EF4-FFF2-40B4-BE49-F238E27FC236}">
                  <a16:creationId xmlns:a16="http://schemas.microsoft.com/office/drawing/2014/main" id="{00000000-0008-0000-0200-00008F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Replacement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xdr:row>
          <xdr:rowOff>30480</xdr:rowOff>
        </xdr:from>
        <xdr:to>
          <xdr:col>7</xdr:col>
          <xdr:colOff>38100</xdr:colOff>
          <xdr:row>19</xdr:row>
          <xdr:rowOff>0</xdr:rowOff>
        </xdr:to>
        <xdr:sp macro="" textlink="">
          <xdr:nvSpPr>
            <xdr:cNvPr id="2543251" name="Check Box 2707" hidden="1">
              <a:extLst>
                <a:ext uri="{63B3BB69-23CF-44E3-9099-C40C66FF867C}">
                  <a14:compatExt spid="_x0000_s2543251"/>
                </a:ext>
                <a:ext uri="{FF2B5EF4-FFF2-40B4-BE49-F238E27FC236}">
                  <a16:creationId xmlns:a16="http://schemas.microsoft.com/office/drawing/2014/main" id="{00000000-0008-0000-0200-000093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Residential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228600</xdr:colOff>
          <xdr:row>18</xdr:row>
          <xdr:rowOff>7620</xdr:rowOff>
        </xdr:from>
        <xdr:to>
          <xdr:col>11</xdr:col>
          <xdr:colOff>144780</xdr:colOff>
          <xdr:row>19</xdr:row>
          <xdr:rowOff>7620</xdr:rowOff>
        </xdr:to>
        <xdr:sp macro="" textlink="">
          <xdr:nvSpPr>
            <xdr:cNvPr id="2543252" name="Check Box 2708" hidden="1">
              <a:extLst>
                <a:ext uri="{63B3BB69-23CF-44E3-9099-C40C66FF867C}">
                  <a14:compatExt spid="_x0000_s2543252"/>
                </a:ext>
                <a:ext uri="{FF2B5EF4-FFF2-40B4-BE49-F238E27FC236}">
                  <a16:creationId xmlns:a16="http://schemas.microsoft.com/office/drawing/2014/main" id="{00000000-0008-0000-0200-000094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Other Establishment: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304800</xdr:colOff>
          <xdr:row>25</xdr:row>
          <xdr:rowOff>68580</xdr:rowOff>
        </xdr:from>
        <xdr:to>
          <xdr:col>12</xdr:col>
          <xdr:colOff>114300</xdr:colOff>
          <xdr:row>27</xdr:row>
          <xdr:rowOff>0</xdr:rowOff>
        </xdr:to>
        <xdr:sp macro="" textlink="">
          <xdr:nvSpPr>
            <xdr:cNvPr id="2543258" name="Check Box 2714" hidden="1">
              <a:extLst>
                <a:ext uri="{63B3BB69-23CF-44E3-9099-C40C66FF867C}">
                  <a14:compatExt spid="_x0000_s2543258"/>
                </a:ext>
                <a:ext uri="{FF2B5EF4-FFF2-40B4-BE49-F238E27FC236}">
                  <a16:creationId xmlns:a16="http://schemas.microsoft.com/office/drawing/2014/main" id="{00000000-0008-0000-0200-00009A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Garbage Disposal/Grinder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304800</xdr:colOff>
          <xdr:row>28</xdr:row>
          <xdr:rowOff>7620</xdr:rowOff>
        </xdr:from>
        <xdr:to>
          <xdr:col>12</xdr:col>
          <xdr:colOff>114300</xdr:colOff>
          <xdr:row>29</xdr:row>
          <xdr:rowOff>0</xdr:rowOff>
        </xdr:to>
        <xdr:sp macro="" textlink="">
          <xdr:nvSpPr>
            <xdr:cNvPr id="2543260" name="Check Box 2716" hidden="1">
              <a:extLst>
                <a:ext uri="{63B3BB69-23CF-44E3-9099-C40C66FF867C}">
                  <a14:compatExt spid="_x0000_s2543260"/>
                </a:ext>
                <a:ext uri="{FF2B5EF4-FFF2-40B4-BE49-F238E27FC236}">
                  <a16:creationId xmlns:a16="http://schemas.microsoft.com/office/drawing/2014/main" id="{00000000-0008-0000-0200-00009C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Large Bathtub &gt;40 gallons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121920</xdr:colOff>
          <xdr:row>27</xdr:row>
          <xdr:rowOff>190500</xdr:rowOff>
        </xdr:from>
        <xdr:to>
          <xdr:col>20</xdr:col>
          <xdr:colOff>144780</xdr:colOff>
          <xdr:row>29</xdr:row>
          <xdr:rowOff>0</xdr:rowOff>
        </xdr:to>
        <xdr:sp macro="" textlink="">
          <xdr:nvSpPr>
            <xdr:cNvPr id="2543261" name="Check Box 2717" hidden="1">
              <a:extLst>
                <a:ext uri="{63B3BB69-23CF-44E3-9099-C40C66FF867C}">
                  <a14:compatExt spid="_x0000_s2543261"/>
                </a:ext>
                <a:ext uri="{FF2B5EF4-FFF2-40B4-BE49-F238E27FC236}">
                  <a16:creationId xmlns:a16="http://schemas.microsoft.com/office/drawing/2014/main" id="{00000000-0008-0000-0200-00009D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Self-Cleaning Humidifier*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182880</xdr:colOff>
          <xdr:row>27</xdr:row>
          <xdr:rowOff>0</xdr:rowOff>
        </xdr:from>
        <xdr:to>
          <xdr:col>15</xdr:col>
          <xdr:colOff>106680</xdr:colOff>
          <xdr:row>27</xdr:row>
          <xdr:rowOff>190500</xdr:rowOff>
        </xdr:to>
        <xdr:sp macro="" textlink="">
          <xdr:nvSpPr>
            <xdr:cNvPr id="2543262" name="Check Box 2718" hidden="1">
              <a:extLst>
                <a:ext uri="{63B3BB69-23CF-44E3-9099-C40C66FF867C}">
                  <a14:compatExt spid="_x0000_s2543262"/>
                </a:ext>
                <a:ext uri="{FF2B5EF4-FFF2-40B4-BE49-F238E27FC236}">
                  <a16:creationId xmlns:a16="http://schemas.microsoft.com/office/drawing/2014/main" id="{00000000-0008-0000-0200-00009E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Water Softener*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121920</xdr:colOff>
          <xdr:row>26</xdr:row>
          <xdr:rowOff>190500</xdr:rowOff>
        </xdr:from>
        <xdr:to>
          <xdr:col>19</xdr:col>
          <xdr:colOff>68580</xdr:colOff>
          <xdr:row>27</xdr:row>
          <xdr:rowOff>190500</xdr:rowOff>
        </xdr:to>
        <xdr:sp macro="" textlink="">
          <xdr:nvSpPr>
            <xdr:cNvPr id="2543263" name="Check Box 2719" hidden="1">
              <a:extLst>
                <a:ext uri="{63B3BB69-23CF-44E3-9099-C40C66FF867C}">
                  <a14:compatExt spid="_x0000_s2543263"/>
                </a:ext>
                <a:ext uri="{FF2B5EF4-FFF2-40B4-BE49-F238E27FC236}">
                  <a16:creationId xmlns:a16="http://schemas.microsoft.com/office/drawing/2014/main" id="{00000000-0008-0000-0200-00009F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Sump Pump*</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182880</xdr:colOff>
          <xdr:row>29</xdr:row>
          <xdr:rowOff>0</xdr:rowOff>
        </xdr:from>
        <xdr:to>
          <xdr:col>15</xdr:col>
          <xdr:colOff>182880</xdr:colOff>
          <xdr:row>29</xdr:row>
          <xdr:rowOff>190500</xdr:rowOff>
        </xdr:to>
        <xdr:sp macro="" textlink="">
          <xdr:nvSpPr>
            <xdr:cNvPr id="2543264" name="Check Box 2720" hidden="1">
              <a:extLst>
                <a:ext uri="{63B3BB69-23CF-44E3-9099-C40C66FF867C}">
                  <a14:compatExt spid="_x0000_s2543264"/>
                </a:ext>
                <a:ext uri="{FF2B5EF4-FFF2-40B4-BE49-F238E27FC236}">
                  <a16:creationId xmlns:a16="http://schemas.microsoft.com/office/drawing/2014/main" id="{00000000-0008-0000-0200-0000A0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High Eff. Furnace*</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121920</xdr:colOff>
          <xdr:row>26</xdr:row>
          <xdr:rowOff>0</xdr:rowOff>
        </xdr:from>
        <xdr:to>
          <xdr:col>18</xdr:col>
          <xdr:colOff>198120</xdr:colOff>
          <xdr:row>26</xdr:row>
          <xdr:rowOff>182880</xdr:rowOff>
        </xdr:to>
        <xdr:sp macro="" textlink="">
          <xdr:nvSpPr>
            <xdr:cNvPr id="2543265" name="Check Box 2721" hidden="1">
              <a:extLst>
                <a:ext uri="{63B3BB69-23CF-44E3-9099-C40C66FF867C}">
                  <a14:compatExt spid="_x0000_s2543265"/>
                </a:ext>
                <a:ext uri="{FF2B5EF4-FFF2-40B4-BE49-F238E27FC236}">
                  <a16:creationId xmlns:a16="http://schemas.microsoft.com/office/drawing/2014/main" id="{00000000-0008-0000-0200-0000A1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Hot Tub*</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182880</xdr:colOff>
          <xdr:row>28</xdr:row>
          <xdr:rowOff>7620</xdr:rowOff>
        </xdr:from>
        <xdr:to>
          <xdr:col>14</xdr:col>
          <xdr:colOff>152400</xdr:colOff>
          <xdr:row>28</xdr:row>
          <xdr:rowOff>190500</xdr:rowOff>
        </xdr:to>
        <xdr:sp macro="" textlink="">
          <xdr:nvSpPr>
            <xdr:cNvPr id="2543266" name="Check Box 2722" hidden="1">
              <a:extLst>
                <a:ext uri="{63B3BB69-23CF-44E3-9099-C40C66FF867C}">
                  <a14:compatExt spid="_x0000_s2543266"/>
                </a:ext>
                <a:ext uri="{FF2B5EF4-FFF2-40B4-BE49-F238E27FC236}">
                  <a16:creationId xmlns:a16="http://schemas.microsoft.com/office/drawing/2014/main" id="{00000000-0008-0000-0200-0000A2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Iron Filter*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259080</xdr:colOff>
          <xdr:row>74</xdr:row>
          <xdr:rowOff>45720</xdr:rowOff>
        </xdr:from>
        <xdr:to>
          <xdr:col>11</xdr:col>
          <xdr:colOff>114300</xdr:colOff>
          <xdr:row>76</xdr:row>
          <xdr:rowOff>30480</xdr:rowOff>
        </xdr:to>
        <xdr:sp macro="" textlink="">
          <xdr:nvSpPr>
            <xdr:cNvPr id="2543300" name="Check Box 2756" hidden="1">
              <a:extLst>
                <a:ext uri="{63B3BB69-23CF-44E3-9099-C40C66FF867C}">
                  <a14:compatExt spid="_x0000_s2543300"/>
                </a:ext>
                <a:ext uri="{FF2B5EF4-FFF2-40B4-BE49-F238E27FC236}">
                  <a16:creationId xmlns:a16="http://schemas.microsoft.com/office/drawing/2014/main" id="{00000000-0008-0000-0200-0000C4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Survey</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220980</xdr:colOff>
          <xdr:row>74</xdr:row>
          <xdr:rowOff>38100</xdr:rowOff>
        </xdr:from>
        <xdr:to>
          <xdr:col>16</xdr:col>
          <xdr:colOff>0</xdr:colOff>
          <xdr:row>76</xdr:row>
          <xdr:rowOff>38100</xdr:rowOff>
        </xdr:to>
        <xdr:sp macro="" textlink="">
          <xdr:nvSpPr>
            <xdr:cNvPr id="2543301" name="Check Box 2757" hidden="1">
              <a:extLst>
                <a:ext uri="{63B3BB69-23CF-44E3-9099-C40C66FF867C}">
                  <a14:compatExt spid="_x0000_s2543301"/>
                </a:ext>
                <a:ext uri="{FF2B5EF4-FFF2-40B4-BE49-F238E27FC236}">
                  <a16:creationId xmlns:a16="http://schemas.microsoft.com/office/drawing/2014/main" id="{00000000-0008-0000-0200-0000C5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Plat Map</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77</xdr:row>
          <xdr:rowOff>220980</xdr:rowOff>
        </xdr:from>
        <xdr:to>
          <xdr:col>14</xdr:col>
          <xdr:colOff>7620</xdr:colOff>
          <xdr:row>79</xdr:row>
          <xdr:rowOff>30480</xdr:rowOff>
        </xdr:to>
        <xdr:sp macro="" textlink="">
          <xdr:nvSpPr>
            <xdr:cNvPr id="2543305" name="Check Box 2761" hidden="1">
              <a:extLst>
                <a:ext uri="{63B3BB69-23CF-44E3-9099-C40C66FF867C}">
                  <a14:compatExt spid="_x0000_s2543305"/>
                </a:ext>
                <a:ext uri="{FF2B5EF4-FFF2-40B4-BE49-F238E27FC236}">
                  <a16:creationId xmlns:a16="http://schemas.microsoft.com/office/drawing/2014/main" id="{00000000-0008-0000-0200-0000C9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Property Lines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160020</xdr:colOff>
          <xdr:row>78</xdr:row>
          <xdr:rowOff>30480</xdr:rowOff>
        </xdr:from>
        <xdr:to>
          <xdr:col>18</xdr:col>
          <xdr:colOff>83820</xdr:colOff>
          <xdr:row>78</xdr:row>
          <xdr:rowOff>198120</xdr:rowOff>
        </xdr:to>
        <xdr:sp macro="" textlink="">
          <xdr:nvSpPr>
            <xdr:cNvPr id="2543306" name="Check Box 2762" hidden="1">
              <a:extLst>
                <a:ext uri="{63B3BB69-23CF-44E3-9099-C40C66FF867C}">
                  <a14:compatExt spid="_x0000_s2543306"/>
                </a:ext>
                <a:ext uri="{FF2B5EF4-FFF2-40B4-BE49-F238E27FC236}">
                  <a16:creationId xmlns:a16="http://schemas.microsoft.com/office/drawing/2014/main" id="{00000000-0008-0000-0200-0000CA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228600</xdr:colOff>
          <xdr:row>78</xdr:row>
          <xdr:rowOff>7620</xdr:rowOff>
        </xdr:from>
        <xdr:to>
          <xdr:col>16</xdr:col>
          <xdr:colOff>68580</xdr:colOff>
          <xdr:row>79</xdr:row>
          <xdr:rowOff>0</xdr:rowOff>
        </xdr:to>
        <xdr:sp macro="" textlink="">
          <xdr:nvSpPr>
            <xdr:cNvPr id="2543307" name="Check Box 2763" hidden="1">
              <a:extLst>
                <a:ext uri="{63B3BB69-23CF-44E3-9099-C40C66FF867C}">
                  <a14:compatExt spid="_x0000_s2543307"/>
                </a:ext>
                <a:ext uri="{FF2B5EF4-FFF2-40B4-BE49-F238E27FC236}">
                  <a16:creationId xmlns:a16="http://schemas.microsoft.com/office/drawing/2014/main" id="{00000000-0008-0000-0200-0000CB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OHWL</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77</xdr:row>
          <xdr:rowOff>0</xdr:rowOff>
        </xdr:from>
        <xdr:to>
          <xdr:col>14</xdr:col>
          <xdr:colOff>0</xdr:colOff>
          <xdr:row>77</xdr:row>
          <xdr:rowOff>220980</xdr:rowOff>
        </xdr:to>
        <xdr:sp macro="" textlink="">
          <xdr:nvSpPr>
            <xdr:cNvPr id="2543308" name="Check Box 2764" hidden="1">
              <a:extLst>
                <a:ext uri="{63B3BB69-23CF-44E3-9099-C40C66FF867C}">
                  <a14:compatExt spid="_x0000_s2543308"/>
                </a:ext>
                <a:ext uri="{FF2B5EF4-FFF2-40B4-BE49-F238E27FC236}">
                  <a16:creationId xmlns:a16="http://schemas.microsoft.com/office/drawing/2014/main" id="{00000000-0008-0000-0200-0000CC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Easements</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259080</xdr:colOff>
          <xdr:row>77</xdr:row>
          <xdr:rowOff>7620</xdr:rowOff>
        </xdr:from>
        <xdr:to>
          <xdr:col>11</xdr:col>
          <xdr:colOff>114300</xdr:colOff>
          <xdr:row>77</xdr:row>
          <xdr:rowOff>220980</xdr:rowOff>
        </xdr:to>
        <xdr:sp macro="" textlink="">
          <xdr:nvSpPr>
            <xdr:cNvPr id="2543309" name="Check Box 2765" hidden="1">
              <a:extLst>
                <a:ext uri="{63B3BB69-23CF-44E3-9099-C40C66FF867C}">
                  <a14:compatExt spid="_x0000_s2543309"/>
                </a:ext>
                <a:ext uri="{FF2B5EF4-FFF2-40B4-BE49-F238E27FC236}">
                  <a16:creationId xmlns:a16="http://schemas.microsoft.com/office/drawing/2014/main" id="{00000000-0008-0000-0200-0000CD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Water Supply Pipes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220980</xdr:colOff>
          <xdr:row>77</xdr:row>
          <xdr:rowOff>7620</xdr:rowOff>
        </xdr:from>
        <xdr:to>
          <xdr:col>16</xdr:col>
          <xdr:colOff>220980</xdr:colOff>
          <xdr:row>77</xdr:row>
          <xdr:rowOff>220980</xdr:rowOff>
        </xdr:to>
        <xdr:sp macro="" textlink="">
          <xdr:nvSpPr>
            <xdr:cNvPr id="2543310" name="Check Box 2766" hidden="1">
              <a:extLst>
                <a:ext uri="{63B3BB69-23CF-44E3-9099-C40C66FF867C}">
                  <a14:compatExt spid="_x0000_s2543310"/>
                </a:ext>
                <a:ext uri="{FF2B5EF4-FFF2-40B4-BE49-F238E27FC236}">
                  <a16:creationId xmlns:a16="http://schemas.microsoft.com/office/drawing/2014/main" id="{00000000-0008-0000-0200-0000CE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Well(s)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114300</xdr:colOff>
          <xdr:row>17</xdr:row>
          <xdr:rowOff>0</xdr:rowOff>
        </xdr:from>
        <xdr:to>
          <xdr:col>19</xdr:col>
          <xdr:colOff>160020</xdr:colOff>
          <xdr:row>17</xdr:row>
          <xdr:rowOff>220980</xdr:rowOff>
        </xdr:to>
        <xdr:sp macro="" textlink="">
          <xdr:nvSpPr>
            <xdr:cNvPr id="2543331" name="Check Box 2787" hidden="1">
              <a:extLst>
                <a:ext uri="{63B3BB69-23CF-44E3-9099-C40C66FF867C}">
                  <a14:compatExt spid="_x0000_s2543331"/>
                </a:ext>
                <a:ext uri="{FF2B5EF4-FFF2-40B4-BE49-F238E27FC236}">
                  <a16:creationId xmlns:a16="http://schemas.microsoft.com/office/drawing/2014/main" id="{00000000-0008-0000-0200-0000E3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Repair</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304800</xdr:colOff>
          <xdr:row>29</xdr:row>
          <xdr:rowOff>0</xdr:rowOff>
        </xdr:from>
        <xdr:to>
          <xdr:col>12</xdr:col>
          <xdr:colOff>83820</xdr:colOff>
          <xdr:row>29</xdr:row>
          <xdr:rowOff>190500</xdr:rowOff>
        </xdr:to>
        <xdr:sp macro="" textlink="">
          <xdr:nvSpPr>
            <xdr:cNvPr id="2543334" name="Check Box 2790" hidden="1">
              <a:extLst>
                <a:ext uri="{63B3BB69-23CF-44E3-9099-C40C66FF867C}">
                  <a14:compatExt spid="_x0000_s2543334"/>
                </a:ext>
                <a:ext uri="{FF2B5EF4-FFF2-40B4-BE49-F238E27FC236}">
                  <a16:creationId xmlns:a16="http://schemas.microsoft.com/office/drawing/2014/main" id="{00000000-0008-0000-0200-0000E6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Clothes Washing Machine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304800</xdr:colOff>
          <xdr:row>27</xdr:row>
          <xdr:rowOff>0</xdr:rowOff>
        </xdr:from>
        <xdr:to>
          <xdr:col>12</xdr:col>
          <xdr:colOff>114300</xdr:colOff>
          <xdr:row>28</xdr:row>
          <xdr:rowOff>0</xdr:rowOff>
        </xdr:to>
        <xdr:sp macro="" textlink="">
          <xdr:nvSpPr>
            <xdr:cNvPr id="2543335" name="Check Box 2791" hidden="1">
              <a:extLst>
                <a:ext uri="{63B3BB69-23CF-44E3-9099-C40C66FF867C}">
                  <a14:compatExt spid="_x0000_s2543335"/>
                </a:ext>
                <a:ext uri="{FF2B5EF4-FFF2-40B4-BE49-F238E27FC236}">
                  <a16:creationId xmlns:a16="http://schemas.microsoft.com/office/drawing/2014/main" id="{00000000-0008-0000-0200-0000E7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Sewage pump in basement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121920</xdr:colOff>
          <xdr:row>29</xdr:row>
          <xdr:rowOff>0</xdr:rowOff>
        </xdr:from>
        <xdr:to>
          <xdr:col>18</xdr:col>
          <xdr:colOff>30480</xdr:colOff>
          <xdr:row>29</xdr:row>
          <xdr:rowOff>190500</xdr:rowOff>
        </xdr:to>
        <xdr:sp macro="" textlink="">
          <xdr:nvSpPr>
            <xdr:cNvPr id="2543338" name="Check Box 2794" hidden="1">
              <a:extLst>
                <a:ext uri="{63B3BB69-23CF-44E3-9099-C40C66FF867C}">
                  <a14:compatExt spid="_x0000_s2543338"/>
                </a:ext>
                <a:ext uri="{FF2B5EF4-FFF2-40B4-BE49-F238E27FC236}">
                  <a16:creationId xmlns:a16="http://schemas.microsoft.com/office/drawing/2014/main" id="{00000000-0008-0000-0200-0000EA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182880</xdr:colOff>
          <xdr:row>26</xdr:row>
          <xdr:rowOff>0</xdr:rowOff>
        </xdr:from>
        <xdr:to>
          <xdr:col>15</xdr:col>
          <xdr:colOff>182880</xdr:colOff>
          <xdr:row>27</xdr:row>
          <xdr:rowOff>7620</xdr:rowOff>
        </xdr:to>
        <xdr:sp macro="" textlink="">
          <xdr:nvSpPr>
            <xdr:cNvPr id="2543339" name="Check Box 2795" hidden="1">
              <a:extLst>
                <a:ext uri="{63B3BB69-23CF-44E3-9099-C40C66FF867C}">
                  <a14:compatExt spid="_x0000_s2543339"/>
                </a:ext>
                <a:ext uri="{FF2B5EF4-FFF2-40B4-BE49-F238E27FC236}">
                  <a16:creationId xmlns:a16="http://schemas.microsoft.com/office/drawing/2014/main" id="{00000000-0008-0000-0200-0000EB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Dishwasher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259080</xdr:colOff>
          <xdr:row>78</xdr:row>
          <xdr:rowOff>38100</xdr:rowOff>
        </xdr:from>
        <xdr:to>
          <xdr:col>11</xdr:col>
          <xdr:colOff>259080</xdr:colOff>
          <xdr:row>78</xdr:row>
          <xdr:rowOff>198120</xdr:rowOff>
        </xdr:to>
        <xdr:sp macro="" textlink="">
          <xdr:nvSpPr>
            <xdr:cNvPr id="2543349" name="Check Box 2805" hidden="1">
              <a:extLst>
                <a:ext uri="{63B3BB69-23CF-44E3-9099-C40C66FF867C}">
                  <a14:compatExt spid="_x0000_s2543349"/>
                </a:ext>
                <a:ext uri="{FF2B5EF4-FFF2-40B4-BE49-F238E27FC236}">
                  <a16:creationId xmlns:a16="http://schemas.microsoft.com/office/drawing/2014/main" id="{00000000-0008-0000-0200-0000F5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Building(s)</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220980</xdr:colOff>
          <xdr:row>74</xdr:row>
          <xdr:rowOff>45720</xdr:rowOff>
        </xdr:from>
        <xdr:to>
          <xdr:col>9</xdr:col>
          <xdr:colOff>144780</xdr:colOff>
          <xdr:row>76</xdr:row>
          <xdr:rowOff>30480</xdr:rowOff>
        </xdr:to>
        <xdr:sp macro="" textlink="">
          <xdr:nvSpPr>
            <xdr:cNvPr id="2543351" name="Check Box 2807" hidden="1">
              <a:extLst>
                <a:ext uri="{63B3BB69-23CF-44E3-9099-C40C66FF867C}">
                  <a14:compatExt spid="_x0000_s2543351"/>
                </a:ext>
                <a:ext uri="{FF2B5EF4-FFF2-40B4-BE49-F238E27FC236}">
                  <a16:creationId xmlns:a16="http://schemas.microsoft.com/office/drawing/2014/main" id="{00000000-0008-0000-0200-0000F7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Owner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74</xdr:row>
          <xdr:rowOff>45720</xdr:rowOff>
        </xdr:from>
        <xdr:to>
          <xdr:col>14</xdr:col>
          <xdr:colOff>106680</xdr:colOff>
          <xdr:row>76</xdr:row>
          <xdr:rowOff>30480</xdr:rowOff>
        </xdr:to>
        <xdr:sp macro="" textlink="">
          <xdr:nvSpPr>
            <xdr:cNvPr id="2543352" name="Check Box 2808" hidden="1">
              <a:extLst>
                <a:ext uri="{63B3BB69-23CF-44E3-9099-C40C66FF867C}">
                  <a14:compatExt spid="_x0000_s2543352"/>
                </a:ext>
                <a:ext uri="{FF2B5EF4-FFF2-40B4-BE49-F238E27FC236}">
                  <a16:creationId xmlns:a16="http://schemas.microsoft.com/office/drawing/2014/main" id="{00000000-0008-0000-0200-0000F8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County GIS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160020</xdr:colOff>
          <xdr:row>75</xdr:row>
          <xdr:rowOff>0</xdr:rowOff>
        </xdr:from>
        <xdr:to>
          <xdr:col>17</xdr:col>
          <xdr:colOff>152400</xdr:colOff>
          <xdr:row>76</xdr:row>
          <xdr:rowOff>0</xdr:rowOff>
        </xdr:to>
        <xdr:sp macro="" textlink="">
          <xdr:nvSpPr>
            <xdr:cNvPr id="2543359" name="Check Box 2815" hidden="1">
              <a:extLst>
                <a:ext uri="{63B3BB69-23CF-44E3-9099-C40C66FF867C}">
                  <a14:compatExt spid="_x0000_s2543359"/>
                </a:ext>
                <a:ext uri="{FF2B5EF4-FFF2-40B4-BE49-F238E27FC236}">
                  <a16:creationId xmlns:a16="http://schemas.microsoft.com/office/drawing/2014/main" id="{00000000-0008-0000-0200-0000FF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312420</xdr:colOff>
          <xdr:row>17</xdr:row>
          <xdr:rowOff>0</xdr:rowOff>
        </xdr:from>
        <xdr:to>
          <xdr:col>16</xdr:col>
          <xdr:colOff>30480</xdr:colOff>
          <xdr:row>17</xdr:row>
          <xdr:rowOff>220980</xdr:rowOff>
        </xdr:to>
        <xdr:sp macro="" textlink="">
          <xdr:nvSpPr>
            <xdr:cNvPr id="2543364" name="Check Box 2820" hidden="1">
              <a:extLst>
                <a:ext uri="{63B3BB69-23CF-44E3-9099-C40C66FF867C}">
                  <a14:compatExt spid="_x0000_s2543364"/>
                </a:ext>
                <a:ext uri="{FF2B5EF4-FFF2-40B4-BE49-F238E27FC236}">
                  <a16:creationId xmlns:a16="http://schemas.microsoft.com/office/drawing/2014/main" id="{00000000-0008-0000-0200-000004CF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Expansion</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38100</xdr:colOff>
          <xdr:row>50</xdr:row>
          <xdr:rowOff>175260</xdr:rowOff>
        </xdr:from>
        <xdr:to>
          <xdr:col>11</xdr:col>
          <xdr:colOff>198120</xdr:colOff>
          <xdr:row>52</xdr:row>
          <xdr:rowOff>22860</xdr:rowOff>
        </xdr:to>
        <xdr:sp macro="" textlink="">
          <xdr:nvSpPr>
            <xdr:cNvPr id="4140033" name="Check Box 1" hidden="1">
              <a:extLst>
                <a:ext uri="{63B3BB69-23CF-44E3-9099-C40C66FF867C}">
                  <a14:compatExt spid="_x0000_s4140033"/>
                </a:ext>
                <a:ext uri="{FF2B5EF4-FFF2-40B4-BE49-F238E27FC236}">
                  <a16:creationId xmlns:a16="http://schemas.microsoft.com/office/drawing/2014/main" id="{00000000-0008-0000-0B00-0000012C3F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Benchmark</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38100</xdr:colOff>
          <xdr:row>51</xdr:row>
          <xdr:rowOff>160020</xdr:rowOff>
        </xdr:from>
        <xdr:to>
          <xdr:col>11</xdr:col>
          <xdr:colOff>137160</xdr:colOff>
          <xdr:row>53</xdr:row>
          <xdr:rowOff>7620</xdr:rowOff>
        </xdr:to>
        <xdr:sp macro="" textlink="">
          <xdr:nvSpPr>
            <xdr:cNvPr id="4140034" name="Check Box 2" hidden="1">
              <a:extLst>
                <a:ext uri="{63B3BB69-23CF-44E3-9099-C40C66FF867C}">
                  <a14:compatExt spid="_x0000_s4140034"/>
                </a:ext>
                <a:ext uri="{FF2B5EF4-FFF2-40B4-BE49-F238E27FC236}">
                  <a16:creationId xmlns:a16="http://schemas.microsoft.com/office/drawing/2014/main" id="{00000000-0008-0000-0B00-0000022C3F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Borings</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38100</xdr:colOff>
          <xdr:row>52</xdr:row>
          <xdr:rowOff>198120</xdr:rowOff>
        </xdr:from>
        <xdr:to>
          <xdr:col>11</xdr:col>
          <xdr:colOff>106680</xdr:colOff>
          <xdr:row>53</xdr:row>
          <xdr:rowOff>182880</xdr:rowOff>
        </xdr:to>
        <xdr:sp macro="" textlink="">
          <xdr:nvSpPr>
            <xdr:cNvPr id="4140035" name="Check Box 3" hidden="1">
              <a:extLst>
                <a:ext uri="{63B3BB69-23CF-44E3-9099-C40C66FF867C}">
                  <a14:compatExt spid="_x0000_s4140035"/>
                </a:ext>
                <a:ext uri="{FF2B5EF4-FFF2-40B4-BE49-F238E27FC236}">
                  <a16:creationId xmlns:a16="http://schemas.microsoft.com/office/drawing/2014/main" id="{00000000-0008-0000-0B00-0000032C3F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Perc Tests</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38100</xdr:colOff>
          <xdr:row>53</xdr:row>
          <xdr:rowOff>190500</xdr:rowOff>
        </xdr:from>
        <xdr:to>
          <xdr:col>14</xdr:col>
          <xdr:colOff>7620</xdr:colOff>
          <xdr:row>54</xdr:row>
          <xdr:rowOff>182880</xdr:rowOff>
        </xdr:to>
        <xdr:sp macro="" textlink="">
          <xdr:nvSpPr>
            <xdr:cNvPr id="4140036" name="Check Box 4" hidden="1">
              <a:extLst>
                <a:ext uri="{63B3BB69-23CF-44E3-9099-C40C66FF867C}">
                  <a14:compatExt spid="_x0000_s4140036"/>
                </a:ext>
                <a:ext uri="{FF2B5EF4-FFF2-40B4-BE49-F238E27FC236}">
                  <a16:creationId xmlns:a16="http://schemas.microsoft.com/office/drawing/2014/main" id="{00000000-0008-0000-0B00-0000042C3F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Horizontal and Vertical Reference Points</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160020</xdr:colOff>
          <xdr:row>26</xdr:row>
          <xdr:rowOff>68580</xdr:rowOff>
        </xdr:from>
        <xdr:to>
          <xdr:col>12</xdr:col>
          <xdr:colOff>30480</xdr:colOff>
          <xdr:row>28</xdr:row>
          <xdr:rowOff>30480</xdr:rowOff>
        </xdr:to>
        <xdr:sp macro="" textlink="">
          <xdr:nvSpPr>
            <xdr:cNvPr id="4140037" name="Check Box 5" hidden="1">
              <a:extLst>
                <a:ext uri="{63B3BB69-23CF-44E3-9099-C40C66FF867C}">
                  <a14:compatExt spid="_x0000_s4140037"/>
                </a:ext>
                <a:ext uri="{FF2B5EF4-FFF2-40B4-BE49-F238E27FC236}">
                  <a16:creationId xmlns:a16="http://schemas.microsoft.com/office/drawing/2014/main" id="{00000000-0008-0000-0B00-0000052C3F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Indicated north</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83820</xdr:colOff>
          <xdr:row>26</xdr:row>
          <xdr:rowOff>45720</xdr:rowOff>
        </xdr:from>
        <xdr:to>
          <xdr:col>16</xdr:col>
          <xdr:colOff>144780</xdr:colOff>
          <xdr:row>28</xdr:row>
          <xdr:rowOff>30480</xdr:rowOff>
        </xdr:to>
        <xdr:sp macro="" textlink="">
          <xdr:nvSpPr>
            <xdr:cNvPr id="4140038" name="Check Box 6" hidden="1">
              <a:extLst>
                <a:ext uri="{63B3BB69-23CF-44E3-9099-C40C66FF867C}">
                  <a14:compatExt spid="_x0000_s4140038"/>
                </a:ext>
                <a:ext uri="{FF2B5EF4-FFF2-40B4-BE49-F238E27FC236}">
                  <a16:creationId xmlns:a16="http://schemas.microsoft.com/office/drawing/2014/main" id="{00000000-0008-0000-0B00-0000062C3F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Show slope/contours</a:t>
              </a:r>
            </a:p>
          </xdr:txBody>
        </xdr:sp>
        <xdr:clientData/>
      </xdr:twoCellAnchor>
    </mc:Choice>
    <mc:Fallback/>
  </mc:AlternateContent>
  <xdr:twoCellAnchor editAs="oneCell">
    <xdr:from>
      <xdr:col>0</xdr:col>
      <xdr:colOff>19050</xdr:colOff>
      <xdr:row>0</xdr:row>
      <xdr:rowOff>66675</xdr:rowOff>
    </xdr:from>
    <xdr:to>
      <xdr:col>5</xdr:col>
      <xdr:colOff>19050</xdr:colOff>
      <xdr:row>0</xdr:row>
      <xdr:rowOff>615315</xdr:rowOff>
    </xdr:to>
    <xdr:pic>
      <xdr:nvPicPr>
        <xdr:cNvPr id="8" name="Picture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66675"/>
          <a:ext cx="1381125" cy="548640"/>
        </a:xfrm>
        <a:prstGeom prst="rect">
          <a:avLst/>
        </a:prstGeom>
      </xdr:spPr>
    </xdr:pic>
    <xdr:clientData/>
  </xdr:twoCellAnchor>
  <xdr:twoCellAnchor editAs="oneCell">
    <xdr:from>
      <xdr:col>17</xdr:col>
      <xdr:colOff>28575</xdr:colOff>
      <xdr:row>0</xdr:row>
      <xdr:rowOff>66675</xdr:rowOff>
    </xdr:from>
    <xdr:to>
      <xdr:col>22</xdr:col>
      <xdr:colOff>215374</xdr:colOff>
      <xdr:row>0</xdr:row>
      <xdr:rowOff>615315</xdr:rowOff>
    </xdr:to>
    <xdr:pic>
      <xdr:nvPicPr>
        <xdr:cNvPr id="9" name="Picture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191125" y="66675"/>
          <a:ext cx="1786999" cy="54864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14</xdr:col>
          <xdr:colOff>30480</xdr:colOff>
          <xdr:row>52</xdr:row>
          <xdr:rowOff>45720</xdr:rowOff>
        </xdr:from>
        <xdr:to>
          <xdr:col>16</xdr:col>
          <xdr:colOff>0</xdr:colOff>
          <xdr:row>52</xdr:row>
          <xdr:rowOff>228600</xdr:rowOff>
        </xdr:to>
        <xdr:sp macro="" textlink="">
          <xdr:nvSpPr>
            <xdr:cNvPr id="4140039" name="Check Box 7" hidden="1">
              <a:extLst>
                <a:ext uri="{63B3BB69-23CF-44E3-9099-C40C66FF867C}">
                  <a14:compatExt spid="_x0000_s4140039"/>
                </a:ext>
                <a:ext uri="{FF2B5EF4-FFF2-40B4-BE49-F238E27FC236}">
                  <a16:creationId xmlns:a16="http://schemas.microsoft.com/office/drawing/2014/main" id="{00000000-0008-0000-0B00-0000072C3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Other: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30480</xdr:colOff>
          <xdr:row>42</xdr:row>
          <xdr:rowOff>30480</xdr:rowOff>
        </xdr:from>
        <xdr:to>
          <xdr:col>18</xdr:col>
          <xdr:colOff>68580</xdr:colOff>
          <xdr:row>43</xdr:row>
          <xdr:rowOff>68580</xdr:rowOff>
        </xdr:to>
        <xdr:sp macro="" textlink="">
          <xdr:nvSpPr>
            <xdr:cNvPr id="4140040" name="Check Box 8" hidden="1">
              <a:extLst>
                <a:ext uri="{63B3BB69-23CF-44E3-9099-C40C66FF867C}">
                  <a14:compatExt spid="_x0000_s4140040"/>
                </a:ext>
                <a:ext uri="{FF2B5EF4-FFF2-40B4-BE49-F238E27FC236}">
                  <a16:creationId xmlns:a16="http://schemas.microsoft.com/office/drawing/2014/main" id="{00000000-0008-0000-0B00-0000082C3F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Building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30480</xdr:colOff>
          <xdr:row>43</xdr:row>
          <xdr:rowOff>137160</xdr:rowOff>
        </xdr:from>
        <xdr:to>
          <xdr:col>21</xdr:col>
          <xdr:colOff>30480</xdr:colOff>
          <xdr:row>44</xdr:row>
          <xdr:rowOff>137160</xdr:rowOff>
        </xdr:to>
        <xdr:sp macro="" textlink="">
          <xdr:nvSpPr>
            <xdr:cNvPr id="4140041" name="Check Box 9" hidden="1">
              <a:extLst>
                <a:ext uri="{63B3BB69-23CF-44E3-9099-C40C66FF867C}">
                  <a14:compatExt spid="_x0000_s4140041"/>
                </a:ext>
                <a:ext uri="{FF2B5EF4-FFF2-40B4-BE49-F238E27FC236}">
                  <a16:creationId xmlns:a16="http://schemas.microsoft.com/office/drawing/2014/main" id="{00000000-0008-0000-0B00-0000092C3F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All water wells within 100 feet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30480</xdr:colOff>
          <xdr:row>45</xdr:row>
          <xdr:rowOff>0</xdr:rowOff>
        </xdr:from>
        <xdr:to>
          <xdr:col>20</xdr:col>
          <xdr:colOff>114300</xdr:colOff>
          <xdr:row>46</xdr:row>
          <xdr:rowOff>38100</xdr:rowOff>
        </xdr:to>
        <xdr:sp macro="" textlink="">
          <xdr:nvSpPr>
            <xdr:cNvPr id="4140042" name="Check Box 10" hidden="1">
              <a:extLst>
                <a:ext uri="{63B3BB69-23CF-44E3-9099-C40C66FF867C}">
                  <a14:compatExt spid="_x0000_s4140042"/>
                </a:ext>
                <a:ext uri="{FF2B5EF4-FFF2-40B4-BE49-F238E27FC236}">
                  <a16:creationId xmlns:a16="http://schemas.microsoft.com/office/drawing/2014/main" id="{00000000-0008-0000-0B00-00000A2C3F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Pressure Pipe</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30480</xdr:colOff>
          <xdr:row>46</xdr:row>
          <xdr:rowOff>7620</xdr:rowOff>
        </xdr:from>
        <xdr:to>
          <xdr:col>20</xdr:col>
          <xdr:colOff>106680</xdr:colOff>
          <xdr:row>47</xdr:row>
          <xdr:rowOff>83820</xdr:rowOff>
        </xdr:to>
        <xdr:sp macro="" textlink="">
          <xdr:nvSpPr>
            <xdr:cNvPr id="4140043" name="Check Box 11" hidden="1">
              <a:extLst>
                <a:ext uri="{63B3BB69-23CF-44E3-9099-C40C66FF867C}">
                  <a14:compatExt spid="_x0000_s4140043"/>
                </a:ext>
                <a:ext uri="{FF2B5EF4-FFF2-40B4-BE49-F238E27FC236}">
                  <a16:creationId xmlns:a16="http://schemas.microsoft.com/office/drawing/2014/main" id="{00000000-0008-0000-0B00-00000B2C3F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Water Suction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30480</xdr:colOff>
          <xdr:row>47</xdr:row>
          <xdr:rowOff>68580</xdr:rowOff>
        </xdr:from>
        <xdr:to>
          <xdr:col>19</xdr:col>
          <xdr:colOff>152400</xdr:colOff>
          <xdr:row>48</xdr:row>
          <xdr:rowOff>121920</xdr:rowOff>
        </xdr:to>
        <xdr:sp macro="" textlink="">
          <xdr:nvSpPr>
            <xdr:cNvPr id="4140044" name="Check Box 12" hidden="1">
              <a:extLst>
                <a:ext uri="{63B3BB69-23CF-44E3-9099-C40C66FF867C}">
                  <a14:compatExt spid="_x0000_s4140044"/>
                </a:ext>
                <a:ext uri="{FF2B5EF4-FFF2-40B4-BE49-F238E27FC236}">
                  <a16:creationId xmlns:a16="http://schemas.microsoft.com/office/drawing/2014/main" id="{00000000-0008-0000-0B00-00000C2C3F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Streams, Lakes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30480</xdr:colOff>
          <xdr:row>48</xdr:row>
          <xdr:rowOff>121920</xdr:rowOff>
        </xdr:from>
        <xdr:to>
          <xdr:col>19</xdr:col>
          <xdr:colOff>190500</xdr:colOff>
          <xdr:row>50</xdr:row>
          <xdr:rowOff>0</xdr:rowOff>
        </xdr:to>
        <xdr:sp macro="" textlink="">
          <xdr:nvSpPr>
            <xdr:cNvPr id="4140045" name="Check Box 13" hidden="1">
              <a:extLst>
                <a:ext uri="{63B3BB69-23CF-44E3-9099-C40C66FF867C}">
                  <a14:compatExt spid="_x0000_s4140045"/>
                </a:ext>
                <a:ext uri="{FF2B5EF4-FFF2-40B4-BE49-F238E27FC236}">
                  <a16:creationId xmlns:a16="http://schemas.microsoft.com/office/drawing/2014/main" id="{00000000-0008-0000-0B00-00000D2C3F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Floodway and Fringe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30480</xdr:colOff>
          <xdr:row>50</xdr:row>
          <xdr:rowOff>7620</xdr:rowOff>
        </xdr:from>
        <xdr:to>
          <xdr:col>16</xdr:col>
          <xdr:colOff>0</xdr:colOff>
          <xdr:row>51</xdr:row>
          <xdr:rowOff>0</xdr:rowOff>
        </xdr:to>
        <xdr:sp macro="" textlink="">
          <xdr:nvSpPr>
            <xdr:cNvPr id="4140046" name="Check Box 14" hidden="1">
              <a:extLst>
                <a:ext uri="{63B3BB69-23CF-44E3-9099-C40C66FF867C}">
                  <a14:compatExt spid="_x0000_s4140046"/>
                </a:ext>
                <a:ext uri="{FF2B5EF4-FFF2-40B4-BE49-F238E27FC236}">
                  <a16:creationId xmlns:a16="http://schemas.microsoft.com/office/drawing/2014/main" id="{00000000-0008-0000-0B00-00000E2C3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30480</xdr:colOff>
          <xdr:row>51</xdr:row>
          <xdr:rowOff>38100</xdr:rowOff>
        </xdr:from>
        <xdr:to>
          <xdr:col>16</xdr:col>
          <xdr:colOff>0</xdr:colOff>
          <xdr:row>52</xdr:row>
          <xdr:rowOff>0</xdr:rowOff>
        </xdr:to>
        <xdr:sp macro="" textlink="">
          <xdr:nvSpPr>
            <xdr:cNvPr id="4140047" name="Check Box 15" hidden="1">
              <a:extLst>
                <a:ext uri="{63B3BB69-23CF-44E3-9099-C40C66FF867C}">
                  <a14:compatExt spid="_x0000_s4140047"/>
                </a:ext>
                <a:ext uri="{FF2B5EF4-FFF2-40B4-BE49-F238E27FC236}">
                  <a16:creationId xmlns:a16="http://schemas.microsoft.com/office/drawing/2014/main" id="{00000000-0008-0000-0B00-00000F2C3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Other: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42</xdr:row>
          <xdr:rowOff>45720</xdr:rowOff>
        </xdr:from>
        <xdr:to>
          <xdr:col>10</xdr:col>
          <xdr:colOff>30480</xdr:colOff>
          <xdr:row>43</xdr:row>
          <xdr:rowOff>121920</xdr:rowOff>
        </xdr:to>
        <xdr:sp macro="" textlink="">
          <xdr:nvSpPr>
            <xdr:cNvPr id="4140048" name="Check Box 16" hidden="1">
              <a:extLst>
                <a:ext uri="{63B3BB69-23CF-44E3-9099-C40C66FF867C}">
                  <a14:compatExt spid="_x0000_s4140048"/>
                </a:ext>
                <a:ext uri="{FF2B5EF4-FFF2-40B4-BE49-F238E27FC236}">
                  <a16:creationId xmlns:a16="http://schemas.microsoft.com/office/drawing/2014/main" id="{00000000-0008-0000-0B00-0000102C3F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Phone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43</xdr:row>
          <xdr:rowOff>106680</xdr:rowOff>
        </xdr:from>
        <xdr:to>
          <xdr:col>11</xdr:col>
          <xdr:colOff>182880</xdr:colOff>
          <xdr:row>44</xdr:row>
          <xdr:rowOff>137160</xdr:rowOff>
        </xdr:to>
        <xdr:sp macro="" textlink="">
          <xdr:nvSpPr>
            <xdr:cNvPr id="4140049" name="Check Box 17" hidden="1">
              <a:extLst>
                <a:ext uri="{63B3BB69-23CF-44E3-9099-C40C66FF867C}">
                  <a14:compatExt spid="_x0000_s4140049"/>
                </a:ext>
                <a:ext uri="{FF2B5EF4-FFF2-40B4-BE49-F238E27FC236}">
                  <a16:creationId xmlns:a16="http://schemas.microsoft.com/office/drawing/2014/main" id="{00000000-0008-0000-0B00-0000112C3F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Electric</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44</xdr:row>
          <xdr:rowOff>160020</xdr:rowOff>
        </xdr:from>
        <xdr:to>
          <xdr:col>9</xdr:col>
          <xdr:colOff>266700</xdr:colOff>
          <xdr:row>46</xdr:row>
          <xdr:rowOff>22860</xdr:rowOff>
        </xdr:to>
        <xdr:sp macro="" textlink="">
          <xdr:nvSpPr>
            <xdr:cNvPr id="4140050" name="Check Box 18" hidden="1">
              <a:extLst>
                <a:ext uri="{63B3BB69-23CF-44E3-9099-C40C66FF867C}">
                  <a14:compatExt spid="_x0000_s4140050"/>
                </a:ext>
                <a:ext uri="{FF2B5EF4-FFF2-40B4-BE49-F238E27FC236}">
                  <a16:creationId xmlns:a16="http://schemas.microsoft.com/office/drawing/2014/main" id="{00000000-0008-0000-0B00-0000122C3F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Gas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46</xdr:row>
          <xdr:rowOff>30480</xdr:rowOff>
        </xdr:from>
        <xdr:to>
          <xdr:col>8</xdr:col>
          <xdr:colOff>251460</xdr:colOff>
          <xdr:row>47</xdr:row>
          <xdr:rowOff>22860</xdr:rowOff>
        </xdr:to>
        <xdr:sp macro="" textlink="">
          <xdr:nvSpPr>
            <xdr:cNvPr id="4140051" name="Check Box 19" hidden="1">
              <a:extLst>
                <a:ext uri="{63B3BB69-23CF-44E3-9099-C40C66FF867C}">
                  <a14:compatExt spid="_x0000_s4140051"/>
                </a:ext>
                <a:ext uri="{FF2B5EF4-FFF2-40B4-BE49-F238E27FC236}">
                  <a16:creationId xmlns:a16="http://schemas.microsoft.com/office/drawing/2014/main" id="{00000000-0008-0000-0B00-0000132C3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47</xdr:row>
          <xdr:rowOff>60960</xdr:rowOff>
        </xdr:from>
        <xdr:to>
          <xdr:col>8</xdr:col>
          <xdr:colOff>251460</xdr:colOff>
          <xdr:row>48</xdr:row>
          <xdr:rowOff>45720</xdr:rowOff>
        </xdr:to>
        <xdr:sp macro="" textlink="">
          <xdr:nvSpPr>
            <xdr:cNvPr id="4140052" name="Check Box 20" hidden="1">
              <a:extLst>
                <a:ext uri="{63B3BB69-23CF-44E3-9099-C40C66FF867C}">
                  <a14:compatExt spid="_x0000_s4140052"/>
                </a:ext>
                <a:ext uri="{FF2B5EF4-FFF2-40B4-BE49-F238E27FC236}">
                  <a16:creationId xmlns:a16="http://schemas.microsoft.com/office/drawing/2014/main" id="{00000000-0008-0000-0B00-0000142C3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Other: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42</xdr:row>
          <xdr:rowOff>0</xdr:rowOff>
        </xdr:from>
        <xdr:to>
          <xdr:col>7</xdr:col>
          <xdr:colOff>0</xdr:colOff>
          <xdr:row>43</xdr:row>
          <xdr:rowOff>30480</xdr:rowOff>
        </xdr:to>
        <xdr:sp macro="" textlink="">
          <xdr:nvSpPr>
            <xdr:cNvPr id="4140053" name="Check Box 21" hidden="1">
              <a:extLst>
                <a:ext uri="{63B3BB69-23CF-44E3-9099-C40C66FF867C}">
                  <a14:compatExt spid="_x0000_s4140053"/>
                </a:ext>
                <a:ext uri="{FF2B5EF4-FFF2-40B4-BE49-F238E27FC236}">
                  <a16:creationId xmlns:a16="http://schemas.microsoft.com/office/drawing/2014/main" id="{00000000-0008-0000-0B00-0000152C3F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Lot Dimensions/Property Lines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43</xdr:row>
          <xdr:rowOff>68580</xdr:rowOff>
        </xdr:from>
        <xdr:to>
          <xdr:col>7</xdr:col>
          <xdr:colOff>0</xdr:colOff>
          <xdr:row>44</xdr:row>
          <xdr:rowOff>83820</xdr:rowOff>
        </xdr:to>
        <xdr:sp macro="" textlink="">
          <xdr:nvSpPr>
            <xdr:cNvPr id="4140054" name="Check Box 22" hidden="1">
              <a:extLst>
                <a:ext uri="{63B3BB69-23CF-44E3-9099-C40C66FF867C}">
                  <a14:compatExt spid="_x0000_s4140054"/>
                </a:ext>
                <a:ext uri="{FF2B5EF4-FFF2-40B4-BE49-F238E27FC236}">
                  <a16:creationId xmlns:a16="http://schemas.microsoft.com/office/drawing/2014/main" id="{00000000-0008-0000-0B00-0000162C3F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Dwellings and Other Improvements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44</xdr:row>
          <xdr:rowOff>114300</xdr:rowOff>
        </xdr:from>
        <xdr:to>
          <xdr:col>7</xdr:col>
          <xdr:colOff>0</xdr:colOff>
          <xdr:row>45</xdr:row>
          <xdr:rowOff>144780</xdr:rowOff>
        </xdr:to>
        <xdr:sp macro="" textlink="">
          <xdr:nvSpPr>
            <xdr:cNvPr id="4140055" name="Check Box 23" hidden="1">
              <a:extLst>
                <a:ext uri="{63B3BB69-23CF-44E3-9099-C40C66FF867C}">
                  <a14:compatExt spid="_x0000_s4140055"/>
                </a:ext>
                <a:ext uri="{FF2B5EF4-FFF2-40B4-BE49-F238E27FC236}">
                  <a16:creationId xmlns:a16="http://schemas.microsoft.com/office/drawing/2014/main" id="{00000000-0008-0000-0B00-0000172C3F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Existing or Proposed System(s)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45</xdr:row>
          <xdr:rowOff>182880</xdr:rowOff>
        </xdr:from>
        <xdr:to>
          <xdr:col>7</xdr:col>
          <xdr:colOff>0</xdr:colOff>
          <xdr:row>47</xdr:row>
          <xdr:rowOff>7620</xdr:rowOff>
        </xdr:to>
        <xdr:sp macro="" textlink="">
          <xdr:nvSpPr>
            <xdr:cNvPr id="4140056" name="Check Box 24" hidden="1">
              <a:extLst>
                <a:ext uri="{63B3BB69-23CF-44E3-9099-C40C66FF867C}">
                  <a14:compatExt spid="_x0000_s4140056"/>
                </a:ext>
                <a:ext uri="{FF2B5EF4-FFF2-40B4-BE49-F238E27FC236}">
                  <a16:creationId xmlns:a16="http://schemas.microsoft.com/office/drawing/2014/main" id="{00000000-0008-0000-0B00-0000182C3F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Replacement Area</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47</xdr:row>
          <xdr:rowOff>38100</xdr:rowOff>
        </xdr:from>
        <xdr:to>
          <xdr:col>7</xdr:col>
          <xdr:colOff>0</xdr:colOff>
          <xdr:row>48</xdr:row>
          <xdr:rowOff>68580</xdr:rowOff>
        </xdr:to>
        <xdr:sp macro="" textlink="">
          <xdr:nvSpPr>
            <xdr:cNvPr id="4140057" name="Check Box 25" hidden="1">
              <a:extLst>
                <a:ext uri="{63B3BB69-23CF-44E3-9099-C40C66FF867C}">
                  <a14:compatExt spid="_x0000_s4140057"/>
                </a:ext>
                <a:ext uri="{FF2B5EF4-FFF2-40B4-BE49-F238E27FC236}">
                  <a16:creationId xmlns:a16="http://schemas.microsoft.com/office/drawing/2014/main" id="{00000000-0008-0000-0B00-0000192C3F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Unsuitable Area(s)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48</xdr:row>
          <xdr:rowOff>106680</xdr:rowOff>
        </xdr:from>
        <xdr:to>
          <xdr:col>7</xdr:col>
          <xdr:colOff>0</xdr:colOff>
          <xdr:row>49</xdr:row>
          <xdr:rowOff>121920</xdr:rowOff>
        </xdr:to>
        <xdr:sp macro="" textlink="">
          <xdr:nvSpPr>
            <xdr:cNvPr id="4140058" name="Check Box 26" hidden="1">
              <a:extLst>
                <a:ext uri="{63B3BB69-23CF-44E3-9099-C40C66FF867C}">
                  <a14:compatExt spid="_x0000_s4140058"/>
                </a:ext>
                <a:ext uri="{FF2B5EF4-FFF2-40B4-BE49-F238E27FC236}">
                  <a16:creationId xmlns:a16="http://schemas.microsoft.com/office/drawing/2014/main" id="{00000000-0008-0000-0B00-00001A2C3F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Public Water Supply Wells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49</xdr:row>
          <xdr:rowOff>152400</xdr:rowOff>
        </xdr:from>
        <xdr:to>
          <xdr:col>7</xdr:col>
          <xdr:colOff>0</xdr:colOff>
          <xdr:row>50</xdr:row>
          <xdr:rowOff>182880</xdr:rowOff>
        </xdr:to>
        <xdr:sp macro="" textlink="">
          <xdr:nvSpPr>
            <xdr:cNvPr id="4140059" name="Check Box 27" hidden="1">
              <a:extLst>
                <a:ext uri="{63B3BB69-23CF-44E3-9099-C40C66FF867C}">
                  <a14:compatExt spid="_x0000_s4140059"/>
                </a:ext>
                <a:ext uri="{FF2B5EF4-FFF2-40B4-BE49-F238E27FC236}">
                  <a16:creationId xmlns:a16="http://schemas.microsoft.com/office/drawing/2014/main" id="{00000000-0008-0000-0B00-00001B2C3F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Pumping Access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50</xdr:row>
          <xdr:rowOff>152400</xdr:rowOff>
        </xdr:from>
        <xdr:to>
          <xdr:col>7</xdr:col>
          <xdr:colOff>0</xdr:colOff>
          <xdr:row>52</xdr:row>
          <xdr:rowOff>7620</xdr:rowOff>
        </xdr:to>
        <xdr:sp macro="" textlink="">
          <xdr:nvSpPr>
            <xdr:cNvPr id="4140060" name="Check Box 28" hidden="1">
              <a:extLst>
                <a:ext uri="{63B3BB69-23CF-44E3-9099-C40C66FF867C}">
                  <a14:compatExt spid="_x0000_s4140060"/>
                </a:ext>
                <a:ext uri="{FF2B5EF4-FFF2-40B4-BE49-F238E27FC236}">
                  <a16:creationId xmlns:a16="http://schemas.microsoft.com/office/drawing/2014/main" id="{00000000-0008-0000-0B00-00001C2C3F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Inner Wellhead Zone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52</xdr:row>
          <xdr:rowOff>30480</xdr:rowOff>
        </xdr:from>
        <xdr:to>
          <xdr:col>1</xdr:col>
          <xdr:colOff>251460</xdr:colOff>
          <xdr:row>52</xdr:row>
          <xdr:rowOff>213360</xdr:rowOff>
        </xdr:to>
        <xdr:sp macro="" textlink="">
          <xdr:nvSpPr>
            <xdr:cNvPr id="4140061" name="Check Box 29" hidden="1">
              <a:extLst>
                <a:ext uri="{63B3BB69-23CF-44E3-9099-C40C66FF867C}">
                  <a14:compatExt spid="_x0000_s4140061"/>
                </a:ext>
                <a:ext uri="{FF2B5EF4-FFF2-40B4-BE49-F238E27FC236}">
                  <a16:creationId xmlns:a16="http://schemas.microsoft.com/office/drawing/2014/main" id="{00000000-0008-0000-0B00-00001D2C3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53</xdr:row>
          <xdr:rowOff>30480</xdr:rowOff>
        </xdr:from>
        <xdr:to>
          <xdr:col>1</xdr:col>
          <xdr:colOff>251460</xdr:colOff>
          <xdr:row>54</xdr:row>
          <xdr:rowOff>22860</xdr:rowOff>
        </xdr:to>
        <xdr:sp macro="" textlink="">
          <xdr:nvSpPr>
            <xdr:cNvPr id="4140062" name="Check Box 30" hidden="1">
              <a:extLst>
                <a:ext uri="{63B3BB69-23CF-44E3-9099-C40C66FF867C}">
                  <a14:compatExt spid="_x0000_s4140062"/>
                </a:ext>
                <a:ext uri="{FF2B5EF4-FFF2-40B4-BE49-F238E27FC236}">
                  <a16:creationId xmlns:a16="http://schemas.microsoft.com/office/drawing/2014/main" id="{00000000-0008-0000-0B00-00001E2C3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Other:</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160020</xdr:colOff>
          <xdr:row>26</xdr:row>
          <xdr:rowOff>68580</xdr:rowOff>
        </xdr:from>
        <xdr:to>
          <xdr:col>13</xdr:col>
          <xdr:colOff>30480</xdr:colOff>
          <xdr:row>29</xdr:row>
          <xdr:rowOff>30480</xdr:rowOff>
        </xdr:to>
        <xdr:sp macro="" textlink="">
          <xdr:nvSpPr>
            <xdr:cNvPr id="2162836" name="Check Box 1172" hidden="1">
              <a:extLst>
                <a:ext uri="{63B3BB69-23CF-44E3-9099-C40C66FF867C}">
                  <a14:compatExt spid="_x0000_s2162836"/>
                </a:ext>
                <a:ext uri="{FF2B5EF4-FFF2-40B4-BE49-F238E27FC236}">
                  <a16:creationId xmlns:a16="http://schemas.microsoft.com/office/drawing/2014/main" id="{00000000-0008-0000-0C00-000094002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Indicated north</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83820</xdr:colOff>
          <xdr:row>26</xdr:row>
          <xdr:rowOff>45720</xdr:rowOff>
        </xdr:from>
        <xdr:to>
          <xdr:col>17</xdr:col>
          <xdr:colOff>144780</xdr:colOff>
          <xdr:row>29</xdr:row>
          <xdr:rowOff>30480</xdr:rowOff>
        </xdr:to>
        <xdr:sp macro="" textlink="">
          <xdr:nvSpPr>
            <xdr:cNvPr id="2162837" name="Check Box 1173" hidden="1">
              <a:extLst>
                <a:ext uri="{63B3BB69-23CF-44E3-9099-C40C66FF867C}">
                  <a14:compatExt spid="_x0000_s2162837"/>
                </a:ext>
                <a:ext uri="{FF2B5EF4-FFF2-40B4-BE49-F238E27FC236}">
                  <a16:creationId xmlns:a16="http://schemas.microsoft.com/office/drawing/2014/main" id="{00000000-0008-0000-0C00-000095002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Show slope/contours</a:t>
              </a:r>
            </a:p>
          </xdr:txBody>
        </xdr:sp>
        <xdr:clientData/>
      </xdr:twoCellAnchor>
    </mc:Choice>
    <mc:Fallback/>
  </mc:AlternateContent>
  <xdr:twoCellAnchor editAs="oneCell">
    <xdr:from>
      <xdr:col>0</xdr:col>
      <xdr:colOff>115956</xdr:colOff>
      <xdr:row>0</xdr:row>
      <xdr:rowOff>124240</xdr:rowOff>
    </xdr:from>
    <xdr:to>
      <xdr:col>5</xdr:col>
      <xdr:colOff>130451</xdr:colOff>
      <xdr:row>0</xdr:row>
      <xdr:rowOff>672880</xdr:rowOff>
    </xdr:to>
    <xdr:pic>
      <xdr:nvPicPr>
        <xdr:cNvPr id="28" name="Picture 27">
          <a:extLst>
            <a:ext uri="{FF2B5EF4-FFF2-40B4-BE49-F238E27FC236}">
              <a16:creationId xmlns:a16="http://schemas.microsoft.com/office/drawing/2014/main" id="{00000000-0008-0000-0C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5956" y="124240"/>
          <a:ext cx="1381125" cy="548640"/>
        </a:xfrm>
        <a:prstGeom prst="rect">
          <a:avLst/>
        </a:prstGeom>
      </xdr:spPr>
    </xdr:pic>
    <xdr:clientData/>
  </xdr:twoCellAnchor>
  <xdr:twoCellAnchor editAs="oneCell">
    <xdr:from>
      <xdr:col>16</xdr:col>
      <xdr:colOff>207066</xdr:colOff>
      <xdr:row>0</xdr:row>
      <xdr:rowOff>24848</xdr:rowOff>
    </xdr:from>
    <xdr:to>
      <xdr:col>23</xdr:col>
      <xdr:colOff>80782</xdr:colOff>
      <xdr:row>0</xdr:row>
      <xdr:rowOff>573488</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80283" y="24848"/>
          <a:ext cx="1786999" cy="548640"/>
        </a:xfrm>
        <a:prstGeom prst="rect">
          <a:avLst/>
        </a:prstGeom>
      </xdr:spPr>
    </xdr:pic>
    <xdr:clientData/>
  </xdr:twoCellAnchor>
  <xdr:twoCellAnchor editAs="oneCell">
    <xdr:from>
      <xdr:col>0</xdr:col>
      <xdr:colOff>38100</xdr:colOff>
      <xdr:row>33</xdr:row>
      <xdr:rowOff>12700</xdr:rowOff>
    </xdr:from>
    <xdr:to>
      <xdr:col>7</xdr:col>
      <xdr:colOff>114300</xdr:colOff>
      <xdr:row>34</xdr:row>
      <xdr:rowOff>38100</xdr:rowOff>
    </xdr:to>
    <xdr:sp macro="" textlink="">
      <xdr:nvSpPr>
        <xdr:cNvPr id="2162863" name="CheckBox1" hidden="1">
          <a:extLst>
            <a:ext uri="{63B3BB69-23CF-44E3-9099-C40C66FF867C}">
              <a14:compatExt xmlns:a14="http://schemas.microsoft.com/office/drawing/2010/main" spid="_x0000_s2162863"/>
            </a:ext>
            <a:ext uri="{FF2B5EF4-FFF2-40B4-BE49-F238E27FC236}">
              <a16:creationId xmlns:a16="http://schemas.microsoft.com/office/drawing/2014/main" id="{00000000-0008-0000-0C00-0000AF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25400</xdr:colOff>
      <xdr:row>35</xdr:row>
      <xdr:rowOff>12700</xdr:rowOff>
    </xdr:from>
    <xdr:to>
      <xdr:col>16</xdr:col>
      <xdr:colOff>101600</xdr:colOff>
      <xdr:row>36</xdr:row>
      <xdr:rowOff>38100</xdr:rowOff>
    </xdr:to>
    <xdr:sp macro="" textlink="">
      <xdr:nvSpPr>
        <xdr:cNvPr id="2162864" name="CheckBox2" hidden="1">
          <a:extLst>
            <a:ext uri="{63B3BB69-23CF-44E3-9099-C40C66FF867C}">
              <a14:compatExt xmlns:a14="http://schemas.microsoft.com/office/drawing/2010/main" spid="_x0000_s2162864"/>
            </a:ext>
            <a:ext uri="{FF2B5EF4-FFF2-40B4-BE49-F238E27FC236}">
              <a16:creationId xmlns:a16="http://schemas.microsoft.com/office/drawing/2014/main" id="{00000000-0008-0000-0C00-0000B0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12700</xdr:colOff>
      <xdr:row>33</xdr:row>
      <xdr:rowOff>0</xdr:rowOff>
    </xdr:from>
    <xdr:to>
      <xdr:col>16</xdr:col>
      <xdr:colOff>88900</xdr:colOff>
      <xdr:row>34</xdr:row>
      <xdr:rowOff>25400</xdr:rowOff>
    </xdr:to>
    <xdr:sp macro="" textlink="">
      <xdr:nvSpPr>
        <xdr:cNvPr id="2162865" name="CheckBox3" hidden="1">
          <a:extLst>
            <a:ext uri="{63B3BB69-23CF-44E3-9099-C40C66FF867C}">
              <a14:compatExt xmlns:a14="http://schemas.microsoft.com/office/drawing/2010/main" spid="_x0000_s2162865"/>
            </a:ext>
            <a:ext uri="{FF2B5EF4-FFF2-40B4-BE49-F238E27FC236}">
              <a16:creationId xmlns:a16="http://schemas.microsoft.com/office/drawing/2014/main" id="{00000000-0008-0000-0C00-0000B1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38100</xdr:colOff>
      <xdr:row>34</xdr:row>
      <xdr:rowOff>12700</xdr:rowOff>
    </xdr:from>
    <xdr:to>
      <xdr:col>8</xdr:col>
      <xdr:colOff>101600</xdr:colOff>
      <xdr:row>35</xdr:row>
      <xdr:rowOff>38100</xdr:rowOff>
    </xdr:to>
    <xdr:sp macro="" textlink="">
      <xdr:nvSpPr>
        <xdr:cNvPr id="2162866" name="CheckBox4" hidden="1">
          <a:extLst>
            <a:ext uri="{63B3BB69-23CF-44E3-9099-C40C66FF867C}">
              <a14:compatExt xmlns:a14="http://schemas.microsoft.com/office/drawing/2010/main" spid="_x0000_s2162866"/>
            </a:ext>
            <a:ext uri="{FF2B5EF4-FFF2-40B4-BE49-F238E27FC236}">
              <a16:creationId xmlns:a16="http://schemas.microsoft.com/office/drawing/2014/main" id="{00000000-0008-0000-0C00-0000B2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38100</xdr:colOff>
      <xdr:row>35</xdr:row>
      <xdr:rowOff>12700</xdr:rowOff>
    </xdr:from>
    <xdr:to>
      <xdr:col>7</xdr:col>
      <xdr:colOff>114300</xdr:colOff>
      <xdr:row>36</xdr:row>
      <xdr:rowOff>38100</xdr:rowOff>
    </xdr:to>
    <xdr:sp macro="" textlink="">
      <xdr:nvSpPr>
        <xdr:cNvPr id="2162867" name="CheckBox5" hidden="1">
          <a:extLst>
            <a:ext uri="{63B3BB69-23CF-44E3-9099-C40C66FF867C}">
              <a14:compatExt xmlns:a14="http://schemas.microsoft.com/office/drawing/2010/main" spid="_x0000_s2162867"/>
            </a:ext>
            <a:ext uri="{FF2B5EF4-FFF2-40B4-BE49-F238E27FC236}">
              <a16:creationId xmlns:a16="http://schemas.microsoft.com/office/drawing/2014/main" id="{00000000-0008-0000-0C00-0000B3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38100</xdr:colOff>
      <xdr:row>36</xdr:row>
      <xdr:rowOff>12700</xdr:rowOff>
    </xdr:from>
    <xdr:to>
      <xdr:col>7</xdr:col>
      <xdr:colOff>114300</xdr:colOff>
      <xdr:row>37</xdr:row>
      <xdr:rowOff>38100</xdr:rowOff>
    </xdr:to>
    <xdr:sp macro="" textlink="">
      <xdr:nvSpPr>
        <xdr:cNvPr id="2162868" name="CheckBox6" hidden="1">
          <a:extLst>
            <a:ext uri="{63B3BB69-23CF-44E3-9099-C40C66FF867C}">
              <a14:compatExt xmlns:a14="http://schemas.microsoft.com/office/drawing/2010/main" spid="_x0000_s2162868"/>
            </a:ext>
            <a:ext uri="{FF2B5EF4-FFF2-40B4-BE49-F238E27FC236}">
              <a16:creationId xmlns:a16="http://schemas.microsoft.com/office/drawing/2014/main" id="{00000000-0008-0000-0C00-0000B4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38100</xdr:colOff>
      <xdr:row>37</xdr:row>
      <xdr:rowOff>12700</xdr:rowOff>
    </xdr:from>
    <xdr:to>
      <xdr:col>7</xdr:col>
      <xdr:colOff>114300</xdr:colOff>
      <xdr:row>38</xdr:row>
      <xdr:rowOff>38100</xdr:rowOff>
    </xdr:to>
    <xdr:sp macro="" textlink="">
      <xdr:nvSpPr>
        <xdr:cNvPr id="2162869" name="CheckBox7" hidden="1">
          <a:extLst>
            <a:ext uri="{63B3BB69-23CF-44E3-9099-C40C66FF867C}">
              <a14:compatExt xmlns:a14="http://schemas.microsoft.com/office/drawing/2010/main" spid="_x0000_s2162869"/>
            </a:ext>
            <a:ext uri="{FF2B5EF4-FFF2-40B4-BE49-F238E27FC236}">
              <a16:creationId xmlns:a16="http://schemas.microsoft.com/office/drawing/2014/main" id="{00000000-0008-0000-0C00-0000B5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38100</xdr:colOff>
      <xdr:row>38</xdr:row>
      <xdr:rowOff>12700</xdr:rowOff>
    </xdr:from>
    <xdr:to>
      <xdr:col>7</xdr:col>
      <xdr:colOff>114300</xdr:colOff>
      <xdr:row>39</xdr:row>
      <xdr:rowOff>38100</xdr:rowOff>
    </xdr:to>
    <xdr:sp macro="" textlink="">
      <xdr:nvSpPr>
        <xdr:cNvPr id="2162870" name="CheckBox8" hidden="1">
          <a:extLst>
            <a:ext uri="{63B3BB69-23CF-44E3-9099-C40C66FF867C}">
              <a14:compatExt xmlns:a14="http://schemas.microsoft.com/office/drawing/2010/main" spid="_x0000_s2162870"/>
            </a:ext>
            <a:ext uri="{FF2B5EF4-FFF2-40B4-BE49-F238E27FC236}">
              <a16:creationId xmlns:a16="http://schemas.microsoft.com/office/drawing/2014/main" id="{00000000-0008-0000-0C00-0000B6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38100</xdr:colOff>
      <xdr:row>39</xdr:row>
      <xdr:rowOff>12700</xdr:rowOff>
    </xdr:from>
    <xdr:to>
      <xdr:col>7</xdr:col>
      <xdr:colOff>114300</xdr:colOff>
      <xdr:row>40</xdr:row>
      <xdr:rowOff>38100</xdr:rowOff>
    </xdr:to>
    <xdr:sp macro="" textlink="">
      <xdr:nvSpPr>
        <xdr:cNvPr id="2162871" name="CheckBox9" hidden="1">
          <a:extLst>
            <a:ext uri="{63B3BB69-23CF-44E3-9099-C40C66FF867C}">
              <a14:compatExt xmlns:a14="http://schemas.microsoft.com/office/drawing/2010/main" spid="_x0000_s2162871"/>
            </a:ext>
            <a:ext uri="{FF2B5EF4-FFF2-40B4-BE49-F238E27FC236}">
              <a16:creationId xmlns:a16="http://schemas.microsoft.com/office/drawing/2014/main" id="{00000000-0008-0000-0C00-0000B7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38100</xdr:colOff>
      <xdr:row>40</xdr:row>
      <xdr:rowOff>12700</xdr:rowOff>
    </xdr:from>
    <xdr:to>
      <xdr:col>7</xdr:col>
      <xdr:colOff>114300</xdr:colOff>
      <xdr:row>41</xdr:row>
      <xdr:rowOff>38100</xdr:rowOff>
    </xdr:to>
    <xdr:sp macro="" textlink="">
      <xdr:nvSpPr>
        <xdr:cNvPr id="2162872" name="CheckBox10" hidden="1">
          <a:extLst>
            <a:ext uri="{63B3BB69-23CF-44E3-9099-C40C66FF867C}">
              <a14:compatExt xmlns:a14="http://schemas.microsoft.com/office/drawing/2010/main" spid="_x0000_s2162872"/>
            </a:ext>
            <a:ext uri="{FF2B5EF4-FFF2-40B4-BE49-F238E27FC236}">
              <a16:creationId xmlns:a16="http://schemas.microsoft.com/office/drawing/2014/main" id="{00000000-0008-0000-0C00-0000B8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25400</xdr:colOff>
      <xdr:row>34</xdr:row>
      <xdr:rowOff>25400</xdr:rowOff>
    </xdr:from>
    <xdr:to>
      <xdr:col>16</xdr:col>
      <xdr:colOff>101600</xdr:colOff>
      <xdr:row>35</xdr:row>
      <xdr:rowOff>63500</xdr:rowOff>
    </xdr:to>
    <xdr:sp macro="" textlink="">
      <xdr:nvSpPr>
        <xdr:cNvPr id="2162873" name="CheckBox11" hidden="1">
          <a:extLst>
            <a:ext uri="{63B3BB69-23CF-44E3-9099-C40C66FF867C}">
              <a14:compatExt xmlns:a14="http://schemas.microsoft.com/office/drawing/2010/main" spid="_x0000_s2162873"/>
            </a:ext>
            <a:ext uri="{FF2B5EF4-FFF2-40B4-BE49-F238E27FC236}">
              <a16:creationId xmlns:a16="http://schemas.microsoft.com/office/drawing/2014/main" id="{00000000-0008-0000-0C00-0000B9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38100</xdr:colOff>
      <xdr:row>38</xdr:row>
      <xdr:rowOff>12700</xdr:rowOff>
    </xdr:from>
    <xdr:to>
      <xdr:col>15</xdr:col>
      <xdr:colOff>114300</xdr:colOff>
      <xdr:row>39</xdr:row>
      <xdr:rowOff>38100</xdr:rowOff>
    </xdr:to>
    <xdr:sp macro="" textlink="">
      <xdr:nvSpPr>
        <xdr:cNvPr id="2162874" name="CheckBox12" hidden="1">
          <a:extLst>
            <a:ext uri="{63B3BB69-23CF-44E3-9099-C40C66FF867C}">
              <a14:compatExt xmlns:a14="http://schemas.microsoft.com/office/drawing/2010/main" spid="_x0000_s2162874"/>
            </a:ext>
            <a:ext uri="{FF2B5EF4-FFF2-40B4-BE49-F238E27FC236}">
              <a16:creationId xmlns:a16="http://schemas.microsoft.com/office/drawing/2014/main" id="{00000000-0008-0000-0C00-0000BA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38100</xdr:colOff>
      <xdr:row>39</xdr:row>
      <xdr:rowOff>12700</xdr:rowOff>
    </xdr:from>
    <xdr:to>
      <xdr:col>15</xdr:col>
      <xdr:colOff>114300</xdr:colOff>
      <xdr:row>40</xdr:row>
      <xdr:rowOff>38100</xdr:rowOff>
    </xdr:to>
    <xdr:sp macro="" textlink="">
      <xdr:nvSpPr>
        <xdr:cNvPr id="2162875" name="CheckBox13" hidden="1">
          <a:extLst>
            <a:ext uri="{63B3BB69-23CF-44E3-9099-C40C66FF867C}">
              <a14:compatExt xmlns:a14="http://schemas.microsoft.com/office/drawing/2010/main" spid="_x0000_s2162875"/>
            </a:ext>
            <a:ext uri="{FF2B5EF4-FFF2-40B4-BE49-F238E27FC236}">
              <a16:creationId xmlns:a16="http://schemas.microsoft.com/office/drawing/2014/main" id="{00000000-0008-0000-0C00-0000BB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38100</xdr:colOff>
      <xdr:row>40</xdr:row>
      <xdr:rowOff>12700</xdr:rowOff>
    </xdr:from>
    <xdr:to>
      <xdr:col>15</xdr:col>
      <xdr:colOff>114300</xdr:colOff>
      <xdr:row>41</xdr:row>
      <xdr:rowOff>38100</xdr:rowOff>
    </xdr:to>
    <xdr:sp macro="" textlink="">
      <xdr:nvSpPr>
        <xdr:cNvPr id="2162876" name="CheckBox14" hidden="1">
          <a:extLst>
            <a:ext uri="{63B3BB69-23CF-44E3-9099-C40C66FF867C}">
              <a14:compatExt xmlns:a14="http://schemas.microsoft.com/office/drawing/2010/main" spid="_x0000_s2162876"/>
            </a:ext>
            <a:ext uri="{FF2B5EF4-FFF2-40B4-BE49-F238E27FC236}">
              <a16:creationId xmlns:a16="http://schemas.microsoft.com/office/drawing/2014/main" id="{00000000-0008-0000-0C00-0000BC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38100</xdr:colOff>
      <xdr:row>41</xdr:row>
      <xdr:rowOff>12700</xdr:rowOff>
    </xdr:from>
    <xdr:to>
      <xdr:col>17</xdr:col>
      <xdr:colOff>127000</xdr:colOff>
      <xdr:row>42</xdr:row>
      <xdr:rowOff>38100</xdr:rowOff>
    </xdr:to>
    <xdr:sp macro="" textlink="">
      <xdr:nvSpPr>
        <xdr:cNvPr id="2162877" name="CheckBox15" hidden="1">
          <a:extLst>
            <a:ext uri="{63B3BB69-23CF-44E3-9099-C40C66FF867C}">
              <a14:compatExt xmlns:a14="http://schemas.microsoft.com/office/drawing/2010/main" spid="_x0000_s2162877"/>
            </a:ext>
            <a:ext uri="{FF2B5EF4-FFF2-40B4-BE49-F238E27FC236}">
              <a16:creationId xmlns:a16="http://schemas.microsoft.com/office/drawing/2014/main" id="{00000000-0008-0000-0C00-0000BD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38100</xdr:colOff>
      <xdr:row>41</xdr:row>
      <xdr:rowOff>12700</xdr:rowOff>
    </xdr:from>
    <xdr:to>
      <xdr:col>7</xdr:col>
      <xdr:colOff>114300</xdr:colOff>
      <xdr:row>42</xdr:row>
      <xdr:rowOff>38100</xdr:rowOff>
    </xdr:to>
    <xdr:sp macro="" textlink="">
      <xdr:nvSpPr>
        <xdr:cNvPr id="2162878" name="CheckBox16" hidden="1">
          <a:extLst>
            <a:ext uri="{63B3BB69-23CF-44E3-9099-C40C66FF867C}">
              <a14:compatExt xmlns:a14="http://schemas.microsoft.com/office/drawing/2010/main" spid="_x0000_s2162878"/>
            </a:ext>
            <a:ext uri="{FF2B5EF4-FFF2-40B4-BE49-F238E27FC236}">
              <a16:creationId xmlns:a16="http://schemas.microsoft.com/office/drawing/2014/main" id="{00000000-0008-0000-0C00-0000BE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38100</xdr:colOff>
      <xdr:row>42</xdr:row>
      <xdr:rowOff>12700</xdr:rowOff>
    </xdr:from>
    <xdr:to>
      <xdr:col>7</xdr:col>
      <xdr:colOff>114300</xdr:colOff>
      <xdr:row>43</xdr:row>
      <xdr:rowOff>76200</xdr:rowOff>
    </xdr:to>
    <xdr:sp macro="" textlink="">
      <xdr:nvSpPr>
        <xdr:cNvPr id="2162879" name="CheckBox17" hidden="1">
          <a:extLst>
            <a:ext uri="{63B3BB69-23CF-44E3-9099-C40C66FF867C}">
              <a14:compatExt xmlns:a14="http://schemas.microsoft.com/office/drawing/2010/main" spid="_x0000_s2162879"/>
            </a:ext>
            <a:ext uri="{FF2B5EF4-FFF2-40B4-BE49-F238E27FC236}">
              <a16:creationId xmlns:a16="http://schemas.microsoft.com/office/drawing/2014/main" id="{00000000-0008-0000-0C00-0000BF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17</xdr:col>
      <xdr:colOff>38100</xdr:colOff>
      <xdr:row>33</xdr:row>
      <xdr:rowOff>12700</xdr:rowOff>
    </xdr:from>
    <xdr:to>
      <xdr:col>23</xdr:col>
      <xdr:colOff>139700</xdr:colOff>
      <xdr:row>34</xdr:row>
      <xdr:rowOff>38100</xdr:rowOff>
    </xdr:to>
    <xdr:sp macro="" textlink="">
      <xdr:nvSpPr>
        <xdr:cNvPr id="2162880" name="CheckBox18" hidden="1">
          <a:extLst>
            <a:ext uri="{63B3BB69-23CF-44E3-9099-C40C66FF867C}">
              <a14:compatExt xmlns:a14="http://schemas.microsoft.com/office/drawing/2010/main" spid="_x0000_s2162880"/>
            </a:ext>
            <a:ext uri="{FF2B5EF4-FFF2-40B4-BE49-F238E27FC236}">
              <a16:creationId xmlns:a16="http://schemas.microsoft.com/office/drawing/2014/main" id="{00000000-0008-0000-0C00-0000C0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17</xdr:col>
      <xdr:colOff>38100</xdr:colOff>
      <xdr:row>34</xdr:row>
      <xdr:rowOff>12700</xdr:rowOff>
    </xdr:from>
    <xdr:to>
      <xdr:col>23</xdr:col>
      <xdr:colOff>203200</xdr:colOff>
      <xdr:row>35</xdr:row>
      <xdr:rowOff>38100</xdr:rowOff>
    </xdr:to>
    <xdr:sp macro="" textlink="">
      <xdr:nvSpPr>
        <xdr:cNvPr id="2162881" name="CheckBox19" hidden="1">
          <a:extLst>
            <a:ext uri="{63B3BB69-23CF-44E3-9099-C40C66FF867C}">
              <a14:compatExt xmlns:a14="http://schemas.microsoft.com/office/drawing/2010/main" spid="_x0000_s2162881"/>
            </a:ext>
            <a:ext uri="{FF2B5EF4-FFF2-40B4-BE49-F238E27FC236}">
              <a16:creationId xmlns:a16="http://schemas.microsoft.com/office/drawing/2014/main" id="{00000000-0008-0000-0C00-0000C1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17</xdr:col>
      <xdr:colOff>38100</xdr:colOff>
      <xdr:row>35</xdr:row>
      <xdr:rowOff>12700</xdr:rowOff>
    </xdr:from>
    <xdr:to>
      <xdr:col>23</xdr:col>
      <xdr:colOff>101600</xdr:colOff>
      <xdr:row>36</xdr:row>
      <xdr:rowOff>38100</xdr:rowOff>
    </xdr:to>
    <xdr:sp macro="" textlink="">
      <xdr:nvSpPr>
        <xdr:cNvPr id="2162882" name="CheckBox20" hidden="1">
          <a:extLst>
            <a:ext uri="{63B3BB69-23CF-44E3-9099-C40C66FF867C}">
              <a14:compatExt xmlns:a14="http://schemas.microsoft.com/office/drawing/2010/main" spid="_x0000_s2162882"/>
            </a:ext>
            <a:ext uri="{FF2B5EF4-FFF2-40B4-BE49-F238E27FC236}">
              <a16:creationId xmlns:a16="http://schemas.microsoft.com/office/drawing/2014/main" id="{00000000-0008-0000-0C00-0000C2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17</xdr:col>
      <xdr:colOff>38100</xdr:colOff>
      <xdr:row>36</xdr:row>
      <xdr:rowOff>12700</xdr:rowOff>
    </xdr:from>
    <xdr:to>
      <xdr:col>22</xdr:col>
      <xdr:colOff>139700</xdr:colOff>
      <xdr:row>37</xdr:row>
      <xdr:rowOff>38100</xdr:rowOff>
    </xdr:to>
    <xdr:sp macro="" textlink="">
      <xdr:nvSpPr>
        <xdr:cNvPr id="2162883" name="CheckBox21" hidden="1">
          <a:extLst>
            <a:ext uri="{63B3BB69-23CF-44E3-9099-C40C66FF867C}">
              <a14:compatExt xmlns:a14="http://schemas.microsoft.com/office/drawing/2010/main" spid="_x0000_s2162883"/>
            </a:ext>
            <a:ext uri="{FF2B5EF4-FFF2-40B4-BE49-F238E27FC236}">
              <a16:creationId xmlns:a16="http://schemas.microsoft.com/office/drawing/2014/main" id="{00000000-0008-0000-0C00-0000C3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17</xdr:col>
      <xdr:colOff>38100</xdr:colOff>
      <xdr:row>37</xdr:row>
      <xdr:rowOff>12700</xdr:rowOff>
    </xdr:from>
    <xdr:to>
      <xdr:col>23</xdr:col>
      <xdr:colOff>38100</xdr:colOff>
      <xdr:row>38</xdr:row>
      <xdr:rowOff>38100</xdr:rowOff>
    </xdr:to>
    <xdr:sp macro="" textlink="">
      <xdr:nvSpPr>
        <xdr:cNvPr id="2162884" name="CheckBox22" hidden="1">
          <a:extLst>
            <a:ext uri="{63B3BB69-23CF-44E3-9099-C40C66FF867C}">
              <a14:compatExt xmlns:a14="http://schemas.microsoft.com/office/drawing/2010/main" spid="_x0000_s2162884"/>
            </a:ext>
            <a:ext uri="{FF2B5EF4-FFF2-40B4-BE49-F238E27FC236}">
              <a16:creationId xmlns:a16="http://schemas.microsoft.com/office/drawing/2014/main" id="{00000000-0008-0000-0C00-0000C4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17</xdr:col>
      <xdr:colOff>38100</xdr:colOff>
      <xdr:row>38</xdr:row>
      <xdr:rowOff>12700</xdr:rowOff>
    </xdr:from>
    <xdr:to>
      <xdr:col>23</xdr:col>
      <xdr:colOff>50800</xdr:colOff>
      <xdr:row>39</xdr:row>
      <xdr:rowOff>38100</xdr:rowOff>
    </xdr:to>
    <xdr:sp macro="" textlink="">
      <xdr:nvSpPr>
        <xdr:cNvPr id="2162885" name="CheckBox23" hidden="1">
          <a:extLst>
            <a:ext uri="{63B3BB69-23CF-44E3-9099-C40C66FF867C}">
              <a14:compatExt xmlns:a14="http://schemas.microsoft.com/office/drawing/2010/main" spid="_x0000_s2162885"/>
            </a:ext>
            <a:ext uri="{FF2B5EF4-FFF2-40B4-BE49-F238E27FC236}">
              <a16:creationId xmlns:a16="http://schemas.microsoft.com/office/drawing/2014/main" id="{00000000-0008-0000-0C00-0000C5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17</xdr:col>
      <xdr:colOff>38100</xdr:colOff>
      <xdr:row>39</xdr:row>
      <xdr:rowOff>12700</xdr:rowOff>
    </xdr:from>
    <xdr:to>
      <xdr:col>24</xdr:col>
      <xdr:colOff>63500</xdr:colOff>
      <xdr:row>40</xdr:row>
      <xdr:rowOff>38100</xdr:rowOff>
    </xdr:to>
    <xdr:sp macro="" textlink="">
      <xdr:nvSpPr>
        <xdr:cNvPr id="2162886" name="CheckBox24" hidden="1">
          <a:extLst>
            <a:ext uri="{63B3BB69-23CF-44E3-9099-C40C66FF867C}">
              <a14:compatExt xmlns:a14="http://schemas.microsoft.com/office/drawing/2010/main" spid="_x0000_s2162886"/>
            </a:ext>
            <a:ext uri="{FF2B5EF4-FFF2-40B4-BE49-F238E27FC236}">
              <a16:creationId xmlns:a16="http://schemas.microsoft.com/office/drawing/2014/main" id="{00000000-0008-0000-0C00-0000C6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17</xdr:col>
      <xdr:colOff>38100</xdr:colOff>
      <xdr:row>40</xdr:row>
      <xdr:rowOff>12700</xdr:rowOff>
    </xdr:from>
    <xdr:to>
      <xdr:col>24</xdr:col>
      <xdr:colOff>63500</xdr:colOff>
      <xdr:row>41</xdr:row>
      <xdr:rowOff>38100</xdr:rowOff>
    </xdr:to>
    <xdr:sp macro="" textlink="">
      <xdr:nvSpPr>
        <xdr:cNvPr id="2162887" name="CheckBox25" hidden="1">
          <a:extLst>
            <a:ext uri="{63B3BB69-23CF-44E3-9099-C40C66FF867C}">
              <a14:compatExt xmlns:a14="http://schemas.microsoft.com/office/drawing/2010/main" spid="_x0000_s2162887"/>
            </a:ext>
            <a:ext uri="{FF2B5EF4-FFF2-40B4-BE49-F238E27FC236}">
              <a16:creationId xmlns:a16="http://schemas.microsoft.com/office/drawing/2014/main" id="{00000000-0008-0000-0C00-0000C7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38100</xdr:colOff>
      <xdr:row>36</xdr:row>
      <xdr:rowOff>12700</xdr:rowOff>
    </xdr:from>
    <xdr:to>
      <xdr:col>16</xdr:col>
      <xdr:colOff>114300</xdr:colOff>
      <xdr:row>37</xdr:row>
      <xdr:rowOff>38100</xdr:rowOff>
    </xdr:to>
    <xdr:sp macro="" textlink="">
      <xdr:nvSpPr>
        <xdr:cNvPr id="2162888" name="CheckBox26" hidden="1">
          <a:extLst>
            <a:ext uri="{63B3BB69-23CF-44E3-9099-C40C66FF867C}">
              <a14:compatExt xmlns:a14="http://schemas.microsoft.com/office/drawing/2010/main" spid="_x0000_s2162888"/>
            </a:ext>
            <a:ext uri="{FF2B5EF4-FFF2-40B4-BE49-F238E27FC236}">
              <a16:creationId xmlns:a16="http://schemas.microsoft.com/office/drawing/2014/main" id="{00000000-0008-0000-0C00-0000C8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28575</xdr:colOff>
      <xdr:row>33</xdr:row>
      <xdr:rowOff>9525</xdr:rowOff>
    </xdr:from>
    <xdr:to>
      <xdr:col>7</xdr:col>
      <xdr:colOff>85725</xdr:colOff>
      <xdr:row>34</xdr:row>
      <xdr:rowOff>28575</xdr:rowOff>
    </xdr:to>
    <xdr:pic>
      <xdr:nvPicPr>
        <xdr:cNvPr id="3" name="CheckBox1">
          <a:extLst>
            <a:ext uri="{FF2B5EF4-FFF2-40B4-BE49-F238E27FC236}">
              <a16:creationId xmlns:a16="http://schemas.microsoft.com/office/drawing/2014/main" id="{00000000-0008-0000-0C00-0000030000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575" y="9744075"/>
          <a:ext cx="1990725"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9</xdr:col>
      <xdr:colOff>19050</xdr:colOff>
      <xdr:row>35</xdr:row>
      <xdr:rowOff>9525</xdr:rowOff>
    </xdr:from>
    <xdr:to>
      <xdr:col>16</xdr:col>
      <xdr:colOff>76200</xdr:colOff>
      <xdr:row>36</xdr:row>
      <xdr:rowOff>28575</xdr:rowOff>
    </xdr:to>
    <xdr:pic>
      <xdr:nvPicPr>
        <xdr:cNvPr id="4" name="CheckBox2">
          <a:extLst>
            <a:ext uri="{FF2B5EF4-FFF2-40B4-BE49-F238E27FC236}">
              <a16:creationId xmlns:a16="http://schemas.microsoft.com/office/drawing/2014/main" id="{00000000-0008-0000-0C00-00000400000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05075" y="10201275"/>
          <a:ext cx="1990725"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9</xdr:col>
      <xdr:colOff>9525</xdr:colOff>
      <xdr:row>33</xdr:row>
      <xdr:rowOff>0</xdr:rowOff>
    </xdr:from>
    <xdr:to>
      <xdr:col>16</xdr:col>
      <xdr:colOff>66675</xdr:colOff>
      <xdr:row>34</xdr:row>
      <xdr:rowOff>19050</xdr:rowOff>
    </xdr:to>
    <xdr:pic>
      <xdr:nvPicPr>
        <xdr:cNvPr id="5" name="CheckBox3">
          <a:extLst>
            <a:ext uri="{FF2B5EF4-FFF2-40B4-BE49-F238E27FC236}">
              <a16:creationId xmlns:a16="http://schemas.microsoft.com/office/drawing/2014/main" id="{00000000-0008-0000-0C00-000005000000}"/>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95550" y="9734550"/>
          <a:ext cx="1990725"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28575</xdr:colOff>
      <xdr:row>34</xdr:row>
      <xdr:rowOff>9525</xdr:rowOff>
    </xdr:from>
    <xdr:to>
      <xdr:col>8</xdr:col>
      <xdr:colOff>76200</xdr:colOff>
      <xdr:row>35</xdr:row>
      <xdr:rowOff>28575</xdr:rowOff>
    </xdr:to>
    <xdr:pic>
      <xdr:nvPicPr>
        <xdr:cNvPr id="6" name="CheckBox4">
          <a:extLst>
            <a:ext uri="{FF2B5EF4-FFF2-40B4-BE49-F238E27FC236}">
              <a16:creationId xmlns:a16="http://schemas.microsoft.com/office/drawing/2014/main" id="{00000000-0008-0000-0C00-000006000000}"/>
            </a:ext>
          </a:extLst>
        </xdr:cNvPr>
        <xdr:cNvPicPr preferRelativeResize="0">
          <a:picLocks noChangeArrowheads="1" noChangeShapeType="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 y="9972675"/>
          <a:ext cx="2257425"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28575</xdr:colOff>
      <xdr:row>35</xdr:row>
      <xdr:rowOff>9525</xdr:rowOff>
    </xdr:from>
    <xdr:to>
      <xdr:col>7</xdr:col>
      <xdr:colOff>85725</xdr:colOff>
      <xdr:row>36</xdr:row>
      <xdr:rowOff>28575</xdr:rowOff>
    </xdr:to>
    <xdr:pic>
      <xdr:nvPicPr>
        <xdr:cNvPr id="7" name="CheckBox5">
          <a:extLst>
            <a:ext uri="{FF2B5EF4-FFF2-40B4-BE49-F238E27FC236}">
              <a16:creationId xmlns:a16="http://schemas.microsoft.com/office/drawing/2014/main" id="{00000000-0008-0000-0C00-000007000000}"/>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8575" y="10201275"/>
          <a:ext cx="1990725"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28575</xdr:colOff>
      <xdr:row>36</xdr:row>
      <xdr:rowOff>9525</xdr:rowOff>
    </xdr:from>
    <xdr:to>
      <xdr:col>7</xdr:col>
      <xdr:colOff>85725</xdr:colOff>
      <xdr:row>37</xdr:row>
      <xdr:rowOff>28575</xdr:rowOff>
    </xdr:to>
    <xdr:pic>
      <xdr:nvPicPr>
        <xdr:cNvPr id="8" name="CheckBox6">
          <a:extLst>
            <a:ext uri="{FF2B5EF4-FFF2-40B4-BE49-F238E27FC236}">
              <a16:creationId xmlns:a16="http://schemas.microsoft.com/office/drawing/2014/main" id="{00000000-0008-0000-0C00-000008000000}"/>
            </a:ext>
          </a:extLst>
        </xdr:cNvPr>
        <xdr:cNvPicPr preferRelativeResize="0">
          <a:picLocks noChangeArrowheads="1" noChangeShapeType="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8575" y="10429875"/>
          <a:ext cx="1990725"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28575</xdr:colOff>
      <xdr:row>37</xdr:row>
      <xdr:rowOff>9525</xdr:rowOff>
    </xdr:from>
    <xdr:to>
      <xdr:col>7</xdr:col>
      <xdr:colOff>85725</xdr:colOff>
      <xdr:row>38</xdr:row>
      <xdr:rowOff>28575</xdr:rowOff>
    </xdr:to>
    <xdr:pic>
      <xdr:nvPicPr>
        <xdr:cNvPr id="9" name="CheckBox7">
          <a:extLst>
            <a:ext uri="{FF2B5EF4-FFF2-40B4-BE49-F238E27FC236}">
              <a16:creationId xmlns:a16="http://schemas.microsoft.com/office/drawing/2014/main" id="{00000000-0008-0000-0C00-000009000000}"/>
            </a:ext>
          </a:extLst>
        </xdr:cNvPr>
        <xdr:cNvPicPr preferRelativeResize="0">
          <a:picLocks noChangeArrowheads="1" noChangeShapeType="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8575" y="10658475"/>
          <a:ext cx="1990725"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28575</xdr:colOff>
      <xdr:row>38</xdr:row>
      <xdr:rowOff>9525</xdr:rowOff>
    </xdr:from>
    <xdr:to>
      <xdr:col>7</xdr:col>
      <xdr:colOff>85725</xdr:colOff>
      <xdr:row>39</xdr:row>
      <xdr:rowOff>28575</xdr:rowOff>
    </xdr:to>
    <xdr:pic>
      <xdr:nvPicPr>
        <xdr:cNvPr id="10" name="CheckBox8">
          <a:extLst>
            <a:ext uri="{FF2B5EF4-FFF2-40B4-BE49-F238E27FC236}">
              <a16:creationId xmlns:a16="http://schemas.microsoft.com/office/drawing/2014/main" id="{00000000-0008-0000-0C00-00000A000000}"/>
            </a:ext>
          </a:extLst>
        </xdr:cNvPr>
        <xdr:cNvPicPr preferRelativeResize="0">
          <a:picLocks noChangeArrowheads="1" noChangeShapeType="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8575" y="10887075"/>
          <a:ext cx="1990725"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28575</xdr:colOff>
      <xdr:row>39</xdr:row>
      <xdr:rowOff>9525</xdr:rowOff>
    </xdr:from>
    <xdr:to>
      <xdr:col>7</xdr:col>
      <xdr:colOff>85725</xdr:colOff>
      <xdr:row>40</xdr:row>
      <xdr:rowOff>28575</xdr:rowOff>
    </xdr:to>
    <xdr:pic>
      <xdr:nvPicPr>
        <xdr:cNvPr id="11" name="CheckBox9">
          <a:extLst>
            <a:ext uri="{FF2B5EF4-FFF2-40B4-BE49-F238E27FC236}">
              <a16:creationId xmlns:a16="http://schemas.microsoft.com/office/drawing/2014/main" id="{00000000-0008-0000-0C00-00000B000000}"/>
            </a:ext>
          </a:extLst>
        </xdr:cNvPr>
        <xdr:cNvPicPr preferRelativeResize="0">
          <a:picLocks noChangeArrowheads="1" noChangeShapeType="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8575" y="11115675"/>
          <a:ext cx="1990725"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28575</xdr:colOff>
      <xdr:row>40</xdr:row>
      <xdr:rowOff>9525</xdr:rowOff>
    </xdr:from>
    <xdr:to>
      <xdr:col>7</xdr:col>
      <xdr:colOff>85725</xdr:colOff>
      <xdr:row>41</xdr:row>
      <xdr:rowOff>28575</xdr:rowOff>
    </xdr:to>
    <xdr:pic>
      <xdr:nvPicPr>
        <xdr:cNvPr id="12" name="CheckBox10">
          <a:extLst>
            <a:ext uri="{FF2B5EF4-FFF2-40B4-BE49-F238E27FC236}">
              <a16:creationId xmlns:a16="http://schemas.microsoft.com/office/drawing/2014/main" id="{00000000-0008-0000-0C00-00000C000000}"/>
            </a:ext>
          </a:extLst>
        </xdr:cNvPr>
        <xdr:cNvPicPr preferRelativeResize="0">
          <a:picLocks noChangeArrowheads="1" noChangeShapeType="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8575" y="11344275"/>
          <a:ext cx="1990725"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9</xdr:col>
      <xdr:colOff>19050</xdr:colOff>
      <xdr:row>34</xdr:row>
      <xdr:rowOff>19050</xdr:rowOff>
    </xdr:from>
    <xdr:to>
      <xdr:col>16</xdr:col>
      <xdr:colOff>76200</xdr:colOff>
      <xdr:row>35</xdr:row>
      <xdr:rowOff>47625</xdr:rowOff>
    </xdr:to>
    <xdr:pic>
      <xdr:nvPicPr>
        <xdr:cNvPr id="13" name="CheckBox11">
          <a:extLst>
            <a:ext uri="{FF2B5EF4-FFF2-40B4-BE49-F238E27FC236}">
              <a16:creationId xmlns:a16="http://schemas.microsoft.com/office/drawing/2014/main" id="{00000000-0008-0000-0C00-00000D000000}"/>
            </a:ext>
          </a:extLst>
        </xdr:cNvPr>
        <xdr:cNvPicPr preferRelativeResize="0">
          <a:picLocks noChangeArrowheads="1" noChangeShapeType="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05075" y="9982200"/>
          <a:ext cx="1990725" cy="2571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8</xdr:col>
      <xdr:colOff>28575</xdr:colOff>
      <xdr:row>38</xdr:row>
      <xdr:rowOff>9525</xdr:rowOff>
    </xdr:from>
    <xdr:to>
      <xdr:col>15</xdr:col>
      <xdr:colOff>85725</xdr:colOff>
      <xdr:row>39</xdr:row>
      <xdr:rowOff>28575</xdr:rowOff>
    </xdr:to>
    <xdr:pic>
      <xdr:nvPicPr>
        <xdr:cNvPr id="14" name="CheckBox12">
          <a:extLst>
            <a:ext uri="{FF2B5EF4-FFF2-40B4-BE49-F238E27FC236}">
              <a16:creationId xmlns:a16="http://schemas.microsoft.com/office/drawing/2014/main" id="{00000000-0008-0000-0C00-00000E000000}"/>
            </a:ext>
          </a:extLst>
        </xdr:cNvPr>
        <xdr:cNvPicPr preferRelativeResize="0">
          <a:picLocks noChangeArrowheads="1" noChangeShapeType="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238375" y="10887075"/>
          <a:ext cx="1990725"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8</xdr:col>
      <xdr:colOff>28575</xdr:colOff>
      <xdr:row>39</xdr:row>
      <xdr:rowOff>9525</xdr:rowOff>
    </xdr:from>
    <xdr:to>
      <xdr:col>15</xdr:col>
      <xdr:colOff>85725</xdr:colOff>
      <xdr:row>40</xdr:row>
      <xdr:rowOff>28575</xdr:rowOff>
    </xdr:to>
    <xdr:pic>
      <xdr:nvPicPr>
        <xdr:cNvPr id="15" name="CheckBox13">
          <a:extLst>
            <a:ext uri="{FF2B5EF4-FFF2-40B4-BE49-F238E27FC236}">
              <a16:creationId xmlns:a16="http://schemas.microsoft.com/office/drawing/2014/main" id="{00000000-0008-0000-0C00-00000F000000}"/>
            </a:ext>
          </a:extLst>
        </xdr:cNvPr>
        <xdr:cNvPicPr preferRelativeResize="0">
          <a:picLocks noChangeArrowheads="1" noChangeShapeType="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238375" y="11115675"/>
          <a:ext cx="1990725"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8</xdr:col>
      <xdr:colOff>28575</xdr:colOff>
      <xdr:row>40</xdr:row>
      <xdr:rowOff>9525</xdr:rowOff>
    </xdr:from>
    <xdr:to>
      <xdr:col>15</xdr:col>
      <xdr:colOff>85725</xdr:colOff>
      <xdr:row>41</xdr:row>
      <xdr:rowOff>28575</xdr:rowOff>
    </xdr:to>
    <xdr:pic>
      <xdr:nvPicPr>
        <xdr:cNvPr id="16" name="CheckBox14">
          <a:extLst>
            <a:ext uri="{FF2B5EF4-FFF2-40B4-BE49-F238E27FC236}">
              <a16:creationId xmlns:a16="http://schemas.microsoft.com/office/drawing/2014/main" id="{00000000-0008-0000-0C00-000010000000}"/>
            </a:ext>
          </a:extLst>
        </xdr:cNvPr>
        <xdr:cNvPicPr preferRelativeResize="0">
          <a:picLocks noChangeArrowheads="1" noChangeShapeType="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238375" y="11344275"/>
          <a:ext cx="1990725"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8</xdr:col>
      <xdr:colOff>28575</xdr:colOff>
      <xdr:row>41</xdr:row>
      <xdr:rowOff>9525</xdr:rowOff>
    </xdr:from>
    <xdr:to>
      <xdr:col>17</xdr:col>
      <xdr:colOff>95250</xdr:colOff>
      <xdr:row>42</xdr:row>
      <xdr:rowOff>28575</xdr:rowOff>
    </xdr:to>
    <xdr:pic>
      <xdr:nvPicPr>
        <xdr:cNvPr id="17" name="CheckBox15">
          <a:extLst>
            <a:ext uri="{FF2B5EF4-FFF2-40B4-BE49-F238E27FC236}">
              <a16:creationId xmlns:a16="http://schemas.microsoft.com/office/drawing/2014/main" id="{00000000-0008-0000-0C00-000011000000}"/>
            </a:ext>
          </a:extLst>
        </xdr:cNvPr>
        <xdr:cNvPicPr preferRelativeResize="0">
          <a:picLocks noChangeArrowheads="1" noChangeShapeType="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238375" y="11572875"/>
          <a:ext cx="2552700"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28575</xdr:colOff>
      <xdr:row>41</xdr:row>
      <xdr:rowOff>9525</xdr:rowOff>
    </xdr:from>
    <xdr:to>
      <xdr:col>7</xdr:col>
      <xdr:colOff>85725</xdr:colOff>
      <xdr:row>42</xdr:row>
      <xdr:rowOff>28575</xdr:rowOff>
    </xdr:to>
    <xdr:pic>
      <xdr:nvPicPr>
        <xdr:cNvPr id="18" name="CheckBox16">
          <a:extLst>
            <a:ext uri="{FF2B5EF4-FFF2-40B4-BE49-F238E27FC236}">
              <a16:creationId xmlns:a16="http://schemas.microsoft.com/office/drawing/2014/main" id="{00000000-0008-0000-0C00-000012000000}"/>
            </a:ext>
          </a:extLst>
        </xdr:cNvPr>
        <xdr:cNvPicPr preferRelativeResize="0">
          <a:picLocks noChangeArrowheads="1" noChangeShapeType="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8575" y="11572875"/>
          <a:ext cx="1990725"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28575</xdr:colOff>
      <xdr:row>42</xdr:row>
      <xdr:rowOff>9525</xdr:rowOff>
    </xdr:from>
    <xdr:to>
      <xdr:col>7</xdr:col>
      <xdr:colOff>85725</xdr:colOff>
      <xdr:row>43</xdr:row>
      <xdr:rowOff>57150</xdr:rowOff>
    </xdr:to>
    <xdr:pic>
      <xdr:nvPicPr>
        <xdr:cNvPr id="19" name="CheckBox17">
          <a:extLst>
            <a:ext uri="{FF2B5EF4-FFF2-40B4-BE49-F238E27FC236}">
              <a16:creationId xmlns:a16="http://schemas.microsoft.com/office/drawing/2014/main" id="{00000000-0008-0000-0C00-000013000000}"/>
            </a:ext>
          </a:extLst>
        </xdr:cNvPr>
        <xdr:cNvPicPr preferRelativeResize="0">
          <a:picLocks noChangeArrowheads="1" noChangeShapeType="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8575" y="11801475"/>
          <a:ext cx="1990725" cy="23812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17</xdr:col>
      <xdr:colOff>28575</xdr:colOff>
      <xdr:row>33</xdr:row>
      <xdr:rowOff>9525</xdr:rowOff>
    </xdr:from>
    <xdr:to>
      <xdr:col>23</xdr:col>
      <xdr:colOff>104775</xdr:colOff>
      <xdr:row>34</xdr:row>
      <xdr:rowOff>28575</xdr:rowOff>
    </xdr:to>
    <xdr:pic>
      <xdr:nvPicPr>
        <xdr:cNvPr id="20" name="CheckBox18">
          <a:extLst>
            <a:ext uri="{FF2B5EF4-FFF2-40B4-BE49-F238E27FC236}">
              <a16:creationId xmlns:a16="http://schemas.microsoft.com/office/drawing/2014/main" id="{00000000-0008-0000-0C00-000014000000}"/>
            </a:ext>
          </a:extLst>
        </xdr:cNvPr>
        <xdr:cNvPicPr preferRelativeResize="0">
          <a:picLocks noChangeArrowheads="1" noChangeShapeType="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4724400" y="9744075"/>
          <a:ext cx="1733550"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17</xdr:col>
      <xdr:colOff>28575</xdr:colOff>
      <xdr:row>34</xdr:row>
      <xdr:rowOff>9525</xdr:rowOff>
    </xdr:from>
    <xdr:to>
      <xdr:col>23</xdr:col>
      <xdr:colOff>152400</xdr:colOff>
      <xdr:row>35</xdr:row>
      <xdr:rowOff>28575</xdr:rowOff>
    </xdr:to>
    <xdr:pic>
      <xdr:nvPicPr>
        <xdr:cNvPr id="21" name="CheckBox19">
          <a:extLst>
            <a:ext uri="{FF2B5EF4-FFF2-40B4-BE49-F238E27FC236}">
              <a16:creationId xmlns:a16="http://schemas.microsoft.com/office/drawing/2014/main" id="{00000000-0008-0000-0C00-000015000000}"/>
            </a:ext>
          </a:extLst>
        </xdr:cNvPr>
        <xdr:cNvPicPr preferRelativeResize="0">
          <a:picLocks noChangeArrowheads="1" noChangeShapeType="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724400" y="9972675"/>
          <a:ext cx="1781175"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17</xdr:col>
      <xdr:colOff>28575</xdr:colOff>
      <xdr:row>35</xdr:row>
      <xdr:rowOff>9525</xdr:rowOff>
    </xdr:from>
    <xdr:to>
      <xdr:col>23</xdr:col>
      <xdr:colOff>76200</xdr:colOff>
      <xdr:row>36</xdr:row>
      <xdr:rowOff>28575</xdr:rowOff>
    </xdr:to>
    <xdr:pic>
      <xdr:nvPicPr>
        <xdr:cNvPr id="22" name="CheckBox20">
          <a:extLst>
            <a:ext uri="{FF2B5EF4-FFF2-40B4-BE49-F238E27FC236}">
              <a16:creationId xmlns:a16="http://schemas.microsoft.com/office/drawing/2014/main" id="{00000000-0008-0000-0C00-000016000000}"/>
            </a:ext>
          </a:extLst>
        </xdr:cNvPr>
        <xdr:cNvPicPr preferRelativeResize="0">
          <a:picLocks noChangeArrowheads="1" noChangeShapeType="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724400" y="10201275"/>
          <a:ext cx="1704975"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17</xdr:col>
      <xdr:colOff>28575</xdr:colOff>
      <xdr:row>36</xdr:row>
      <xdr:rowOff>9525</xdr:rowOff>
    </xdr:from>
    <xdr:to>
      <xdr:col>22</xdr:col>
      <xdr:colOff>104775</xdr:colOff>
      <xdr:row>37</xdr:row>
      <xdr:rowOff>28575</xdr:rowOff>
    </xdr:to>
    <xdr:pic>
      <xdr:nvPicPr>
        <xdr:cNvPr id="23" name="CheckBox21">
          <a:extLst>
            <a:ext uri="{FF2B5EF4-FFF2-40B4-BE49-F238E27FC236}">
              <a16:creationId xmlns:a16="http://schemas.microsoft.com/office/drawing/2014/main" id="{00000000-0008-0000-0C00-000017000000}"/>
            </a:ext>
          </a:extLst>
        </xdr:cNvPr>
        <xdr:cNvPicPr preferRelativeResize="0">
          <a:picLocks noChangeArrowheads="1" noChangeShapeType="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724400" y="10429875"/>
          <a:ext cx="1457325"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17</xdr:col>
      <xdr:colOff>28575</xdr:colOff>
      <xdr:row>37</xdr:row>
      <xdr:rowOff>9525</xdr:rowOff>
    </xdr:from>
    <xdr:to>
      <xdr:col>23</xdr:col>
      <xdr:colOff>28575</xdr:colOff>
      <xdr:row>38</xdr:row>
      <xdr:rowOff>28575</xdr:rowOff>
    </xdr:to>
    <xdr:pic>
      <xdr:nvPicPr>
        <xdr:cNvPr id="24" name="CheckBox22">
          <a:extLst>
            <a:ext uri="{FF2B5EF4-FFF2-40B4-BE49-F238E27FC236}">
              <a16:creationId xmlns:a16="http://schemas.microsoft.com/office/drawing/2014/main" id="{00000000-0008-0000-0C00-000018000000}"/>
            </a:ext>
          </a:extLst>
        </xdr:cNvPr>
        <xdr:cNvPicPr preferRelativeResize="0">
          <a:picLocks noChangeArrowheads="1" noChangeShapeType="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4724400" y="10658475"/>
          <a:ext cx="1657350"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17</xdr:col>
      <xdr:colOff>28575</xdr:colOff>
      <xdr:row>38</xdr:row>
      <xdr:rowOff>9525</xdr:rowOff>
    </xdr:from>
    <xdr:to>
      <xdr:col>23</xdr:col>
      <xdr:colOff>38100</xdr:colOff>
      <xdr:row>39</xdr:row>
      <xdr:rowOff>28575</xdr:rowOff>
    </xdr:to>
    <xdr:pic>
      <xdr:nvPicPr>
        <xdr:cNvPr id="25" name="CheckBox23">
          <a:extLst>
            <a:ext uri="{FF2B5EF4-FFF2-40B4-BE49-F238E27FC236}">
              <a16:creationId xmlns:a16="http://schemas.microsoft.com/office/drawing/2014/main" id="{00000000-0008-0000-0C00-000019000000}"/>
            </a:ext>
          </a:extLst>
        </xdr:cNvPr>
        <xdr:cNvPicPr preferRelativeResize="0">
          <a:picLocks noChangeArrowheads="1" noChangeShapeType="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4724400" y="10887075"/>
          <a:ext cx="1666875"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17</xdr:col>
      <xdr:colOff>28575</xdr:colOff>
      <xdr:row>39</xdr:row>
      <xdr:rowOff>9525</xdr:rowOff>
    </xdr:from>
    <xdr:to>
      <xdr:col>24</xdr:col>
      <xdr:colOff>47625</xdr:colOff>
      <xdr:row>40</xdr:row>
      <xdr:rowOff>28575</xdr:rowOff>
    </xdr:to>
    <xdr:pic>
      <xdr:nvPicPr>
        <xdr:cNvPr id="26" name="CheckBox24">
          <a:extLst>
            <a:ext uri="{FF2B5EF4-FFF2-40B4-BE49-F238E27FC236}">
              <a16:creationId xmlns:a16="http://schemas.microsoft.com/office/drawing/2014/main" id="{00000000-0008-0000-0C00-00001A000000}"/>
            </a:ext>
          </a:extLst>
        </xdr:cNvPr>
        <xdr:cNvPicPr preferRelativeResize="0">
          <a:picLocks noChangeArrowheads="1" noChangeShapeType="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4724400" y="11115675"/>
          <a:ext cx="1952625"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17</xdr:col>
      <xdr:colOff>28575</xdr:colOff>
      <xdr:row>40</xdr:row>
      <xdr:rowOff>9525</xdr:rowOff>
    </xdr:from>
    <xdr:to>
      <xdr:col>24</xdr:col>
      <xdr:colOff>47625</xdr:colOff>
      <xdr:row>41</xdr:row>
      <xdr:rowOff>28575</xdr:rowOff>
    </xdr:to>
    <xdr:pic>
      <xdr:nvPicPr>
        <xdr:cNvPr id="27" name="CheckBox25">
          <a:extLst>
            <a:ext uri="{FF2B5EF4-FFF2-40B4-BE49-F238E27FC236}">
              <a16:creationId xmlns:a16="http://schemas.microsoft.com/office/drawing/2014/main" id="{00000000-0008-0000-0C00-00001B000000}"/>
            </a:ext>
          </a:extLst>
        </xdr:cNvPr>
        <xdr:cNvPicPr preferRelativeResize="0">
          <a:picLocks noChangeArrowheads="1" noChangeShapeType="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4724400" y="11344275"/>
          <a:ext cx="1952625"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9</xdr:col>
      <xdr:colOff>28575</xdr:colOff>
      <xdr:row>36</xdr:row>
      <xdr:rowOff>9525</xdr:rowOff>
    </xdr:from>
    <xdr:to>
      <xdr:col>16</xdr:col>
      <xdr:colOff>85725</xdr:colOff>
      <xdr:row>37</xdr:row>
      <xdr:rowOff>28575</xdr:rowOff>
    </xdr:to>
    <xdr:pic>
      <xdr:nvPicPr>
        <xdr:cNvPr id="29" name="CheckBox26">
          <a:extLst>
            <a:ext uri="{FF2B5EF4-FFF2-40B4-BE49-F238E27FC236}">
              <a16:creationId xmlns:a16="http://schemas.microsoft.com/office/drawing/2014/main" id="{00000000-0008-0000-0C00-00001D000000}"/>
            </a:ext>
          </a:extLst>
        </xdr:cNvPr>
        <xdr:cNvPicPr preferRelativeResize="0">
          <a:picLocks noChangeArrowheads="1" noChangeShapeType="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2514600" y="10429875"/>
          <a:ext cx="1990725"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438978</xdr:colOff>
      <xdr:row>50</xdr:row>
      <xdr:rowOff>132522</xdr:rowOff>
    </xdr:from>
    <xdr:to>
      <xdr:col>8</xdr:col>
      <xdr:colOff>668847</xdr:colOff>
      <xdr:row>50</xdr:row>
      <xdr:rowOff>681162</xdr:rowOff>
    </xdr:to>
    <xdr:pic>
      <xdr:nvPicPr>
        <xdr:cNvPr id="14" name="Picture 13">
          <a:extLst>
            <a:ext uri="{FF2B5EF4-FFF2-40B4-BE49-F238E27FC236}">
              <a16:creationId xmlns:a16="http://schemas.microsoft.com/office/drawing/2014/main" id="{00000000-0008-0000-0D00-00000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64935" y="9525000"/>
          <a:ext cx="1786999" cy="548640"/>
        </a:xfrm>
        <a:prstGeom prst="rect">
          <a:avLst/>
        </a:prstGeom>
      </xdr:spPr>
    </xdr:pic>
    <xdr:clientData/>
  </xdr:twoCellAnchor>
  <xdr:twoCellAnchor editAs="oneCell">
    <xdr:from>
      <xdr:col>0</xdr:col>
      <xdr:colOff>124238</xdr:colOff>
      <xdr:row>50</xdr:row>
      <xdr:rowOff>82826</xdr:rowOff>
    </xdr:from>
    <xdr:to>
      <xdr:col>1</xdr:col>
      <xdr:colOff>726798</xdr:colOff>
      <xdr:row>50</xdr:row>
      <xdr:rowOff>631466</xdr:rowOff>
    </xdr:to>
    <xdr:pic>
      <xdr:nvPicPr>
        <xdr:cNvPr id="18" name="Picture 17">
          <a:extLst>
            <a:ext uri="{FF2B5EF4-FFF2-40B4-BE49-F238E27FC236}">
              <a16:creationId xmlns:a16="http://schemas.microsoft.com/office/drawing/2014/main" id="{00000000-0008-0000-0D00-00001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4238" y="9525000"/>
          <a:ext cx="1381125" cy="548640"/>
        </a:xfrm>
        <a:prstGeom prst="rect">
          <a:avLst/>
        </a:prstGeom>
      </xdr:spPr>
    </xdr:pic>
    <xdr:clientData/>
  </xdr:twoCellAnchor>
  <xdr:twoCellAnchor editAs="oneCell">
    <xdr:from>
      <xdr:col>9</xdr:col>
      <xdr:colOff>74544</xdr:colOff>
      <xdr:row>50</xdr:row>
      <xdr:rowOff>107675</xdr:rowOff>
    </xdr:from>
    <xdr:to>
      <xdr:col>11</xdr:col>
      <xdr:colOff>31061</xdr:colOff>
      <xdr:row>50</xdr:row>
      <xdr:rowOff>656315</xdr:rowOff>
    </xdr:to>
    <xdr:pic>
      <xdr:nvPicPr>
        <xdr:cNvPr id="19" name="Picture 18">
          <a:extLst>
            <a:ext uri="{FF2B5EF4-FFF2-40B4-BE49-F238E27FC236}">
              <a16:creationId xmlns:a16="http://schemas.microsoft.com/office/drawing/2014/main" id="{00000000-0008-0000-0D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36196" y="9500153"/>
          <a:ext cx="1381125" cy="548640"/>
        </a:xfrm>
        <a:prstGeom prst="rect">
          <a:avLst/>
        </a:prstGeom>
      </xdr:spPr>
    </xdr:pic>
    <xdr:clientData/>
  </xdr:twoCellAnchor>
  <xdr:twoCellAnchor editAs="oneCell">
    <xdr:from>
      <xdr:col>14</xdr:col>
      <xdr:colOff>144118</xdr:colOff>
      <xdr:row>50</xdr:row>
      <xdr:rowOff>94422</xdr:rowOff>
    </xdr:from>
    <xdr:to>
      <xdr:col>16</xdr:col>
      <xdr:colOff>398834</xdr:colOff>
      <xdr:row>50</xdr:row>
      <xdr:rowOff>643062</xdr:rowOff>
    </xdr:to>
    <xdr:pic>
      <xdr:nvPicPr>
        <xdr:cNvPr id="20" name="Picture 19">
          <a:extLst>
            <a:ext uri="{FF2B5EF4-FFF2-40B4-BE49-F238E27FC236}">
              <a16:creationId xmlns:a16="http://schemas.microsoft.com/office/drawing/2014/main" id="{00000000-0008-0000-0D00-00001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116379" y="9486900"/>
          <a:ext cx="1786999" cy="548640"/>
        </a:xfrm>
        <a:prstGeom prst="rect">
          <a:avLst/>
        </a:prstGeom>
      </xdr:spPr>
    </xdr:pic>
    <xdr:clientData/>
  </xdr:twoCellAnchor>
  <xdr:oneCellAnchor>
    <xdr:from>
      <xdr:col>6</xdr:col>
      <xdr:colOff>438978</xdr:colOff>
      <xdr:row>0</xdr:row>
      <xdr:rowOff>132522</xdr:rowOff>
    </xdr:from>
    <xdr:ext cx="1786999" cy="548640"/>
    <xdr:pic>
      <xdr:nvPicPr>
        <xdr:cNvPr id="21" name="Picture 20">
          <a:extLst>
            <a:ext uri="{FF2B5EF4-FFF2-40B4-BE49-F238E27FC236}">
              <a16:creationId xmlns:a16="http://schemas.microsoft.com/office/drawing/2014/main" id="{00000000-0008-0000-0D00-00001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364935" y="9525000"/>
          <a:ext cx="1786999" cy="548640"/>
        </a:xfrm>
        <a:prstGeom prst="rect">
          <a:avLst/>
        </a:prstGeom>
      </xdr:spPr>
    </xdr:pic>
    <xdr:clientData/>
  </xdr:oneCellAnchor>
  <xdr:oneCellAnchor>
    <xdr:from>
      <xdr:col>0</xdr:col>
      <xdr:colOff>124238</xdr:colOff>
      <xdr:row>0</xdr:row>
      <xdr:rowOff>107674</xdr:rowOff>
    </xdr:from>
    <xdr:ext cx="1381125" cy="548640"/>
    <xdr:pic>
      <xdr:nvPicPr>
        <xdr:cNvPr id="22" name="Picture 21">
          <a:extLst>
            <a:ext uri="{FF2B5EF4-FFF2-40B4-BE49-F238E27FC236}">
              <a16:creationId xmlns:a16="http://schemas.microsoft.com/office/drawing/2014/main" id="{00000000-0008-0000-0D00-00001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4238" y="9500152"/>
          <a:ext cx="1381125" cy="548640"/>
        </a:xfrm>
        <a:prstGeom prst="rect">
          <a:avLst/>
        </a:prstGeom>
      </xdr:spPr>
    </xdr:pic>
    <xdr:clientData/>
  </xdr:oneCellAnchor>
  <xdr:oneCellAnchor>
    <xdr:from>
      <xdr:col>9</xdr:col>
      <xdr:colOff>74544</xdr:colOff>
      <xdr:row>0</xdr:row>
      <xdr:rowOff>107675</xdr:rowOff>
    </xdr:from>
    <xdr:ext cx="1381125" cy="548640"/>
    <xdr:pic>
      <xdr:nvPicPr>
        <xdr:cNvPr id="23" name="Picture 22">
          <a:extLst>
            <a:ext uri="{FF2B5EF4-FFF2-40B4-BE49-F238E27FC236}">
              <a16:creationId xmlns:a16="http://schemas.microsoft.com/office/drawing/2014/main" id="{00000000-0008-0000-0D00-00001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36196" y="9500153"/>
          <a:ext cx="1381125" cy="548640"/>
        </a:xfrm>
        <a:prstGeom prst="rect">
          <a:avLst/>
        </a:prstGeom>
      </xdr:spPr>
    </xdr:pic>
    <xdr:clientData/>
  </xdr:oneCellAnchor>
  <xdr:oneCellAnchor>
    <xdr:from>
      <xdr:col>14</xdr:col>
      <xdr:colOff>144118</xdr:colOff>
      <xdr:row>0</xdr:row>
      <xdr:rowOff>94422</xdr:rowOff>
    </xdr:from>
    <xdr:ext cx="1786999" cy="548640"/>
    <xdr:pic>
      <xdr:nvPicPr>
        <xdr:cNvPr id="24" name="Picture 23">
          <a:extLst>
            <a:ext uri="{FF2B5EF4-FFF2-40B4-BE49-F238E27FC236}">
              <a16:creationId xmlns:a16="http://schemas.microsoft.com/office/drawing/2014/main" id="{00000000-0008-0000-0D00-00001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116379" y="9486900"/>
          <a:ext cx="1786999" cy="548640"/>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22</xdr:col>
      <xdr:colOff>47625</xdr:colOff>
      <xdr:row>9</xdr:row>
      <xdr:rowOff>9525</xdr:rowOff>
    </xdr:from>
    <xdr:to>
      <xdr:col>30</xdr:col>
      <xdr:colOff>114300</xdr:colOff>
      <xdr:row>20</xdr:row>
      <xdr:rowOff>9525</xdr:rowOff>
    </xdr:to>
    <xdr:pic>
      <xdr:nvPicPr>
        <xdr:cNvPr id="2962373" name="Picture 125" descr="Design Flow Table">
          <a:extLst>
            <a:ext uri="{FF2B5EF4-FFF2-40B4-BE49-F238E27FC236}">
              <a16:creationId xmlns:a16="http://schemas.microsoft.com/office/drawing/2014/main" id="{00000000-0008-0000-0E00-0000C5332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58025" y="1209675"/>
          <a:ext cx="28098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19050</xdr:colOff>
      <xdr:row>30</xdr:row>
      <xdr:rowOff>19050</xdr:rowOff>
    </xdr:from>
    <xdr:to>
      <xdr:col>36</xdr:col>
      <xdr:colOff>133350</xdr:colOff>
      <xdr:row>39</xdr:row>
      <xdr:rowOff>36195</xdr:rowOff>
    </xdr:to>
    <xdr:pic>
      <xdr:nvPicPr>
        <xdr:cNvPr id="2962374" name="Picture 126" descr="Septic Tank Capacity">
          <a:extLst>
            <a:ext uri="{FF2B5EF4-FFF2-40B4-BE49-F238E27FC236}">
              <a16:creationId xmlns:a16="http://schemas.microsoft.com/office/drawing/2014/main" id="{00000000-0008-0000-0E00-0000C6332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29450" y="4038600"/>
          <a:ext cx="4914900" cy="1379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104775</xdr:colOff>
      <xdr:row>40</xdr:row>
      <xdr:rowOff>28575</xdr:rowOff>
    </xdr:from>
    <xdr:to>
      <xdr:col>34</xdr:col>
      <xdr:colOff>304800</xdr:colOff>
      <xdr:row>55</xdr:row>
      <xdr:rowOff>38100</xdr:rowOff>
    </xdr:to>
    <xdr:pic>
      <xdr:nvPicPr>
        <xdr:cNvPr id="2962378" name="Picture 1">
          <a:extLst>
            <a:ext uri="{FF2B5EF4-FFF2-40B4-BE49-F238E27FC236}">
              <a16:creationId xmlns:a16="http://schemas.microsoft.com/office/drawing/2014/main" id="{00000000-0008-0000-0E00-0000CA332D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34175" y="5753100"/>
          <a:ext cx="4086225" cy="219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133349</xdr:colOff>
      <xdr:row>56</xdr:row>
      <xdr:rowOff>152400</xdr:rowOff>
    </xdr:from>
    <xdr:to>
      <xdr:col>36</xdr:col>
      <xdr:colOff>19049</xdr:colOff>
      <xdr:row>99</xdr:row>
      <xdr:rowOff>23214</xdr:rowOff>
    </xdr:to>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762749" y="8105775"/>
          <a:ext cx="4419600" cy="649068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42</xdr:row>
          <xdr:rowOff>0</xdr:rowOff>
        </xdr:from>
        <xdr:to>
          <xdr:col>7</xdr:col>
          <xdr:colOff>0</xdr:colOff>
          <xdr:row>43</xdr:row>
          <xdr:rowOff>30480</xdr:rowOff>
        </xdr:to>
        <xdr:sp macro="" textlink="">
          <xdr:nvSpPr>
            <xdr:cNvPr id="2550646" name="Check Box 1910" hidden="1">
              <a:extLst>
                <a:ext uri="{63B3BB69-23CF-44E3-9099-C40C66FF867C}">
                  <a14:compatExt spid="_x0000_s2550646"/>
                </a:ext>
                <a:ext uri="{FF2B5EF4-FFF2-40B4-BE49-F238E27FC236}">
                  <a16:creationId xmlns:a16="http://schemas.microsoft.com/office/drawing/2014/main" id="{00000000-0008-0000-0F00-000076EB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Lot Dimensions/Property Lines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43</xdr:row>
          <xdr:rowOff>68580</xdr:rowOff>
        </xdr:from>
        <xdr:to>
          <xdr:col>7</xdr:col>
          <xdr:colOff>0</xdr:colOff>
          <xdr:row>44</xdr:row>
          <xdr:rowOff>83820</xdr:rowOff>
        </xdr:to>
        <xdr:sp macro="" textlink="">
          <xdr:nvSpPr>
            <xdr:cNvPr id="2550647" name="Check Box 1911" hidden="1">
              <a:extLst>
                <a:ext uri="{63B3BB69-23CF-44E3-9099-C40C66FF867C}">
                  <a14:compatExt spid="_x0000_s2550647"/>
                </a:ext>
                <a:ext uri="{FF2B5EF4-FFF2-40B4-BE49-F238E27FC236}">
                  <a16:creationId xmlns:a16="http://schemas.microsoft.com/office/drawing/2014/main" id="{00000000-0008-0000-0F00-000077EB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Dwellings and Other Improvements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44</xdr:row>
          <xdr:rowOff>114300</xdr:rowOff>
        </xdr:from>
        <xdr:to>
          <xdr:col>7</xdr:col>
          <xdr:colOff>0</xdr:colOff>
          <xdr:row>45</xdr:row>
          <xdr:rowOff>144780</xdr:rowOff>
        </xdr:to>
        <xdr:sp macro="" textlink="">
          <xdr:nvSpPr>
            <xdr:cNvPr id="2550648" name="Check Box 1912" hidden="1">
              <a:extLst>
                <a:ext uri="{63B3BB69-23CF-44E3-9099-C40C66FF867C}">
                  <a14:compatExt spid="_x0000_s2550648"/>
                </a:ext>
                <a:ext uri="{FF2B5EF4-FFF2-40B4-BE49-F238E27FC236}">
                  <a16:creationId xmlns:a16="http://schemas.microsoft.com/office/drawing/2014/main" id="{00000000-0008-0000-0F00-000078EB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Existing or Proposed System(s)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45</xdr:row>
          <xdr:rowOff>182880</xdr:rowOff>
        </xdr:from>
        <xdr:to>
          <xdr:col>7</xdr:col>
          <xdr:colOff>0</xdr:colOff>
          <xdr:row>47</xdr:row>
          <xdr:rowOff>7620</xdr:rowOff>
        </xdr:to>
        <xdr:sp macro="" textlink="">
          <xdr:nvSpPr>
            <xdr:cNvPr id="2550649" name="Check Box 1913" hidden="1">
              <a:extLst>
                <a:ext uri="{63B3BB69-23CF-44E3-9099-C40C66FF867C}">
                  <a14:compatExt spid="_x0000_s2550649"/>
                </a:ext>
                <a:ext uri="{FF2B5EF4-FFF2-40B4-BE49-F238E27FC236}">
                  <a16:creationId xmlns:a16="http://schemas.microsoft.com/office/drawing/2014/main" id="{00000000-0008-0000-0F00-000079EB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Replacement Area</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47</xdr:row>
          <xdr:rowOff>38100</xdr:rowOff>
        </xdr:from>
        <xdr:to>
          <xdr:col>7</xdr:col>
          <xdr:colOff>0</xdr:colOff>
          <xdr:row>48</xdr:row>
          <xdr:rowOff>68580</xdr:rowOff>
        </xdr:to>
        <xdr:sp macro="" textlink="">
          <xdr:nvSpPr>
            <xdr:cNvPr id="2550650" name="Check Box 1914" hidden="1">
              <a:extLst>
                <a:ext uri="{63B3BB69-23CF-44E3-9099-C40C66FF867C}">
                  <a14:compatExt spid="_x0000_s2550650"/>
                </a:ext>
                <a:ext uri="{FF2B5EF4-FFF2-40B4-BE49-F238E27FC236}">
                  <a16:creationId xmlns:a16="http://schemas.microsoft.com/office/drawing/2014/main" id="{00000000-0008-0000-0F00-00007AEB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Unsuitable Area(s)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48</xdr:row>
          <xdr:rowOff>106680</xdr:rowOff>
        </xdr:from>
        <xdr:to>
          <xdr:col>7</xdr:col>
          <xdr:colOff>0</xdr:colOff>
          <xdr:row>49</xdr:row>
          <xdr:rowOff>121920</xdr:rowOff>
        </xdr:to>
        <xdr:sp macro="" textlink="">
          <xdr:nvSpPr>
            <xdr:cNvPr id="2550651" name="Check Box 1915" hidden="1">
              <a:extLst>
                <a:ext uri="{63B3BB69-23CF-44E3-9099-C40C66FF867C}">
                  <a14:compatExt spid="_x0000_s2550651"/>
                </a:ext>
                <a:ext uri="{FF2B5EF4-FFF2-40B4-BE49-F238E27FC236}">
                  <a16:creationId xmlns:a16="http://schemas.microsoft.com/office/drawing/2014/main" id="{00000000-0008-0000-0F00-00007BEB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Public Water Supply Wells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49</xdr:row>
          <xdr:rowOff>152400</xdr:rowOff>
        </xdr:from>
        <xdr:to>
          <xdr:col>7</xdr:col>
          <xdr:colOff>0</xdr:colOff>
          <xdr:row>50</xdr:row>
          <xdr:rowOff>182880</xdr:rowOff>
        </xdr:to>
        <xdr:sp macro="" textlink="">
          <xdr:nvSpPr>
            <xdr:cNvPr id="2550652" name="Check Box 1916" hidden="1">
              <a:extLst>
                <a:ext uri="{63B3BB69-23CF-44E3-9099-C40C66FF867C}">
                  <a14:compatExt spid="_x0000_s2550652"/>
                </a:ext>
                <a:ext uri="{FF2B5EF4-FFF2-40B4-BE49-F238E27FC236}">
                  <a16:creationId xmlns:a16="http://schemas.microsoft.com/office/drawing/2014/main" id="{00000000-0008-0000-0F00-00007CEB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Pumping Access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51</xdr:row>
          <xdr:rowOff>30480</xdr:rowOff>
        </xdr:from>
        <xdr:to>
          <xdr:col>7</xdr:col>
          <xdr:colOff>0</xdr:colOff>
          <xdr:row>52</xdr:row>
          <xdr:rowOff>45720</xdr:rowOff>
        </xdr:to>
        <xdr:sp macro="" textlink="">
          <xdr:nvSpPr>
            <xdr:cNvPr id="2550653" name="Check Box 1917" hidden="1">
              <a:extLst>
                <a:ext uri="{63B3BB69-23CF-44E3-9099-C40C66FF867C}">
                  <a14:compatExt spid="_x0000_s2550653"/>
                </a:ext>
                <a:ext uri="{FF2B5EF4-FFF2-40B4-BE49-F238E27FC236}">
                  <a16:creationId xmlns:a16="http://schemas.microsoft.com/office/drawing/2014/main" id="{00000000-0008-0000-0F00-00007DEB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Inner Wellhead Zone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42</xdr:row>
          <xdr:rowOff>45720</xdr:rowOff>
        </xdr:from>
        <xdr:to>
          <xdr:col>15</xdr:col>
          <xdr:colOff>182880</xdr:colOff>
          <xdr:row>43</xdr:row>
          <xdr:rowOff>76200</xdr:rowOff>
        </xdr:to>
        <xdr:sp macro="" textlink="">
          <xdr:nvSpPr>
            <xdr:cNvPr id="2550654" name="Check Box 1918" hidden="1">
              <a:extLst>
                <a:ext uri="{63B3BB69-23CF-44E3-9099-C40C66FF867C}">
                  <a14:compatExt spid="_x0000_s2550654"/>
                </a:ext>
                <a:ext uri="{FF2B5EF4-FFF2-40B4-BE49-F238E27FC236}">
                  <a16:creationId xmlns:a16="http://schemas.microsoft.com/office/drawing/2014/main" id="{00000000-0008-0000-0F00-00007EEB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Phone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43</xdr:row>
          <xdr:rowOff>106680</xdr:rowOff>
        </xdr:from>
        <xdr:to>
          <xdr:col>16</xdr:col>
          <xdr:colOff>7620</xdr:colOff>
          <xdr:row>44</xdr:row>
          <xdr:rowOff>144780</xdr:rowOff>
        </xdr:to>
        <xdr:sp macro="" textlink="">
          <xdr:nvSpPr>
            <xdr:cNvPr id="2550655" name="Check Box 1919" hidden="1">
              <a:extLst>
                <a:ext uri="{63B3BB69-23CF-44E3-9099-C40C66FF867C}">
                  <a14:compatExt spid="_x0000_s2550655"/>
                </a:ext>
                <a:ext uri="{FF2B5EF4-FFF2-40B4-BE49-F238E27FC236}">
                  <a16:creationId xmlns:a16="http://schemas.microsoft.com/office/drawing/2014/main" id="{00000000-0008-0000-0F00-00007FEB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Electric</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44</xdr:row>
          <xdr:rowOff>160020</xdr:rowOff>
        </xdr:from>
        <xdr:to>
          <xdr:col>15</xdr:col>
          <xdr:colOff>182880</xdr:colOff>
          <xdr:row>46</xdr:row>
          <xdr:rowOff>0</xdr:rowOff>
        </xdr:to>
        <xdr:sp macro="" textlink="">
          <xdr:nvSpPr>
            <xdr:cNvPr id="2550656" name="Check Box 1920" hidden="1">
              <a:extLst>
                <a:ext uri="{63B3BB69-23CF-44E3-9099-C40C66FF867C}">
                  <a14:compatExt spid="_x0000_s2550656"/>
                </a:ext>
                <a:ext uri="{FF2B5EF4-FFF2-40B4-BE49-F238E27FC236}">
                  <a16:creationId xmlns:a16="http://schemas.microsoft.com/office/drawing/2014/main" id="{00000000-0008-0000-0F00-000080EB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Gas</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47</xdr:row>
          <xdr:rowOff>45720</xdr:rowOff>
        </xdr:from>
        <xdr:to>
          <xdr:col>16</xdr:col>
          <xdr:colOff>160020</xdr:colOff>
          <xdr:row>48</xdr:row>
          <xdr:rowOff>76200</xdr:rowOff>
        </xdr:to>
        <xdr:sp macro="" textlink="">
          <xdr:nvSpPr>
            <xdr:cNvPr id="2550657" name="Check Box 1921" hidden="1">
              <a:extLst>
                <a:ext uri="{63B3BB69-23CF-44E3-9099-C40C66FF867C}">
                  <a14:compatExt spid="_x0000_s2550657"/>
                </a:ext>
                <a:ext uri="{FF2B5EF4-FFF2-40B4-BE49-F238E27FC236}">
                  <a16:creationId xmlns:a16="http://schemas.microsoft.com/office/drawing/2014/main" id="{00000000-0008-0000-0F00-000081EB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Benchmark</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48</xdr:row>
          <xdr:rowOff>106680</xdr:rowOff>
        </xdr:from>
        <xdr:to>
          <xdr:col>20</xdr:col>
          <xdr:colOff>0</xdr:colOff>
          <xdr:row>49</xdr:row>
          <xdr:rowOff>144780</xdr:rowOff>
        </xdr:to>
        <xdr:sp macro="" textlink="">
          <xdr:nvSpPr>
            <xdr:cNvPr id="2550658" name="Check Box 1922" hidden="1">
              <a:extLst>
                <a:ext uri="{63B3BB69-23CF-44E3-9099-C40C66FF867C}">
                  <a14:compatExt spid="_x0000_s2550658"/>
                </a:ext>
                <a:ext uri="{FF2B5EF4-FFF2-40B4-BE49-F238E27FC236}">
                  <a16:creationId xmlns:a16="http://schemas.microsoft.com/office/drawing/2014/main" id="{00000000-0008-0000-0F00-000082EB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Borings</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49</xdr:row>
          <xdr:rowOff>160020</xdr:rowOff>
        </xdr:from>
        <xdr:to>
          <xdr:col>20</xdr:col>
          <xdr:colOff>0</xdr:colOff>
          <xdr:row>51</xdr:row>
          <xdr:rowOff>0</xdr:rowOff>
        </xdr:to>
        <xdr:sp macro="" textlink="">
          <xdr:nvSpPr>
            <xdr:cNvPr id="2550659" name="Check Box 1923" hidden="1">
              <a:extLst>
                <a:ext uri="{63B3BB69-23CF-44E3-9099-C40C66FF867C}">
                  <a14:compatExt spid="_x0000_s2550659"/>
                </a:ext>
                <a:ext uri="{FF2B5EF4-FFF2-40B4-BE49-F238E27FC236}">
                  <a16:creationId xmlns:a16="http://schemas.microsoft.com/office/drawing/2014/main" id="{00000000-0008-0000-0F00-000083EB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Perc Tests</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51</xdr:row>
          <xdr:rowOff>30480</xdr:rowOff>
        </xdr:from>
        <xdr:to>
          <xdr:col>18</xdr:col>
          <xdr:colOff>106680</xdr:colOff>
          <xdr:row>52</xdr:row>
          <xdr:rowOff>68580</xdr:rowOff>
        </xdr:to>
        <xdr:sp macro="" textlink="">
          <xdr:nvSpPr>
            <xdr:cNvPr id="2550660" name="Check Box 1924" hidden="1">
              <a:extLst>
                <a:ext uri="{63B3BB69-23CF-44E3-9099-C40C66FF867C}">
                  <a14:compatExt spid="_x0000_s2550660"/>
                </a:ext>
                <a:ext uri="{FF2B5EF4-FFF2-40B4-BE49-F238E27FC236}">
                  <a16:creationId xmlns:a16="http://schemas.microsoft.com/office/drawing/2014/main" id="{00000000-0008-0000-0F00-000084EB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Horizontal and Vertical Reference Points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30480</xdr:colOff>
          <xdr:row>42</xdr:row>
          <xdr:rowOff>30480</xdr:rowOff>
        </xdr:from>
        <xdr:to>
          <xdr:col>18</xdr:col>
          <xdr:colOff>68580</xdr:colOff>
          <xdr:row>43</xdr:row>
          <xdr:rowOff>68580</xdr:rowOff>
        </xdr:to>
        <xdr:sp macro="" textlink="">
          <xdr:nvSpPr>
            <xdr:cNvPr id="2550661" name="Check Box 1925" hidden="1">
              <a:extLst>
                <a:ext uri="{63B3BB69-23CF-44E3-9099-C40C66FF867C}">
                  <a14:compatExt spid="_x0000_s2550661"/>
                </a:ext>
                <a:ext uri="{FF2B5EF4-FFF2-40B4-BE49-F238E27FC236}">
                  <a16:creationId xmlns:a16="http://schemas.microsoft.com/office/drawing/2014/main" id="{00000000-0008-0000-0F00-000085EB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Building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30480</xdr:colOff>
          <xdr:row>43</xdr:row>
          <xdr:rowOff>83820</xdr:rowOff>
        </xdr:from>
        <xdr:to>
          <xdr:col>27</xdr:col>
          <xdr:colOff>30480</xdr:colOff>
          <xdr:row>44</xdr:row>
          <xdr:rowOff>114300</xdr:rowOff>
        </xdr:to>
        <xdr:sp macro="" textlink="">
          <xdr:nvSpPr>
            <xdr:cNvPr id="2550662" name="Check Box 1926" hidden="1">
              <a:extLst>
                <a:ext uri="{63B3BB69-23CF-44E3-9099-C40C66FF867C}">
                  <a14:compatExt spid="_x0000_s2550662"/>
                </a:ext>
                <a:ext uri="{FF2B5EF4-FFF2-40B4-BE49-F238E27FC236}">
                  <a16:creationId xmlns:a16="http://schemas.microsoft.com/office/drawing/2014/main" id="{00000000-0008-0000-0F00-000086EB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All water wells within 100 feet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30480</xdr:colOff>
          <xdr:row>44</xdr:row>
          <xdr:rowOff>144780</xdr:rowOff>
        </xdr:from>
        <xdr:to>
          <xdr:col>27</xdr:col>
          <xdr:colOff>30480</xdr:colOff>
          <xdr:row>45</xdr:row>
          <xdr:rowOff>182880</xdr:rowOff>
        </xdr:to>
        <xdr:sp macro="" textlink="">
          <xdr:nvSpPr>
            <xdr:cNvPr id="2550663" name="Check Box 1927" hidden="1">
              <a:extLst>
                <a:ext uri="{63B3BB69-23CF-44E3-9099-C40C66FF867C}">
                  <a14:compatExt spid="_x0000_s2550663"/>
                </a:ext>
                <a:ext uri="{FF2B5EF4-FFF2-40B4-BE49-F238E27FC236}">
                  <a16:creationId xmlns:a16="http://schemas.microsoft.com/office/drawing/2014/main" id="{00000000-0008-0000-0F00-000087EB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Pressure Pipe</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30480</xdr:colOff>
          <xdr:row>46</xdr:row>
          <xdr:rowOff>7620</xdr:rowOff>
        </xdr:from>
        <xdr:to>
          <xdr:col>27</xdr:col>
          <xdr:colOff>30480</xdr:colOff>
          <xdr:row>47</xdr:row>
          <xdr:rowOff>38100</xdr:rowOff>
        </xdr:to>
        <xdr:sp macro="" textlink="">
          <xdr:nvSpPr>
            <xdr:cNvPr id="2550664" name="Check Box 1928" hidden="1">
              <a:extLst>
                <a:ext uri="{63B3BB69-23CF-44E3-9099-C40C66FF867C}">
                  <a14:compatExt spid="_x0000_s2550664"/>
                </a:ext>
                <a:ext uri="{FF2B5EF4-FFF2-40B4-BE49-F238E27FC236}">
                  <a16:creationId xmlns:a16="http://schemas.microsoft.com/office/drawing/2014/main" id="{00000000-0008-0000-0F00-000088EB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Water Suction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30480</xdr:colOff>
          <xdr:row>47</xdr:row>
          <xdr:rowOff>68580</xdr:rowOff>
        </xdr:from>
        <xdr:to>
          <xdr:col>27</xdr:col>
          <xdr:colOff>30480</xdr:colOff>
          <xdr:row>48</xdr:row>
          <xdr:rowOff>83820</xdr:rowOff>
        </xdr:to>
        <xdr:sp macro="" textlink="">
          <xdr:nvSpPr>
            <xdr:cNvPr id="2550665" name="Check Box 1929" hidden="1">
              <a:extLst>
                <a:ext uri="{63B3BB69-23CF-44E3-9099-C40C66FF867C}">
                  <a14:compatExt spid="_x0000_s2550665"/>
                </a:ext>
                <a:ext uri="{FF2B5EF4-FFF2-40B4-BE49-F238E27FC236}">
                  <a16:creationId xmlns:a16="http://schemas.microsoft.com/office/drawing/2014/main" id="{00000000-0008-0000-0F00-000089EB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Streams, Lakes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30480</xdr:colOff>
          <xdr:row>48</xdr:row>
          <xdr:rowOff>121920</xdr:rowOff>
        </xdr:from>
        <xdr:to>
          <xdr:col>27</xdr:col>
          <xdr:colOff>30480</xdr:colOff>
          <xdr:row>49</xdr:row>
          <xdr:rowOff>152400</xdr:rowOff>
        </xdr:to>
        <xdr:sp macro="" textlink="">
          <xdr:nvSpPr>
            <xdr:cNvPr id="2550666" name="Check Box 1930" hidden="1">
              <a:extLst>
                <a:ext uri="{63B3BB69-23CF-44E3-9099-C40C66FF867C}">
                  <a14:compatExt spid="_x0000_s2550666"/>
                </a:ext>
                <a:ext uri="{FF2B5EF4-FFF2-40B4-BE49-F238E27FC236}">
                  <a16:creationId xmlns:a16="http://schemas.microsoft.com/office/drawing/2014/main" id="{00000000-0008-0000-0F00-00008AEB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Floodway and Fringe</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160020</xdr:colOff>
          <xdr:row>26</xdr:row>
          <xdr:rowOff>68580</xdr:rowOff>
        </xdr:from>
        <xdr:to>
          <xdr:col>12</xdr:col>
          <xdr:colOff>30480</xdr:colOff>
          <xdr:row>28</xdr:row>
          <xdr:rowOff>30480</xdr:rowOff>
        </xdr:to>
        <xdr:sp macro="" textlink="">
          <xdr:nvSpPr>
            <xdr:cNvPr id="2550667" name="Check Box 1931" hidden="1">
              <a:extLst>
                <a:ext uri="{63B3BB69-23CF-44E3-9099-C40C66FF867C}">
                  <a14:compatExt spid="_x0000_s2550667"/>
                </a:ext>
                <a:ext uri="{FF2B5EF4-FFF2-40B4-BE49-F238E27FC236}">
                  <a16:creationId xmlns:a16="http://schemas.microsoft.com/office/drawing/2014/main" id="{00000000-0008-0000-0F00-00008BEB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Indicated north</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83820</xdr:colOff>
          <xdr:row>26</xdr:row>
          <xdr:rowOff>45720</xdr:rowOff>
        </xdr:from>
        <xdr:to>
          <xdr:col>16</xdr:col>
          <xdr:colOff>144780</xdr:colOff>
          <xdr:row>28</xdr:row>
          <xdr:rowOff>30480</xdr:rowOff>
        </xdr:to>
        <xdr:sp macro="" textlink="">
          <xdr:nvSpPr>
            <xdr:cNvPr id="2550668" name="Check Box 1932" hidden="1">
              <a:extLst>
                <a:ext uri="{63B3BB69-23CF-44E3-9099-C40C66FF867C}">
                  <a14:compatExt spid="_x0000_s2550668"/>
                </a:ext>
                <a:ext uri="{FF2B5EF4-FFF2-40B4-BE49-F238E27FC236}">
                  <a16:creationId xmlns:a16="http://schemas.microsoft.com/office/drawing/2014/main" id="{00000000-0008-0000-0F00-00008CEB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Show slope/contours</a:t>
              </a:r>
            </a:p>
          </xdr:txBody>
        </xdr:sp>
        <xdr:clientData/>
      </xdr:twoCellAnchor>
    </mc:Choice>
    <mc:Fallback/>
  </mc:AlternateContent>
  <xdr:twoCellAnchor editAs="oneCell">
    <xdr:from>
      <xdr:col>0</xdr:col>
      <xdr:colOff>19050</xdr:colOff>
      <xdr:row>0</xdr:row>
      <xdr:rowOff>66675</xdr:rowOff>
    </xdr:from>
    <xdr:to>
      <xdr:col>5</xdr:col>
      <xdr:colOff>19050</xdr:colOff>
      <xdr:row>0</xdr:row>
      <xdr:rowOff>615315</xdr:rowOff>
    </xdr:to>
    <xdr:pic>
      <xdr:nvPicPr>
        <xdr:cNvPr id="28" name="Picture 27">
          <a:extLst>
            <a:ext uri="{FF2B5EF4-FFF2-40B4-BE49-F238E27FC236}">
              <a16:creationId xmlns:a16="http://schemas.microsoft.com/office/drawing/2014/main" id="{00000000-0008-0000-0F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66675"/>
          <a:ext cx="1428750" cy="548640"/>
        </a:xfrm>
        <a:prstGeom prst="rect">
          <a:avLst/>
        </a:prstGeom>
      </xdr:spPr>
    </xdr:pic>
    <xdr:clientData/>
  </xdr:twoCellAnchor>
  <xdr:twoCellAnchor editAs="oneCell">
    <xdr:from>
      <xdr:col>17</xdr:col>
      <xdr:colOff>28575</xdr:colOff>
      <xdr:row>0</xdr:row>
      <xdr:rowOff>66675</xdr:rowOff>
    </xdr:from>
    <xdr:to>
      <xdr:col>23</xdr:col>
      <xdr:colOff>158224</xdr:colOff>
      <xdr:row>0</xdr:row>
      <xdr:rowOff>615315</xdr:rowOff>
    </xdr:to>
    <xdr:pic>
      <xdr:nvPicPr>
        <xdr:cNvPr id="29" name="Picture 28">
          <a:extLst>
            <a:ext uri="{FF2B5EF4-FFF2-40B4-BE49-F238E27FC236}">
              <a16:creationId xmlns:a16="http://schemas.microsoft.com/office/drawing/2014/main" id="{00000000-0008-0000-0F00-00001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24400" y="66675"/>
          <a:ext cx="1786999" cy="54864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14</xdr:col>
      <xdr:colOff>38101</xdr:colOff>
      <xdr:row>24</xdr:row>
      <xdr:rowOff>85725</xdr:rowOff>
    </xdr:from>
    <xdr:to>
      <xdr:col>17</xdr:col>
      <xdr:colOff>247651</xdr:colOff>
      <xdr:row>31</xdr:row>
      <xdr:rowOff>76200</xdr:rowOff>
    </xdr:to>
    <xdr:pic>
      <xdr:nvPicPr>
        <xdr:cNvPr id="2992307" name="Picture 66">
          <a:extLst>
            <a:ext uri="{FF2B5EF4-FFF2-40B4-BE49-F238E27FC236}">
              <a16:creationId xmlns:a16="http://schemas.microsoft.com/office/drawing/2014/main" id="{00000000-0008-0000-1000-0000B3A82D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72026" y="4486275"/>
          <a:ext cx="1390650"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95250</xdr:colOff>
      <xdr:row>0</xdr:row>
      <xdr:rowOff>57150</xdr:rowOff>
    </xdr:from>
    <xdr:to>
      <xdr:col>17</xdr:col>
      <xdr:colOff>282049</xdr:colOff>
      <xdr:row>0</xdr:row>
      <xdr:rowOff>605790</xdr:rowOff>
    </xdr:to>
    <xdr:pic>
      <xdr:nvPicPr>
        <xdr:cNvPr id="11" name="Picture 10">
          <a:extLst>
            <a:ext uri="{FF2B5EF4-FFF2-40B4-BE49-F238E27FC236}">
              <a16:creationId xmlns:a16="http://schemas.microsoft.com/office/drawing/2014/main" id="{00000000-0008-0000-10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67250" y="57150"/>
          <a:ext cx="1786999" cy="548640"/>
        </a:xfrm>
        <a:prstGeom prst="rect">
          <a:avLst/>
        </a:prstGeom>
      </xdr:spPr>
    </xdr:pic>
    <xdr:clientData/>
  </xdr:twoCellAnchor>
  <xdr:twoCellAnchor editAs="oneCell">
    <xdr:from>
      <xdr:col>1</xdr:col>
      <xdr:colOff>38100</xdr:colOff>
      <xdr:row>0</xdr:row>
      <xdr:rowOff>104775</xdr:rowOff>
    </xdr:from>
    <xdr:to>
      <xdr:col>5</xdr:col>
      <xdr:colOff>66675</xdr:colOff>
      <xdr:row>0</xdr:row>
      <xdr:rowOff>653415</xdr:rowOff>
    </xdr:to>
    <xdr:pic>
      <xdr:nvPicPr>
        <xdr:cNvPr id="12" name="Picture 11">
          <a:extLst>
            <a:ext uri="{FF2B5EF4-FFF2-40B4-BE49-F238E27FC236}">
              <a16:creationId xmlns:a16="http://schemas.microsoft.com/office/drawing/2014/main" id="{00000000-0008-0000-1000-00000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09550" y="104775"/>
          <a:ext cx="1381125" cy="548640"/>
        </a:xfrm>
        <a:prstGeom prst="rect">
          <a:avLst/>
        </a:prstGeom>
      </xdr:spPr>
    </xdr:pic>
    <xdr:clientData/>
  </xdr:twoCellAnchor>
  <xdr:twoCellAnchor editAs="oneCell">
    <xdr:from>
      <xdr:col>5</xdr:col>
      <xdr:colOff>352425</xdr:colOff>
      <xdr:row>81</xdr:row>
      <xdr:rowOff>76200</xdr:rowOff>
    </xdr:from>
    <xdr:to>
      <xdr:col>9</xdr:col>
      <xdr:colOff>304800</xdr:colOff>
      <xdr:row>95</xdr:row>
      <xdr:rowOff>39836</xdr:rowOff>
    </xdr:to>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4"/>
        <a:stretch>
          <a:fillRect/>
        </a:stretch>
      </xdr:blipFill>
      <xdr:spPr>
        <a:xfrm>
          <a:off x="1828800" y="14697075"/>
          <a:ext cx="1400175" cy="285923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13</xdr:col>
      <xdr:colOff>0</xdr:colOff>
      <xdr:row>0</xdr:row>
      <xdr:rowOff>95250</xdr:rowOff>
    </xdr:from>
    <xdr:to>
      <xdr:col>17</xdr:col>
      <xdr:colOff>186799</xdr:colOff>
      <xdr:row>0</xdr:row>
      <xdr:rowOff>643890</xdr:rowOff>
    </xdr:to>
    <xdr:pic>
      <xdr:nvPicPr>
        <xdr:cNvPr id="9" name="Picture 8">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72000" y="95250"/>
          <a:ext cx="1786999" cy="548640"/>
        </a:xfrm>
        <a:prstGeom prst="rect">
          <a:avLst/>
        </a:prstGeom>
      </xdr:spPr>
    </xdr:pic>
    <xdr:clientData/>
  </xdr:twoCellAnchor>
  <xdr:twoCellAnchor editAs="oneCell">
    <xdr:from>
      <xdr:col>1</xdr:col>
      <xdr:colOff>85725</xdr:colOff>
      <xdr:row>0</xdr:row>
      <xdr:rowOff>85725</xdr:rowOff>
    </xdr:from>
    <xdr:to>
      <xdr:col>5</xdr:col>
      <xdr:colOff>114300</xdr:colOff>
      <xdr:row>0</xdr:row>
      <xdr:rowOff>634365</xdr:rowOff>
    </xdr:to>
    <xdr:pic>
      <xdr:nvPicPr>
        <xdr:cNvPr id="10" name="Picture 9">
          <a:extLst>
            <a:ext uri="{FF2B5EF4-FFF2-40B4-BE49-F238E27FC236}">
              <a16:creationId xmlns:a16="http://schemas.microsoft.com/office/drawing/2014/main" id="{00000000-0008-0000-11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7175" y="85725"/>
          <a:ext cx="1381125" cy="548640"/>
        </a:xfrm>
        <a:prstGeom prst="rect">
          <a:avLst/>
        </a:prstGeom>
      </xdr:spPr>
    </xdr:pic>
    <xdr:clientData/>
  </xdr:twoCellAnchor>
  <xdr:twoCellAnchor editAs="oneCell">
    <xdr:from>
      <xdr:col>6</xdr:col>
      <xdr:colOff>57150</xdr:colOff>
      <xdr:row>66</xdr:row>
      <xdr:rowOff>47625</xdr:rowOff>
    </xdr:from>
    <xdr:to>
      <xdr:col>16</xdr:col>
      <xdr:colOff>1445</xdr:colOff>
      <xdr:row>73</xdr:row>
      <xdr:rowOff>66675</xdr:rowOff>
    </xdr:to>
    <xdr:pic>
      <xdr:nvPicPr>
        <xdr:cNvPr id="11" name="Picture 10">
          <a:extLst>
            <a:ext uri="{FF2B5EF4-FFF2-40B4-BE49-F238E27FC236}">
              <a16:creationId xmlns:a16="http://schemas.microsoft.com/office/drawing/2014/main" id="{00000000-0008-0000-1100-00000B000000}"/>
            </a:ext>
          </a:extLst>
        </xdr:cNvPr>
        <xdr:cNvPicPr>
          <a:picLocks noChangeAspect="1"/>
        </xdr:cNvPicPr>
      </xdr:nvPicPr>
      <xdr:blipFill>
        <a:blip xmlns:r="http://schemas.openxmlformats.org/officeDocument/2006/relationships" r:embed="rId3"/>
        <a:stretch>
          <a:fillRect/>
        </a:stretch>
      </xdr:blipFill>
      <xdr:spPr>
        <a:xfrm>
          <a:off x="1895475" y="11630025"/>
          <a:ext cx="3563795" cy="1619250"/>
        </a:xfrm>
        <a:prstGeom prst="rect">
          <a:avLst/>
        </a:prstGeom>
      </xdr:spPr>
    </xdr:pic>
    <xdr:clientData/>
  </xdr:twoCellAnchor>
  <xdr:twoCellAnchor editAs="oneCell">
    <xdr:from>
      <xdr:col>5</xdr:col>
      <xdr:colOff>57150</xdr:colOff>
      <xdr:row>52</xdr:row>
      <xdr:rowOff>9525</xdr:rowOff>
    </xdr:from>
    <xdr:to>
      <xdr:col>11</xdr:col>
      <xdr:colOff>333375</xdr:colOff>
      <xdr:row>61</xdr:row>
      <xdr:rowOff>147401</xdr:rowOff>
    </xdr:to>
    <xdr:pic>
      <xdr:nvPicPr>
        <xdr:cNvPr id="12" name="Picture 11">
          <a:extLst>
            <a:ext uri="{FF2B5EF4-FFF2-40B4-BE49-F238E27FC236}">
              <a16:creationId xmlns:a16="http://schemas.microsoft.com/office/drawing/2014/main" id="{00000000-0008-0000-1100-00000C000000}"/>
            </a:ext>
          </a:extLst>
        </xdr:cNvPr>
        <xdr:cNvPicPr>
          <a:picLocks noChangeAspect="1"/>
        </xdr:cNvPicPr>
      </xdr:nvPicPr>
      <xdr:blipFill>
        <a:blip xmlns:r="http://schemas.openxmlformats.org/officeDocument/2006/relationships" r:embed="rId4"/>
        <a:stretch>
          <a:fillRect/>
        </a:stretch>
      </xdr:blipFill>
      <xdr:spPr>
        <a:xfrm>
          <a:off x="1533525" y="8886825"/>
          <a:ext cx="2447925" cy="190952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2</xdr:col>
      <xdr:colOff>133350</xdr:colOff>
      <xdr:row>69</xdr:row>
      <xdr:rowOff>133350</xdr:rowOff>
    </xdr:from>
    <xdr:to>
      <xdr:col>13</xdr:col>
      <xdr:colOff>94616</xdr:colOff>
      <xdr:row>80</xdr:row>
      <xdr:rowOff>44946</xdr:rowOff>
    </xdr:to>
    <xdr:pic>
      <xdr:nvPicPr>
        <xdr:cNvPr id="6" name="Picture 5">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1"/>
        <a:stretch>
          <a:fillRect/>
        </a:stretch>
      </xdr:blipFill>
      <xdr:spPr>
        <a:xfrm>
          <a:off x="476250" y="15344775"/>
          <a:ext cx="5514341" cy="2007096"/>
        </a:xfrm>
        <a:prstGeom prst="rect">
          <a:avLst/>
        </a:prstGeom>
      </xdr:spPr>
    </xdr:pic>
    <xdr:clientData/>
  </xdr:twoCellAnchor>
  <xdr:twoCellAnchor editAs="oneCell">
    <xdr:from>
      <xdr:col>0</xdr:col>
      <xdr:colOff>104775</xdr:colOff>
      <xdr:row>56</xdr:row>
      <xdr:rowOff>9525</xdr:rowOff>
    </xdr:from>
    <xdr:to>
      <xdr:col>13</xdr:col>
      <xdr:colOff>400050</xdr:colOff>
      <xdr:row>70</xdr:row>
      <xdr:rowOff>64919</xdr:rowOff>
    </xdr:to>
    <xdr:pic>
      <xdr:nvPicPr>
        <xdr:cNvPr id="4" name="Picture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2"/>
        <a:stretch>
          <a:fillRect/>
        </a:stretch>
      </xdr:blipFill>
      <xdr:spPr>
        <a:xfrm>
          <a:off x="104775" y="11134725"/>
          <a:ext cx="6067425" cy="2722394"/>
        </a:xfrm>
        <a:prstGeom prst="rect">
          <a:avLst/>
        </a:prstGeom>
      </xdr:spPr>
    </xdr:pic>
    <xdr:clientData/>
  </xdr:twoCellAnchor>
  <xdr:twoCellAnchor>
    <xdr:from>
      <xdr:col>2</xdr:col>
      <xdr:colOff>232410</xdr:colOff>
      <xdr:row>62</xdr:row>
      <xdr:rowOff>66675</xdr:rowOff>
    </xdr:from>
    <xdr:to>
      <xdr:col>3</xdr:col>
      <xdr:colOff>347011</xdr:colOff>
      <xdr:row>63</xdr:row>
      <xdr:rowOff>95250</xdr:rowOff>
    </xdr:to>
    <xdr:sp macro="" textlink="K47">
      <xdr:nvSpPr>
        <xdr:cNvPr id="56088" name="Text Box 67">
          <a:extLst>
            <a:ext uri="{FF2B5EF4-FFF2-40B4-BE49-F238E27FC236}">
              <a16:creationId xmlns:a16="http://schemas.microsoft.com/office/drawing/2014/main" id="{00000000-0008-0000-1200-000018DB0000}"/>
            </a:ext>
          </a:extLst>
        </xdr:cNvPr>
        <xdr:cNvSpPr txBox="1">
          <a:spLocks noChangeArrowheads="1"/>
        </xdr:cNvSpPr>
      </xdr:nvSpPr>
      <xdr:spPr bwMode="auto">
        <a:xfrm>
          <a:off x="556260" y="12334875"/>
          <a:ext cx="609901" cy="219075"/>
        </a:xfrm>
        <a:prstGeom prst="rect">
          <a:avLst/>
        </a:prstGeom>
        <a:solidFill>
          <a:srgbClr val="CEE5ED"/>
        </a:solidFill>
        <a:ln w="9525">
          <a:solidFill>
            <a:srgbClr val="000000"/>
          </a:solidFill>
          <a:miter lim="800000"/>
          <a:headEnd/>
          <a:tailEnd/>
        </a:ln>
      </xdr:spPr>
      <xdr:txBody>
        <a:bodyPr anchor="ctr"/>
        <a:lstStyle/>
        <a:p>
          <a:pPr algn="ctr"/>
          <a:fld id="{F9D47719-2F71-414B-9797-42C3F5CFF578}" type="TxLink">
            <a:rPr lang="en-US" sz="1200" b="1" i="0" u="none" strike="noStrike">
              <a:solidFill>
                <a:srgbClr val="000000"/>
              </a:solidFill>
              <a:latin typeface="Trebuchet MS"/>
            </a:rPr>
            <a:pPr algn="ctr"/>
            <a:t> </a:t>
          </a:fld>
          <a:endParaRPr lang="en-US"/>
        </a:p>
      </xdr:txBody>
    </xdr:sp>
    <xdr:clientData/>
  </xdr:twoCellAnchor>
  <xdr:twoCellAnchor>
    <xdr:from>
      <xdr:col>5</xdr:col>
      <xdr:colOff>485775</xdr:colOff>
      <xdr:row>57</xdr:row>
      <xdr:rowOff>114300</xdr:rowOff>
    </xdr:from>
    <xdr:to>
      <xdr:col>7</xdr:col>
      <xdr:colOff>146904</xdr:colOff>
      <xdr:row>58</xdr:row>
      <xdr:rowOff>152400</xdr:rowOff>
    </xdr:to>
    <xdr:sp macro="" textlink="$K$29">
      <xdr:nvSpPr>
        <xdr:cNvPr id="56090" name="Text Box 69">
          <a:extLst>
            <a:ext uri="{FF2B5EF4-FFF2-40B4-BE49-F238E27FC236}">
              <a16:creationId xmlns:a16="http://schemas.microsoft.com/office/drawing/2014/main" id="{00000000-0008-0000-1200-00001ADB0000}"/>
            </a:ext>
          </a:extLst>
        </xdr:cNvPr>
        <xdr:cNvSpPr txBox="1">
          <a:spLocks noChangeArrowheads="1"/>
        </xdr:cNvSpPr>
      </xdr:nvSpPr>
      <xdr:spPr bwMode="auto">
        <a:xfrm>
          <a:off x="2295525" y="11430000"/>
          <a:ext cx="651729" cy="228600"/>
        </a:xfrm>
        <a:prstGeom prst="rect">
          <a:avLst/>
        </a:prstGeom>
        <a:solidFill>
          <a:srgbClr val="CEE5ED"/>
        </a:solidFill>
        <a:ln w="9525">
          <a:solidFill>
            <a:srgbClr val="000000"/>
          </a:solidFill>
          <a:miter lim="800000"/>
          <a:headEnd/>
          <a:tailEnd/>
        </a:ln>
      </xdr:spPr>
      <xdr:txBody>
        <a:bodyPr anchor="ctr"/>
        <a:lstStyle/>
        <a:p>
          <a:pPr algn="ctr"/>
          <a:fld id="{39036884-5E71-4F13-B211-F5E3AA756F0D}" type="TxLink">
            <a:rPr lang="en-US" sz="1200" b="1" i="0" u="none" strike="noStrike">
              <a:solidFill>
                <a:srgbClr val="000000"/>
              </a:solidFill>
              <a:latin typeface="Trebuchet MS"/>
            </a:rPr>
            <a:pPr algn="ctr"/>
            <a:t> </a:t>
          </a:fld>
          <a:endParaRPr lang="en-US"/>
        </a:p>
      </xdr:txBody>
    </xdr:sp>
    <xdr:clientData/>
  </xdr:twoCellAnchor>
  <xdr:twoCellAnchor>
    <xdr:from>
      <xdr:col>5</xdr:col>
      <xdr:colOff>489585</xdr:colOff>
      <xdr:row>63</xdr:row>
      <xdr:rowOff>123825</xdr:rowOff>
    </xdr:from>
    <xdr:to>
      <xdr:col>7</xdr:col>
      <xdr:colOff>162502</xdr:colOff>
      <xdr:row>64</xdr:row>
      <xdr:rowOff>144846</xdr:rowOff>
    </xdr:to>
    <xdr:sp macro="" textlink="$K$42">
      <xdr:nvSpPr>
        <xdr:cNvPr id="56091" name="Text Box 70">
          <a:extLst>
            <a:ext uri="{FF2B5EF4-FFF2-40B4-BE49-F238E27FC236}">
              <a16:creationId xmlns:a16="http://schemas.microsoft.com/office/drawing/2014/main" id="{00000000-0008-0000-1200-00001BDB0000}"/>
            </a:ext>
          </a:extLst>
        </xdr:cNvPr>
        <xdr:cNvSpPr txBox="1">
          <a:spLocks noChangeArrowheads="1"/>
        </xdr:cNvSpPr>
      </xdr:nvSpPr>
      <xdr:spPr bwMode="auto">
        <a:xfrm>
          <a:off x="2299335" y="12582525"/>
          <a:ext cx="663517" cy="211521"/>
        </a:xfrm>
        <a:prstGeom prst="rect">
          <a:avLst/>
        </a:prstGeom>
        <a:solidFill>
          <a:srgbClr val="CEE5ED"/>
        </a:solidFill>
        <a:ln w="9525">
          <a:solidFill>
            <a:srgbClr val="000000"/>
          </a:solidFill>
          <a:miter lim="800000"/>
          <a:headEnd/>
          <a:tailEnd/>
        </a:ln>
      </xdr:spPr>
      <xdr:txBody>
        <a:bodyPr anchor="ctr"/>
        <a:lstStyle/>
        <a:p>
          <a:pPr algn="ctr"/>
          <a:fld id="{4D61A677-CAC7-48CC-8B39-73CE44EEE199}" type="TxLink">
            <a:rPr lang="en-US" sz="1200" b="1" i="0" u="none" strike="noStrike">
              <a:solidFill>
                <a:srgbClr val="000000"/>
              </a:solidFill>
              <a:latin typeface="Trebuchet MS"/>
            </a:rPr>
            <a:pPr algn="ctr"/>
            <a:t> </a:t>
          </a:fld>
          <a:endParaRPr lang="en-US"/>
        </a:p>
      </xdr:txBody>
    </xdr:sp>
    <xdr:clientData/>
  </xdr:twoCellAnchor>
  <xdr:twoCellAnchor>
    <xdr:from>
      <xdr:col>0</xdr:col>
      <xdr:colOff>85725</xdr:colOff>
      <xdr:row>58</xdr:row>
      <xdr:rowOff>182880</xdr:rowOff>
    </xdr:from>
    <xdr:to>
      <xdr:col>1</xdr:col>
      <xdr:colOff>133350</xdr:colOff>
      <xdr:row>62</xdr:row>
      <xdr:rowOff>85747</xdr:rowOff>
    </xdr:to>
    <xdr:sp macro="" textlink="I49">
      <xdr:nvSpPr>
        <xdr:cNvPr id="56092" name="Text Box 71">
          <a:extLst>
            <a:ext uri="{FF2B5EF4-FFF2-40B4-BE49-F238E27FC236}">
              <a16:creationId xmlns:a16="http://schemas.microsoft.com/office/drawing/2014/main" id="{00000000-0008-0000-1200-00001CDB0000}"/>
            </a:ext>
          </a:extLst>
        </xdr:cNvPr>
        <xdr:cNvSpPr txBox="1">
          <a:spLocks noChangeArrowheads="1"/>
        </xdr:cNvSpPr>
      </xdr:nvSpPr>
      <xdr:spPr bwMode="auto">
        <a:xfrm>
          <a:off x="85725" y="13298805"/>
          <a:ext cx="219075" cy="664867"/>
        </a:xfrm>
        <a:prstGeom prst="rect">
          <a:avLst/>
        </a:prstGeom>
        <a:solidFill>
          <a:srgbClr val="CEE5ED"/>
        </a:solidFill>
        <a:ln w="9525">
          <a:solidFill>
            <a:srgbClr val="000000"/>
          </a:solidFill>
          <a:miter lim="800000"/>
          <a:headEnd/>
          <a:tailEnd/>
        </a:ln>
      </xdr:spPr>
      <xdr:txBody>
        <a:bodyPr vert="vert270" anchor="ctr" anchorCtr="1"/>
        <a:lstStyle/>
        <a:p>
          <a:fld id="{4124A64E-7EFB-40F3-BBF0-193817F71335}" type="TxLink">
            <a:rPr lang="en-US" sz="1200" b="1" i="0" u="none" strike="noStrike">
              <a:solidFill>
                <a:srgbClr val="000000"/>
              </a:solidFill>
              <a:latin typeface="Trebuchet MS"/>
            </a:rPr>
            <a:pPr/>
            <a:t> </a:t>
          </a:fld>
          <a:endParaRPr lang="en-US"/>
        </a:p>
      </xdr:txBody>
    </xdr:sp>
    <xdr:clientData/>
  </xdr:twoCellAnchor>
  <xdr:twoCellAnchor>
    <xdr:from>
      <xdr:col>6</xdr:col>
      <xdr:colOff>200025</xdr:colOff>
      <xdr:row>67</xdr:row>
      <xdr:rowOff>57150</xdr:rowOff>
    </xdr:from>
    <xdr:to>
      <xdr:col>8</xdr:col>
      <xdr:colOff>61341</xdr:colOff>
      <xdr:row>68</xdr:row>
      <xdr:rowOff>78171</xdr:rowOff>
    </xdr:to>
    <xdr:sp macro="" textlink="L51">
      <xdr:nvSpPr>
        <xdr:cNvPr id="56093" name="Text Box 72">
          <a:extLst>
            <a:ext uri="{FF2B5EF4-FFF2-40B4-BE49-F238E27FC236}">
              <a16:creationId xmlns:a16="http://schemas.microsoft.com/office/drawing/2014/main" id="{00000000-0008-0000-1200-00001DDB0000}"/>
            </a:ext>
          </a:extLst>
        </xdr:cNvPr>
        <xdr:cNvSpPr txBox="1">
          <a:spLocks noChangeArrowheads="1"/>
        </xdr:cNvSpPr>
      </xdr:nvSpPr>
      <xdr:spPr bwMode="auto">
        <a:xfrm>
          <a:off x="2505075" y="13277850"/>
          <a:ext cx="851916" cy="211521"/>
        </a:xfrm>
        <a:prstGeom prst="rect">
          <a:avLst/>
        </a:prstGeom>
        <a:solidFill>
          <a:srgbClr val="CEE5ED"/>
        </a:solidFill>
        <a:ln w="9525">
          <a:solidFill>
            <a:srgbClr val="000000"/>
          </a:solidFill>
          <a:miter lim="800000"/>
          <a:headEnd/>
          <a:tailEnd/>
        </a:ln>
      </xdr:spPr>
      <xdr:txBody>
        <a:bodyPr anchor="ctr"/>
        <a:lstStyle/>
        <a:p>
          <a:pPr algn="ctr"/>
          <a:fld id="{DC467CBC-A206-45B1-B5B0-AC6B44E8C64E}" type="TxLink">
            <a:rPr lang="en-US" sz="1200" b="1" i="0" u="none" strike="noStrike">
              <a:solidFill>
                <a:srgbClr val="000000"/>
              </a:solidFill>
              <a:latin typeface="Trebuchet MS"/>
            </a:rPr>
            <a:pPr algn="ctr"/>
            <a:t> </a:t>
          </a:fld>
          <a:endParaRPr lang="en-US"/>
        </a:p>
      </xdr:txBody>
    </xdr:sp>
    <xdr:clientData/>
  </xdr:twoCellAnchor>
  <xdr:twoCellAnchor>
    <xdr:from>
      <xdr:col>9</xdr:col>
      <xdr:colOff>9525</xdr:colOff>
      <xdr:row>60</xdr:row>
      <xdr:rowOff>114300</xdr:rowOff>
    </xdr:from>
    <xdr:to>
      <xdr:col>10</xdr:col>
      <xdr:colOff>76199</xdr:colOff>
      <xdr:row>61</xdr:row>
      <xdr:rowOff>173635</xdr:rowOff>
    </xdr:to>
    <xdr:sp macro="" textlink="K8">
      <xdr:nvSpPr>
        <xdr:cNvPr id="56094" name="Text Box 73">
          <a:extLst>
            <a:ext uri="{FF2B5EF4-FFF2-40B4-BE49-F238E27FC236}">
              <a16:creationId xmlns:a16="http://schemas.microsoft.com/office/drawing/2014/main" id="{00000000-0008-0000-1200-00001EDB0000}"/>
            </a:ext>
          </a:extLst>
        </xdr:cNvPr>
        <xdr:cNvSpPr txBox="1">
          <a:spLocks noChangeArrowheads="1"/>
        </xdr:cNvSpPr>
      </xdr:nvSpPr>
      <xdr:spPr bwMode="auto">
        <a:xfrm>
          <a:off x="3800475" y="12001500"/>
          <a:ext cx="561974" cy="249835"/>
        </a:xfrm>
        <a:prstGeom prst="rect">
          <a:avLst/>
        </a:prstGeom>
        <a:solidFill>
          <a:srgbClr val="CEE5ED"/>
        </a:solidFill>
        <a:ln w="9525">
          <a:solidFill>
            <a:srgbClr val="000000"/>
          </a:solidFill>
          <a:miter lim="800000"/>
          <a:headEnd/>
          <a:tailEnd/>
        </a:ln>
      </xdr:spPr>
      <xdr:txBody>
        <a:bodyPr anchor="ctr"/>
        <a:lstStyle/>
        <a:p>
          <a:pPr algn="ctr"/>
          <a:fld id="{4427215D-A462-4ECF-A930-1773234065A2}" type="TxLink">
            <a:rPr lang="en-US" sz="1200" b="1" i="0" u="none" strike="noStrike">
              <a:solidFill>
                <a:srgbClr val="000000"/>
              </a:solidFill>
              <a:latin typeface="Trebuchet MS"/>
            </a:rPr>
            <a:pPr algn="ctr"/>
            <a:t> </a:t>
          </a:fld>
          <a:endParaRPr lang="en-US"/>
        </a:p>
      </xdr:txBody>
    </xdr:sp>
    <xdr:clientData/>
  </xdr:twoCellAnchor>
  <xdr:twoCellAnchor>
    <xdr:from>
      <xdr:col>10</xdr:col>
      <xdr:colOff>238125</xdr:colOff>
      <xdr:row>60</xdr:row>
      <xdr:rowOff>114301</xdr:rowOff>
    </xdr:from>
    <xdr:to>
      <xdr:col>11</xdr:col>
      <xdr:colOff>257175</xdr:colOff>
      <xdr:row>61</xdr:row>
      <xdr:rowOff>171655</xdr:rowOff>
    </xdr:to>
    <xdr:sp macro="" textlink="K10">
      <xdr:nvSpPr>
        <xdr:cNvPr id="56095" name="Text Box 74">
          <a:extLst>
            <a:ext uri="{FF2B5EF4-FFF2-40B4-BE49-F238E27FC236}">
              <a16:creationId xmlns:a16="http://schemas.microsoft.com/office/drawing/2014/main" id="{00000000-0008-0000-1200-00001FDB0000}"/>
            </a:ext>
          </a:extLst>
        </xdr:cNvPr>
        <xdr:cNvSpPr txBox="1">
          <a:spLocks noChangeArrowheads="1"/>
        </xdr:cNvSpPr>
      </xdr:nvSpPr>
      <xdr:spPr bwMode="auto">
        <a:xfrm>
          <a:off x="4524375" y="12001501"/>
          <a:ext cx="514350" cy="247854"/>
        </a:xfrm>
        <a:prstGeom prst="rect">
          <a:avLst/>
        </a:prstGeom>
        <a:solidFill>
          <a:srgbClr val="CEE5ED"/>
        </a:solidFill>
        <a:ln w="9525">
          <a:solidFill>
            <a:srgbClr val="000000"/>
          </a:solidFill>
          <a:miter lim="800000"/>
          <a:headEnd/>
          <a:tailEnd/>
        </a:ln>
      </xdr:spPr>
      <xdr:txBody>
        <a:bodyPr anchor="ctr"/>
        <a:lstStyle/>
        <a:p>
          <a:pPr algn="ctr"/>
          <a:fld id="{4F0F459F-7F7D-46ED-A8DB-617A062F045F}" type="TxLink">
            <a:rPr lang="en-US" sz="1200" b="1" i="0" u="none" strike="noStrike">
              <a:solidFill>
                <a:srgbClr val="000000"/>
              </a:solidFill>
              <a:latin typeface="Trebuchet MS"/>
            </a:rPr>
            <a:pPr algn="ctr"/>
            <a:t> </a:t>
          </a:fld>
          <a:endParaRPr lang="en-US"/>
        </a:p>
      </xdr:txBody>
    </xdr:sp>
    <xdr:clientData/>
  </xdr:twoCellAnchor>
  <xdr:twoCellAnchor>
    <xdr:from>
      <xdr:col>4</xdr:col>
      <xdr:colOff>187960</xdr:colOff>
      <xdr:row>71</xdr:row>
      <xdr:rowOff>6350</xdr:rowOff>
    </xdr:from>
    <xdr:to>
      <xdr:col>5</xdr:col>
      <xdr:colOff>217179</xdr:colOff>
      <xdr:row>71</xdr:row>
      <xdr:rowOff>187324</xdr:rowOff>
    </xdr:to>
    <xdr:sp macro="" textlink="$K$29">
      <xdr:nvSpPr>
        <xdr:cNvPr id="56096" name="Text Box 75">
          <a:extLst>
            <a:ext uri="{FF2B5EF4-FFF2-40B4-BE49-F238E27FC236}">
              <a16:creationId xmlns:a16="http://schemas.microsoft.com/office/drawing/2014/main" id="{00000000-0008-0000-1200-000020DB0000}"/>
            </a:ext>
          </a:extLst>
        </xdr:cNvPr>
        <xdr:cNvSpPr txBox="1">
          <a:spLocks noChangeArrowheads="1"/>
        </xdr:cNvSpPr>
      </xdr:nvSpPr>
      <xdr:spPr bwMode="auto">
        <a:xfrm>
          <a:off x="1540510" y="15598775"/>
          <a:ext cx="534044" cy="180974"/>
        </a:xfrm>
        <a:prstGeom prst="rect">
          <a:avLst/>
        </a:prstGeom>
        <a:solidFill>
          <a:srgbClr val="CEE5ED"/>
        </a:solidFill>
        <a:ln w="9525">
          <a:solidFill>
            <a:srgbClr val="000000"/>
          </a:solidFill>
          <a:miter lim="800000"/>
          <a:headEnd/>
          <a:tailEnd/>
        </a:ln>
      </xdr:spPr>
      <xdr:txBody>
        <a:bodyPr anchor="ctr"/>
        <a:lstStyle/>
        <a:p>
          <a:pPr algn="ctr"/>
          <a:fld id="{B1514EF5-D0BD-4EE9-B785-E5170B5C799A}" type="TxLink">
            <a:rPr lang="en-US" sz="1200" b="1" i="0" u="none" strike="noStrike">
              <a:solidFill>
                <a:srgbClr val="000000"/>
              </a:solidFill>
              <a:latin typeface="Trebuchet MS"/>
            </a:rPr>
            <a:pPr algn="ctr"/>
            <a:t> </a:t>
          </a:fld>
          <a:endParaRPr lang="en-US"/>
        </a:p>
      </xdr:txBody>
    </xdr:sp>
    <xdr:clientData/>
  </xdr:twoCellAnchor>
  <xdr:twoCellAnchor>
    <xdr:from>
      <xdr:col>6</xdr:col>
      <xdr:colOff>394335</xdr:colOff>
      <xdr:row>71</xdr:row>
      <xdr:rowOff>95250</xdr:rowOff>
    </xdr:from>
    <xdr:to>
      <xdr:col>8</xdr:col>
      <xdr:colOff>171442</xdr:colOff>
      <xdr:row>72</xdr:row>
      <xdr:rowOff>123825</xdr:rowOff>
    </xdr:to>
    <xdr:sp macro="" textlink="$K$42">
      <xdr:nvSpPr>
        <xdr:cNvPr id="56097" name="Text Box 76">
          <a:extLst>
            <a:ext uri="{FF2B5EF4-FFF2-40B4-BE49-F238E27FC236}">
              <a16:creationId xmlns:a16="http://schemas.microsoft.com/office/drawing/2014/main" id="{00000000-0008-0000-1200-000021DB0000}"/>
            </a:ext>
          </a:extLst>
        </xdr:cNvPr>
        <xdr:cNvSpPr txBox="1">
          <a:spLocks noChangeArrowheads="1"/>
        </xdr:cNvSpPr>
      </xdr:nvSpPr>
      <xdr:spPr bwMode="auto">
        <a:xfrm>
          <a:off x="2756535" y="15687675"/>
          <a:ext cx="786757" cy="219075"/>
        </a:xfrm>
        <a:prstGeom prst="rect">
          <a:avLst/>
        </a:prstGeom>
        <a:solidFill>
          <a:srgbClr val="CEE5ED"/>
        </a:solidFill>
        <a:ln w="9525">
          <a:solidFill>
            <a:srgbClr val="000000"/>
          </a:solidFill>
          <a:miter lim="800000"/>
          <a:headEnd/>
          <a:tailEnd/>
        </a:ln>
      </xdr:spPr>
      <xdr:txBody>
        <a:bodyPr anchor="ctr"/>
        <a:lstStyle/>
        <a:p>
          <a:pPr algn="ctr"/>
          <a:fld id="{0EE7A48B-9547-4204-A867-47E5749309BD}" type="TxLink">
            <a:rPr lang="en-US" sz="1200" b="1" i="0" u="none" strike="noStrike">
              <a:solidFill>
                <a:srgbClr val="000000"/>
              </a:solidFill>
              <a:latin typeface="Trebuchet MS"/>
            </a:rPr>
            <a:pPr algn="ctr"/>
            <a:t> </a:t>
          </a:fld>
          <a:endParaRPr lang="en-US"/>
        </a:p>
      </xdr:txBody>
    </xdr:sp>
    <xdr:clientData/>
  </xdr:twoCellAnchor>
  <xdr:twoCellAnchor>
    <xdr:from>
      <xdr:col>5</xdr:col>
      <xdr:colOff>474345</xdr:colOff>
      <xdr:row>76</xdr:row>
      <xdr:rowOff>157480</xdr:rowOff>
    </xdr:from>
    <xdr:to>
      <xdr:col>7</xdr:col>
      <xdr:colOff>108591</xdr:colOff>
      <xdr:row>78</xdr:row>
      <xdr:rowOff>3379</xdr:rowOff>
    </xdr:to>
    <xdr:sp macro="" textlink="K8">
      <xdr:nvSpPr>
        <xdr:cNvPr id="56098" name="Text Box 77">
          <a:extLst>
            <a:ext uri="{FF2B5EF4-FFF2-40B4-BE49-F238E27FC236}">
              <a16:creationId xmlns:a16="http://schemas.microsoft.com/office/drawing/2014/main" id="{00000000-0008-0000-1200-000022DB0000}"/>
            </a:ext>
          </a:extLst>
        </xdr:cNvPr>
        <xdr:cNvSpPr txBox="1">
          <a:spLocks noChangeArrowheads="1"/>
        </xdr:cNvSpPr>
      </xdr:nvSpPr>
      <xdr:spPr bwMode="auto">
        <a:xfrm>
          <a:off x="2331720" y="16702405"/>
          <a:ext cx="643896" cy="226899"/>
        </a:xfrm>
        <a:prstGeom prst="rect">
          <a:avLst/>
        </a:prstGeom>
        <a:solidFill>
          <a:srgbClr val="CEE5ED"/>
        </a:solidFill>
        <a:ln w="9525">
          <a:solidFill>
            <a:srgbClr val="000000"/>
          </a:solidFill>
          <a:miter lim="800000"/>
          <a:headEnd/>
          <a:tailEnd/>
        </a:ln>
      </xdr:spPr>
      <xdr:txBody>
        <a:bodyPr anchor="ctr"/>
        <a:lstStyle/>
        <a:p>
          <a:pPr algn="ctr"/>
          <a:fld id="{E6D7E215-1529-406B-BDFA-07521D44E692}" type="TxLink">
            <a:rPr lang="en-US" sz="1200" b="1" i="0" u="none" strike="noStrike">
              <a:solidFill>
                <a:srgbClr val="000000"/>
              </a:solidFill>
              <a:latin typeface="Trebuchet MS"/>
            </a:rPr>
            <a:pPr algn="ctr"/>
            <a:t> </a:t>
          </a:fld>
          <a:endParaRPr lang="en-US"/>
        </a:p>
      </xdr:txBody>
    </xdr:sp>
    <xdr:clientData/>
  </xdr:twoCellAnchor>
  <xdr:twoCellAnchor editAs="oneCell">
    <xdr:from>
      <xdr:col>14</xdr:col>
      <xdr:colOff>238125</xdr:colOff>
      <xdr:row>23</xdr:row>
      <xdr:rowOff>152400</xdr:rowOff>
    </xdr:from>
    <xdr:to>
      <xdr:col>20</xdr:col>
      <xdr:colOff>342900</xdr:colOff>
      <xdr:row>57</xdr:row>
      <xdr:rowOff>133350</xdr:rowOff>
    </xdr:to>
    <xdr:pic>
      <xdr:nvPicPr>
        <xdr:cNvPr id="2990986" name="Picture 79">
          <a:extLst>
            <a:ext uri="{FF2B5EF4-FFF2-40B4-BE49-F238E27FC236}">
              <a16:creationId xmlns:a16="http://schemas.microsoft.com/office/drawing/2014/main" id="{00000000-0008-0000-1200-00008AA32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3225" y="4848225"/>
          <a:ext cx="2790825" cy="6334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400050</xdr:colOff>
      <xdr:row>62</xdr:row>
      <xdr:rowOff>76200</xdr:rowOff>
    </xdr:from>
    <xdr:to>
      <xdr:col>13</xdr:col>
      <xdr:colOff>34490</xdr:colOff>
      <xdr:row>63</xdr:row>
      <xdr:rowOff>104775</xdr:rowOff>
    </xdr:to>
    <xdr:sp macro="" textlink="K47">
      <xdr:nvSpPr>
        <xdr:cNvPr id="21" name="Text Box 68">
          <a:extLst>
            <a:ext uri="{FF2B5EF4-FFF2-40B4-BE49-F238E27FC236}">
              <a16:creationId xmlns:a16="http://schemas.microsoft.com/office/drawing/2014/main" id="{00000000-0008-0000-1200-000015000000}"/>
            </a:ext>
          </a:extLst>
        </xdr:cNvPr>
        <xdr:cNvSpPr txBox="1">
          <a:spLocks noChangeArrowheads="1"/>
        </xdr:cNvSpPr>
      </xdr:nvSpPr>
      <xdr:spPr bwMode="auto">
        <a:xfrm>
          <a:off x="5181600" y="12344400"/>
          <a:ext cx="625040" cy="219075"/>
        </a:xfrm>
        <a:prstGeom prst="rect">
          <a:avLst/>
        </a:prstGeom>
        <a:solidFill>
          <a:srgbClr val="CEE5ED"/>
        </a:solidFill>
        <a:ln w="9525">
          <a:solidFill>
            <a:srgbClr val="000000"/>
          </a:solidFill>
          <a:miter lim="800000"/>
          <a:headEnd/>
          <a:tailEnd/>
        </a:ln>
      </xdr:spPr>
      <xdr:txBody>
        <a:bodyPr anchor="ctr"/>
        <a:lstStyle/>
        <a:p>
          <a:pPr algn="ctr"/>
          <a:fld id="{5534AACB-2A00-40A0-9634-C5C093282B09}" type="TxLink">
            <a:rPr lang="en-US" sz="1200" b="1" i="0" u="none" strike="noStrike">
              <a:solidFill>
                <a:srgbClr val="000000"/>
              </a:solidFill>
              <a:latin typeface="Trebuchet MS"/>
            </a:rPr>
            <a:pPr algn="ctr"/>
            <a:t> </a:t>
          </a:fld>
          <a:endParaRPr lang="en-US"/>
        </a:p>
      </xdr:txBody>
    </xdr:sp>
    <xdr:clientData/>
  </xdr:twoCellAnchor>
  <xdr:twoCellAnchor editAs="oneCell">
    <xdr:from>
      <xdr:col>14</xdr:col>
      <xdr:colOff>247650</xdr:colOff>
      <xdr:row>0</xdr:row>
      <xdr:rowOff>9525</xdr:rowOff>
    </xdr:from>
    <xdr:to>
      <xdr:col>21</xdr:col>
      <xdr:colOff>142875</xdr:colOff>
      <xdr:row>22</xdr:row>
      <xdr:rowOff>47625</xdr:rowOff>
    </xdr:to>
    <xdr:pic>
      <xdr:nvPicPr>
        <xdr:cNvPr id="2990991" name="Picture 2">
          <a:extLst>
            <a:ext uri="{FF2B5EF4-FFF2-40B4-BE49-F238E27FC236}">
              <a16:creationId xmlns:a16="http://schemas.microsoft.com/office/drawing/2014/main" id="{00000000-0008-0000-1200-00008FA32D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8950" y="9525"/>
          <a:ext cx="2962275" cy="476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85725</xdr:colOff>
      <xdr:row>0</xdr:row>
      <xdr:rowOff>76200</xdr:rowOff>
    </xdr:from>
    <xdr:to>
      <xdr:col>13</xdr:col>
      <xdr:colOff>329674</xdr:colOff>
      <xdr:row>0</xdr:row>
      <xdr:rowOff>624840</xdr:rowOff>
    </xdr:to>
    <xdr:pic>
      <xdr:nvPicPr>
        <xdr:cNvPr id="20" name="Picture 19">
          <a:extLst>
            <a:ext uri="{FF2B5EF4-FFF2-40B4-BE49-F238E27FC236}">
              <a16:creationId xmlns:a16="http://schemas.microsoft.com/office/drawing/2014/main" id="{00000000-0008-0000-1200-00001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543425" y="76200"/>
          <a:ext cx="1786999" cy="548640"/>
        </a:xfrm>
        <a:prstGeom prst="rect">
          <a:avLst/>
        </a:prstGeom>
      </xdr:spPr>
    </xdr:pic>
    <xdr:clientData/>
  </xdr:twoCellAnchor>
  <xdr:twoCellAnchor editAs="oneCell">
    <xdr:from>
      <xdr:col>0</xdr:col>
      <xdr:colOff>152400</xdr:colOff>
      <xdr:row>0</xdr:row>
      <xdr:rowOff>85725</xdr:rowOff>
    </xdr:from>
    <xdr:to>
      <xdr:col>4</xdr:col>
      <xdr:colOff>161925</xdr:colOff>
      <xdr:row>0</xdr:row>
      <xdr:rowOff>634365</xdr:rowOff>
    </xdr:to>
    <xdr:pic>
      <xdr:nvPicPr>
        <xdr:cNvPr id="22" name="Picture 21">
          <a:extLst>
            <a:ext uri="{FF2B5EF4-FFF2-40B4-BE49-F238E27FC236}">
              <a16:creationId xmlns:a16="http://schemas.microsoft.com/office/drawing/2014/main" id="{00000000-0008-0000-1200-000016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52400" y="85725"/>
          <a:ext cx="1381125" cy="548640"/>
        </a:xfrm>
        <a:prstGeom prst="rect">
          <a:avLst/>
        </a:prstGeom>
      </xdr:spPr>
    </xdr:pic>
    <xdr:clientData/>
  </xdr:twoCellAnchor>
  <xdr:twoCellAnchor editAs="oneCell">
    <xdr:from>
      <xdr:col>0</xdr:col>
      <xdr:colOff>76200</xdr:colOff>
      <xdr:row>55</xdr:row>
      <xdr:rowOff>114300</xdr:rowOff>
    </xdr:from>
    <xdr:to>
      <xdr:col>13</xdr:col>
      <xdr:colOff>381000</xdr:colOff>
      <xdr:row>68</xdr:row>
      <xdr:rowOff>66675</xdr:rowOff>
    </xdr:to>
    <xdr:sp macro="" textlink="">
      <xdr:nvSpPr>
        <xdr:cNvPr id="3604482" name="AutoShape 2">
          <a:extLst>
            <a:ext uri="{FF2B5EF4-FFF2-40B4-BE49-F238E27FC236}">
              <a16:creationId xmlns:a16="http://schemas.microsoft.com/office/drawing/2014/main" id="{00000000-0008-0000-1200-000002003700}"/>
            </a:ext>
          </a:extLst>
        </xdr:cNvPr>
        <xdr:cNvSpPr>
          <a:spLocks noChangeAspect="1" noChangeArrowheads="1"/>
        </xdr:cNvSpPr>
      </xdr:nvSpPr>
      <xdr:spPr bwMode="auto">
        <a:xfrm>
          <a:off x="76200" y="11039475"/>
          <a:ext cx="6076950" cy="2438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66675</xdr:colOff>
      <xdr:row>95</xdr:row>
      <xdr:rowOff>152400</xdr:rowOff>
    </xdr:from>
    <xdr:to>
      <xdr:col>17</xdr:col>
      <xdr:colOff>285750</xdr:colOff>
      <xdr:row>116</xdr:row>
      <xdr:rowOff>152400</xdr:rowOff>
    </xdr:to>
    <xdr:pic>
      <xdr:nvPicPr>
        <xdr:cNvPr id="3003568" name="Picture 27" descr="Updated Flat mound diag#B2D">
          <a:extLst>
            <a:ext uri="{FF2B5EF4-FFF2-40B4-BE49-F238E27FC236}">
              <a16:creationId xmlns:a16="http://schemas.microsoft.com/office/drawing/2014/main" id="{00000000-0008-0000-1300-0000B0D42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6737"/>
        <a:stretch>
          <a:fillRect/>
        </a:stretch>
      </xdr:blipFill>
      <xdr:spPr bwMode="auto">
        <a:xfrm>
          <a:off x="66675" y="16973550"/>
          <a:ext cx="5972175" cy="401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14</xdr:row>
      <xdr:rowOff>19050</xdr:rowOff>
    </xdr:from>
    <xdr:to>
      <xdr:col>10</xdr:col>
      <xdr:colOff>19050</xdr:colOff>
      <xdr:row>23</xdr:row>
      <xdr:rowOff>76200</xdr:rowOff>
    </xdr:to>
    <xdr:pic>
      <xdr:nvPicPr>
        <xdr:cNvPr id="3003570" name="Picture 471">
          <a:extLst>
            <a:ext uri="{FF2B5EF4-FFF2-40B4-BE49-F238E27FC236}">
              <a16:creationId xmlns:a16="http://schemas.microsoft.com/office/drawing/2014/main" id="{00000000-0008-0000-1300-0000B2D42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b="1556"/>
        <a:stretch>
          <a:fillRect/>
        </a:stretch>
      </xdr:blipFill>
      <xdr:spPr bwMode="auto">
        <a:xfrm>
          <a:off x="114300" y="2771775"/>
          <a:ext cx="3048000" cy="192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116</xdr:row>
      <xdr:rowOff>47626</xdr:rowOff>
    </xdr:from>
    <xdr:to>
      <xdr:col>17</xdr:col>
      <xdr:colOff>133350</xdr:colOff>
      <xdr:row>130</xdr:row>
      <xdr:rowOff>123825</xdr:rowOff>
    </xdr:to>
    <xdr:pic>
      <xdr:nvPicPr>
        <xdr:cNvPr id="3003571" name="Picture 28" descr="Updated Flat mound diag#B2F">
          <a:extLst>
            <a:ext uri="{FF2B5EF4-FFF2-40B4-BE49-F238E27FC236}">
              <a16:creationId xmlns:a16="http://schemas.microsoft.com/office/drawing/2014/main" id="{00000000-0008-0000-1300-0000B3D42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878801"/>
          <a:ext cx="5619750" cy="27431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10</xdr:col>
      <xdr:colOff>0</xdr:colOff>
      <xdr:row>98</xdr:row>
      <xdr:rowOff>80010</xdr:rowOff>
    </xdr:from>
    <xdr:ext cx="1378923" cy="338938"/>
    <xdr:sp macro="" textlink="">
      <xdr:nvSpPr>
        <xdr:cNvPr id="8" name="TextBox 7">
          <a:extLst>
            <a:ext uri="{FF2B5EF4-FFF2-40B4-BE49-F238E27FC236}">
              <a16:creationId xmlns:a16="http://schemas.microsoft.com/office/drawing/2014/main" id="{00000000-0008-0000-1300-000008000000}"/>
            </a:ext>
          </a:extLst>
        </xdr:cNvPr>
        <xdr:cNvSpPr txBox="1"/>
      </xdr:nvSpPr>
      <xdr:spPr>
        <a:xfrm>
          <a:off x="3249930" y="19076670"/>
          <a:ext cx="1388482" cy="3389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400" b="0"/>
            <a:t>Upslope</a:t>
          </a:r>
        </a:p>
      </xdr:txBody>
    </xdr:sp>
    <xdr:clientData/>
  </xdr:oneCellAnchor>
  <xdr:oneCellAnchor>
    <xdr:from>
      <xdr:col>10</xdr:col>
      <xdr:colOff>20955</xdr:colOff>
      <xdr:row>109</xdr:row>
      <xdr:rowOff>20955</xdr:rowOff>
    </xdr:from>
    <xdr:ext cx="1376905" cy="323707"/>
    <xdr:sp macro="" textlink="">
      <xdr:nvSpPr>
        <xdr:cNvPr id="9" name="TextBox 8">
          <a:extLst>
            <a:ext uri="{FF2B5EF4-FFF2-40B4-BE49-F238E27FC236}">
              <a16:creationId xmlns:a16="http://schemas.microsoft.com/office/drawing/2014/main" id="{00000000-0008-0000-1300-000009000000}"/>
            </a:ext>
          </a:extLst>
        </xdr:cNvPr>
        <xdr:cNvSpPr txBox="1"/>
      </xdr:nvSpPr>
      <xdr:spPr>
        <a:xfrm>
          <a:off x="3282315" y="21387435"/>
          <a:ext cx="1400174" cy="3237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400" b="0"/>
            <a:t>Downslope</a:t>
          </a:r>
        </a:p>
      </xdr:txBody>
    </xdr:sp>
    <xdr:clientData/>
  </xdr:oneCellAnchor>
  <xdr:oneCellAnchor>
    <xdr:from>
      <xdr:col>14</xdr:col>
      <xdr:colOff>108585</xdr:colOff>
      <xdr:row>101</xdr:row>
      <xdr:rowOff>158115</xdr:rowOff>
    </xdr:from>
    <xdr:ext cx="877921" cy="331235"/>
    <xdr:sp macro="" textlink="">
      <xdr:nvSpPr>
        <xdr:cNvPr id="10" name="TextBox 9">
          <a:extLst>
            <a:ext uri="{FF2B5EF4-FFF2-40B4-BE49-F238E27FC236}">
              <a16:creationId xmlns:a16="http://schemas.microsoft.com/office/drawing/2014/main" id="{00000000-0008-0000-1300-00000A000000}"/>
            </a:ext>
          </a:extLst>
        </xdr:cNvPr>
        <xdr:cNvSpPr txBox="1"/>
      </xdr:nvSpPr>
      <xdr:spPr>
        <a:xfrm>
          <a:off x="4832985" y="19726275"/>
          <a:ext cx="887443" cy="3312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400" b="0"/>
            <a:t>Endslope</a:t>
          </a:r>
        </a:p>
      </xdr:txBody>
    </xdr:sp>
    <xdr:clientData/>
  </xdr:oneCellAnchor>
  <xdr:oneCellAnchor>
    <xdr:from>
      <xdr:col>3</xdr:col>
      <xdr:colOff>146685</xdr:colOff>
      <xdr:row>101</xdr:row>
      <xdr:rowOff>161925</xdr:rowOff>
    </xdr:from>
    <xdr:ext cx="991330" cy="331235"/>
    <xdr:sp macro="" textlink="">
      <xdr:nvSpPr>
        <xdr:cNvPr id="11" name="TextBox 10">
          <a:extLst>
            <a:ext uri="{FF2B5EF4-FFF2-40B4-BE49-F238E27FC236}">
              <a16:creationId xmlns:a16="http://schemas.microsoft.com/office/drawing/2014/main" id="{00000000-0008-0000-1300-00000B000000}"/>
            </a:ext>
          </a:extLst>
        </xdr:cNvPr>
        <xdr:cNvSpPr txBox="1"/>
      </xdr:nvSpPr>
      <xdr:spPr>
        <a:xfrm>
          <a:off x="862965" y="19730085"/>
          <a:ext cx="988695" cy="3312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400" b="0"/>
            <a:t>Endslope </a:t>
          </a:r>
        </a:p>
      </xdr:txBody>
    </xdr:sp>
    <xdr:clientData/>
  </xdr:oneCellAnchor>
  <xdr:oneCellAnchor>
    <xdr:from>
      <xdr:col>0</xdr:col>
      <xdr:colOff>16311</xdr:colOff>
      <xdr:row>98</xdr:row>
      <xdr:rowOff>120851</xdr:rowOff>
    </xdr:from>
    <xdr:ext cx="327214" cy="2066926"/>
    <xdr:sp macro="" textlink="">
      <xdr:nvSpPr>
        <xdr:cNvPr id="14" name="TextBox 13">
          <a:extLst>
            <a:ext uri="{FF2B5EF4-FFF2-40B4-BE49-F238E27FC236}">
              <a16:creationId xmlns:a16="http://schemas.microsoft.com/office/drawing/2014/main" id="{00000000-0008-0000-1300-00000E000000}"/>
            </a:ext>
          </a:extLst>
        </xdr:cNvPr>
        <xdr:cNvSpPr txBox="1"/>
      </xdr:nvSpPr>
      <xdr:spPr>
        <a:xfrm rot="16200000">
          <a:off x="-853545" y="20261687"/>
          <a:ext cx="2066926" cy="32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400" b="0"/>
            <a:t>Total  Mound Width </a:t>
          </a:r>
        </a:p>
      </xdr:txBody>
    </xdr:sp>
    <xdr:clientData/>
  </xdr:oneCellAnchor>
  <xdr:oneCellAnchor>
    <xdr:from>
      <xdr:col>6</xdr:col>
      <xdr:colOff>231340</xdr:colOff>
      <xdr:row>114</xdr:row>
      <xdr:rowOff>73462</xdr:rowOff>
    </xdr:from>
    <xdr:ext cx="2235744" cy="338938"/>
    <xdr:sp macro="" textlink="">
      <xdr:nvSpPr>
        <xdr:cNvPr id="15" name="TextBox 14">
          <a:extLst>
            <a:ext uri="{FF2B5EF4-FFF2-40B4-BE49-F238E27FC236}">
              <a16:creationId xmlns:a16="http://schemas.microsoft.com/office/drawing/2014/main" id="{00000000-0008-0000-1300-00000F000000}"/>
            </a:ext>
          </a:extLst>
        </xdr:cNvPr>
        <xdr:cNvSpPr txBox="1"/>
      </xdr:nvSpPr>
      <xdr:spPr>
        <a:xfrm>
          <a:off x="2052520" y="24564142"/>
          <a:ext cx="2267400" cy="3389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a:r>
            <a:rPr lang="en-US" sz="1400" b="0">
              <a:latin typeface="+mn-lt"/>
            </a:rPr>
            <a:t>Total Mound Length </a:t>
          </a:r>
        </a:p>
      </xdr:txBody>
    </xdr:sp>
    <xdr:clientData/>
  </xdr:oneCellAnchor>
  <xdr:oneCellAnchor>
    <xdr:from>
      <xdr:col>6</xdr:col>
      <xdr:colOff>238125</xdr:colOff>
      <xdr:row>129</xdr:row>
      <xdr:rowOff>80010</xdr:rowOff>
    </xdr:from>
    <xdr:ext cx="1727085" cy="331235"/>
    <xdr:sp macro="" textlink="">
      <xdr:nvSpPr>
        <xdr:cNvPr id="16" name="TextBox 15">
          <a:extLst>
            <a:ext uri="{FF2B5EF4-FFF2-40B4-BE49-F238E27FC236}">
              <a16:creationId xmlns:a16="http://schemas.microsoft.com/office/drawing/2014/main" id="{00000000-0008-0000-1300-000010000000}"/>
            </a:ext>
          </a:extLst>
        </xdr:cNvPr>
        <xdr:cNvSpPr txBox="1"/>
      </xdr:nvSpPr>
      <xdr:spPr>
        <a:xfrm>
          <a:off x="2009775" y="23387685"/>
          <a:ext cx="1727085" cy="3312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a:r>
            <a:rPr lang="en-US" sz="1300" b="0"/>
            <a:t>Absorption</a:t>
          </a:r>
          <a:r>
            <a:rPr lang="en-US" sz="1300" b="0" baseline="0"/>
            <a:t> Width </a:t>
          </a:r>
          <a:endParaRPr lang="en-US" sz="1300" b="0"/>
        </a:p>
      </xdr:txBody>
    </xdr:sp>
    <xdr:clientData/>
  </xdr:oneCellAnchor>
  <xdr:oneCellAnchor>
    <xdr:from>
      <xdr:col>6</xdr:col>
      <xdr:colOff>318135</xdr:colOff>
      <xdr:row>124</xdr:row>
      <xdr:rowOff>158115</xdr:rowOff>
    </xdr:from>
    <xdr:ext cx="1790721" cy="331235"/>
    <xdr:sp macro="" textlink="">
      <xdr:nvSpPr>
        <xdr:cNvPr id="17" name="TextBox 16">
          <a:extLst>
            <a:ext uri="{FF2B5EF4-FFF2-40B4-BE49-F238E27FC236}">
              <a16:creationId xmlns:a16="http://schemas.microsoft.com/office/drawing/2014/main" id="{00000000-0008-0000-1300-000011000000}"/>
            </a:ext>
          </a:extLst>
        </xdr:cNvPr>
        <xdr:cNvSpPr txBox="1"/>
      </xdr:nvSpPr>
      <xdr:spPr>
        <a:xfrm>
          <a:off x="2089785" y="22513290"/>
          <a:ext cx="1790721" cy="3312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a:r>
            <a:rPr lang="en-US" sz="1300" b="0">
              <a:solidFill>
                <a:sysClr val="windowText" lastClr="000000"/>
              </a:solidFill>
            </a:rPr>
            <a:t>Depth to Limiting </a:t>
          </a:r>
        </a:p>
      </xdr:txBody>
    </xdr:sp>
    <xdr:clientData/>
  </xdr:oneCellAnchor>
  <xdr:oneCellAnchor>
    <xdr:from>
      <xdr:col>9</xdr:col>
      <xdr:colOff>272415</xdr:colOff>
      <xdr:row>126</xdr:row>
      <xdr:rowOff>57150</xdr:rowOff>
    </xdr:from>
    <xdr:ext cx="1412414" cy="338938"/>
    <xdr:sp macro="" textlink="">
      <xdr:nvSpPr>
        <xdr:cNvPr id="18" name="TextBox 17">
          <a:extLst>
            <a:ext uri="{FF2B5EF4-FFF2-40B4-BE49-F238E27FC236}">
              <a16:creationId xmlns:a16="http://schemas.microsoft.com/office/drawing/2014/main" id="{00000000-0008-0000-1300-000012000000}"/>
            </a:ext>
          </a:extLst>
        </xdr:cNvPr>
        <xdr:cNvSpPr txBox="1"/>
      </xdr:nvSpPr>
      <xdr:spPr>
        <a:xfrm>
          <a:off x="3129915" y="22793325"/>
          <a:ext cx="1412414" cy="3389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a:r>
            <a:rPr lang="en-US" sz="1300" b="0">
              <a:solidFill>
                <a:srgbClr val="FF00FF"/>
              </a:solidFill>
            </a:rPr>
            <a:t>Limiting Condition</a:t>
          </a:r>
        </a:p>
      </xdr:txBody>
    </xdr:sp>
    <xdr:clientData/>
  </xdr:oneCellAnchor>
  <xdr:oneCellAnchor>
    <xdr:from>
      <xdr:col>2</xdr:col>
      <xdr:colOff>314325</xdr:colOff>
      <xdr:row>120</xdr:row>
      <xdr:rowOff>19050</xdr:rowOff>
    </xdr:from>
    <xdr:ext cx="1260423" cy="331235"/>
    <xdr:sp macro="" textlink="">
      <xdr:nvSpPr>
        <xdr:cNvPr id="19" name="TextBox 18">
          <a:extLst>
            <a:ext uri="{FF2B5EF4-FFF2-40B4-BE49-F238E27FC236}">
              <a16:creationId xmlns:a16="http://schemas.microsoft.com/office/drawing/2014/main" id="{00000000-0008-0000-1300-000013000000}"/>
            </a:ext>
          </a:extLst>
        </xdr:cNvPr>
        <xdr:cNvSpPr txBox="1"/>
      </xdr:nvSpPr>
      <xdr:spPr>
        <a:xfrm>
          <a:off x="638175" y="21612225"/>
          <a:ext cx="1260423" cy="3312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a:r>
            <a:rPr lang="en-US" sz="1300" b="0"/>
            <a:t>Upslope berm </a:t>
          </a:r>
        </a:p>
      </xdr:txBody>
    </xdr:sp>
    <xdr:clientData/>
  </xdr:oneCellAnchor>
  <xdr:oneCellAnchor>
    <xdr:from>
      <xdr:col>12</xdr:col>
      <xdr:colOff>51435</xdr:colOff>
      <xdr:row>120</xdr:row>
      <xdr:rowOff>30480</xdr:rowOff>
    </xdr:from>
    <xdr:ext cx="1415415" cy="236220"/>
    <xdr:sp macro="" textlink="">
      <xdr:nvSpPr>
        <xdr:cNvPr id="20" name="TextBox 19">
          <a:extLst>
            <a:ext uri="{FF2B5EF4-FFF2-40B4-BE49-F238E27FC236}">
              <a16:creationId xmlns:a16="http://schemas.microsoft.com/office/drawing/2014/main" id="{00000000-0008-0000-1300-000014000000}"/>
            </a:ext>
          </a:extLst>
        </xdr:cNvPr>
        <xdr:cNvSpPr txBox="1"/>
      </xdr:nvSpPr>
      <xdr:spPr>
        <a:xfrm>
          <a:off x="3994785" y="21623655"/>
          <a:ext cx="1415415" cy="2362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a:r>
            <a:rPr lang="en-US" sz="1300" b="0"/>
            <a:t>Downslope berm </a:t>
          </a:r>
        </a:p>
      </xdr:txBody>
    </xdr:sp>
    <xdr:clientData/>
  </xdr:oneCellAnchor>
  <xdr:oneCellAnchor>
    <xdr:from>
      <xdr:col>9</xdr:col>
      <xdr:colOff>108585</xdr:colOff>
      <xdr:row>123</xdr:row>
      <xdr:rowOff>60960</xdr:rowOff>
    </xdr:from>
    <xdr:ext cx="1577340" cy="331235"/>
    <xdr:sp macro="" textlink="">
      <xdr:nvSpPr>
        <xdr:cNvPr id="21" name="TextBox 20">
          <a:extLst>
            <a:ext uri="{FF2B5EF4-FFF2-40B4-BE49-F238E27FC236}">
              <a16:creationId xmlns:a16="http://schemas.microsoft.com/office/drawing/2014/main" id="{00000000-0008-0000-1300-000015000000}"/>
            </a:ext>
          </a:extLst>
        </xdr:cNvPr>
        <xdr:cNvSpPr txBox="1"/>
      </xdr:nvSpPr>
      <xdr:spPr>
        <a:xfrm>
          <a:off x="2966085" y="22225635"/>
          <a:ext cx="1577340" cy="3312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a:r>
            <a:rPr lang="en-US" sz="1300" b="0">
              <a:solidFill>
                <a:srgbClr val="0066FF"/>
              </a:solidFill>
            </a:rPr>
            <a:t> Clean sand lift (6.A)</a:t>
          </a:r>
        </a:p>
      </xdr:txBody>
    </xdr:sp>
    <xdr:clientData/>
  </xdr:oneCellAnchor>
  <xdr:oneCellAnchor>
    <xdr:from>
      <xdr:col>9</xdr:col>
      <xdr:colOff>337185</xdr:colOff>
      <xdr:row>116</xdr:row>
      <xdr:rowOff>171450</xdr:rowOff>
    </xdr:from>
    <xdr:ext cx="1392243" cy="283898"/>
    <xdr:sp macro="" textlink="">
      <xdr:nvSpPr>
        <xdr:cNvPr id="22" name="TextBox 21">
          <a:extLst>
            <a:ext uri="{FF2B5EF4-FFF2-40B4-BE49-F238E27FC236}">
              <a16:creationId xmlns:a16="http://schemas.microsoft.com/office/drawing/2014/main" id="{00000000-0008-0000-1300-000016000000}"/>
            </a:ext>
          </a:extLst>
        </xdr:cNvPr>
        <xdr:cNvSpPr txBox="1"/>
      </xdr:nvSpPr>
      <xdr:spPr>
        <a:xfrm>
          <a:off x="3194685" y="21002625"/>
          <a:ext cx="1392243" cy="283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a:r>
            <a:rPr lang="en-US" sz="1300" b="0"/>
            <a:t>18" cover on top</a:t>
          </a:r>
        </a:p>
      </xdr:txBody>
    </xdr:sp>
    <xdr:clientData/>
  </xdr:oneCellAnchor>
  <xdr:twoCellAnchor>
    <xdr:from>
      <xdr:col>9</xdr:col>
      <xdr:colOff>234315</xdr:colOff>
      <xdr:row>117</xdr:row>
      <xdr:rowOff>171452</xdr:rowOff>
    </xdr:from>
    <xdr:to>
      <xdr:col>10</xdr:col>
      <xdr:colOff>64980</xdr:colOff>
      <xdr:row>119</xdr:row>
      <xdr:rowOff>97292</xdr:rowOff>
    </xdr:to>
    <xdr:cxnSp macro="">
      <xdr:nvCxnSpPr>
        <xdr:cNvPr id="23" name="Curved Connector 22">
          <a:extLst>
            <a:ext uri="{FF2B5EF4-FFF2-40B4-BE49-F238E27FC236}">
              <a16:creationId xmlns:a16="http://schemas.microsoft.com/office/drawing/2014/main" id="{00000000-0008-0000-1300-000017000000}"/>
            </a:ext>
          </a:extLst>
        </xdr:cNvPr>
        <xdr:cNvCxnSpPr/>
      </xdr:nvCxnSpPr>
      <xdr:spPr>
        <a:xfrm rot="5400000">
          <a:off x="3034703" y="21250239"/>
          <a:ext cx="306840" cy="192615"/>
        </a:xfrm>
        <a:prstGeom prst="curvedConnector3">
          <a:avLst>
            <a:gd name="adj1" fmla="val 50000"/>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xdr:col>
      <xdr:colOff>346710</xdr:colOff>
      <xdr:row>115</xdr:row>
      <xdr:rowOff>152400</xdr:rowOff>
    </xdr:from>
    <xdr:ext cx="1458152" cy="268759"/>
    <xdr:sp macro="" textlink="">
      <xdr:nvSpPr>
        <xdr:cNvPr id="24" name="TextBox 23">
          <a:extLst>
            <a:ext uri="{FF2B5EF4-FFF2-40B4-BE49-F238E27FC236}">
              <a16:creationId xmlns:a16="http://schemas.microsoft.com/office/drawing/2014/main" id="{00000000-0008-0000-1300-000018000000}"/>
            </a:ext>
          </a:extLst>
        </xdr:cNvPr>
        <xdr:cNvSpPr txBox="1"/>
      </xdr:nvSpPr>
      <xdr:spPr>
        <a:xfrm>
          <a:off x="2842260" y="20793075"/>
          <a:ext cx="1458152" cy="2687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a:r>
            <a:rPr lang="en-US" sz="1300" b="0"/>
            <a:t>4" inspection pipe</a:t>
          </a:r>
        </a:p>
      </xdr:txBody>
    </xdr:sp>
    <xdr:clientData/>
  </xdr:oneCellAnchor>
  <xdr:twoCellAnchor>
    <xdr:from>
      <xdr:col>8</xdr:col>
      <xdr:colOff>222885</xdr:colOff>
      <xdr:row>116</xdr:row>
      <xdr:rowOff>161927</xdr:rowOff>
    </xdr:from>
    <xdr:to>
      <xdr:col>9</xdr:col>
      <xdr:colOff>86276</xdr:colOff>
      <xdr:row>118</xdr:row>
      <xdr:rowOff>95251</xdr:rowOff>
    </xdr:to>
    <xdr:cxnSp macro="">
      <xdr:nvCxnSpPr>
        <xdr:cNvPr id="25" name="Curved Connector 24">
          <a:extLst>
            <a:ext uri="{FF2B5EF4-FFF2-40B4-BE49-F238E27FC236}">
              <a16:creationId xmlns:a16="http://schemas.microsoft.com/office/drawing/2014/main" id="{00000000-0008-0000-1300-000019000000}"/>
            </a:ext>
          </a:extLst>
        </xdr:cNvPr>
        <xdr:cNvCxnSpPr/>
      </xdr:nvCxnSpPr>
      <xdr:spPr>
        <a:xfrm rot="5400000">
          <a:off x="2673944" y="21037593"/>
          <a:ext cx="314324" cy="225341"/>
        </a:xfrm>
        <a:prstGeom prst="curvedConnector3">
          <a:avLst>
            <a:gd name="adj1" fmla="val 50000"/>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xdr:col>
      <xdr:colOff>142875</xdr:colOff>
      <xdr:row>3</xdr:row>
      <xdr:rowOff>9525</xdr:rowOff>
    </xdr:from>
    <xdr:to>
      <xdr:col>17</xdr:col>
      <xdr:colOff>333375</xdr:colOff>
      <xdr:row>19</xdr:row>
      <xdr:rowOff>133350</xdr:rowOff>
    </xdr:to>
    <xdr:pic>
      <xdr:nvPicPr>
        <xdr:cNvPr id="3003589" name="Picture 25" descr="Table IXa.jpg">
          <a:extLst>
            <a:ext uri="{FF2B5EF4-FFF2-40B4-BE49-F238E27FC236}">
              <a16:creationId xmlns:a16="http://schemas.microsoft.com/office/drawing/2014/main" id="{00000000-0008-0000-1300-0000C5D42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286125" y="1085850"/>
          <a:ext cx="2657475" cy="2752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257174</xdr:colOff>
      <xdr:row>102</xdr:row>
      <xdr:rowOff>5716</xdr:rowOff>
    </xdr:from>
    <xdr:ext cx="1323975" cy="537210"/>
    <xdr:sp macro="" textlink="">
      <xdr:nvSpPr>
        <xdr:cNvPr id="39" name="TextBox 38">
          <a:extLst>
            <a:ext uri="{FF2B5EF4-FFF2-40B4-BE49-F238E27FC236}">
              <a16:creationId xmlns:a16="http://schemas.microsoft.com/office/drawing/2014/main" id="{00000000-0008-0000-1300-000027000000}"/>
            </a:ext>
          </a:extLst>
        </xdr:cNvPr>
        <xdr:cNvSpPr txBox="1"/>
      </xdr:nvSpPr>
      <xdr:spPr>
        <a:xfrm>
          <a:off x="2752724" y="18169891"/>
          <a:ext cx="1323975" cy="5372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400" b="0">
              <a:solidFill>
                <a:srgbClr val="FF0000"/>
              </a:solidFill>
            </a:rPr>
            <a:t>Dispersal Bed</a:t>
          </a:r>
        </a:p>
        <a:p>
          <a:r>
            <a:rPr lang="en-US" sz="1400" b="0" baseline="0">
              <a:solidFill>
                <a:srgbClr val="FF0000"/>
              </a:solidFill>
            </a:rPr>
            <a:t>         X</a:t>
          </a:r>
          <a:endParaRPr lang="en-US" sz="1400" b="0">
            <a:solidFill>
              <a:srgbClr val="FF0000"/>
            </a:solidFill>
          </a:endParaRPr>
        </a:p>
      </xdr:txBody>
    </xdr:sp>
    <xdr:clientData/>
  </xdr:oneCellAnchor>
  <mc:AlternateContent xmlns:mc="http://schemas.openxmlformats.org/markup-compatibility/2006">
    <mc:Choice xmlns:a14="http://schemas.microsoft.com/office/drawing/2010/main" Requires="a14">
      <xdr:twoCellAnchor>
        <xdr:from>
          <xdr:col>2</xdr:col>
          <xdr:colOff>0</xdr:colOff>
          <xdr:row>103</xdr:row>
          <xdr:rowOff>28575</xdr:rowOff>
        </xdr:from>
        <xdr:to>
          <xdr:col>2</xdr:col>
          <xdr:colOff>266700</xdr:colOff>
          <xdr:row>107</xdr:row>
          <xdr:rowOff>0</xdr:rowOff>
        </xdr:to>
        <xdr:pic>
          <xdr:nvPicPr>
            <xdr:cNvPr id="3003592" name="TextBox1">
              <a:extLst>
                <a:ext uri="{FF2B5EF4-FFF2-40B4-BE49-F238E27FC236}">
                  <a16:creationId xmlns:a16="http://schemas.microsoft.com/office/drawing/2014/main" id="{00000000-0008-0000-1300-0000C8D42D00}"/>
                </a:ext>
              </a:extLst>
            </xdr:cNvPr>
            <xdr:cNvPicPr preferRelativeResize="0">
              <a:picLocks noChangeArrowheads="1" noChangeShapeType="1"/>
              <a:extLst>
                <a:ext uri="{84589F7E-364E-4C9E-8A38-B11213B215E9}">
                  <a14:cameraTool cellRange="$L$86" spid="_x0000_s4199475"/>
                </a:ext>
              </a:extLst>
            </xdr:cNvPicPr>
          </xdr:nvPicPr>
          <xdr:blipFill>
            <a:blip xmlns:r="http://schemas.openxmlformats.org/officeDocument/2006/relationships" r:embed="rId5"/>
            <a:srcRect/>
            <a:stretch>
              <a:fillRect/>
            </a:stretch>
          </xdr:blipFill>
          <xdr:spPr bwMode="auto">
            <a:xfrm rot="-5400000">
              <a:off x="90487" y="19645313"/>
              <a:ext cx="733425" cy="2667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3</xdr:col>
          <xdr:colOff>200025</xdr:colOff>
          <xdr:row>103</xdr:row>
          <xdr:rowOff>133350</xdr:rowOff>
        </xdr:from>
        <xdr:to>
          <xdr:col>5</xdr:col>
          <xdr:colOff>200025</xdr:colOff>
          <xdr:row>105</xdr:row>
          <xdr:rowOff>19050</xdr:rowOff>
        </xdr:to>
        <xdr:pic>
          <xdr:nvPicPr>
            <xdr:cNvPr id="3003593" name="Picture 2">
              <a:extLst>
                <a:ext uri="{FF2B5EF4-FFF2-40B4-BE49-F238E27FC236}">
                  <a16:creationId xmlns:a16="http://schemas.microsoft.com/office/drawing/2014/main" id="{00000000-0008-0000-1300-0000C9D42D00}"/>
                </a:ext>
              </a:extLst>
            </xdr:cNvPr>
            <xdr:cNvPicPr preferRelativeResize="0">
              <a:picLocks noChangeArrowheads="1" noChangeShapeType="1"/>
              <a:extLst>
                <a:ext uri="{84589F7E-364E-4C9E-8A38-B11213B215E9}">
                  <a14:cameraTool cellRange="$I$83" spid="_x0000_s4199476"/>
                </a:ext>
              </a:extLst>
            </xdr:cNvPicPr>
          </xdr:nvPicPr>
          <xdr:blipFill>
            <a:blip xmlns:r="http://schemas.openxmlformats.org/officeDocument/2006/relationships" r:embed="rId5"/>
            <a:srcRect/>
            <a:stretch>
              <a:fillRect/>
            </a:stretch>
          </xdr:blipFill>
          <xdr:spPr bwMode="auto">
            <a:xfrm>
              <a:off x="876300" y="19516725"/>
              <a:ext cx="704850" cy="2667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14</xdr:col>
          <xdr:colOff>209550</xdr:colOff>
          <xdr:row>103</xdr:row>
          <xdr:rowOff>114300</xdr:rowOff>
        </xdr:from>
        <xdr:to>
          <xdr:col>16</xdr:col>
          <xdr:colOff>209550</xdr:colOff>
          <xdr:row>105</xdr:row>
          <xdr:rowOff>9525</xdr:rowOff>
        </xdr:to>
        <xdr:pic>
          <xdr:nvPicPr>
            <xdr:cNvPr id="3003594" name="Picture 3">
              <a:extLst>
                <a:ext uri="{FF2B5EF4-FFF2-40B4-BE49-F238E27FC236}">
                  <a16:creationId xmlns:a16="http://schemas.microsoft.com/office/drawing/2014/main" id="{00000000-0008-0000-1300-0000CAD42D00}"/>
                </a:ext>
              </a:extLst>
            </xdr:cNvPr>
            <xdr:cNvPicPr preferRelativeResize="0">
              <a:picLocks noChangeArrowheads="1" noChangeShapeType="1"/>
              <a:extLst>
                <a:ext uri="{84589F7E-364E-4C9E-8A38-B11213B215E9}">
                  <a14:cameraTool cellRange="$I$83" spid="_x0000_s4199477"/>
                </a:ext>
              </a:extLst>
            </xdr:cNvPicPr>
          </xdr:nvPicPr>
          <xdr:blipFill>
            <a:blip xmlns:r="http://schemas.openxmlformats.org/officeDocument/2006/relationships" r:embed="rId5"/>
            <a:srcRect/>
            <a:stretch>
              <a:fillRect/>
            </a:stretch>
          </xdr:blipFill>
          <xdr:spPr bwMode="auto">
            <a:xfrm>
              <a:off x="4762500" y="19497675"/>
              <a:ext cx="704850" cy="2762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9</xdr:col>
          <xdr:colOff>47625</xdr:colOff>
          <xdr:row>108</xdr:row>
          <xdr:rowOff>28575</xdr:rowOff>
        </xdr:from>
        <xdr:to>
          <xdr:col>9</xdr:col>
          <xdr:colOff>304800</xdr:colOff>
          <xdr:row>112</xdr:row>
          <xdr:rowOff>0</xdr:rowOff>
        </xdr:to>
        <xdr:pic>
          <xdr:nvPicPr>
            <xdr:cNvPr id="3003595" name="Picture 4">
              <a:extLst>
                <a:ext uri="{FF2B5EF4-FFF2-40B4-BE49-F238E27FC236}">
                  <a16:creationId xmlns:a16="http://schemas.microsoft.com/office/drawing/2014/main" id="{00000000-0008-0000-1300-0000CBD42D00}"/>
                </a:ext>
              </a:extLst>
            </xdr:cNvPr>
            <xdr:cNvPicPr preferRelativeResize="0">
              <a:picLocks noChangeArrowheads="1" noChangeShapeType="1"/>
              <a:extLst>
                <a:ext uri="{84589F7E-364E-4C9E-8A38-B11213B215E9}">
                  <a14:cameraTool cellRange="$I$83" spid="_x0000_s4199478"/>
                </a:ext>
              </a:extLst>
            </xdr:cNvPicPr>
          </xdr:nvPicPr>
          <xdr:blipFill>
            <a:blip xmlns:r="http://schemas.openxmlformats.org/officeDocument/2006/relationships" r:embed="rId5"/>
            <a:srcRect/>
            <a:stretch>
              <a:fillRect/>
            </a:stretch>
          </xdr:blipFill>
          <xdr:spPr bwMode="auto">
            <a:xfrm rot="-5400000">
              <a:off x="2600325" y="20602575"/>
              <a:ext cx="733425" cy="2571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8</xdr:col>
          <xdr:colOff>47625</xdr:colOff>
          <xdr:row>128</xdr:row>
          <xdr:rowOff>76200</xdr:rowOff>
        </xdr:from>
        <xdr:to>
          <xdr:col>10</xdr:col>
          <xdr:colOff>47625</xdr:colOff>
          <xdr:row>129</xdr:row>
          <xdr:rowOff>161925</xdr:rowOff>
        </xdr:to>
        <xdr:pic>
          <xdr:nvPicPr>
            <xdr:cNvPr id="3003596" name="Picture 5">
              <a:extLst>
                <a:ext uri="{FF2B5EF4-FFF2-40B4-BE49-F238E27FC236}">
                  <a16:creationId xmlns:a16="http://schemas.microsoft.com/office/drawing/2014/main" id="{00000000-0008-0000-1300-0000CCD42D00}"/>
                </a:ext>
              </a:extLst>
            </xdr:cNvPr>
            <xdr:cNvPicPr preferRelativeResize="0">
              <a:picLocks noChangeArrowheads="1" noChangeShapeType="1"/>
              <a:extLst>
                <a:ext uri="{84589F7E-364E-4C9E-8A38-B11213B215E9}">
                  <a14:cameraTool cellRange="$J$43" spid="_x0000_s4199479"/>
                </a:ext>
              </a:extLst>
            </xdr:cNvPicPr>
          </xdr:nvPicPr>
          <xdr:blipFill>
            <a:blip xmlns:r="http://schemas.openxmlformats.org/officeDocument/2006/relationships" r:embed="rId6"/>
            <a:srcRect/>
            <a:stretch>
              <a:fillRect/>
            </a:stretch>
          </xdr:blipFill>
          <xdr:spPr bwMode="auto">
            <a:xfrm>
              <a:off x="2486025" y="24412575"/>
              <a:ext cx="704850" cy="2762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13</xdr:col>
          <xdr:colOff>85725</xdr:colOff>
          <xdr:row>119</xdr:row>
          <xdr:rowOff>0</xdr:rowOff>
        </xdr:from>
        <xdr:to>
          <xdr:col>15</xdr:col>
          <xdr:colOff>85725</xdr:colOff>
          <xdr:row>120</xdr:row>
          <xdr:rowOff>85725</xdr:rowOff>
        </xdr:to>
        <xdr:pic>
          <xdr:nvPicPr>
            <xdr:cNvPr id="3003597" name="Picture 6">
              <a:extLst>
                <a:ext uri="{FF2B5EF4-FFF2-40B4-BE49-F238E27FC236}">
                  <a16:creationId xmlns:a16="http://schemas.microsoft.com/office/drawing/2014/main" id="{00000000-0008-0000-1300-0000CDD42D00}"/>
                </a:ext>
              </a:extLst>
            </xdr:cNvPr>
            <xdr:cNvPicPr preferRelativeResize="0">
              <a:picLocks noChangeArrowheads="1" noChangeShapeType="1"/>
              <a:extLst>
                <a:ext uri="{84589F7E-364E-4C9E-8A38-B11213B215E9}">
                  <a14:cameraTool cellRange="$I$83" spid="_x0000_s4199480"/>
                </a:ext>
              </a:extLst>
            </xdr:cNvPicPr>
          </xdr:nvPicPr>
          <xdr:blipFill>
            <a:blip xmlns:r="http://schemas.openxmlformats.org/officeDocument/2006/relationships" r:embed="rId5"/>
            <a:srcRect/>
            <a:stretch>
              <a:fillRect/>
            </a:stretch>
          </xdr:blipFill>
          <xdr:spPr bwMode="auto">
            <a:xfrm>
              <a:off x="4391025" y="21402675"/>
              <a:ext cx="723900" cy="2762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3</xdr:col>
          <xdr:colOff>247650</xdr:colOff>
          <xdr:row>119</xdr:row>
          <xdr:rowOff>9525</xdr:rowOff>
        </xdr:from>
        <xdr:to>
          <xdr:col>5</xdr:col>
          <xdr:colOff>247650</xdr:colOff>
          <xdr:row>120</xdr:row>
          <xdr:rowOff>85725</xdr:rowOff>
        </xdr:to>
        <xdr:pic>
          <xdr:nvPicPr>
            <xdr:cNvPr id="3003598" name="Picture 7">
              <a:extLst>
                <a:ext uri="{FF2B5EF4-FFF2-40B4-BE49-F238E27FC236}">
                  <a16:creationId xmlns:a16="http://schemas.microsoft.com/office/drawing/2014/main" id="{00000000-0008-0000-1300-0000CED42D00}"/>
                </a:ext>
              </a:extLst>
            </xdr:cNvPr>
            <xdr:cNvPicPr preferRelativeResize="0">
              <a:picLocks noChangeArrowheads="1" noChangeShapeType="1"/>
              <a:extLst>
                <a:ext uri="{84589F7E-364E-4C9E-8A38-B11213B215E9}">
                  <a14:cameraTool cellRange="$I$83" spid="_x0000_s4199481"/>
                </a:ext>
              </a:extLst>
            </xdr:cNvPicPr>
          </xdr:nvPicPr>
          <xdr:blipFill>
            <a:blip xmlns:r="http://schemas.openxmlformats.org/officeDocument/2006/relationships" r:embed="rId5"/>
            <a:srcRect/>
            <a:stretch>
              <a:fillRect/>
            </a:stretch>
          </xdr:blipFill>
          <xdr:spPr bwMode="auto">
            <a:xfrm>
              <a:off x="933450" y="21412200"/>
              <a:ext cx="723900" cy="2667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7</xdr:col>
          <xdr:colOff>247650</xdr:colOff>
          <xdr:row>123</xdr:row>
          <xdr:rowOff>19050</xdr:rowOff>
        </xdr:from>
        <xdr:to>
          <xdr:col>9</xdr:col>
          <xdr:colOff>247650</xdr:colOff>
          <xdr:row>124</xdr:row>
          <xdr:rowOff>104775</xdr:rowOff>
        </xdr:to>
        <xdr:pic>
          <xdr:nvPicPr>
            <xdr:cNvPr id="3003599" name="Picture 8">
              <a:extLst>
                <a:ext uri="{FF2B5EF4-FFF2-40B4-BE49-F238E27FC236}">
                  <a16:creationId xmlns:a16="http://schemas.microsoft.com/office/drawing/2014/main" id="{00000000-0008-0000-1300-0000CFD42D00}"/>
                </a:ext>
              </a:extLst>
            </xdr:cNvPr>
            <xdr:cNvPicPr preferRelativeResize="0">
              <a:picLocks noChangeArrowheads="1" noChangeShapeType="1"/>
              <a:extLst>
                <a:ext uri="{84589F7E-364E-4C9E-8A38-B11213B215E9}">
                  <a14:cameraTool cellRange="C71" spid="_x0000_s4199482"/>
                </a:ext>
              </a:extLst>
            </xdr:cNvPicPr>
          </xdr:nvPicPr>
          <xdr:blipFill>
            <a:blip xmlns:r="http://schemas.openxmlformats.org/officeDocument/2006/relationships" r:embed="rId5"/>
            <a:srcRect/>
            <a:stretch>
              <a:fillRect/>
            </a:stretch>
          </xdr:blipFill>
          <xdr:spPr bwMode="auto">
            <a:xfrm>
              <a:off x="2381250" y="22183725"/>
              <a:ext cx="723900" cy="2762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5</xdr:col>
          <xdr:colOff>123825</xdr:colOff>
          <xdr:row>124</xdr:row>
          <xdr:rowOff>171450</xdr:rowOff>
        </xdr:from>
        <xdr:to>
          <xdr:col>7</xdr:col>
          <xdr:colOff>123825</xdr:colOff>
          <xdr:row>126</xdr:row>
          <xdr:rowOff>66675</xdr:rowOff>
        </xdr:to>
        <xdr:pic>
          <xdr:nvPicPr>
            <xdr:cNvPr id="3003600" name="Picture 9">
              <a:extLst>
                <a:ext uri="{FF2B5EF4-FFF2-40B4-BE49-F238E27FC236}">
                  <a16:creationId xmlns:a16="http://schemas.microsoft.com/office/drawing/2014/main" id="{00000000-0008-0000-1300-0000D0D42D00}"/>
                </a:ext>
              </a:extLst>
            </xdr:cNvPr>
            <xdr:cNvPicPr preferRelativeResize="0">
              <a:picLocks noChangeArrowheads="1" noChangeShapeType="1"/>
              <a:extLst>
                <a:ext uri="{84589F7E-364E-4C9E-8A38-B11213B215E9}">
                  <a14:cameraTool cellRange="$E$68" spid="_x0000_s4199483"/>
                </a:ext>
              </a:extLst>
            </xdr:cNvPicPr>
          </xdr:nvPicPr>
          <xdr:blipFill>
            <a:blip xmlns:r="http://schemas.openxmlformats.org/officeDocument/2006/relationships" r:embed="rId6"/>
            <a:srcRect/>
            <a:stretch>
              <a:fillRect/>
            </a:stretch>
          </xdr:blipFill>
          <xdr:spPr bwMode="auto">
            <a:xfrm>
              <a:off x="1533525" y="22526625"/>
              <a:ext cx="723900" cy="2762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9</xdr:col>
          <xdr:colOff>38100</xdr:colOff>
          <xdr:row>96</xdr:row>
          <xdr:rowOff>171450</xdr:rowOff>
        </xdr:from>
        <xdr:to>
          <xdr:col>9</xdr:col>
          <xdr:colOff>304800</xdr:colOff>
          <xdr:row>100</xdr:row>
          <xdr:rowOff>142875</xdr:rowOff>
        </xdr:to>
        <xdr:pic>
          <xdr:nvPicPr>
            <xdr:cNvPr id="3003601" name="Picture 10">
              <a:extLst>
                <a:ext uri="{FF2B5EF4-FFF2-40B4-BE49-F238E27FC236}">
                  <a16:creationId xmlns:a16="http://schemas.microsoft.com/office/drawing/2014/main" id="{00000000-0008-0000-1300-0000D1D42D00}"/>
                </a:ext>
              </a:extLst>
            </xdr:cNvPr>
            <xdr:cNvPicPr preferRelativeResize="0">
              <a:picLocks noChangeArrowheads="1" noChangeShapeType="1"/>
              <a:extLst>
                <a:ext uri="{84589F7E-364E-4C9E-8A38-B11213B215E9}">
                  <a14:cameraTool cellRange="$I$83" spid="_x0000_s4199484"/>
                </a:ext>
              </a:extLst>
            </xdr:cNvPicPr>
          </xdr:nvPicPr>
          <xdr:blipFill>
            <a:blip xmlns:r="http://schemas.openxmlformats.org/officeDocument/2006/relationships" r:embed="rId5"/>
            <a:srcRect/>
            <a:stretch>
              <a:fillRect/>
            </a:stretch>
          </xdr:blipFill>
          <xdr:spPr bwMode="auto">
            <a:xfrm rot="-5400000">
              <a:off x="2595562" y="18454688"/>
              <a:ext cx="733425" cy="2667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8</xdr:col>
          <xdr:colOff>238125</xdr:colOff>
          <xdr:row>112</xdr:row>
          <xdr:rowOff>161925</xdr:rowOff>
        </xdr:from>
        <xdr:to>
          <xdr:col>10</xdr:col>
          <xdr:colOff>238125</xdr:colOff>
          <xdr:row>114</xdr:row>
          <xdr:rowOff>57150</xdr:rowOff>
        </xdr:to>
        <xdr:pic>
          <xdr:nvPicPr>
            <xdr:cNvPr id="3003602" name="Picture 11">
              <a:extLst>
                <a:ext uri="{FF2B5EF4-FFF2-40B4-BE49-F238E27FC236}">
                  <a16:creationId xmlns:a16="http://schemas.microsoft.com/office/drawing/2014/main" id="{00000000-0008-0000-1300-0000D2D42D00}"/>
                </a:ext>
              </a:extLst>
            </xdr:cNvPr>
            <xdr:cNvPicPr preferRelativeResize="0">
              <a:picLocks noChangeArrowheads="1" noChangeShapeType="1"/>
              <a:extLst>
                <a:ext uri="{84589F7E-364E-4C9E-8A38-B11213B215E9}">
                  <a14:cameraTool cellRange="$L$89" spid="_x0000_s4199485"/>
                </a:ext>
              </a:extLst>
            </xdr:cNvPicPr>
          </xdr:nvPicPr>
          <xdr:blipFill>
            <a:blip xmlns:r="http://schemas.openxmlformats.org/officeDocument/2006/relationships" r:embed="rId5"/>
            <a:srcRect/>
            <a:stretch>
              <a:fillRect/>
            </a:stretch>
          </xdr:blipFill>
          <xdr:spPr bwMode="auto">
            <a:xfrm>
              <a:off x="2676525" y="21259800"/>
              <a:ext cx="704850" cy="2762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twoCellAnchor>
    <xdr:from>
      <xdr:col>10</xdr:col>
      <xdr:colOff>180975</xdr:colOff>
      <xdr:row>103</xdr:row>
      <xdr:rowOff>66675</xdr:rowOff>
    </xdr:from>
    <xdr:to>
      <xdr:col>12</xdr:col>
      <xdr:colOff>180975</xdr:colOff>
      <xdr:row>104</xdr:row>
      <xdr:rowOff>132207</xdr:rowOff>
    </xdr:to>
    <xdr:sp macro="" textlink="$F$89">
      <xdr:nvSpPr>
        <xdr:cNvPr id="2" name="TextBox 1">
          <a:extLst>
            <a:ext uri="{FF2B5EF4-FFF2-40B4-BE49-F238E27FC236}">
              <a16:creationId xmlns:a16="http://schemas.microsoft.com/office/drawing/2014/main" id="{00000000-0008-0000-1300-000002000000}"/>
            </a:ext>
          </a:extLst>
        </xdr:cNvPr>
        <xdr:cNvSpPr txBox="1"/>
      </xdr:nvSpPr>
      <xdr:spPr>
        <a:xfrm>
          <a:off x="3409950" y="19450050"/>
          <a:ext cx="723900" cy="256032"/>
        </a:xfrm>
        <a:prstGeom prst="rect">
          <a:avLst/>
        </a:prstGeom>
        <a:solidFill>
          <a:schemeClr val="accent5">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FA133321-4A46-40A4-8128-0F7E41F6F9E6}" type="TxLink">
            <a:rPr lang="en-US" sz="1000" b="0" i="0" u="none" strike="noStrike">
              <a:solidFill>
                <a:srgbClr val="000000"/>
              </a:solidFill>
              <a:latin typeface="Trebuchet MS"/>
            </a:rPr>
            <a:pPr algn="ctr"/>
            <a:t> </a:t>
          </a:fld>
          <a:endParaRPr lang="en-US" sz="1100"/>
        </a:p>
      </xdr:txBody>
    </xdr:sp>
    <xdr:clientData/>
  </xdr:twoCellAnchor>
  <xdr:twoCellAnchor editAs="oneCell">
    <xdr:from>
      <xdr:col>12</xdr:col>
      <xdr:colOff>314325</xdr:colOff>
      <xdr:row>0</xdr:row>
      <xdr:rowOff>142875</xdr:rowOff>
    </xdr:from>
    <xdr:to>
      <xdr:col>17</xdr:col>
      <xdr:colOff>339199</xdr:colOff>
      <xdr:row>0</xdr:row>
      <xdr:rowOff>691515</xdr:rowOff>
    </xdr:to>
    <xdr:pic>
      <xdr:nvPicPr>
        <xdr:cNvPr id="40" name="Picture 39">
          <a:extLst>
            <a:ext uri="{FF2B5EF4-FFF2-40B4-BE49-F238E27FC236}">
              <a16:creationId xmlns:a16="http://schemas.microsoft.com/office/drawing/2014/main" id="{00000000-0008-0000-1300-00002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162425" y="142875"/>
          <a:ext cx="1786999" cy="548640"/>
        </a:xfrm>
        <a:prstGeom prst="rect">
          <a:avLst/>
        </a:prstGeom>
      </xdr:spPr>
    </xdr:pic>
    <xdr:clientData/>
  </xdr:twoCellAnchor>
  <xdr:twoCellAnchor editAs="oneCell">
    <xdr:from>
      <xdr:col>0</xdr:col>
      <xdr:colOff>19050</xdr:colOff>
      <xdr:row>0</xdr:row>
      <xdr:rowOff>133350</xdr:rowOff>
    </xdr:from>
    <xdr:to>
      <xdr:col>5</xdr:col>
      <xdr:colOff>19050</xdr:colOff>
      <xdr:row>0</xdr:row>
      <xdr:rowOff>681990</xdr:rowOff>
    </xdr:to>
    <xdr:pic>
      <xdr:nvPicPr>
        <xdr:cNvPr id="41" name="Picture 40">
          <a:extLst>
            <a:ext uri="{FF2B5EF4-FFF2-40B4-BE49-F238E27FC236}">
              <a16:creationId xmlns:a16="http://schemas.microsoft.com/office/drawing/2014/main" id="{00000000-0008-0000-1300-00002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9050" y="133350"/>
          <a:ext cx="1409700" cy="548640"/>
        </a:xfrm>
        <a:prstGeom prst="rect">
          <a:avLst/>
        </a:prstGeom>
      </xdr:spPr>
    </xdr:pic>
    <xdr:clientData/>
  </xdr:twoCellAnchor>
  <xdr:twoCellAnchor>
    <xdr:from>
      <xdr:col>7</xdr:col>
      <xdr:colOff>228600</xdr:colOff>
      <xdr:row>103</xdr:row>
      <xdr:rowOff>68580</xdr:rowOff>
    </xdr:from>
    <xdr:to>
      <xdr:col>9</xdr:col>
      <xdr:colOff>228600</xdr:colOff>
      <xdr:row>104</xdr:row>
      <xdr:rowOff>134112</xdr:rowOff>
    </xdr:to>
    <xdr:sp macro="" textlink="$H$32">
      <xdr:nvSpPr>
        <xdr:cNvPr id="38" name="TextBox 37">
          <a:extLst>
            <a:ext uri="{FF2B5EF4-FFF2-40B4-BE49-F238E27FC236}">
              <a16:creationId xmlns:a16="http://schemas.microsoft.com/office/drawing/2014/main" id="{00000000-0008-0000-1300-000026000000}"/>
            </a:ext>
          </a:extLst>
        </xdr:cNvPr>
        <xdr:cNvSpPr txBox="1"/>
      </xdr:nvSpPr>
      <xdr:spPr>
        <a:xfrm>
          <a:off x="2371725" y="19451955"/>
          <a:ext cx="723900" cy="256032"/>
        </a:xfrm>
        <a:prstGeom prst="rect">
          <a:avLst/>
        </a:prstGeom>
        <a:solidFill>
          <a:schemeClr val="accent5">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F6A9209F-BA89-4785-9FA1-F8386C5CE879}" type="TxLink">
            <a:rPr lang="en-US" sz="1000" b="0" i="0" u="none" strike="noStrike">
              <a:solidFill>
                <a:srgbClr val="000000"/>
              </a:solidFill>
              <a:latin typeface="Trebuchet MS"/>
            </a:rPr>
            <a:pPr algn="ctr"/>
            <a:t> </a:t>
          </a:fld>
          <a:endParaRPr lang="en-US" sz="1100"/>
        </a:p>
      </xdr:txBody>
    </xdr:sp>
    <xdr:clientData/>
  </xdr:twoCellAnchor>
  <xdr:twoCellAnchor>
    <xdr:from>
      <xdr:col>6</xdr:col>
      <xdr:colOff>95250</xdr:colOff>
      <xdr:row>105</xdr:row>
      <xdr:rowOff>0</xdr:rowOff>
    </xdr:from>
    <xdr:to>
      <xdr:col>10</xdr:col>
      <xdr:colOff>104775</xdr:colOff>
      <xdr:row>106</xdr:row>
      <xdr:rowOff>66675</xdr:rowOff>
    </xdr:to>
    <xdr:sp macro="" textlink="">
      <xdr:nvSpPr>
        <xdr:cNvPr id="3" name="TextBox 2">
          <a:extLst>
            <a:ext uri="{FF2B5EF4-FFF2-40B4-BE49-F238E27FC236}">
              <a16:creationId xmlns:a16="http://schemas.microsoft.com/office/drawing/2014/main" id="{00000000-0008-0000-1300-000003000000}"/>
            </a:ext>
          </a:extLst>
        </xdr:cNvPr>
        <xdr:cNvSpPr txBox="1"/>
      </xdr:nvSpPr>
      <xdr:spPr>
        <a:xfrm>
          <a:off x="1866900" y="18735675"/>
          <a:ext cx="1457325" cy="257175"/>
        </a:xfrm>
        <a:prstGeom prst="rect">
          <a:avLst/>
        </a:prstGeom>
        <a:solidFill>
          <a:schemeClr val="lt1"/>
        </a:solidFill>
        <a:ln w="127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rgbClr val="FF0000"/>
              </a:solidFill>
            </a:rPr>
            <a:t>Distribution</a:t>
          </a:r>
          <a:r>
            <a:rPr lang="en-US" sz="1400"/>
            <a:t> </a:t>
          </a:r>
          <a:r>
            <a:rPr lang="en-US" sz="1400">
              <a:solidFill>
                <a:srgbClr val="FF0000"/>
              </a:solidFill>
            </a:rPr>
            <a:t>Area</a:t>
          </a:r>
        </a:p>
      </xdr:txBody>
    </xdr:sp>
    <xdr:clientData/>
  </xdr:twoCellAnchor>
  <xdr:twoCellAnchor>
    <xdr:from>
      <xdr:col>10</xdr:col>
      <xdr:colOff>9525</xdr:colOff>
      <xdr:row>105</xdr:row>
      <xdr:rowOff>9525</xdr:rowOff>
    </xdr:from>
    <xdr:to>
      <xdr:col>11</xdr:col>
      <xdr:colOff>180975</xdr:colOff>
      <xdr:row>106</xdr:row>
      <xdr:rowOff>85725</xdr:rowOff>
    </xdr:to>
    <xdr:sp macro="" textlink="K106">
      <xdr:nvSpPr>
        <xdr:cNvPr id="4" name="Rectangle 3">
          <a:extLst>
            <a:ext uri="{FF2B5EF4-FFF2-40B4-BE49-F238E27FC236}">
              <a16:creationId xmlns:a16="http://schemas.microsoft.com/office/drawing/2014/main" id="{00000000-0008-0000-1300-000004000000}"/>
            </a:ext>
          </a:extLst>
        </xdr:cNvPr>
        <xdr:cNvSpPr/>
      </xdr:nvSpPr>
      <xdr:spPr>
        <a:xfrm>
          <a:off x="3228975" y="18745200"/>
          <a:ext cx="533400" cy="266700"/>
        </a:xfrm>
        <a:prstGeom prst="rect">
          <a:avLst/>
        </a:prstGeom>
        <a:solidFill>
          <a:schemeClr val="accent5">
            <a:lumMod val="20000"/>
            <a:lumOff val="80000"/>
          </a:schemeClr>
        </a:solidFill>
        <a:ln w="12700">
          <a:solidFill>
            <a:schemeClr val="tx1"/>
          </a:solidFill>
        </a:ln>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ctr" anchorCtr="1"/>
        <a:lstStyle/>
        <a:p>
          <a:pPr algn="l"/>
          <a:fld id="{DA546E71-B789-40B6-BBFC-13A89B25A2AD}" type="TxLink">
            <a:rPr lang="en-US" sz="1000" b="0" i="0" u="none" strike="noStrike">
              <a:solidFill>
                <a:srgbClr val="000000"/>
              </a:solidFill>
              <a:latin typeface="Trebuchet MS"/>
            </a:rPr>
            <a:pPr algn="l"/>
            <a:t> </a:t>
          </a:fld>
          <a:endParaRPr lang="en-US" sz="1100"/>
        </a:p>
      </xdr:txBody>
    </xdr:sp>
    <xdr:clientData/>
  </xdr:twoCellAnchor>
  <xdr:oneCellAnchor>
    <xdr:from>
      <xdr:col>11</xdr:col>
      <xdr:colOff>238126</xdr:colOff>
      <xdr:row>105</xdr:row>
      <xdr:rowOff>9525</xdr:rowOff>
    </xdr:from>
    <xdr:ext cx="390524" cy="311496"/>
    <xdr:sp macro="" textlink="">
      <xdr:nvSpPr>
        <xdr:cNvPr id="5" name="TextBox 4">
          <a:extLst>
            <a:ext uri="{FF2B5EF4-FFF2-40B4-BE49-F238E27FC236}">
              <a16:creationId xmlns:a16="http://schemas.microsoft.com/office/drawing/2014/main" id="{00000000-0008-0000-1300-000005000000}"/>
            </a:ext>
          </a:extLst>
        </xdr:cNvPr>
        <xdr:cNvSpPr txBox="1"/>
      </xdr:nvSpPr>
      <xdr:spPr>
        <a:xfrm>
          <a:off x="3819526" y="18745200"/>
          <a:ext cx="390524"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400">
              <a:solidFill>
                <a:srgbClr val="FF0000"/>
              </a:solidFill>
            </a:rPr>
            <a:t>ft</a:t>
          </a:r>
          <a:r>
            <a:rPr lang="en-US" sz="1400" baseline="30000">
              <a:solidFill>
                <a:srgbClr val="FF0000"/>
              </a:solidFill>
            </a:rPr>
            <a:t>2</a:t>
          </a:r>
        </a:p>
      </xdr:txBody>
    </xdr:sp>
    <xdr:clientData/>
  </xdr:one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96</xdr:row>
      <xdr:rowOff>152400</xdr:rowOff>
    </xdr:from>
    <xdr:to>
      <xdr:col>17</xdr:col>
      <xdr:colOff>315519</xdr:colOff>
      <xdr:row>119</xdr:row>
      <xdr:rowOff>66675</xdr:rowOff>
    </xdr:to>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8945225"/>
          <a:ext cx="6068619" cy="4305300"/>
        </a:xfrm>
        <a:prstGeom prst="rect">
          <a:avLst/>
        </a:prstGeom>
      </xdr:spPr>
    </xdr:pic>
    <xdr:clientData/>
  </xdr:twoCellAnchor>
  <xdr:twoCellAnchor editAs="oneCell">
    <xdr:from>
      <xdr:col>0</xdr:col>
      <xdr:colOff>57150</xdr:colOff>
      <xdr:row>118</xdr:row>
      <xdr:rowOff>124790</xdr:rowOff>
    </xdr:from>
    <xdr:to>
      <xdr:col>17</xdr:col>
      <xdr:colOff>344805</xdr:colOff>
      <xdr:row>131</xdr:row>
      <xdr:rowOff>4527</xdr:rowOff>
    </xdr:to>
    <xdr:pic>
      <xdr:nvPicPr>
        <xdr:cNvPr id="3" name="Picture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150" y="23118140"/>
          <a:ext cx="6040755" cy="2356237"/>
        </a:xfrm>
        <a:prstGeom prst="rect">
          <a:avLst/>
        </a:prstGeom>
      </xdr:spPr>
    </xdr:pic>
    <xdr:clientData/>
  </xdr:twoCellAnchor>
  <xdr:twoCellAnchor editAs="oneCell">
    <xdr:from>
      <xdr:col>1</xdr:col>
      <xdr:colOff>66675</xdr:colOff>
      <xdr:row>14</xdr:row>
      <xdr:rowOff>19050</xdr:rowOff>
    </xdr:from>
    <xdr:to>
      <xdr:col>9</xdr:col>
      <xdr:colOff>247650</xdr:colOff>
      <xdr:row>22</xdr:row>
      <xdr:rowOff>57150</xdr:rowOff>
    </xdr:to>
    <xdr:pic>
      <xdr:nvPicPr>
        <xdr:cNvPr id="2998849" name="Picture 471">
          <a:extLst>
            <a:ext uri="{FF2B5EF4-FFF2-40B4-BE49-F238E27FC236}">
              <a16:creationId xmlns:a16="http://schemas.microsoft.com/office/drawing/2014/main" id="{00000000-0008-0000-1400-000041C22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b="2023"/>
        <a:stretch>
          <a:fillRect/>
        </a:stretch>
      </xdr:blipFill>
      <xdr:spPr bwMode="auto">
        <a:xfrm>
          <a:off x="238125" y="2771775"/>
          <a:ext cx="2819400" cy="1809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266700</xdr:colOff>
      <xdr:row>85</xdr:row>
      <xdr:rowOff>76200</xdr:rowOff>
    </xdr:from>
    <xdr:to>
      <xdr:col>43</xdr:col>
      <xdr:colOff>342900</xdr:colOff>
      <xdr:row>108</xdr:row>
      <xdr:rowOff>38100</xdr:rowOff>
    </xdr:to>
    <xdr:sp macro="" textlink="">
      <xdr:nvSpPr>
        <xdr:cNvPr id="2998851" name="AutoShape 3136">
          <a:extLst>
            <a:ext uri="{FF2B5EF4-FFF2-40B4-BE49-F238E27FC236}">
              <a16:creationId xmlns:a16="http://schemas.microsoft.com/office/drawing/2014/main" id="{00000000-0008-0000-1400-000043C22D00}"/>
            </a:ext>
          </a:extLst>
        </xdr:cNvPr>
        <xdr:cNvSpPr>
          <a:spLocks noChangeAspect="1" noChangeArrowheads="1"/>
        </xdr:cNvSpPr>
      </xdr:nvSpPr>
      <xdr:spPr bwMode="auto">
        <a:xfrm>
          <a:off x="10134600" y="17402175"/>
          <a:ext cx="6572250" cy="450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142875</xdr:colOff>
      <xdr:row>3</xdr:row>
      <xdr:rowOff>9525</xdr:rowOff>
    </xdr:from>
    <xdr:to>
      <xdr:col>18</xdr:col>
      <xdr:colOff>123825</xdr:colOff>
      <xdr:row>19</xdr:row>
      <xdr:rowOff>209550</xdr:rowOff>
    </xdr:to>
    <xdr:pic>
      <xdr:nvPicPr>
        <xdr:cNvPr id="2998852" name="Picture 9" descr="Table IXa.jpg">
          <a:extLst>
            <a:ext uri="{FF2B5EF4-FFF2-40B4-BE49-F238E27FC236}">
              <a16:creationId xmlns:a16="http://schemas.microsoft.com/office/drawing/2014/main" id="{00000000-0008-0000-1400-000044C22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305175" y="1085850"/>
          <a:ext cx="2800350" cy="2905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7</xdr:col>
          <xdr:colOff>285750</xdr:colOff>
          <xdr:row>100</xdr:row>
          <xdr:rowOff>114300</xdr:rowOff>
        </xdr:from>
        <xdr:to>
          <xdr:col>9</xdr:col>
          <xdr:colOff>285750</xdr:colOff>
          <xdr:row>102</xdr:row>
          <xdr:rowOff>9525</xdr:rowOff>
        </xdr:to>
        <xdr:pic>
          <xdr:nvPicPr>
            <xdr:cNvPr id="2998854" name="Picture 4">
              <a:extLst>
                <a:ext uri="{FF2B5EF4-FFF2-40B4-BE49-F238E27FC236}">
                  <a16:creationId xmlns:a16="http://schemas.microsoft.com/office/drawing/2014/main" id="{00000000-0008-0000-1400-000046C22D00}"/>
                </a:ext>
              </a:extLst>
            </xdr:cNvPr>
            <xdr:cNvPicPr preferRelativeResize="0">
              <a:picLocks noChangeArrowheads="1" noChangeShapeType="1"/>
              <a:extLst>
                <a:ext uri="{84589F7E-364E-4C9E-8A38-B11213B215E9}">
                  <a14:cameraTool cellRange="N71" spid="_x0000_s4175813"/>
                </a:ext>
              </a:extLst>
            </xdr:cNvPicPr>
          </xdr:nvPicPr>
          <xdr:blipFill>
            <a:blip xmlns:r="http://schemas.openxmlformats.org/officeDocument/2006/relationships" r:embed="rId5"/>
            <a:srcRect/>
            <a:stretch>
              <a:fillRect/>
            </a:stretch>
          </xdr:blipFill>
          <xdr:spPr bwMode="auto">
            <a:xfrm>
              <a:off x="2438400" y="20459700"/>
              <a:ext cx="723900" cy="2762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15</xdr:col>
          <xdr:colOff>28575</xdr:colOff>
          <xdr:row>105</xdr:row>
          <xdr:rowOff>76200</xdr:rowOff>
        </xdr:from>
        <xdr:to>
          <xdr:col>17</xdr:col>
          <xdr:colOff>28575</xdr:colOff>
          <xdr:row>106</xdr:row>
          <xdr:rowOff>161925</xdr:rowOff>
        </xdr:to>
        <xdr:pic>
          <xdr:nvPicPr>
            <xdr:cNvPr id="2998855" name="Picture 5">
              <a:extLst>
                <a:ext uri="{FF2B5EF4-FFF2-40B4-BE49-F238E27FC236}">
                  <a16:creationId xmlns:a16="http://schemas.microsoft.com/office/drawing/2014/main" id="{00000000-0008-0000-1400-000047C22D00}"/>
                </a:ext>
              </a:extLst>
            </xdr:cNvPr>
            <xdr:cNvPicPr preferRelativeResize="0">
              <a:picLocks noChangeArrowheads="1" noChangeShapeType="1"/>
              <a:extLst>
                <a:ext uri="{84589F7E-364E-4C9E-8A38-B11213B215E9}">
                  <a14:cameraTool cellRange="N90" spid="_x0000_s4175814"/>
                </a:ext>
              </a:extLst>
            </xdr:cNvPicPr>
          </xdr:nvPicPr>
          <xdr:blipFill>
            <a:blip xmlns:r="http://schemas.openxmlformats.org/officeDocument/2006/relationships" r:embed="rId5"/>
            <a:srcRect/>
            <a:stretch>
              <a:fillRect/>
            </a:stretch>
          </xdr:blipFill>
          <xdr:spPr bwMode="auto">
            <a:xfrm>
              <a:off x="5076825" y="21374100"/>
              <a:ext cx="723900" cy="2762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3</xdr:col>
          <xdr:colOff>57150</xdr:colOff>
          <xdr:row>105</xdr:row>
          <xdr:rowOff>85725</xdr:rowOff>
        </xdr:from>
        <xdr:to>
          <xdr:col>5</xdr:col>
          <xdr:colOff>57150</xdr:colOff>
          <xdr:row>106</xdr:row>
          <xdr:rowOff>171450</xdr:rowOff>
        </xdr:to>
        <xdr:pic>
          <xdr:nvPicPr>
            <xdr:cNvPr id="2998856" name="Picture 6">
              <a:extLst>
                <a:ext uri="{FF2B5EF4-FFF2-40B4-BE49-F238E27FC236}">
                  <a16:creationId xmlns:a16="http://schemas.microsoft.com/office/drawing/2014/main" id="{00000000-0008-0000-1400-000048C22D00}"/>
                </a:ext>
              </a:extLst>
            </xdr:cNvPr>
            <xdr:cNvPicPr preferRelativeResize="0">
              <a:picLocks noChangeArrowheads="1" noChangeShapeType="1"/>
              <a:extLst>
                <a:ext uri="{84589F7E-364E-4C9E-8A38-B11213B215E9}">
                  <a14:cameraTool cellRange="N90" spid="_x0000_s4175815"/>
                </a:ext>
              </a:extLst>
            </xdr:cNvPicPr>
          </xdr:nvPicPr>
          <xdr:blipFill>
            <a:blip xmlns:r="http://schemas.openxmlformats.org/officeDocument/2006/relationships" r:embed="rId5"/>
            <a:srcRect/>
            <a:stretch>
              <a:fillRect/>
            </a:stretch>
          </xdr:blipFill>
          <xdr:spPr bwMode="auto">
            <a:xfrm>
              <a:off x="762000" y="21383625"/>
              <a:ext cx="723900" cy="2762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7</xdr:col>
          <xdr:colOff>266700</xdr:colOff>
          <xdr:row>108</xdr:row>
          <xdr:rowOff>133350</xdr:rowOff>
        </xdr:from>
        <xdr:to>
          <xdr:col>9</xdr:col>
          <xdr:colOff>266700</xdr:colOff>
          <xdr:row>110</xdr:row>
          <xdr:rowOff>28575</xdr:rowOff>
        </xdr:to>
        <xdr:pic>
          <xdr:nvPicPr>
            <xdr:cNvPr id="2998857" name="Picture 7">
              <a:extLst>
                <a:ext uri="{FF2B5EF4-FFF2-40B4-BE49-F238E27FC236}">
                  <a16:creationId xmlns:a16="http://schemas.microsoft.com/office/drawing/2014/main" id="{00000000-0008-0000-1400-000049C22D00}"/>
                </a:ext>
              </a:extLst>
            </xdr:cNvPr>
            <xdr:cNvPicPr preferRelativeResize="0">
              <a:picLocks noChangeArrowheads="1" noChangeShapeType="1"/>
              <a:extLst>
                <a:ext uri="{84589F7E-364E-4C9E-8A38-B11213B215E9}">
                  <a14:cameraTool cellRange="K86" spid="_x0000_s4175816"/>
                </a:ext>
              </a:extLst>
            </xdr:cNvPicPr>
          </xdr:nvPicPr>
          <xdr:blipFill>
            <a:blip xmlns:r="http://schemas.openxmlformats.org/officeDocument/2006/relationships" r:embed="rId5"/>
            <a:srcRect/>
            <a:stretch>
              <a:fillRect/>
            </a:stretch>
          </xdr:blipFill>
          <xdr:spPr bwMode="auto">
            <a:xfrm>
              <a:off x="2419350" y="21802725"/>
              <a:ext cx="723900" cy="2762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9</xdr:col>
          <xdr:colOff>247650</xdr:colOff>
          <xdr:row>104</xdr:row>
          <xdr:rowOff>38100</xdr:rowOff>
        </xdr:from>
        <xdr:to>
          <xdr:col>11</xdr:col>
          <xdr:colOff>247650</xdr:colOff>
          <xdr:row>105</xdr:row>
          <xdr:rowOff>123825</xdr:rowOff>
        </xdr:to>
        <xdr:pic>
          <xdr:nvPicPr>
            <xdr:cNvPr id="2998859" name="Picture 9">
              <a:extLst>
                <a:ext uri="{FF2B5EF4-FFF2-40B4-BE49-F238E27FC236}">
                  <a16:creationId xmlns:a16="http://schemas.microsoft.com/office/drawing/2014/main" id="{00000000-0008-0000-1400-00004BC22D00}"/>
                </a:ext>
              </a:extLst>
            </xdr:cNvPr>
            <xdr:cNvPicPr preferRelativeResize="0">
              <a:picLocks noChangeArrowheads="1" noChangeShapeType="1"/>
              <a:extLst>
                <a:ext uri="{84589F7E-364E-4C9E-8A38-B11213B215E9}">
                  <a14:cameraTool cellRange="$J$94" spid="_x0000_s4175817"/>
                </a:ext>
              </a:extLst>
            </xdr:cNvPicPr>
          </xdr:nvPicPr>
          <xdr:blipFill>
            <a:blip xmlns:r="http://schemas.openxmlformats.org/officeDocument/2006/relationships" r:embed="rId5"/>
            <a:srcRect/>
            <a:stretch>
              <a:fillRect/>
            </a:stretch>
          </xdr:blipFill>
          <xdr:spPr bwMode="auto">
            <a:xfrm>
              <a:off x="3105150" y="20364450"/>
              <a:ext cx="723900" cy="2762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10</xdr:col>
          <xdr:colOff>228600</xdr:colOff>
          <xdr:row>115</xdr:row>
          <xdr:rowOff>133350</xdr:rowOff>
        </xdr:from>
        <xdr:to>
          <xdr:col>12</xdr:col>
          <xdr:colOff>228600</xdr:colOff>
          <xdr:row>117</xdr:row>
          <xdr:rowOff>28575</xdr:rowOff>
        </xdr:to>
        <xdr:pic>
          <xdr:nvPicPr>
            <xdr:cNvPr id="2998860" name="Picture 10">
              <a:extLst>
                <a:ext uri="{FF2B5EF4-FFF2-40B4-BE49-F238E27FC236}">
                  <a16:creationId xmlns:a16="http://schemas.microsoft.com/office/drawing/2014/main" id="{00000000-0008-0000-1400-00004CC22D00}"/>
                </a:ext>
              </a:extLst>
            </xdr:cNvPr>
            <xdr:cNvPicPr preferRelativeResize="0">
              <a:picLocks noChangeArrowheads="1" noChangeShapeType="1"/>
              <a:extLst>
                <a:ext uri="{84589F7E-364E-4C9E-8A38-B11213B215E9}">
                  <a14:cameraTool cellRange="P94" spid="_x0000_s4175818"/>
                </a:ext>
              </a:extLst>
            </xdr:cNvPicPr>
          </xdr:nvPicPr>
          <xdr:blipFill>
            <a:blip xmlns:r="http://schemas.openxmlformats.org/officeDocument/2006/relationships" r:embed="rId5"/>
            <a:srcRect/>
            <a:stretch>
              <a:fillRect/>
            </a:stretch>
          </xdr:blipFill>
          <xdr:spPr bwMode="auto">
            <a:xfrm>
              <a:off x="3467100" y="23336250"/>
              <a:ext cx="723900" cy="2762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105</xdr:row>
          <xdr:rowOff>142875</xdr:rowOff>
        </xdr:from>
        <xdr:to>
          <xdr:col>2</xdr:col>
          <xdr:colOff>333375</xdr:colOff>
          <xdr:row>109</xdr:row>
          <xdr:rowOff>114300</xdr:rowOff>
        </xdr:to>
        <xdr:pic>
          <xdr:nvPicPr>
            <xdr:cNvPr id="2998861" name="Picture 11">
              <a:extLst>
                <a:ext uri="{FF2B5EF4-FFF2-40B4-BE49-F238E27FC236}">
                  <a16:creationId xmlns:a16="http://schemas.microsoft.com/office/drawing/2014/main" id="{00000000-0008-0000-1400-00004DC22D00}"/>
                </a:ext>
              </a:extLst>
            </xdr:cNvPr>
            <xdr:cNvPicPr preferRelativeResize="0">
              <a:picLocks noChangeArrowheads="1" noChangeShapeType="1"/>
              <a:extLst>
                <a:ext uri="{84589F7E-364E-4C9E-8A38-B11213B215E9}">
                  <a14:cameraTool cellRange="P92" spid="_x0000_s4175819"/>
                </a:ext>
              </a:extLst>
            </xdr:cNvPicPr>
          </xdr:nvPicPr>
          <xdr:blipFill>
            <a:blip xmlns:r="http://schemas.openxmlformats.org/officeDocument/2006/relationships" r:embed="rId5"/>
            <a:srcRect/>
            <a:stretch>
              <a:fillRect/>
            </a:stretch>
          </xdr:blipFill>
          <xdr:spPr bwMode="auto">
            <a:xfrm rot="-5400000">
              <a:off x="180975" y="21678900"/>
              <a:ext cx="733425" cy="2571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122</xdr:row>
          <xdr:rowOff>85725</xdr:rowOff>
        </xdr:from>
        <xdr:to>
          <xdr:col>5</xdr:col>
          <xdr:colOff>38100</xdr:colOff>
          <xdr:row>123</xdr:row>
          <xdr:rowOff>171450</xdr:rowOff>
        </xdr:to>
        <xdr:pic>
          <xdr:nvPicPr>
            <xdr:cNvPr id="2998862" name="TextBox1">
              <a:extLst>
                <a:ext uri="{FF2B5EF4-FFF2-40B4-BE49-F238E27FC236}">
                  <a16:creationId xmlns:a16="http://schemas.microsoft.com/office/drawing/2014/main" id="{00000000-0008-0000-1400-00004EC22D00}"/>
                </a:ext>
              </a:extLst>
            </xdr:cNvPr>
            <xdr:cNvPicPr preferRelativeResize="0">
              <a:picLocks noChangeArrowheads="1" noChangeShapeType="1"/>
              <a:extLst>
                <a:ext uri="{84589F7E-364E-4C9E-8A38-B11213B215E9}">
                  <a14:cameraTool cellRange="N71" spid="_x0000_s4175820"/>
                </a:ext>
              </a:extLst>
            </xdr:cNvPicPr>
          </xdr:nvPicPr>
          <xdr:blipFill>
            <a:blip xmlns:r="http://schemas.openxmlformats.org/officeDocument/2006/relationships" r:embed="rId5"/>
            <a:srcRect/>
            <a:stretch>
              <a:fillRect/>
            </a:stretch>
          </xdr:blipFill>
          <xdr:spPr bwMode="auto">
            <a:xfrm>
              <a:off x="742950" y="24622125"/>
              <a:ext cx="723900" cy="2762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122</xdr:row>
          <xdr:rowOff>85725</xdr:rowOff>
        </xdr:from>
        <xdr:to>
          <xdr:col>14</xdr:col>
          <xdr:colOff>104775</xdr:colOff>
          <xdr:row>123</xdr:row>
          <xdr:rowOff>171450</xdr:rowOff>
        </xdr:to>
        <xdr:pic>
          <xdr:nvPicPr>
            <xdr:cNvPr id="2998863" name="Picture 13">
              <a:extLst>
                <a:ext uri="{FF2B5EF4-FFF2-40B4-BE49-F238E27FC236}">
                  <a16:creationId xmlns:a16="http://schemas.microsoft.com/office/drawing/2014/main" id="{00000000-0008-0000-1400-00004FC22D00}"/>
                </a:ext>
              </a:extLst>
            </xdr:cNvPr>
            <xdr:cNvPicPr preferRelativeResize="0">
              <a:picLocks noChangeArrowheads="1" noChangeShapeType="1"/>
              <a:extLst>
                <a:ext uri="{84589F7E-364E-4C9E-8A38-B11213B215E9}">
                  <a14:cameraTool cellRange="K86" spid="_x0000_s4175821"/>
                </a:ext>
              </a:extLst>
            </xdr:cNvPicPr>
          </xdr:nvPicPr>
          <xdr:blipFill>
            <a:blip xmlns:r="http://schemas.openxmlformats.org/officeDocument/2006/relationships" r:embed="rId5"/>
            <a:srcRect/>
            <a:stretch>
              <a:fillRect/>
            </a:stretch>
          </xdr:blipFill>
          <xdr:spPr bwMode="auto">
            <a:xfrm>
              <a:off x="4067175" y="24622125"/>
              <a:ext cx="723900" cy="2762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50512</xdr:colOff>
          <xdr:row>125</xdr:row>
          <xdr:rowOff>45316</xdr:rowOff>
        </xdr:from>
        <xdr:to>
          <xdr:col>6</xdr:col>
          <xdr:colOff>50512</xdr:colOff>
          <xdr:row>126</xdr:row>
          <xdr:rowOff>131041</xdr:rowOff>
        </xdr:to>
        <xdr:pic>
          <xdr:nvPicPr>
            <xdr:cNvPr id="2998864" name="Picture 15">
              <a:extLst>
                <a:ext uri="{FF2B5EF4-FFF2-40B4-BE49-F238E27FC236}">
                  <a16:creationId xmlns:a16="http://schemas.microsoft.com/office/drawing/2014/main" id="{00000000-0008-0000-1400-000050C22D00}"/>
                </a:ext>
              </a:extLst>
            </xdr:cNvPr>
            <xdr:cNvPicPr preferRelativeResize="0">
              <a:picLocks noChangeArrowheads="1" noChangeShapeType="1"/>
              <a:extLst>
                <a:ext uri="{84589F7E-364E-4C9E-8A38-B11213B215E9}">
                  <a14:cameraTool cellRange="C64" spid="_x0000_s4175822"/>
                </a:ext>
              </a:extLst>
            </xdr:cNvPicPr>
          </xdr:nvPicPr>
          <xdr:blipFill>
            <a:blip xmlns:r="http://schemas.openxmlformats.org/officeDocument/2006/relationships" r:embed="rId5"/>
            <a:srcRect/>
            <a:stretch>
              <a:fillRect/>
            </a:stretch>
          </xdr:blipFill>
          <xdr:spPr bwMode="auto">
            <a:xfrm>
              <a:off x="1117312" y="24953191"/>
              <a:ext cx="723900" cy="2762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342900</xdr:colOff>
          <xdr:row>129</xdr:row>
          <xdr:rowOff>47625</xdr:rowOff>
        </xdr:from>
        <xdr:to>
          <xdr:col>12</xdr:col>
          <xdr:colOff>342900</xdr:colOff>
          <xdr:row>130</xdr:row>
          <xdr:rowOff>133350</xdr:rowOff>
        </xdr:to>
        <xdr:pic>
          <xdr:nvPicPr>
            <xdr:cNvPr id="2998865" name="Picture 16">
              <a:extLst>
                <a:ext uri="{FF2B5EF4-FFF2-40B4-BE49-F238E27FC236}">
                  <a16:creationId xmlns:a16="http://schemas.microsoft.com/office/drawing/2014/main" id="{00000000-0008-0000-1400-000051C22D00}"/>
                </a:ext>
              </a:extLst>
            </xdr:cNvPr>
            <xdr:cNvPicPr preferRelativeResize="0">
              <a:picLocks noChangeArrowheads="1" noChangeShapeType="1"/>
              <a:extLst>
                <a:ext uri="{84589F7E-364E-4C9E-8A38-B11213B215E9}">
                  <a14:cameraTool cellRange="J40" spid="_x0000_s4175823"/>
                </a:ext>
              </a:extLst>
            </xdr:cNvPicPr>
          </xdr:nvPicPr>
          <xdr:blipFill>
            <a:blip xmlns:r="http://schemas.openxmlformats.org/officeDocument/2006/relationships" r:embed="rId5"/>
            <a:srcRect/>
            <a:stretch>
              <a:fillRect/>
            </a:stretch>
          </xdr:blipFill>
          <xdr:spPr bwMode="auto">
            <a:xfrm>
              <a:off x="3581400" y="25917525"/>
              <a:ext cx="723900" cy="2762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65</xdr:row>
          <xdr:rowOff>0</xdr:rowOff>
        </xdr:from>
        <xdr:to>
          <xdr:col>18</xdr:col>
          <xdr:colOff>30480</xdr:colOff>
          <xdr:row>67</xdr:row>
          <xdr:rowOff>0</xdr:rowOff>
        </xdr:to>
        <xdr:sp macro="" textlink="">
          <xdr:nvSpPr>
            <xdr:cNvPr id="2348414" name="Object 22910" hidden="1">
              <a:extLst>
                <a:ext uri="{63B3BB69-23CF-44E3-9099-C40C66FF867C}">
                  <a14:compatExt spid="_x0000_s2348414"/>
                </a:ext>
                <a:ext uri="{FF2B5EF4-FFF2-40B4-BE49-F238E27FC236}">
                  <a16:creationId xmlns:a16="http://schemas.microsoft.com/office/drawing/2014/main" id="{00000000-0008-0000-1400-00007ED523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75</xdr:row>
          <xdr:rowOff>38100</xdr:rowOff>
        </xdr:from>
        <xdr:to>
          <xdr:col>18</xdr:col>
          <xdr:colOff>0</xdr:colOff>
          <xdr:row>77</xdr:row>
          <xdr:rowOff>236220</xdr:rowOff>
        </xdr:to>
        <xdr:sp macro="" textlink="">
          <xdr:nvSpPr>
            <xdr:cNvPr id="2348440" name="Object 22936" hidden="1">
              <a:extLst>
                <a:ext uri="{63B3BB69-23CF-44E3-9099-C40C66FF867C}">
                  <a14:compatExt spid="_x0000_s2348440"/>
                </a:ext>
                <a:ext uri="{FF2B5EF4-FFF2-40B4-BE49-F238E27FC236}">
                  <a16:creationId xmlns:a16="http://schemas.microsoft.com/office/drawing/2014/main" id="{00000000-0008-0000-1400-000098D523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106680</xdr:colOff>
          <xdr:row>64</xdr:row>
          <xdr:rowOff>30480</xdr:rowOff>
        </xdr:from>
        <xdr:to>
          <xdr:col>36</xdr:col>
          <xdr:colOff>144780</xdr:colOff>
          <xdr:row>67</xdr:row>
          <xdr:rowOff>0</xdr:rowOff>
        </xdr:to>
        <xdr:sp macro="" textlink="">
          <xdr:nvSpPr>
            <xdr:cNvPr id="2348441" name="Object 22937" hidden="1">
              <a:extLst>
                <a:ext uri="{63B3BB69-23CF-44E3-9099-C40C66FF867C}">
                  <a14:compatExt spid="_x0000_s2348441"/>
                </a:ext>
                <a:ext uri="{FF2B5EF4-FFF2-40B4-BE49-F238E27FC236}">
                  <a16:creationId xmlns:a16="http://schemas.microsoft.com/office/drawing/2014/main" id="{00000000-0008-0000-1400-000099D523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106680</xdr:colOff>
          <xdr:row>75</xdr:row>
          <xdr:rowOff>38100</xdr:rowOff>
        </xdr:from>
        <xdr:to>
          <xdr:col>36</xdr:col>
          <xdr:colOff>121920</xdr:colOff>
          <xdr:row>77</xdr:row>
          <xdr:rowOff>236220</xdr:rowOff>
        </xdr:to>
        <xdr:sp macro="" textlink="">
          <xdr:nvSpPr>
            <xdr:cNvPr id="2348442" name="Object 22938" hidden="1">
              <a:extLst>
                <a:ext uri="{63B3BB69-23CF-44E3-9099-C40C66FF867C}">
                  <a14:compatExt spid="_x0000_s2348442"/>
                </a:ext>
                <a:ext uri="{FF2B5EF4-FFF2-40B4-BE49-F238E27FC236}">
                  <a16:creationId xmlns:a16="http://schemas.microsoft.com/office/drawing/2014/main" id="{00000000-0008-0000-1400-00009AD523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304800</xdr:colOff>
          <xdr:row>126</xdr:row>
          <xdr:rowOff>161925</xdr:rowOff>
        </xdr:from>
        <xdr:to>
          <xdr:col>10</xdr:col>
          <xdr:colOff>219075</xdr:colOff>
          <xdr:row>128</xdr:row>
          <xdr:rowOff>0</xdr:rowOff>
        </xdr:to>
        <xdr:pic>
          <xdr:nvPicPr>
            <xdr:cNvPr id="2998866" name="Picture 16">
              <a:extLst>
                <a:ext uri="{FF2B5EF4-FFF2-40B4-BE49-F238E27FC236}">
                  <a16:creationId xmlns:a16="http://schemas.microsoft.com/office/drawing/2014/main" id="{00000000-0008-0000-1400-000052C22D00}"/>
                </a:ext>
              </a:extLst>
            </xdr:cNvPr>
            <xdr:cNvPicPr preferRelativeResize="0">
              <a:picLocks noChangeArrowheads="1" noChangeShapeType="1"/>
              <a:extLst>
                <a:ext uri="{84589F7E-364E-4C9E-8A38-B11213B215E9}">
                  <a14:cameraTool cellRange="H8" spid="_x0000_s4175824"/>
                </a:ext>
              </a:extLst>
            </xdr:cNvPicPr>
          </xdr:nvPicPr>
          <xdr:blipFill>
            <a:blip xmlns:r="http://schemas.openxmlformats.org/officeDocument/2006/relationships" r:embed="rId6"/>
            <a:srcRect/>
            <a:stretch>
              <a:fillRect/>
            </a:stretch>
          </xdr:blipFill>
          <xdr:spPr bwMode="auto">
            <a:xfrm>
              <a:off x="2819400" y="25460325"/>
              <a:ext cx="638175" cy="2190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twoCellAnchor editAs="oneCell">
    <xdr:from>
      <xdr:col>13</xdr:col>
      <xdr:colOff>28575</xdr:colOff>
      <xdr:row>0</xdr:row>
      <xdr:rowOff>171450</xdr:rowOff>
    </xdr:from>
    <xdr:to>
      <xdr:col>18</xdr:col>
      <xdr:colOff>53449</xdr:colOff>
      <xdr:row>0</xdr:row>
      <xdr:rowOff>720090</xdr:rowOff>
    </xdr:to>
    <xdr:pic>
      <xdr:nvPicPr>
        <xdr:cNvPr id="27" name="Picture 26">
          <a:extLst>
            <a:ext uri="{FF2B5EF4-FFF2-40B4-BE49-F238E27FC236}">
              <a16:creationId xmlns:a16="http://schemas.microsoft.com/office/drawing/2014/main" id="{00000000-0008-0000-1400-00001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248150" y="171450"/>
          <a:ext cx="1786999" cy="548640"/>
        </a:xfrm>
        <a:prstGeom prst="rect">
          <a:avLst/>
        </a:prstGeom>
      </xdr:spPr>
    </xdr:pic>
    <xdr:clientData/>
  </xdr:twoCellAnchor>
  <xdr:twoCellAnchor editAs="oneCell">
    <xdr:from>
      <xdr:col>0</xdr:col>
      <xdr:colOff>85725</xdr:colOff>
      <xdr:row>0</xdr:row>
      <xdr:rowOff>142875</xdr:rowOff>
    </xdr:from>
    <xdr:to>
      <xdr:col>5</xdr:col>
      <xdr:colOff>66675</xdr:colOff>
      <xdr:row>0</xdr:row>
      <xdr:rowOff>691515</xdr:rowOff>
    </xdr:to>
    <xdr:pic>
      <xdr:nvPicPr>
        <xdr:cNvPr id="29" name="Picture 28">
          <a:extLst>
            <a:ext uri="{FF2B5EF4-FFF2-40B4-BE49-F238E27FC236}">
              <a16:creationId xmlns:a16="http://schemas.microsoft.com/office/drawing/2014/main" id="{00000000-0008-0000-1400-00001D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5725" y="142875"/>
          <a:ext cx="1381125" cy="548640"/>
        </a:xfrm>
        <a:prstGeom prst="rect">
          <a:avLst/>
        </a:prstGeom>
      </xdr:spPr>
    </xdr:pic>
    <xdr:clientData/>
  </xdr:twoCellAnchor>
  <xdr:oneCellAnchor>
    <xdr:from>
      <xdr:col>0</xdr:col>
      <xdr:colOff>47626</xdr:colOff>
      <xdr:row>103</xdr:row>
      <xdr:rowOff>28574</xdr:rowOff>
    </xdr:from>
    <xdr:ext cx="363369" cy="1591435"/>
    <xdr:sp macro="" textlink="">
      <xdr:nvSpPr>
        <xdr:cNvPr id="5" name="TextBox 4">
          <a:extLst>
            <a:ext uri="{FF2B5EF4-FFF2-40B4-BE49-F238E27FC236}">
              <a16:creationId xmlns:a16="http://schemas.microsoft.com/office/drawing/2014/main" id="{00000000-0008-0000-1400-000005000000}"/>
            </a:ext>
          </a:extLst>
        </xdr:cNvPr>
        <xdr:cNvSpPr txBox="1"/>
      </xdr:nvSpPr>
      <xdr:spPr>
        <a:xfrm>
          <a:off x="47626" y="20745449"/>
          <a:ext cx="363369" cy="15914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vert270" wrap="square" rtlCol="0" anchor="t">
          <a:spAutoFit/>
        </a:bodyPr>
        <a:lstStyle/>
        <a:p>
          <a:r>
            <a:rPr lang="en-US" sz="1200" b="1" i="0" u="none" strike="noStrike">
              <a:solidFill>
                <a:schemeClr val="tx1"/>
              </a:solidFill>
              <a:effectLst/>
              <a:latin typeface="Trebuchet MS" panose="020B0603020202020204" pitchFamily="34" charset="0"/>
              <a:ea typeface="+mn-ea"/>
              <a:cs typeface="+mn-cs"/>
            </a:rPr>
            <a:t>Total Mound Width</a:t>
          </a:r>
          <a:r>
            <a:rPr lang="en-US" sz="1200">
              <a:latin typeface="Trebuchet MS" panose="020B0603020202020204" pitchFamily="34" charset="0"/>
            </a:rPr>
            <a:t> </a:t>
          </a:r>
        </a:p>
      </xdr:txBody>
    </xdr:sp>
    <xdr:clientData/>
  </xdr:oneCellAnchor>
  <xdr:oneCellAnchor>
    <xdr:from>
      <xdr:col>7</xdr:col>
      <xdr:colOff>171450</xdr:colOff>
      <xdr:row>98</xdr:row>
      <xdr:rowOff>95250</xdr:rowOff>
    </xdr:from>
    <xdr:ext cx="755463" cy="271036"/>
    <xdr:sp macro="" textlink="">
      <xdr:nvSpPr>
        <xdr:cNvPr id="6" name="TextBox 5">
          <a:extLst>
            <a:ext uri="{FF2B5EF4-FFF2-40B4-BE49-F238E27FC236}">
              <a16:creationId xmlns:a16="http://schemas.microsoft.com/office/drawing/2014/main" id="{00000000-0008-0000-1400-000006000000}"/>
            </a:ext>
          </a:extLst>
        </xdr:cNvPr>
        <xdr:cNvSpPr txBox="1"/>
      </xdr:nvSpPr>
      <xdr:spPr>
        <a:xfrm>
          <a:off x="2324100" y="19859625"/>
          <a:ext cx="755463" cy="271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latin typeface="Trebuchet MS" panose="020B0603020202020204" pitchFamily="34" charset="0"/>
            </a:rPr>
            <a:t>Upslope</a:t>
          </a:r>
        </a:p>
      </xdr:txBody>
    </xdr:sp>
    <xdr:clientData/>
  </xdr:oneCellAnchor>
  <xdr:oneCellAnchor>
    <xdr:from>
      <xdr:col>7</xdr:col>
      <xdr:colOff>161925</xdr:colOff>
      <xdr:row>110</xdr:row>
      <xdr:rowOff>19050</xdr:rowOff>
    </xdr:from>
    <xdr:ext cx="958917" cy="271036"/>
    <xdr:sp macro="" textlink="">
      <xdr:nvSpPr>
        <xdr:cNvPr id="7" name="TextBox 6">
          <a:extLst>
            <a:ext uri="{FF2B5EF4-FFF2-40B4-BE49-F238E27FC236}">
              <a16:creationId xmlns:a16="http://schemas.microsoft.com/office/drawing/2014/main" id="{00000000-0008-0000-1400-000007000000}"/>
            </a:ext>
          </a:extLst>
        </xdr:cNvPr>
        <xdr:cNvSpPr txBox="1"/>
      </xdr:nvSpPr>
      <xdr:spPr>
        <a:xfrm>
          <a:off x="2314575" y="22269450"/>
          <a:ext cx="958917" cy="271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latin typeface="Trebuchet MS" panose="020B0603020202020204" pitchFamily="34" charset="0"/>
            </a:rPr>
            <a:t>Downslope</a:t>
          </a:r>
        </a:p>
      </xdr:txBody>
    </xdr:sp>
    <xdr:clientData/>
  </xdr:oneCellAnchor>
  <xdr:oneCellAnchor>
    <xdr:from>
      <xdr:col>13</xdr:col>
      <xdr:colOff>9525</xdr:colOff>
      <xdr:row>104</xdr:row>
      <xdr:rowOff>108840</xdr:rowOff>
    </xdr:from>
    <xdr:ext cx="363369" cy="1019446"/>
    <xdr:sp macro="" textlink="">
      <xdr:nvSpPr>
        <xdr:cNvPr id="8" name="TextBox 7">
          <a:extLst>
            <a:ext uri="{FF2B5EF4-FFF2-40B4-BE49-F238E27FC236}">
              <a16:creationId xmlns:a16="http://schemas.microsoft.com/office/drawing/2014/main" id="{00000000-0008-0000-1400-000008000000}"/>
            </a:ext>
          </a:extLst>
        </xdr:cNvPr>
        <xdr:cNvSpPr txBox="1"/>
      </xdr:nvSpPr>
      <xdr:spPr>
        <a:xfrm>
          <a:off x="4333875" y="21016215"/>
          <a:ext cx="363369" cy="10194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vert270" wrap="none" rtlCol="0" anchor="t">
          <a:spAutoFit/>
        </a:bodyPr>
        <a:lstStyle/>
        <a:p>
          <a:r>
            <a:rPr lang="en-US" sz="1200" b="1">
              <a:solidFill>
                <a:sysClr val="windowText" lastClr="000000"/>
              </a:solidFill>
              <a:latin typeface="Trebuchet MS" panose="020B0603020202020204" pitchFamily="34" charset="0"/>
            </a:rPr>
            <a:t>Clean    Sand</a:t>
          </a:r>
        </a:p>
      </xdr:txBody>
    </xdr:sp>
    <xdr:clientData/>
  </xdr:oneCellAnchor>
  <xdr:oneCellAnchor>
    <xdr:from>
      <xdr:col>8</xdr:col>
      <xdr:colOff>161925</xdr:colOff>
      <xdr:row>129</xdr:row>
      <xdr:rowOff>47625</xdr:rowOff>
    </xdr:from>
    <xdr:ext cx="841321" cy="241220"/>
    <xdr:sp macro="" textlink="">
      <xdr:nvSpPr>
        <xdr:cNvPr id="9" name="TextBox 8">
          <a:extLst>
            <a:ext uri="{FF2B5EF4-FFF2-40B4-BE49-F238E27FC236}">
              <a16:creationId xmlns:a16="http://schemas.microsoft.com/office/drawing/2014/main" id="{00000000-0008-0000-1400-000009000000}"/>
            </a:ext>
          </a:extLst>
        </xdr:cNvPr>
        <xdr:cNvSpPr txBox="1"/>
      </xdr:nvSpPr>
      <xdr:spPr>
        <a:xfrm>
          <a:off x="2676525" y="25917525"/>
          <a:ext cx="841321" cy="2412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000" b="1">
              <a:solidFill>
                <a:sysClr val="windowText" lastClr="000000"/>
              </a:solidFill>
              <a:latin typeface="Trebuchet MS" panose="020B0603020202020204" pitchFamily="34" charset="0"/>
            </a:rPr>
            <a:t>Clean</a:t>
          </a:r>
          <a:r>
            <a:rPr lang="en-US" sz="1000" b="1" baseline="0">
              <a:solidFill>
                <a:sysClr val="windowText" lastClr="000000"/>
              </a:solidFill>
              <a:latin typeface="Trebuchet MS" panose="020B0603020202020204" pitchFamily="34" charset="0"/>
            </a:rPr>
            <a:t> Sand</a:t>
          </a:r>
          <a:endParaRPr lang="en-US" sz="1000" b="1">
            <a:solidFill>
              <a:sysClr val="windowText" lastClr="000000"/>
            </a:solidFill>
            <a:latin typeface="Trebuchet MS" panose="020B0603020202020204" pitchFamily="34" charset="0"/>
          </a:endParaRPr>
        </a:p>
      </xdr:txBody>
    </xdr:sp>
    <xdr:clientData/>
  </xdr:oneCellAnchor>
  <xdr:oneCellAnchor>
    <xdr:from>
      <xdr:col>3</xdr:col>
      <xdr:colOff>0</xdr:colOff>
      <xdr:row>103</xdr:row>
      <xdr:rowOff>57150</xdr:rowOff>
    </xdr:from>
    <xdr:ext cx="829201" cy="271036"/>
    <xdr:sp macro="" textlink="">
      <xdr:nvSpPr>
        <xdr:cNvPr id="10" name="TextBox 9">
          <a:extLst>
            <a:ext uri="{FF2B5EF4-FFF2-40B4-BE49-F238E27FC236}">
              <a16:creationId xmlns:a16="http://schemas.microsoft.com/office/drawing/2014/main" id="{00000000-0008-0000-1400-00000A000000}"/>
            </a:ext>
          </a:extLst>
        </xdr:cNvPr>
        <xdr:cNvSpPr txBox="1"/>
      </xdr:nvSpPr>
      <xdr:spPr>
        <a:xfrm>
          <a:off x="704850" y="20774025"/>
          <a:ext cx="829201" cy="271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latin typeface="Trebuchet MS" panose="020B0603020202020204" pitchFamily="34" charset="0"/>
            </a:rPr>
            <a:t>Endslope</a:t>
          </a:r>
        </a:p>
      </xdr:txBody>
    </xdr:sp>
    <xdr:clientData/>
  </xdr:oneCellAnchor>
  <xdr:oneCellAnchor>
    <xdr:from>
      <xdr:col>14</xdr:col>
      <xdr:colOff>304800</xdr:colOff>
      <xdr:row>103</xdr:row>
      <xdr:rowOff>57150</xdr:rowOff>
    </xdr:from>
    <xdr:ext cx="829201" cy="271036"/>
    <xdr:sp macro="" textlink="">
      <xdr:nvSpPr>
        <xdr:cNvPr id="11" name="TextBox 10">
          <a:extLst>
            <a:ext uri="{FF2B5EF4-FFF2-40B4-BE49-F238E27FC236}">
              <a16:creationId xmlns:a16="http://schemas.microsoft.com/office/drawing/2014/main" id="{00000000-0008-0000-1400-00000B000000}"/>
            </a:ext>
          </a:extLst>
        </xdr:cNvPr>
        <xdr:cNvSpPr txBox="1"/>
      </xdr:nvSpPr>
      <xdr:spPr>
        <a:xfrm>
          <a:off x="4991100" y="20774025"/>
          <a:ext cx="829201" cy="271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latin typeface="Trebuchet MS" panose="020B0603020202020204" pitchFamily="34" charset="0"/>
            </a:rPr>
            <a:t>Endslope</a:t>
          </a:r>
        </a:p>
      </xdr:txBody>
    </xdr:sp>
    <xdr:clientData/>
  </xdr:oneCellAnchor>
  <xdr:oneCellAnchor>
    <xdr:from>
      <xdr:col>7</xdr:col>
      <xdr:colOff>304800</xdr:colOff>
      <xdr:row>102</xdr:row>
      <xdr:rowOff>161925</xdr:rowOff>
    </xdr:from>
    <xdr:ext cx="1205458" cy="271036"/>
    <xdr:sp macro="" textlink="">
      <xdr:nvSpPr>
        <xdr:cNvPr id="12" name="TextBox 11">
          <a:extLst>
            <a:ext uri="{FF2B5EF4-FFF2-40B4-BE49-F238E27FC236}">
              <a16:creationId xmlns:a16="http://schemas.microsoft.com/office/drawing/2014/main" id="{00000000-0008-0000-1400-00000C000000}"/>
            </a:ext>
          </a:extLst>
        </xdr:cNvPr>
        <xdr:cNvSpPr txBox="1"/>
      </xdr:nvSpPr>
      <xdr:spPr>
        <a:xfrm>
          <a:off x="2438400" y="20107275"/>
          <a:ext cx="1205458" cy="271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0">
              <a:solidFill>
                <a:srgbClr val="FF0000"/>
              </a:solidFill>
              <a:latin typeface="Trebuchet MS" panose="020B0603020202020204" pitchFamily="34" charset="0"/>
            </a:rPr>
            <a:t>Dispersal Bed</a:t>
          </a:r>
          <a:r>
            <a:rPr lang="en-US" sz="1200" b="1">
              <a:solidFill>
                <a:srgbClr val="FF0000"/>
              </a:solidFill>
              <a:latin typeface="Trebuchet MS" panose="020B0603020202020204" pitchFamily="34" charset="0"/>
            </a:rPr>
            <a:t>:</a:t>
          </a:r>
        </a:p>
      </xdr:txBody>
    </xdr:sp>
    <xdr:clientData/>
  </xdr:oneCellAnchor>
  <xdr:oneCellAnchor>
    <xdr:from>
      <xdr:col>9</xdr:col>
      <xdr:colOff>57151</xdr:colOff>
      <xdr:row>104</xdr:row>
      <xdr:rowOff>28575</xdr:rowOff>
    </xdr:from>
    <xdr:ext cx="133350" cy="238125"/>
    <xdr:sp macro="" textlink="">
      <xdr:nvSpPr>
        <xdr:cNvPr id="13" name="TextBox 12">
          <a:extLst>
            <a:ext uri="{FF2B5EF4-FFF2-40B4-BE49-F238E27FC236}">
              <a16:creationId xmlns:a16="http://schemas.microsoft.com/office/drawing/2014/main" id="{00000000-0008-0000-1400-00000D000000}"/>
            </a:ext>
          </a:extLst>
        </xdr:cNvPr>
        <xdr:cNvSpPr txBox="1"/>
      </xdr:nvSpPr>
      <xdr:spPr>
        <a:xfrm>
          <a:off x="2914651" y="20354925"/>
          <a:ext cx="133350" cy="238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rgbClr val="FF0000"/>
              </a:solidFill>
            </a:rPr>
            <a:t>X</a:t>
          </a:r>
        </a:p>
      </xdr:txBody>
    </xdr:sp>
    <xdr:clientData/>
  </xdr:oneCellAnchor>
  <xdr:oneCellAnchor>
    <xdr:from>
      <xdr:col>5</xdr:col>
      <xdr:colOff>247650</xdr:colOff>
      <xdr:row>115</xdr:row>
      <xdr:rowOff>152400</xdr:rowOff>
    </xdr:from>
    <xdr:ext cx="1613775" cy="271036"/>
    <xdr:sp macro="" textlink="">
      <xdr:nvSpPr>
        <xdr:cNvPr id="14" name="TextBox 13">
          <a:extLst>
            <a:ext uri="{FF2B5EF4-FFF2-40B4-BE49-F238E27FC236}">
              <a16:creationId xmlns:a16="http://schemas.microsoft.com/office/drawing/2014/main" id="{00000000-0008-0000-1400-00000E000000}"/>
            </a:ext>
          </a:extLst>
        </xdr:cNvPr>
        <xdr:cNvSpPr txBox="1"/>
      </xdr:nvSpPr>
      <xdr:spPr>
        <a:xfrm>
          <a:off x="1676400" y="23355300"/>
          <a:ext cx="1613775" cy="271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latin typeface="Trebuchet MS" panose="020B0603020202020204" pitchFamily="34" charset="0"/>
            </a:rPr>
            <a:t>Total</a:t>
          </a:r>
          <a:r>
            <a:rPr lang="en-US" sz="1200" b="1" baseline="0">
              <a:latin typeface="Trebuchet MS" panose="020B0603020202020204" pitchFamily="34" charset="0"/>
            </a:rPr>
            <a:t> Mound Length</a:t>
          </a:r>
          <a:endParaRPr lang="en-US" sz="1200" b="1">
            <a:latin typeface="Trebuchet MS" panose="020B0603020202020204" pitchFamily="34" charset="0"/>
          </a:endParaRPr>
        </a:p>
      </xdr:txBody>
    </xdr:sp>
    <xdr:clientData/>
  </xdr:oneCellAnchor>
  <xdr:twoCellAnchor editAs="oneCell">
    <xdr:from>
      <xdr:col>7</xdr:col>
      <xdr:colOff>161925</xdr:colOff>
      <xdr:row>105</xdr:row>
      <xdr:rowOff>47625</xdr:rowOff>
    </xdr:from>
    <xdr:to>
      <xdr:col>9</xdr:col>
      <xdr:colOff>161925</xdr:colOff>
      <xdr:row>106</xdr:row>
      <xdr:rowOff>133350</xdr:rowOff>
    </xdr:to>
    <xdr:sp macro="" textlink="">
      <xdr:nvSpPr>
        <xdr:cNvPr id="3731832" name="AutoShape 77176" hidden="1">
          <a:extLst>
            <a:ext uri="{FF2B5EF4-FFF2-40B4-BE49-F238E27FC236}">
              <a16:creationId xmlns:a16="http://schemas.microsoft.com/office/drawing/2014/main" id="{00000000-0008-0000-1400-000078F13800}"/>
            </a:ext>
          </a:extLst>
        </xdr:cNvPr>
        <xdr:cNvSpPr>
          <a:spLocks noChangeAspect="1" noChangeArrowheads="1"/>
        </xdr:cNvSpPr>
      </xdr:nvSpPr>
      <xdr:spPr bwMode="auto">
        <a:xfrm>
          <a:off x="2314575" y="21345525"/>
          <a:ext cx="723900" cy="2762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36</xdr:col>
      <xdr:colOff>200024</xdr:colOff>
      <xdr:row>130</xdr:row>
      <xdr:rowOff>161924</xdr:rowOff>
    </xdr:from>
    <xdr:ext cx="390524" cy="171451"/>
    <xdr:sp macro="" textlink="">
      <xdr:nvSpPr>
        <xdr:cNvPr id="4" name="TextBox 3">
          <a:extLst>
            <a:ext uri="{FF2B5EF4-FFF2-40B4-BE49-F238E27FC236}">
              <a16:creationId xmlns:a16="http://schemas.microsoft.com/office/drawing/2014/main" id="{00000000-0008-0000-1400-000004000000}"/>
            </a:ext>
          </a:extLst>
        </xdr:cNvPr>
        <xdr:cNvSpPr txBox="1"/>
      </xdr:nvSpPr>
      <xdr:spPr>
        <a:xfrm flipH="1">
          <a:off x="12268199" y="25441274"/>
          <a:ext cx="390524" cy="1714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mc:AlternateContent xmlns:mc="http://schemas.openxmlformats.org/markup-compatibility/2006">
    <mc:Choice xmlns:a14="http://schemas.microsoft.com/office/drawing/2010/main" Requires="a14">
      <xdr:twoCellAnchor>
        <xdr:from>
          <xdr:col>7</xdr:col>
          <xdr:colOff>57150</xdr:colOff>
          <xdr:row>104</xdr:row>
          <xdr:rowOff>28575</xdr:rowOff>
        </xdr:from>
        <xdr:to>
          <xdr:col>9</xdr:col>
          <xdr:colOff>57150</xdr:colOff>
          <xdr:row>105</xdr:row>
          <xdr:rowOff>114300</xdr:rowOff>
        </xdr:to>
        <xdr:pic>
          <xdr:nvPicPr>
            <xdr:cNvPr id="39" name="Picture 9">
              <a:extLst>
                <a:ext uri="{FF2B5EF4-FFF2-40B4-BE49-F238E27FC236}">
                  <a16:creationId xmlns:a16="http://schemas.microsoft.com/office/drawing/2014/main" id="{00000000-0008-0000-1400-000027000000}"/>
                </a:ext>
              </a:extLst>
            </xdr:cNvPr>
            <xdr:cNvPicPr preferRelativeResize="0">
              <a:picLocks noChangeArrowheads="1" noChangeShapeType="1"/>
              <a:extLst>
                <a:ext uri="{84589F7E-364E-4C9E-8A38-B11213B215E9}">
                  <a14:cameraTool cellRange="$J$92" spid="_x0000_s4175825"/>
                </a:ext>
              </a:extLst>
            </xdr:cNvPicPr>
          </xdr:nvPicPr>
          <xdr:blipFill>
            <a:blip xmlns:r="http://schemas.openxmlformats.org/officeDocument/2006/relationships" r:embed="rId5"/>
            <a:srcRect/>
            <a:stretch>
              <a:fillRect/>
            </a:stretch>
          </xdr:blipFill>
          <xdr:spPr bwMode="auto">
            <a:xfrm>
              <a:off x="2190750" y="20354925"/>
              <a:ext cx="723900" cy="276225"/>
            </a:xfrm>
            <a:prstGeom prst="rect">
              <a:avLst/>
            </a:prstGeom>
            <a:solidFill>
              <a:srgbClr val="CFE5E9"/>
            </a:solidFill>
            <a:ln>
              <a:noFill/>
            </a:ln>
          </xdr:spPr>
        </xdr:pic>
        <xdr:clientData/>
      </xdr:twoCellAnchor>
    </mc:Choice>
    <mc:Fallback/>
  </mc:AlternateContent>
  <xdr:twoCellAnchor>
    <xdr:from>
      <xdr:col>5</xdr:col>
      <xdr:colOff>314325</xdr:colOff>
      <xdr:row>105</xdr:row>
      <xdr:rowOff>133350</xdr:rowOff>
    </xdr:from>
    <xdr:to>
      <xdr:col>9</xdr:col>
      <xdr:colOff>38100</xdr:colOff>
      <xdr:row>106</xdr:row>
      <xdr:rowOff>180975</xdr:rowOff>
    </xdr:to>
    <xdr:sp macro="" textlink="">
      <xdr:nvSpPr>
        <xdr:cNvPr id="16" name="TextBox 15">
          <a:extLst>
            <a:ext uri="{FF2B5EF4-FFF2-40B4-BE49-F238E27FC236}">
              <a16:creationId xmlns:a16="http://schemas.microsoft.com/office/drawing/2014/main" id="{00000000-0008-0000-1400-000010000000}"/>
            </a:ext>
          </a:extLst>
        </xdr:cNvPr>
        <xdr:cNvSpPr txBox="1"/>
      </xdr:nvSpPr>
      <xdr:spPr>
        <a:xfrm>
          <a:off x="1724025" y="20650200"/>
          <a:ext cx="1171575"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Distribution Area</a:t>
          </a:r>
        </a:p>
      </xdr:txBody>
    </xdr:sp>
    <xdr:clientData/>
  </xdr:twoCellAnchor>
  <xdr:twoCellAnchor>
    <xdr:from>
      <xdr:col>8</xdr:col>
      <xdr:colOff>323849</xdr:colOff>
      <xdr:row>105</xdr:row>
      <xdr:rowOff>161925</xdr:rowOff>
    </xdr:from>
    <xdr:to>
      <xdr:col>10</xdr:col>
      <xdr:colOff>133350</xdr:colOff>
      <xdr:row>107</xdr:row>
      <xdr:rowOff>38100</xdr:rowOff>
    </xdr:to>
    <xdr:sp macro="" textlink="$J$107">
      <xdr:nvSpPr>
        <xdr:cNvPr id="17" name="Rectangle 16">
          <a:extLst>
            <a:ext uri="{FF2B5EF4-FFF2-40B4-BE49-F238E27FC236}">
              <a16:creationId xmlns:a16="http://schemas.microsoft.com/office/drawing/2014/main" id="{00000000-0008-0000-1400-000011000000}"/>
            </a:ext>
          </a:extLst>
        </xdr:cNvPr>
        <xdr:cNvSpPr/>
      </xdr:nvSpPr>
      <xdr:spPr>
        <a:xfrm>
          <a:off x="2819399" y="20678775"/>
          <a:ext cx="533401" cy="257175"/>
        </a:xfrm>
        <a:prstGeom prst="rect">
          <a:avLst/>
        </a:prstGeom>
        <a:solidFill>
          <a:srgbClr val="CFE5E9"/>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A0FDE193-D1FB-4B9C-8AA8-78A5A8B09087}" type="TxLink">
            <a:rPr lang="en-US" sz="1000" b="0" i="0" u="none" strike="noStrike">
              <a:solidFill>
                <a:srgbClr val="000000"/>
              </a:solidFill>
              <a:latin typeface="Trebuchet MS"/>
            </a:rPr>
            <a:pPr algn="l"/>
            <a:t> </a:t>
          </a:fld>
          <a:endParaRPr lang="en-US" sz="1100"/>
        </a:p>
      </xdr:txBody>
    </xdr:sp>
    <xdr:clientData/>
  </xdr:twoCellAnchor>
  <xdr:twoCellAnchor>
    <xdr:from>
      <xdr:col>10</xdr:col>
      <xdr:colOff>104775</xdr:colOff>
      <xdr:row>105</xdr:row>
      <xdr:rowOff>171450</xdr:rowOff>
    </xdr:from>
    <xdr:to>
      <xdr:col>11</xdr:col>
      <xdr:colOff>95250</xdr:colOff>
      <xdr:row>107</xdr:row>
      <xdr:rowOff>38100</xdr:rowOff>
    </xdr:to>
    <xdr:sp macro="" textlink="">
      <xdr:nvSpPr>
        <xdr:cNvPr id="18" name="TextBox 17">
          <a:extLst>
            <a:ext uri="{FF2B5EF4-FFF2-40B4-BE49-F238E27FC236}">
              <a16:creationId xmlns:a16="http://schemas.microsoft.com/office/drawing/2014/main" id="{00000000-0008-0000-1400-000012000000}"/>
            </a:ext>
          </a:extLst>
        </xdr:cNvPr>
        <xdr:cNvSpPr txBox="1"/>
      </xdr:nvSpPr>
      <xdr:spPr>
        <a:xfrm>
          <a:off x="3324225" y="20688300"/>
          <a:ext cx="35242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ft</a:t>
          </a:r>
          <a:r>
            <a:rPr lang="en-US" sz="1100" baseline="30000"/>
            <a:t>2</a:t>
          </a:r>
          <a:endParaRPr 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220980</xdr:colOff>
          <xdr:row>8</xdr:row>
          <xdr:rowOff>0</xdr:rowOff>
        </xdr:from>
        <xdr:to>
          <xdr:col>9</xdr:col>
          <xdr:colOff>304800</xdr:colOff>
          <xdr:row>9</xdr:row>
          <xdr:rowOff>7620</xdr:rowOff>
        </xdr:to>
        <xdr:sp macro="" textlink="">
          <xdr:nvSpPr>
            <xdr:cNvPr id="2544279" name="Check Box 2711" hidden="1">
              <a:extLst>
                <a:ext uri="{63B3BB69-23CF-44E3-9099-C40C66FF867C}">
                  <a14:compatExt spid="_x0000_s2544279"/>
                </a:ext>
                <a:ext uri="{FF2B5EF4-FFF2-40B4-BE49-F238E27FC236}">
                  <a16:creationId xmlns:a16="http://schemas.microsoft.com/office/drawing/2014/main" id="{00000000-0008-0000-0300-000097D2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Gopher State One Call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152400</xdr:colOff>
          <xdr:row>8</xdr:row>
          <xdr:rowOff>7620</xdr:rowOff>
        </xdr:from>
        <xdr:to>
          <xdr:col>16</xdr:col>
          <xdr:colOff>304800</xdr:colOff>
          <xdr:row>9</xdr:row>
          <xdr:rowOff>0</xdr:rowOff>
        </xdr:to>
        <xdr:sp macro="" textlink="">
          <xdr:nvSpPr>
            <xdr:cNvPr id="2544280" name="Check Box 2712" hidden="1">
              <a:extLst>
                <a:ext uri="{63B3BB69-23CF-44E3-9099-C40C66FF867C}">
                  <a14:compatExt spid="_x0000_s2544280"/>
                </a:ext>
                <a:ext uri="{FF2B5EF4-FFF2-40B4-BE49-F238E27FC236}">
                  <a16:creationId xmlns:a16="http://schemas.microsoft.com/office/drawing/2014/main" id="{00000000-0008-0000-0300-000098D2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Any Private Utilities: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68580</xdr:colOff>
          <xdr:row>10</xdr:row>
          <xdr:rowOff>30480</xdr:rowOff>
        </xdr:from>
        <xdr:to>
          <xdr:col>12</xdr:col>
          <xdr:colOff>68580</xdr:colOff>
          <xdr:row>10</xdr:row>
          <xdr:rowOff>220980</xdr:rowOff>
        </xdr:to>
        <xdr:sp macro="" textlink="">
          <xdr:nvSpPr>
            <xdr:cNvPr id="2544285" name="Check Box 2717" hidden="1">
              <a:extLst>
                <a:ext uri="{63B3BB69-23CF-44E3-9099-C40C66FF867C}">
                  <a14:compatExt spid="_x0000_s2544285"/>
                </a:ext>
                <a:ext uri="{FF2B5EF4-FFF2-40B4-BE49-F238E27FC236}">
                  <a16:creationId xmlns:a16="http://schemas.microsoft.com/office/drawing/2014/main" id="{00000000-0008-0000-0300-00009DD2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Existing Buildings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220980</xdr:colOff>
          <xdr:row>10</xdr:row>
          <xdr:rowOff>30480</xdr:rowOff>
        </xdr:from>
        <xdr:to>
          <xdr:col>15</xdr:col>
          <xdr:colOff>76200</xdr:colOff>
          <xdr:row>10</xdr:row>
          <xdr:rowOff>220980</xdr:rowOff>
        </xdr:to>
        <xdr:sp macro="" textlink="">
          <xdr:nvSpPr>
            <xdr:cNvPr id="2544286" name="Check Box 2718" hidden="1">
              <a:extLst>
                <a:ext uri="{63B3BB69-23CF-44E3-9099-C40C66FF867C}">
                  <a14:compatExt spid="_x0000_s2544286"/>
                </a:ext>
                <a:ext uri="{FF2B5EF4-FFF2-40B4-BE49-F238E27FC236}">
                  <a16:creationId xmlns:a16="http://schemas.microsoft.com/office/drawing/2014/main" id="{00000000-0008-0000-0300-00009ED2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Improvements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38100</xdr:colOff>
          <xdr:row>10</xdr:row>
          <xdr:rowOff>30480</xdr:rowOff>
        </xdr:from>
        <xdr:to>
          <xdr:col>17</xdr:col>
          <xdr:colOff>304800</xdr:colOff>
          <xdr:row>10</xdr:row>
          <xdr:rowOff>220980</xdr:rowOff>
        </xdr:to>
        <xdr:sp macro="" textlink="">
          <xdr:nvSpPr>
            <xdr:cNvPr id="2544287" name="Check Box 2719" hidden="1">
              <a:extLst>
                <a:ext uri="{63B3BB69-23CF-44E3-9099-C40C66FF867C}">
                  <a14:compatExt spid="_x0000_s2544287"/>
                </a:ext>
                <a:ext uri="{FF2B5EF4-FFF2-40B4-BE49-F238E27FC236}">
                  <a16:creationId xmlns:a16="http://schemas.microsoft.com/office/drawing/2014/main" id="{00000000-0008-0000-0300-00009FD2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Easements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30480</xdr:colOff>
          <xdr:row>10</xdr:row>
          <xdr:rowOff>7620</xdr:rowOff>
        </xdr:from>
        <xdr:to>
          <xdr:col>20</xdr:col>
          <xdr:colOff>297180</xdr:colOff>
          <xdr:row>11</xdr:row>
          <xdr:rowOff>0</xdr:rowOff>
        </xdr:to>
        <xdr:sp macro="" textlink="">
          <xdr:nvSpPr>
            <xdr:cNvPr id="2544288" name="Check Box 2720" hidden="1">
              <a:extLst>
                <a:ext uri="{63B3BB69-23CF-44E3-9099-C40C66FF867C}">
                  <a14:compatExt spid="_x0000_s2544288"/>
                </a:ext>
                <a:ext uri="{FF2B5EF4-FFF2-40B4-BE49-F238E27FC236}">
                  <a16:creationId xmlns:a16="http://schemas.microsoft.com/office/drawing/2014/main" id="{00000000-0008-0000-0300-0000A0D2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Setbacks</a:t>
              </a:r>
            </a:p>
          </xdr:txBody>
        </xdr:sp>
        <xdr:clientData/>
      </xdr:twoCellAnchor>
    </mc:Choice>
    <mc:Fallback/>
  </mc:AlternateContent>
  <xdr:twoCellAnchor editAs="oneCell">
    <xdr:from>
      <xdr:col>22</xdr:col>
      <xdr:colOff>64770</xdr:colOff>
      <xdr:row>18</xdr:row>
      <xdr:rowOff>0</xdr:rowOff>
    </xdr:from>
    <xdr:to>
      <xdr:col>29</xdr:col>
      <xdr:colOff>34290</xdr:colOff>
      <xdr:row>55</xdr:row>
      <xdr:rowOff>242888</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1"/>
        <a:srcRect l="1528" t="1076" r="1644" b="2051"/>
        <a:stretch/>
      </xdr:blipFill>
      <xdr:spPr>
        <a:xfrm>
          <a:off x="7075170" y="2522219"/>
          <a:ext cx="4436745" cy="6276976"/>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22</xdr:col>
      <xdr:colOff>1905</xdr:colOff>
      <xdr:row>0</xdr:row>
      <xdr:rowOff>0</xdr:rowOff>
    </xdr:from>
    <xdr:to>
      <xdr:col>28</xdr:col>
      <xdr:colOff>466725</xdr:colOff>
      <xdr:row>14</xdr:row>
      <xdr:rowOff>186690</xdr:rowOff>
    </xdr:to>
    <xdr:pic>
      <xdr:nvPicPr>
        <xdr:cNvPr id="12" name="Picture 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12305" y="0"/>
          <a:ext cx="4293870" cy="22059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13</xdr:col>
      <xdr:colOff>209550</xdr:colOff>
      <xdr:row>0</xdr:row>
      <xdr:rowOff>28575</xdr:rowOff>
    </xdr:from>
    <xdr:to>
      <xdr:col>17</xdr:col>
      <xdr:colOff>396349</xdr:colOff>
      <xdr:row>0</xdr:row>
      <xdr:rowOff>577215</xdr:rowOff>
    </xdr:to>
    <xdr:pic>
      <xdr:nvPicPr>
        <xdr:cNvPr id="5" name="Picture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76800" y="28575"/>
          <a:ext cx="1786999" cy="548640"/>
        </a:xfrm>
        <a:prstGeom prst="rect">
          <a:avLst/>
        </a:prstGeom>
      </xdr:spPr>
    </xdr:pic>
    <xdr:clientData/>
  </xdr:twoCellAnchor>
  <xdr:twoCellAnchor editAs="oneCell">
    <xdr:from>
      <xdr:col>0</xdr:col>
      <xdr:colOff>123825</xdr:colOff>
      <xdr:row>0</xdr:row>
      <xdr:rowOff>19050</xdr:rowOff>
    </xdr:from>
    <xdr:to>
      <xdr:col>5</xdr:col>
      <xdr:colOff>38100</xdr:colOff>
      <xdr:row>0</xdr:row>
      <xdr:rowOff>567690</xdr:rowOff>
    </xdr:to>
    <xdr:pic>
      <xdr:nvPicPr>
        <xdr:cNvPr id="6" name="Picture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3825" y="19050"/>
          <a:ext cx="1381125" cy="54864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114300</xdr:colOff>
      <xdr:row>48</xdr:row>
      <xdr:rowOff>0</xdr:rowOff>
    </xdr:from>
    <xdr:to>
      <xdr:col>11</xdr:col>
      <xdr:colOff>38100</xdr:colOff>
      <xdr:row>71</xdr:row>
      <xdr:rowOff>19050</xdr:rowOff>
    </xdr:to>
    <xdr:pic>
      <xdr:nvPicPr>
        <xdr:cNvPr id="2988563" name="Picture 6" descr="Drip Diagram #1.JPG">
          <a:extLst>
            <a:ext uri="{FF2B5EF4-FFF2-40B4-BE49-F238E27FC236}">
              <a16:creationId xmlns:a16="http://schemas.microsoft.com/office/drawing/2014/main" id="{00000000-0008-0000-1600-0000139A2D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8105775"/>
          <a:ext cx="4648200" cy="35242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200025</xdr:colOff>
      <xdr:row>48</xdr:row>
      <xdr:rowOff>19050</xdr:rowOff>
    </xdr:from>
    <xdr:to>
      <xdr:col>20</xdr:col>
      <xdr:colOff>0</xdr:colOff>
      <xdr:row>70</xdr:row>
      <xdr:rowOff>142875</xdr:rowOff>
    </xdr:to>
    <xdr:pic>
      <xdr:nvPicPr>
        <xdr:cNvPr id="2988564" name="Picture 7" descr="Drip Diagram #2.JPG">
          <a:extLst>
            <a:ext uri="{FF2B5EF4-FFF2-40B4-BE49-F238E27FC236}">
              <a16:creationId xmlns:a16="http://schemas.microsoft.com/office/drawing/2014/main" id="{00000000-0008-0000-1600-0000149A2D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24425" y="8124825"/>
          <a:ext cx="3819525" cy="34766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190500</xdr:colOff>
      <xdr:row>168</xdr:row>
      <xdr:rowOff>19050</xdr:rowOff>
    </xdr:from>
    <xdr:to>
      <xdr:col>20</xdr:col>
      <xdr:colOff>504825</xdr:colOff>
      <xdr:row>185</xdr:row>
      <xdr:rowOff>0</xdr:rowOff>
    </xdr:to>
    <xdr:pic>
      <xdr:nvPicPr>
        <xdr:cNvPr id="2988565" name="Picture 129" descr="Volume of Pipe II">
          <a:extLst>
            <a:ext uri="{FF2B5EF4-FFF2-40B4-BE49-F238E27FC236}">
              <a16:creationId xmlns:a16="http://schemas.microsoft.com/office/drawing/2014/main" id="{00000000-0008-0000-1600-0000159A2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00950" y="26517600"/>
          <a:ext cx="1657350" cy="27051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152400</xdr:colOff>
      <xdr:row>0</xdr:row>
      <xdr:rowOff>85725</xdr:rowOff>
    </xdr:from>
    <xdr:to>
      <xdr:col>3</xdr:col>
      <xdr:colOff>390525</xdr:colOff>
      <xdr:row>0</xdr:row>
      <xdr:rowOff>634365</xdr:rowOff>
    </xdr:to>
    <xdr:pic>
      <xdr:nvPicPr>
        <xdr:cNvPr id="9" name="Picture 8">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52400" y="85725"/>
          <a:ext cx="1381125" cy="548640"/>
        </a:xfrm>
        <a:prstGeom prst="rect">
          <a:avLst/>
        </a:prstGeom>
      </xdr:spPr>
    </xdr:pic>
    <xdr:clientData/>
  </xdr:twoCellAnchor>
  <xdr:twoCellAnchor editAs="oneCell">
    <xdr:from>
      <xdr:col>16</xdr:col>
      <xdr:colOff>219075</xdr:colOff>
      <xdr:row>0</xdr:row>
      <xdr:rowOff>66675</xdr:rowOff>
    </xdr:from>
    <xdr:to>
      <xdr:col>20</xdr:col>
      <xdr:colOff>215374</xdr:colOff>
      <xdr:row>0</xdr:row>
      <xdr:rowOff>615315</xdr:rowOff>
    </xdr:to>
    <xdr:pic>
      <xdr:nvPicPr>
        <xdr:cNvPr id="10" name="Picture 9">
          <a:extLst>
            <a:ext uri="{FF2B5EF4-FFF2-40B4-BE49-F238E27FC236}">
              <a16:creationId xmlns:a16="http://schemas.microsoft.com/office/drawing/2014/main" id="{00000000-0008-0000-1600-00000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181850" y="66675"/>
          <a:ext cx="1786999" cy="54864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14</xdr:col>
      <xdr:colOff>152400</xdr:colOff>
      <xdr:row>64</xdr:row>
      <xdr:rowOff>123825</xdr:rowOff>
    </xdr:from>
    <xdr:to>
      <xdr:col>17</xdr:col>
      <xdr:colOff>333375</xdr:colOff>
      <xdr:row>75</xdr:row>
      <xdr:rowOff>28575</xdr:rowOff>
    </xdr:to>
    <xdr:pic>
      <xdr:nvPicPr>
        <xdr:cNvPr id="3001453" name="Picture 99" descr="Volume of Pipe">
          <a:extLst>
            <a:ext uri="{FF2B5EF4-FFF2-40B4-BE49-F238E27FC236}">
              <a16:creationId xmlns:a16="http://schemas.microsoft.com/office/drawing/2014/main" id="{00000000-0008-0000-1700-00006DCC2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414" b="-2"/>
        <a:stretch>
          <a:fillRect/>
        </a:stretch>
      </xdr:blipFill>
      <xdr:spPr bwMode="auto">
        <a:xfrm>
          <a:off x="5086350" y="12896850"/>
          <a:ext cx="1238250" cy="201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25</xdr:row>
      <xdr:rowOff>28575</xdr:rowOff>
    </xdr:from>
    <xdr:to>
      <xdr:col>17</xdr:col>
      <xdr:colOff>314325</xdr:colOff>
      <xdr:row>31</xdr:row>
      <xdr:rowOff>66675</xdr:rowOff>
    </xdr:to>
    <xdr:pic>
      <xdr:nvPicPr>
        <xdr:cNvPr id="3001457" name="Picture 391">
          <a:extLst>
            <a:ext uri="{FF2B5EF4-FFF2-40B4-BE49-F238E27FC236}">
              <a16:creationId xmlns:a16="http://schemas.microsoft.com/office/drawing/2014/main" id="{00000000-0008-0000-1700-000071CC2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 y="4994275"/>
          <a:ext cx="6635750" cy="266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120651</xdr:colOff>
      <xdr:row>43</xdr:row>
      <xdr:rowOff>25400</xdr:rowOff>
    </xdr:from>
    <xdr:to>
      <xdr:col>17</xdr:col>
      <xdr:colOff>355601</xdr:colOff>
      <xdr:row>60</xdr:row>
      <xdr:rowOff>6652</xdr:rowOff>
    </xdr:to>
    <xdr:pic>
      <xdr:nvPicPr>
        <xdr:cNvPr id="3001460" name="Picture 10" descr="Perforation Discharge.JPG">
          <a:extLst>
            <a:ext uri="{FF2B5EF4-FFF2-40B4-BE49-F238E27FC236}">
              <a16:creationId xmlns:a16="http://schemas.microsoft.com/office/drawing/2014/main" id="{00000000-0008-0000-1700-000074CC2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991101" y="11074400"/>
          <a:ext cx="1733550" cy="27498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238125</xdr:colOff>
      <xdr:row>9</xdr:row>
      <xdr:rowOff>28575</xdr:rowOff>
    </xdr:from>
    <xdr:to>
      <xdr:col>17</xdr:col>
      <xdr:colOff>304800</xdr:colOff>
      <xdr:row>13</xdr:row>
      <xdr:rowOff>133350</xdr:rowOff>
    </xdr:to>
    <xdr:pic>
      <xdr:nvPicPr>
        <xdr:cNvPr id="3001461" name="Picture 10" descr="11.20_Lateral_end_specs.tif">
          <a:extLst>
            <a:ext uri="{FF2B5EF4-FFF2-40B4-BE49-F238E27FC236}">
              <a16:creationId xmlns:a16="http://schemas.microsoft.com/office/drawing/2014/main" id="{00000000-0008-0000-1700-000075CC2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t="5063"/>
        <a:stretch>
          <a:fillRect/>
        </a:stretch>
      </xdr:blipFill>
      <xdr:spPr bwMode="auto">
        <a:xfrm>
          <a:off x="4114800" y="2238375"/>
          <a:ext cx="2181225" cy="781050"/>
        </a:xfrm>
        <a:prstGeom prst="rect">
          <a:avLst/>
        </a:prstGeom>
        <a:noFill/>
        <a:ln w="9525">
          <a:solidFill>
            <a:srgbClr val="0D0D0D"/>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247650</xdr:colOff>
      <xdr:row>0</xdr:row>
      <xdr:rowOff>66675</xdr:rowOff>
    </xdr:from>
    <xdr:to>
      <xdr:col>17</xdr:col>
      <xdr:colOff>272524</xdr:colOff>
      <xdr:row>0</xdr:row>
      <xdr:rowOff>615315</xdr:rowOff>
    </xdr:to>
    <xdr:pic>
      <xdr:nvPicPr>
        <xdr:cNvPr id="11" name="Picture 10">
          <a:extLst>
            <a:ext uri="{FF2B5EF4-FFF2-40B4-BE49-F238E27FC236}">
              <a16:creationId xmlns:a16="http://schemas.microsoft.com/office/drawing/2014/main" id="{00000000-0008-0000-1700-00000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476750" y="66675"/>
          <a:ext cx="1786999" cy="548640"/>
        </a:xfrm>
        <a:prstGeom prst="rect">
          <a:avLst/>
        </a:prstGeom>
      </xdr:spPr>
    </xdr:pic>
    <xdr:clientData/>
  </xdr:twoCellAnchor>
  <xdr:twoCellAnchor editAs="oneCell">
    <xdr:from>
      <xdr:col>0</xdr:col>
      <xdr:colOff>66675</xdr:colOff>
      <xdr:row>0</xdr:row>
      <xdr:rowOff>66675</xdr:rowOff>
    </xdr:from>
    <xdr:to>
      <xdr:col>4</xdr:col>
      <xdr:colOff>38100</xdr:colOff>
      <xdr:row>0</xdr:row>
      <xdr:rowOff>615315</xdr:rowOff>
    </xdr:to>
    <xdr:pic>
      <xdr:nvPicPr>
        <xdr:cNvPr id="12" name="Picture 11">
          <a:extLst>
            <a:ext uri="{FF2B5EF4-FFF2-40B4-BE49-F238E27FC236}">
              <a16:creationId xmlns:a16="http://schemas.microsoft.com/office/drawing/2014/main" id="{00000000-0008-0000-1700-00000C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6675" y="66675"/>
          <a:ext cx="1381125" cy="548640"/>
        </a:xfrm>
        <a:prstGeom prst="rect">
          <a:avLst/>
        </a:prstGeom>
      </xdr:spPr>
    </xdr:pic>
    <xdr:clientData/>
  </xdr:twoCellAnchor>
  <xdr:twoCellAnchor editAs="oneCell">
    <xdr:from>
      <xdr:col>8</xdr:col>
      <xdr:colOff>292100</xdr:colOff>
      <xdr:row>32</xdr:row>
      <xdr:rowOff>146050</xdr:rowOff>
    </xdr:from>
    <xdr:to>
      <xdr:col>17</xdr:col>
      <xdr:colOff>254000</xdr:colOff>
      <xdr:row>32</xdr:row>
      <xdr:rowOff>1527175</xdr:rowOff>
    </xdr:to>
    <xdr:pic>
      <xdr:nvPicPr>
        <xdr:cNvPr id="10" name="Picture 111" descr="E-03 Manifold in Center">
          <a:extLst>
            <a:ext uri="{FF2B5EF4-FFF2-40B4-BE49-F238E27FC236}">
              <a16:creationId xmlns:a16="http://schemas.microsoft.com/office/drawing/2014/main" id="{00000000-0008-0000-1700-00000A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289300" y="7816850"/>
          <a:ext cx="3333750" cy="13811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82550</xdr:colOff>
      <xdr:row>32</xdr:row>
      <xdr:rowOff>133350</xdr:rowOff>
    </xdr:from>
    <xdr:to>
      <xdr:col>8</xdr:col>
      <xdr:colOff>215900</xdr:colOff>
      <xdr:row>32</xdr:row>
      <xdr:rowOff>1524000</xdr:rowOff>
    </xdr:to>
    <xdr:pic>
      <xdr:nvPicPr>
        <xdr:cNvPr id="13" name="Picture 112" descr="E-02 manifold at End">
          <a:extLst>
            <a:ext uri="{FF2B5EF4-FFF2-40B4-BE49-F238E27FC236}">
              <a16:creationId xmlns:a16="http://schemas.microsoft.com/office/drawing/2014/main" id="{00000000-0008-0000-1700-00000D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2550" y="7804150"/>
          <a:ext cx="3130550" cy="13906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15</xdr:col>
      <xdr:colOff>247650</xdr:colOff>
      <xdr:row>182</xdr:row>
      <xdr:rowOff>28575</xdr:rowOff>
    </xdr:from>
    <xdr:to>
      <xdr:col>15</xdr:col>
      <xdr:colOff>247650</xdr:colOff>
      <xdr:row>186</xdr:row>
      <xdr:rowOff>76200</xdr:rowOff>
    </xdr:to>
    <xdr:sp macro="" textlink="">
      <xdr:nvSpPr>
        <xdr:cNvPr id="3002468" name="Line 29">
          <a:extLst>
            <a:ext uri="{FF2B5EF4-FFF2-40B4-BE49-F238E27FC236}">
              <a16:creationId xmlns:a16="http://schemas.microsoft.com/office/drawing/2014/main" id="{00000000-0008-0000-1800-000064D02D00}"/>
            </a:ext>
          </a:extLst>
        </xdr:cNvPr>
        <xdr:cNvSpPr>
          <a:spLocks noChangeShapeType="1"/>
        </xdr:cNvSpPr>
      </xdr:nvSpPr>
      <xdr:spPr bwMode="auto">
        <a:xfrm>
          <a:off x="6391275" y="32575500"/>
          <a:ext cx="0" cy="10382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247650</xdr:colOff>
      <xdr:row>7</xdr:row>
      <xdr:rowOff>0</xdr:rowOff>
    </xdr:from>
    <xdr:to>
      <xdr:col>15</xdr:col>
      <xdr:colOff>266700</xdr:colOff>
      <xdr:row>15</xdr:row>
      <xdr:rowOff>0</xdr:rowOff>
    </xdr:to>
    <xdr:sp macro="" textlink="">
      <xdr:nvSpPr>
        <xdr:cNvPr id="3002469" name="Line 31">
          <a:extLst>
            <a:ext uri="{FF2B5EF4-FFF2-40B4-BE49-F238E27FC236}">
              <a16:creationId xmlns:a16="http://schemas.microsoft.com/office/drawing/2014/main" id="{00000000-0008-0000-1800-000065D02D00}"/>
            </a:ext>
          </a:extLst>
        </xdr:cNvPr>
        <xdr:cNvSpPr>
          <a:spLocks noChangeShapeType="1"/>
        </xdr:cNvSpPr>
      </xdr:nvSpPr>
      <xdr:spPr bwMode="auto">
        <a:xfrm flipH="1">
          <a:off x="6391275" y="1704975"/>
          <a:ext cx="19050" cy="12954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16</xdr:col>
      <xdr:colOff>114300</xdr:colOff>
      <xdr:row>175</xdr:row>
      <xdr:rowOff>0</xdr:rowOff>
    </xdr:from>
    <xdr:to>
      <xdr:col>19</xdr:col>
      <xdr:colOff>285750</xdr:colOff>
      <xdr:row>185</xdr:row>
      <xdr:rowOff>47625</xdr:rowOff>
    </xdr:to>
    <xdr:pic>
      <xdr:nvPicPr>
        <xdr:cNvPr id="3002470" name="Picture 43" descr="Volume of Pipe II">
          <a:extLst>
            <a:ext uri="{FF2B5EF4-FFF2-40B4-BE49-F238E27FC236}">
              <a16:creationId xmlns:a16="http://schemas.microsoft.com/office/drawing/2014/main" id="{00000000-0008-0000-1800-000066D02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0" y="31099125"/>
          <a:ext cx="1400175" cy="22383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18</xdr:col>
      <xdr:colOff>266700</xdr:colOff>
      <xdr:row>54</xdr:row>
      <xdr:rowOff>19050</xdr:rowOff>
    </xdr:from>
    <xdr:to>
      <xdr:col>18</xdr:col>
      <xdr:colOff>266700</xdr:colOff>
      <xdr:row>62</xdr:row>
      <xdr:rowOff>19050</xdr:rowOff>
    </xdr:to>
    <xdr:sp macro="" textlink="">
      <xdr:nvSpPr>
        <xdr:cNvPr id="3002471" name="Line 59">
          <a:extLst>
            <a:ext uri="{FF2B5EF4-FFF2-40B4-BE49-F238E27FC236}">
              <a16:creationId xmlns:a16="http://schemas.microsoft.com/office/drawing/2014/main" id="{00000000-0008-0000-1800-000067D02D00}"/>
            </a:ext>
          </a:extLst>
        </xdr:cNvPr>
        <xdr:cNvSpPr>
          <a:spLocks noChangeShapeType="1"/>
        </xdr:cNvSpPr>
      </xdr:nvSpPr>
      <xdr:spPr bwMode="auto">
        <a:xfrm flipH="1">
          <a:off x="7639050" y="10096500"/>
          <a:ext cx="0" cy="12954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0</xdr:col>
      <xdr:colOff>28575</xdr:colOff>
      <xdr:row>91</xdr:row>
      <xdr:rowOff>9525</xdr:rowOff>
    </xdr:from>
    <xdr:to>
      <xdr:col>20</xdr:col>
      <xdr:colOff>0</xdr:colOff>
      <xdr:row>103</xdr:row>
      <xdr:rowOff>0</xdr:rowOff>
    </xdr:to>
    <xdr:pic>
      <xdr:nvPicPr>
        <xdr:cNvPr id="3002473" name="Picture 336">
          <a:extLst>
            <a:ext uri="{FF2B5EF4-FFF2-40B4-BE49-F238E27FC236}">
              <a16:creationId xmlns:a16="http://schemas.microsoft.com/office/drawing/2014/main" id="{00000000-0008-0000-1800-000069D02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16516350"/>
          <a:ext cx="8162925" cy="3152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64</xdr:row>
      <xdr:rowOff>57150</xdr:rowOff>
    </xdr:from>
    <xdr:to>
      <xdr:col>19</xdr:col>
      <xdr:colOff>342900</xdr:colOff>
      <xdr:row>82</xdr:row>
      <xdr:rowOff>76200</xdr:rowOff>
    </xdr:to>
    <xdr:pic>
      <xdr:nvPicPr>
        <xdr:cNvPr id="3002476" name="Picture 11" descr="Perforation Discharge.JPG">
          <a:extLst>
            <a:ext uri="{FF2B5EF4-FFF2-40B4-BE49-F238E27FC236}">
              <a16:creationId xmlns:a16="http://schemas.microsoft.com/office/drawing/2014/main" id="{00000000-0008-0000-1800-00006CD02D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34000" y="11801475"/>
          <a:ext cx="2790825" cy="3143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8</xdr:col>
          <xdr:colOff>228600</xdr:colOff>
          <xdr:row>77</xdr:row>
          <xdr:rowOff>45720</xdr:rowOff>
        </xdr:from>
        <xdr:to>
          <xdr:col>10</xdr:col>
          <xdr:colOff>0</xdr:colOff>
          <xdr:row>77</xdr:row>
          <xdr:rowOff>220980</xdr:rowOff>
        </xdr:to>
        <xdr:sp macro="" textlink="">
          <xdr:nvSpPr>
            <xdr:cNvPr id="4422" name="Check Box 326" hidden="1">
              <a:extLst>
                <a:ext uri="{63B3BB69-23CF-44E3-9099-C40C66FF867C}">
                  <a14:compatExt spid="_x0000_s4422"/>
                </a:ext>
                <a:ext uri="{FF2B5EF4-FFF2-40B4-BE49-F238E27FC236}">
                  <a16:creationId xmlns:a16="http://schemas.microsoft.com/office/drawing/2014/main" id="{00000000-0008-0000-1800-000046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End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77</xdr:row>
          <xdr:rowOff>45720</xdr:rowOff>
        </xdr:from>
        <xdr:to>
          <xdr:col>11</xdr:col>
          <xdr:colOff>182880</xdr:colOff>
          <xdr:row>77</xdr:row>
          <xdr:rowOff>220980</xdr:rowOff>
        </xdr:to>
        <xdr:sp macro="" textlink="">
          <xdr:nvSpPr>
            <xdr:cNvPr id="4423" name="Check Box 327" hidden="1">
              <a:extLst>
                <a:ext uri="{63B3BB69-23CF-44E3-9099-C40C66FF867C}">
                  <a14:compatExt spid="_x0000_s4423"/>
                </a:ext>
                <a:ext uri="{FF2B5EF4-FFF2-40B4-BE49-F238E27FC236}">
                  <a16:creationId xmlns:a16="http://schemas.microsoft.com/office/drawing/2014/main" id="{00000000-0008-0000-1800-000047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Center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297180</xdr:colOff>
          <xdr:row>113</xdr:row>
          <xdr:rowOff>45720</xdr:rowOff>
        </xdr:from>
        <xdr:to>
          <xdr:col>13</xdr:col>
          <xdr:colOff>45720</xdr:colOff>
          <xdr:row>114</xdr:row>
          <xdr:rowOff>144780</xdr:rowOff>
        </xdr:to>
        <xdr:sp macro="" textlink="">
          <xdr:nvSpPr>
            <xdr:cNvPr id="4424" name="Check Box 328" hidden="1">
              <a:extLst>
                <a:ext uri="{63B3BB69-23CF-44E3-9099-C40C66FF867C}">
                  <a14:compatExt spid="_x0000_s4424"/>
                </a:ext>
                <a:ext uri="{FF2B5EF4-FFF2-40B4-BE49-F238E27FC236}">
                  <a16:creationId xmlns:a16="http://schemas.microsoft.com/office/drawing/2014/main" id="{00000000-0008-0000-1800-000048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End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45720</xdr:colOff>
          <xdr:row>113</xdr:row>
          <xdr:rowOff>45720</xdr:rowOff>
        </xdr:from>
        <xdr:to>
          <xdr:col>14</xdr:col>
          <xdr:colOff>220980</xdr:colOff>
          <xdr:row>114</xdr:row>
          <xdr:rowOff>144780</xdr:rowOff>
        </xdr:to>
        <xdr:sp macro="" textlink="">
          <xdr:nvSpPr>
            <xdr:cNvPr id="4425" name="Check Box 329" hidden="1">
              <a:extLst>
                <a:ext uri="{63B3BB69-23CF-44E3-9099-C40C66FF867C}">
                  <a14:compatExt spid="_x0000_s4425"/>
                </a:ext>
                <a:ext uri="{FF2B5EF4-FFF2-40B4-BE49-F238E27FC236}">
                  <a16:creationId xmlns:a16="http://schemas.microsoft.com/office/drawing/2014/main" id="{00000000-0008-0000-1800-000049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Center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149</xdr:row>
          <xdr:rowOff>68580</xdr:rowOff>
        </xdr:from>
        <xdr:to>
          <xdr:col>13</xdr:col>
          <xdr:colOff>30480</xdr:colOff>
          <xdr:row>150</xdr:row>
          <xdr:rowOff>182880</xdr:rowOff>
        </xdr:to>
        <xdr:sp macro="" textlink="">
          <xdr:nvSpPr>
            <xdr:cNvPr id="4426" name="Check Box 330" hidden="1">
              <a:extLst>
                <a:ext uri="{63B3BB69-23CF-44E3-9099-C40C66FF867C}">
                  <a14:compatExt spid="_x0000_s4426"/>
                </a:ext>
                <a:ext uri="{FF2B5EF4-FFF2-40B4-BE49-F238E27FC236}">
                  <a16:creationId xmlns:a16="http://schemas.microsoft.com/office/drawing/2014/main" id="{00000000-0008-0000-1800-00004A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End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30480</xdr:colOff>
          <xdr:row>149</xdr:row>
          <xdr:rowOff>68580</xdr:rowOff>
        </xdr:from>
        <xdr:to>
          <xdr:col>14</xdr:col>
          <xdr:colOff>198120</xdr:colOff>
          <xdr:row>150</xdr:row>
          <xdr:rowOff>182880</xdr:rowOff>
        </xdr:to>
        <xdr:sp macro="" textlink="">
          <xdr:nvSpPr>
            <xdr:cNvPr id="4427" name="Check Box 331" hidden="1">
              <a:extLst>
                <a:ext uri="{63B3BB69-23CF-44E3-9099-C40C66FF867C}">
                  <a14:compatExt spid="_x0000_s4427"/>
                </a:ext>
                <a:ext uri="{FF2B5EF4-FFF2-40B4-BE49-F238E27FC236}">
                  <a16:creationId xmlns:a16="http://schemas.microsoft.com/office/drawing/2014/main" id="{00000000-0008-0000-1800-00004B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Center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274320</xdr:colOff>
          <xdr:row>161</xdr:row>
          <xdr:rowOff>68580</xdr:rowOff>
        </xdr:from>
        <xdr:to>
          <xdr:col>13</xdr:col>
          <xdr:colOff>38100</xdr:colOff>
          <xdr:row>162</xdr:row>
          <xdr:rowOff>152400</xdr:rowOff>
        </xdr:to>
        <xdr:sp macro="" textlink="">
          <xdr:nvSpPr>
            <xdr:cNvPr id="4428" name="Check Box 332" hidden="1">
              <a:extLst>
                <a:ext uri="{63B3BB69-23CF-44E3-9099-C40C66FF867C}">
                  <a14:compatExt spid="_x0000_s4428"/>
                </a:ext>
                <a:ext uri="{FF2B5EF4-FFF2-40B4-BE49-F238E27FC236}">
                  <a16:creationId xmlns:a16="http://schemas.microsoft.com/office/drawing/2014/main" id="{00000000-0008-0000-1800-00004C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End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161</xdr:row>
          <xdr:rowOff>68580</xdr:rowOff>
        </xdr:from>
        <xdr:to>
          <xdr:col>14</xdr:col>
          <xdr:colOff>220980</xdr:colOff>
          <xdr:row>162</xdr:row>
          <xdr:rowOff>152400</xdr:rowOff>
        </xdr:to>
        <xdr:sp macro="" textlink="">
          <xdr:nvSpPr>
            <xdr:cNvPr id="4429" name="Check Box 333" hidden="1">
              <a:extLst>
                <a:ext uri="{63B3BB69-23CF-44E3-9099-C40C66FF867C}">
                  <a14:compatExt spid="_x0000_s4429"/>
                </a:ext>
                <a:ext uri="{FF2B5EF4-FFF2-40B4-BE49-F238E27FC236}">
                  <a16:creationId xmlns:a16="http://schemas.microsoft.com/office/drawing/2014/main" id="{00000000-0008-0000-1800-00004D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Center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259080</xdr:colOff>
          <xdr:row>125</xdr:row>
          <xdr:rowOff>68580</xdr:rowOff>
        </xdr:from>
        <xdr:to>
          <xdr:col>13</xdr:col>
          <xdr:colOff>7620</xdr:colOff>
          <xdr:row>126</xdr:row>
          <xdr:rowOff>182880</xdr:rowOff>
        </xdr:to>
        <xdr:sp macro="" textlink="">
          <xdr:nvSpPr>
            <xdr:cNvPr id="4430" name="Check Box 334" hidden="1">
              <a:extLst>
                <a:ext uri="{63B3BB69-23CF-44E3-9099-C40C66FF867C}">
                  <a14:compatExt spid="_x0000_s4430"/>
                </a:ext>
                <a:ext uri="{FF2B5EF4-FFF2-40B4-BE49-F238E27FC236}">
                  <a16:creationId xmlns:a16="http://schemas.microsoft.com/office/drawing/2014/main" id="{00000000-0008-0000-1800-00004E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End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xdr:colOff>
          <xdr:row>125</xdr:row>
          <xdr:rowOff>68580</xdr:rowOff>
        </xdr:from>
        <xdr:to>
          <xdr:col>14</xdr:col>
          <xdr:colOff>182880</xdr:colOff>
          <xdr:row>126</xdr:row>
          <xdr:rowOff>182880</xdr:rowOff>
        </xdr:to>
        <xdr:sp macro="" textlink="">
          <xdr:nvSpPr>
            <xdr:cNvPr id="4431" name="Check Box 335" hidden="1">
              <a:extLst>
                <a:ext uri="{63B3BB69-23CF-44E3-9099-C40C66FF867C}">
                  <a14:compatExt spid="_x0000_s4431"/>
                </a:ext>
                <a:ext uri="{FF2B5EF4-FFF2-40B4-BE49-F238E27FC236}">
                  <a16:creationId xmlns:a16="http://schemas.microsoft.com/office/drawing/2014/main" id="{00000000-0008-0000-1800-00004F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Center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259080</xdr:colOff>
          <xdr:row>137</xdr:row>
          <xdr:rowOff>68580</xdr:rowOff>
        </xdr:from>
        <xdr:to>
          <xdr:col>13</xdr:col>
          <xdr:colOff>7620</xdr:colOff>
          <xdr:row>138</xdr:row>
          <xdr:rowOff>160020</xdr:rowOff>
        </xdr:to>
        <xdr:sp macro="" textlink="">
          <xdr:nvSpPr>
            <xdr:cNvPr id="734409" name="Check Box 9417" hidden="1">
              <a:extLst>
                <a:ext uri="{63B3BB69-23CF-44E3-9099-C40C66FF867C}">
                  <a14:compatExt spid="_x0000_s734409"/>
                </a:ext>
                <a:ext uri="{FF2B5EF4-FFF2-40B4-BE49-F238E27FC236}">
                  <a16:creationId xmlns:a16="http://schemas.microsoft.com/office/drawing/2014/main" id="{00000000-0008-0000-1800-0000C9340B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End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xdr:colOff>
          <xdr:row>137</xdr:row>
          <xdr:rowOff>68580</xdr:rowOff>
        </xdr:from>
        <xdr:to>
          <xdr:col>14</xdr:col>
          <xdr:colOff>182880</xdr:colOff>
          <xdr:row>138</xdr:row>
          <xdr:rowOff>160020</xdr:rowOff>
        </xdr:to>
        <xdr:sp macro="" textlink="">
          <xdr:nvSpPr>
            <xdr:cNvPr id="734410" name="Check Box 9418" hidden="1">
              <a:extLst>
                <a:ext uri="{63B3BB69-23CF-44E3-9099-C40C66FF867C}">
                  <a14:compatExt spid="_x0000_s734410"/>
                </a:ext>
                <a:ext uri="{FF2B5EF4-FFF2-40B4-BE49-F238E27FC236}">
                  <a16:creationId xmlns:a16="http://schemas.microsoft.com/office/drawing/2014/main" id="{00000000-0008-0000-1800-0000CA340B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Center</a:t>
              </a:r>
            </a:p>
          </xdr:txBody>
        </xdr:sp>
        <xdr:clientData/>
      </xdr:twoCellAnchor>
    </mc:Choice>
    <mc:Fallback/>
  </mc:AlternateContent>
  <xdr:twoCellAnchor editAs="oneCell">
    <xdr:from>
      <xdr:col>15</xdr:col>
      <xdr:colOff>76200</xdr:colOff>
      <xdr:row>0</xdr:row>
      <xdr:rowOff>57150</xdr:rowOff>
    </xdr:from>
    <xdr:to>
      <xdr:col>19</xdr:col>
      <xdr:colOff>224899</xdr:colOff>
      <xdr:row>0</xdr:row>
      <xdr:rowOff>605790</xdr:rowOff>
    </xdr:to>
    <xdr:pic>
      <xdr:nvPicPr>
        <xdr:cNvPr id="24" name="Picture 23">
          <a:extLst>
            <a:ext uri="{FF2B5EF4-FFF2-40B4-BE49-F238E27FC236}">
              <a16:creationId xmlns:a16="http://schemas.microsoft.com/office/drawing/2014/main" id="{00000000-0008-0000-1800-00001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219825" y="57150"/>
          <a:ext cx="1786999" cy="548640"/>
        </a:xfrm>
        <a:prstGeom prst="rect">
          <a:avLst/>
        </a:prstGeom>
      </xdr:spPr>
    </xdr:pic>
    <xdr:clientData/>
  </xdr:twoCellAnchor>
  <xdr:twoCellAnchor editAs="oneCell">
    <xdr:from>
      <xdr:col>0</xdr:col>
      <xdr:colOff>57150</xdr:colOff>
      <xdr:row>0</xdr:row>
      <xdr:rowOff>85725</xdr:rowOff>
    </xdr:from>
    <xdr:to>
      <xdr:col>3</xdr:col>
      <xdr:colOff>209550</xdr:colOff>
      <xdr:row>0</xdr:row>
      <xdr:rowOff>634365</xdr:rowOff>
    </xdr:to>
    <xdr:pic>
      <xdr:nvPicPr>
        <xdr:cNvPr id="25" name="Picture 24">
          <a:extLst>
            <a:ext uri="{FF2B5EF4-FFF2-40B4-BE49-F238E27FC236}">
              <a16:creationId xmlns:a16="http://schemas.microsoft.com/office/drawing/2014/main" id="{00000000-0008-0000-1800-00001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7150" y="85725"/>
          <a:ext cx="1381125" cy="54864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10</xdr:col>
      <xdr:colOff>400050</xdr:colOff>
      <xdr:row>11</xdr:row>
      <xdr:rowOff>19050</xdr:rowOff>
    </xdr:from>
    <xdr:to>
      <xdr:col>18</xdr:col>
      <xdr:colOff>419100</xdr:colOff>
      <xdr:row>19</xdr:row>
      <xdr:rowOff>19050</xdr:rowOff>
    </xdr:to>
    <xdr:pic>
      <xdr:nvPicPr>
        <xdr:cNvPr id="2965246" name="Picture 66" descr="Pump selection">
          <a:extLst>
            <a:ext uri="{FF2B5EF4-FFF2-40B4-BE49-F238E27FC236}">
              <a16:creationId xmlns:a16="http://schemas.microsoft.com/office/drawing/2014/main" id="{00000000-0008-0000-1900-0000FE3E2D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76775" y="2381250"/>
          <a:ext cx="3600450" cy="1400175"/>
        </a:xfrm>
        <a:prstGeom prst="rect">
          <a:avLst/>
        </a:prstGeom>
        <a:noFill/>
        <a:ln w="1587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95250</xdr:colOff>
      <xdr:row>20</xdr:row>
      <xdr:rowOff>219075</xdr:rowOff>
    </xdr:from>
    <xdr:to>
      <xdr:col>11</xdr:col>
      <xdr:colOff>38100</xdr:colOff>
      <xdr:row>26</xdr:row>
      <xdr:rowOff>47625</xdr:rowOff>
    </xdr:to>
    <xdr:pic>
      <xdr:nvPicPr>
        <xdr:cNvPr id="2965247" name="Picture 68" descr="Distribution Head Loss">
          <a:extLst>
            <a:ext uri="{FF2B5EF4-FFF2-40B4-BE49-F238E27FC236}">
              <a16:creationId xmlns:a16="http://schemas.microsoft.com/office/drawing/2014/main" id="{00000000-0008-0000-1900-0000FF3E2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4057650"/>
          <a:ext cx="4667250" cy="16002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428625</xdr:colOff>
      <xdr:row>19</xdr:row>
      <xdr:rowOff>57150</xdr:rowOff>
    </xdr:from>
    <xdr:to>
      <xdr:col>19</xdr:col>
      <xdr:colOff>0</xdr:colOff>
      <xdr:row>39</xdr:row>
      <xdr:rowOff>66675</xdr:rowOff>
    </xdr:to>
    <xdr:pic>
      <xdr:nvPicPr>
        <xdr:cNvPr id="2965251" name="Picture 2253">
          <a:extLst>
            <a:ext uri="{FF2B5EF4-FFF2-40B4-BE49-F238E27FC236}">
              <a16:creationId xmlns:a16="http://schemas.microsoft.com/office/drawing/2014/main" id="{00000000-0008-0000-1900-0000033F2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53025" y="3819525"/>
          <a:ext cx="3143250" cy="441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0</xdr:row>
      <xdr:rowOff>76200</xdr:rowOff>
    </xdr:from>
    <xdr:to>
      <xdr:col>3</xdr:col>
      <xdr:colOff>285750</xdr:colOff>
      <xdr:row>0</xdr:row>
      <xdr:rowOff>624840</xdr:rowOff>
    </xdr:to>
    <xdr:pic>
      <xdr:nvPicPr>
        <xdr:cNvPr id="8" name="Picture 7">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7625" y="76200"/>
          <a:ext cx="1381125" cy="548640"/>
        </a:xfrm>
        <a:prstGeom prst="rect">
          <a:avLst/>
        </a:prstGeom>
      </xdr:spPr>
    </xdr:pic>
    <xdr:clientData/>
  </xdr:twoCellAnchor>
  <xdr:twoCellAnchor editAs="oneCell">
    <xdr:from>
      <xdr:col>14</xdr:col>
      <xdr:colOff>180975</xdr:colOff>
      <xdr:row>0</xdr:row>
      <xdr:rowOff>76200</xdr:rowOff>
    </xdr:from>
    <xdr:to>
      <xdr:col>18</xdr:col>
      <xdr:colOff>177274</xdr:colOff>
      <xdr:row>0</xdr:row>
      <xdr:rowOff>624840</xdr:rowOff>
    </xdr:to>
    <xdr:pic>
      <xdr:nvPicPr>
        <xdr:cNvPr id="9" name="Picture 8">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248400" y="76200"/>
          <a:ext cx="1786999" cy="54864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32</xdr:col>
      <xdr:colOff>342900</xdr:colOff>
      <xdr:row>0</xdr:row>
      <xdr:rowOff>619125</xdr:rowOff>
    </xdr:from>
    <xdr:to>
      <xdr:col>36</xdr:col>
      <xdr:colOff>438150</xdr:colOff>
      <xdr:row>10</xdr:row>
      <xdr:rowOff>123825</xdr:rowOff>
    </xdr:to>
    <xdr:grpSp>
      <xdr:nvGrpSpPr>
        <xdr:cNvPr id="2995784" name="Group 1363">
          <a:extLst>
            <a:ext uri="{FF2B5EF4-FFF2-40B4-BE49-F238E27FC236}">
              <a16:creationId xmlns:a16="http://schemas.microsoft.com/office/drawing/2014/main" id="{00000000-0008-0000-1A00-000048B62D00}"/>
            </a:ext>
          </a:extLst>
        </xdr:cNvPr>
        <xdr:cNvGrpSpPr>
          <a:grpSpLocks/>
        </xdr:cNvGrpSpPr>
      </xdr:nvGrpSpPr>
      <xdr:grpSpPr bwMode="auto">
        <a:xfrm>
          <a:off x="15011400" y="617220"/>
          <a:ext cx="1790700" cy="1798320"/>
          <a:chOff x="557" y="117"/>
          <a:chExt cx="209" cy="169"/>
        </a:xfrm>
      </xdr:grpSpPr>
      <xdr:grpSp>
        <xdr:nvGrpSpPr>
          <xdr:cNvPr id="2995791" name="Group 1362">
            <a:extLst>
              <a:ext uri="{FF2B5EF4-FFF2-40B4-BE49-F238E27FC236}">
                <a16:creationId xmlns:a16="http://schemas.microsoft.com/office/drawing/2014/main" id="{00000000-0008-0000-1A00-00004FB62D00}"/>
              </a:ext>
            </a:extLst>
          </xdr:cNvPr>
          <xdr:cNvGrpSpPr>
            <a:grpSpLocks/>
          </xdr:cNvGrpSpPr>
        </xdr:nvGrpSpPr>
        <xdr:grpSpPr bwMode="auto">
          <a:xfrm>
            <a:off x="557" y="117"/>
            <a:ext cx="209" cy="169"/>
            <a:chOff x="557" y="117"/>
            <a:chExt cx="209" cy="169"/>
          </a:xfrm>
        </xdr:grpSpPr>
        <xdr:sp macro="" textlink="">
          <xdr:nvSpPr>
            <xdr:cNvPr id="2995793" name="Oval 3">
              <a:extLst>
                <a:ext uri="{FF2B5EF4-FFF2-40B4-BE49-F238E27FC236}">
                  <a16:creationId xmlns:a16="http://schemas.microsoft.com/office/drawing/2014/main" id="{00000000-0008-0000-1A00-000051B62D00}"/>
                </a:ext>
              </a:extLst>
            </xdr:cNvPr>
            <xdr:cNvSpPr>
              <a:spLocks noChangeArrowheads="1"/>
            </xdr:cNvSpPr>
          </xdr:nvSpPr>
          <xdr:spPr bwMode="auto">
            <a:xfrm>
              <a:off x="661" y="225"/>
              <a:ext cx="81" cy="61"/>
            </a:xfrm>
            <a:prstGeom prst="ellipse">
              <a:avLst/>
            </a:prstGeom>
            <a:solidFill>
              <a:srgbClr val="FFFFFF"/>
            </a:solidFill>
            <a:ln w="9525">
              <a:solidFill>
                <a:srgbClr val="000000"/>
              </a:solidFill>
              <a:round/>
              <a:headEnd/>
              <a:tailEnd/>
            </a:ln>
          </xdr:spPr>
        </xdr:sp>
        <xdr:sp macro="" textlink="">
          <xdr:nvSpPr>
            <xdr:cNvPr id="2995794" name="Rectangle 4">
              <a:extLst>
                <a:ext uri="{FF2B5EF4-FFF2-40B4-BE49-F238E27FC236}">
                  <a16:creationId xmlns:a16="http://schemas.microsoft.com/office/drawing/2014/main" id="{00000000-0008-0000-1A00-000052B62D00}"/>
                </a:ext>
              </a:extLst>
            </xdr:cNvPr>
            <xdr:cNvSpPr>
              <a:spLocks noChangeArrowheads="1"/>
            </xdr:cNvSpPr>
          </xdr:nvSpPr>
          <xdr:spPr bwMode="auto">
            <a:xfrm>
              <a:off x="557" y="118"/>
              <a:ext cx="125" cy="63"/>
            </a:xfrm>
            <a:prstGeom prst="rect">
              <a:avLst/>
            </a:prstGeom>
            <a:solidFill>
              <a:srgbClr val="FFFFFF"/>
            </a:solidFill>
            <a:ln w="9525">
              <a:solidFill>
                <a:srgbClr val="000000"/>
              </a:solidFill>
              <a:miter lim="800000"/>
              <a:headEnd/>
              <a:tailEnd/>
            </a:ln>
          </xdr:spPr>
        </xdr:sp>
        <xdr:sp macro="" textlink="">
          <xdr:nvSpPr>
            <xdr:cNvPr id="2995795" name="Line 5">
              <a:extLst>
                <a:ext uri="{FF2B5EF4-FFF2-40B4-BE49-F238E27FC236}">
                  <a16:creationId xmlns:a16="http://schemas.microsoft.com/office/drawing/2014/main" id="{00000000-0008-0000-1A00-000053B62D00}"/>
                </a:ext>
              </a:extLst>
            </xdr:cNvPr>
            <xdr:cNvSpPr>
              <a:spLocks noChangeShapeType="1"/>
            </xdr:cNvSpPr>
          </xdr:nvSpPr>
          <xdr:spPr bwMode="auto">
            <a:xfrm>
              <a:off x="557" y="196"/>
              <a:ext cx="123"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2995796" name="Line 6">
              <a:extLst>
                <a:ext uri="{FF2B5EF4-FFF2-40B4-BE49-F238E27FC236}">
                  <a16:creationId xmlns:a16="http://schemas.microsoft.com/office/drawing/2014/main" id="{00000000-0008-0000-1A00-000054B62D00}"/>
                </a:ext>
              </a:extLst>
            </xdr:cNvPr>
            <xdr:cNvSpPr>
              <a:spLocks noChangeShapeType="1"/>
            </xdr:cNvSpPr>
          </xdr:nvSpPr>
          <xdr:spPr bwMode="auto">
            <a:xfrm>
              <a:off x="701" y="117"/>
              <a:ext cx="0" cy="66"/>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31" name="Text Box 7">
              <a:extLst>
                <a:ext uri="{FF2B5EF4-FFF2-40B4-BE49-F238E27FC236}">
                  <a16:creationId xmlns:a16="http://schemas.microsoft.com/office/drawing/2014/main" id="{00000000-0008-0000-1A00-00001F000000}"/>
                </a:ext>
              </a:extLst>
            </xdr:cNvPr>
            <xdr:cNvSpPr txBox="1">
              <a:spLocks noChangeArrowheads="1"/>
            </xdr:cNvSpPr>
          </xdr:nvSpPr>
          <xdr:spPr bwMode="auto">
            <a:xfrm>
              <a:off x="713" y="129"/>
              <a:ext cx="53" cy="46"/>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Width</a:t>
              </a:r>
            </a:p>
          </xdr:txBody>
        </xdr:sp>
        <xdr:sp macro="" textlink="">
          <xdr:nvSpPr>
            <xdr:cNvPr id="32" name="Text Box 8">
              <a:extLst>
                <a:ext uri="{FF2B5EF4-FFF2-40B4-BE49-F238E27FC236}">
                  <a16:creationId xmlns:a16="http://schemas.microsoft.com/office/drawing/2014/main" id="{00000000-0008-0000-1A00-000020000000}"/>
                </a:ext>
              </a:extLst>
            </xdr:cNvPr>
            <xdr:cNvSpPr txBox="1">
              <a:spLocks noChangeArrowheads="1"/>
            </xdr:cNvSpPr>
          </xdr:nvSpPr>
          <xdr:spPr bwMode="auto">
            <a:xfrm>
              <a:off x="574" y="200"/>
              <a:ext cx="77" cy="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Length</a:t>
              </a:r>
            </a:p>
          </xdr:txBody>
        </xdr:sp>
        <xdr:sp macro="" textlink="">
          <xdr:nvSpPr>
            <xdr:cNvPr id="33" name="Text Box 9">
              <a:extLst>
                <a:ext uri="{FF2B5EF4-FFF2-40B4-BE49-F238E27FC236}">
                  <a16:creationId xmlns:a16="http://schemas.microsoft.com/office/drawing/2014/main" id="{00000000-0008-0000-1A00-000021000000}"/>
                </a:ext>
              </a:extLst>
            </xdr:cNvPr>
            <xdr:cNvSpPr txBox="1">
              <a:spLocks noChangeArrowheads="1"/>
            </xdr:cNvSpPr>
          </xdr:nvSpPr>
          <xdr:spPr bwMode="auto">
            <a:xfrm>
              <a:off x="696" y="256"/>
              <a:ext cx="53" cy="24"/>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Radius</a:t>
              </a:r>
            </a:p>
          </xdr:txBody>
        </xdr:sp>
      </xdr:grpSp>
      <xdr:sp macro="" textlink="">
        <xdr:nvSpPr>
          <xdr:cNvPr id="2995792" name="Line 10">
            <a:extLst>
              <a:ext uri="{FF2B5EF4-FFF2-40B4-BE49-F238E27FC236}">
                <a16:creationId xmlns:a16="http://schemas.microsoft.com/office/drawing/2014/main" id="{00000000-0008-0000-1A00-000050B62D00}"/>
              </a:ext>
            </a:extLst>
          </xdr:cNvPr>
          <xdr:cNvSpPr>
            <a:spLocks noChangeShapeType="1"/>
          </xdr:cNvSpPr>
        </xdr:nvSpPr>
        <xdr:spPr bwMode="auto">
          <a:xfrm>
            <a:off x="699" y="254"/>
            <a:ext cx="42" cy="0"/>
          </a:xfrm>
          <a:prstGeom prst="line">
            <a:avLst/>
          </a:prstGeom>
          <a:noFill/>
          <a:ln w="317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grpSp>
    <xdr:clientData/>
  </xdr:twoCellAnchor>
  <xdr:twoCellAnchor editAs="oneCell">
    <xdr:from>
      <xdr:col>20</xdr:col>
      <xdr:colOff>133350</xdr:colOff>
      <xdr:row>37</xdr:row>
      <xdr:rowOff>57150</xdr:rowOff>
    </xdr:from>
    <xdr:to>
      <xdr:col>28</xdr:col>
      <xdr:colOff>47625</xdr:colOff>
      <xdr:row>44</xdr:row>
      <xdr:rowOff>66675</xdr:rowOff>
    </xdr:to>
    <xdr:pic>
      <xdr:nvPicPr>
        <xdr:cNvPr id="2995785" name="Picture 128" descr="Tank Capacity">
          <a:extLst>
            <a:ext uri="{FF2B5EF4-FFF2-40B4-BE49-F238E27FC236}">
              <a16:creationId xmlns:a16="http://schemas.microsoft.com/office/drawing/2014/main" id="{00000000-0008-0000-1A00-000049B62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10725" y="8572500"/>
          <a:ext cx="3495675" cy="17621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390525</xdr:colOff>
      <xdr:row>27</xdr:row>
      <xdr:rowOff>257175</xdr:rowOff>
    </xdr:from>
    <xdr:to>
      <xdr:col>18</xdr:col>
      <xdr:colOff>228600</xdr:colOff>
      <xdr:row>39</xdr:row>
      <xdr:rowOff>257175</xdr:rowOff>
    </xdr:to>
    <xdr:pic>
      <xdr:nvPicPr>
        <xdr:cNvPr id="2995786" name="Picture 129" descr="Volume of Pipe II">
          <a:extLst>
            <a:ext uri="{FF2B5EF4-FFF2-40B4-BE49-F238E27FC236}">
              <a16:creationId xmlns:a16="http://schemas.microsoft.com/office/drawing/2014/main" id="{00000000-0008-0000-1A00-00004AB62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53250" y="6210300"/>
          <a:ext cx="1781175" cy="29146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180975</xdr:colOff>
      <xdr:row>46</xdr:row>
      <xdr:rowOff>171450</xdr:rowOff>
    </xdr:from>
    <xdr:to>
      <xdr:col>19</xdr:col>
      <xdr:colOff>342900</xdr:colOff>
      <xdr:row>54</xdr:row>
      <xdr:rowOff>28575</xdr:rowOff>
    </xdr:to>
    <xdr:pic>
      <xdr:nvPicPr>
        <xdr:cNvPr id="2995790" name="Picture 142">
          <a:extLst>
            <a:ext uri="{FF2B5EF4-FFF2-40B4-BE49-F238E27FC236}">
              <a16:creationId xmlns:a16="http://schemas.microsoft.com/office/drawing/2014/main" id="{00000000-0008-0000-1A00-00004EB62D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b="10344"/>
        <a:stretch>
          <a:fillRect/>
        </a:stretch>
      </xdr:blipFill>
      <xdr:spPr bwMode="auto">
        <a:xfrm>
          <a:off x="8172450" y="10734675"/>
          <a:ext cx="1733550" cy="2009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0</xdr:row>
      <xdr:rowOff>57150</xdr:rowOff>
    </xdr:from>
    <xdr:to>
      <xdr:col>3</xdr:col>
      <xdr:colOff>285750</xdr:colOff>
      <xdr:row>0</xdr:row>
      <xdr:rowOff>605790</xdr:rowOff>
    </xdr:to>
    <xdr:pic>
      <xdr:nvPicPr>
        <xdr:cNvPr id="18" name="Picture 17">
          <a:extLst>
            <a:ext uri="{FF2B5EF4-FFF2-40B4-BE49-F238E27FC236}">
              <a16:creationId xmlns:a16="http://schemas.microsoft.com/office/drawing/2014/main" id="{00000000-0008-0000-1A00-00001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825" y="57150"/>
          <a:ext cx="1381125" cy="548640"/>
        </a:xfrm>
        <a:prstGeom prst="rect">
          <a:avLst/>
        </a:prstGeom>
      </xdr:spPr>
    </xdr:pic>
    <xdr:clientData/>
  </xdr:twoCellAnchor>
  <xdr:twoCellAnchor editAs="oneCell">
    <xdr:from>
      <xdr:col>16</xdr:col>
      <xdr:colOff>19050</xdr:colOff>
      <xdr:row>0</xdr:row>
      <xdr:rowOff>95250</xdr:rowOff>
    </xdr:from>
    <xdr:to>
      <xdr:col>19</xdr:col>
      <xdr:colOff>348724</xdr:colOff>
      <xdr:row>0</xdr:row>
      <xdr:rowOff>643890</xdr:rowOff>
    </xdr:to>
    <xdr:pic>
      <xdr:nvPicPr>
        <xdr:cNvPr id="19" name="Picture 18">
          <a:extLst>
            <a:ext uri="{FF2B5EF4-FFF2-40B4-BE49-F238E27FC236}">
              <a16:creationId xmlns:a16="http://schemas.microsoft.com/office/drawing/2014/main" id="{00000000-0008-0000-1A00-00001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553325" y="95250"/>
          <a:ext cx="1786999" cy="54864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20</xdr:col>
      <xdr:colOff>161925</xdr:colOff>
      <xdr:row>28</xdr:row>
      <xdr:rowOff>152400</xdr:rowOff>
    </xdr:from>
    <xdr:to>
      <xdr:col>28</xdr:col>
      <xdr:colOff>76200</xdr:colOff>
      <xdr:row>37</xdr:row>
      <xdr:rowOff>139513</xdr:rowOff>
    </xdr:to>
    <xdr:pic>
      <xdr:nvPicPr>
        <xdr:cNvPr id="2997703" name="Picture 128" descr="Tank Capacity">
          <a:extLst>
            <a:ext uri="{FF2B5EF4-FFF2-40B4-BE49-F238E27FC236}">
              <a16:creationId xmlns:a16="http://schemas.microsoft.com/office/drawing/2014/main" id="{00000000-0008-0000-1B00-0000C7BD2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9300" y="8134350"/>
          <a:ext cx="3495675" cy="17621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228600</xdr:colOff>
      <xdr:row>27</xdr:row>
      <xdr:rowOff>142875</xdr:rowOff>
    </xdr:from>
    <xdr:to>
      <xdr:col>19</xdr:col>
      <xdr:colOff>47625</xdr:colOff>
      <xdr:row>42</xdr:row>
      <xdr:rowOff>53789</xdr:rowOff>
    </xdr:to>
    <xdr:pic>
      <xdr:nvPicPr>
        <xdr:cNvPr id="2997704" name="Picture 129" descr="Volume of Pipe II">
          <a:extLst>
            <a:ext uri="{FF2B5EF4-FFF2-40B4-BE49-F238E27FC236}">
              <a16:creationId xmlns:a16="http://schemas.microsoft.com/office/drawing/2014/main" id="{00000000-0008-0000-1B00-0000C8BD2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91325" y="6276975"/>
          <a:ext cx="1781175" cy="30765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200122</xdr:colOff>
      <xdr:row>66</xdr:row>
      <xdr:rowOff>84852</xdr:rowOff>
    </xdr:from>
    <xdr:to>
      <xdr:col>19</xdr:col>
      <xdr:colOff>381001</xdr:colOff>
      <xdr:row>79</xdr:row>
      <xdr:rowOff>0</xdr:rowOff>
    </xdr:to>
    <xdr:pic>
      <xdr:nvPicPr>
        <xdr:cNvPr id="2997708" name="Picture 142">
          <a:extLst>
            <a:ext uri="{FF2B5EF4-FFF2-40B4-BE49-F238E27FC236}">
              <a16:creationId xmlns:a16="http://schemas.microsoft.com/office/drawing/2014/main" id="{00000000-0008-0000-1B00-0000CCBD2D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b="10344"/>
        <a:stretch>
          <a:fillRect/>
        </a:stretch>
      </xdr:blipFill>
      <xdr:spPr bwMode="auto">
        <a:xfrm>
          <a:off x="6029422" y="13572252"/>
          <a:ext cx="1781079" cy="26583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85725</xdr:rowOff>
    </xdr:from>
    <xdr:to>
      <xdr:col>4</xdr:col>
      <xdr:colOff>200025</xdr:colOff>
      <xdr:row>0</xdr:row>
      <xdr:rowOff>634365</xdr:rowOff>
    </xdr:to>
    <xdr:pic>
      <xdr:nvPicPr>
        <xdr:cNvPr id="18" name="Picture 17">
          <a:extLst>
            <a:ext uri="{FF2B5EF4-FFF2-40B4-BE49-F238E27FC236}">
              <a16:creationId xmlns:a16="http://schemas.microsoft.com/office/drawing/2014/main" id="{00000000-0008-0000-1B00-00001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3350" y="85725"/>
          <a:ext cx="1381125" cy="548640"/>
        </a:xfrm>
        <a:prstGeom prst="rect">
          <a:avLst/>
        </a:prstGeom>
      </xdr:spPr>
    </xdr:pic>
    <xdr:clientData/>
  </xdr:twoCellAnchor>
  <xdr:twoCellAnchor editAs="oneCell">
    <xdr:from>
      <xdr:col>15</xdr:col>
      <xdr:colOff>323850</xdr:colOff>
      <xdr:row>0</xdr:row>
      <xdr:rowOff>104775</xdr:rowOff>
    </xdr:from>
    <xdr:to>
      <xdr:col>19</xdr:col>
      <xdr:colOff>624949</xdr:colOff>
      <xdr:row>0</xdr:row>
      <xdr:rowOff>653415</xdr:rowOff>
    </xdr:to>
    <xdr:pic>
      <xdr:nvPicPr>
        <xdr:cNvPr id="19" name="Picture 18">
          <a:extLst>
            <a:ext uri="{FF2B5EF4-FFF2-40B4-BE49-F238E27FC236}">
              <a16:creationId xmlns:a16="http://schemas.microsoft.com/office/drawing/2014/main" id="{00000000-0008-0000-1B00-00001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972175" y="104775"/>
          <a:ext cx="1825099" cy="548640"/>
        </a:xfrm>
        <a:prstGeom prst="rect">
          <a:avLst/>
        </a:prstGeom>
      </xdr:spPr>
    </xdr:pic>
    <xdr:clientData/>
  </xdr:twoCellAnchor>
  <xdr:twoCellAnchor>
    <xdr:from>
      <xdr:col>32</xdr:col>
      <xdr:colOff>142875</xdr:colOff>
      <xdr:row>0</xdr:row>
      <xdr:rowOff>495300</xdr:rowOff>
    </xdr:from>
    <xdr:to>
      <xdr:col>36</xdr:col>
      <xdr:colOff>238125</xdr:colOff>
      <xdr:row>5</xdr:row>
      <xdr:rowOff>191740</xdr:rowOff>
    </xdr:to>
    <xdr:grpSp>
      <xdr:nvGrpSpPr>
        <xdr:cNvPr id="17" name="Group 1363">
          <a:extLst>
            <a:ext uri="{FF2B5EF4-FFF2-40B4-BE49-F238E27FC236}">
              <a16:creationId xmlns:a16="http://schemas.microsoft.com/office/drawing/2014/main" id="{00000000-0008-0000-1B00-000011000000}"/>
            </a:ext>
          </a:extLst>
        </xdr:cNvPr>
        <xdr:cNvGrpSpPr>
          <a:grpSpLocks/>
        </xdr:cNvGrpSpPr>
      </xdr:nvGrpSpPr>
      <xdr:grpSpPr bwMode="auto">
        <a:xfrm>
          <a:off x="13075920" y="495300"/>
          <a:ext cx="1798320" cy="1045180"/>
          <a:chOff x="557" y="117"/>
          <a:chExt cx="209" cy="198"/>
        </a:xfrm>
      </xdr:grpSpPr>
      <xdr:grpSp>
        <xdr:nvGrpSpPr>
          <xdr:cNvPr id="20" name="Group 1362">
            <a:extLst>
              <a:ext uri="{FF2B5EF4-FFF2-40B4-BE49-F238E27FC236}">
                <a16:creationId xmlns:a16="http://schemas.microsoft.com/office/drawing/2014/main" id="{00000000-0008-0000-1B00-000014000000}"/>
              </a:ext>
            </a:extLst>
          </xdr:cNvPr>
          <xdr:cNvGrpSpPr>
            <a:grpSpLocks/>
          </xdr:cNvGrpSpPr>
        </xdr:nvGrpSpPr>
        <xdr:grpSpPr bwMode="auto">
          <a:xfrm>
            <a:off x="557" y="117"/>
            <a:ext cx="209" cy="198"/>
            <a:chOff x="557" y="117"/>
            <a:chExt cx="209" cy="198"/>
          </a:xfrm>
        </xdr:grpSpPr>
        <xdr:sp macro="" textlink="">
          <xdr:nvSpPr>
            <xdr:cNvPr id="22" name="Oval 3">
              <a:extLst>
                <a:ext uri="{FF2B5EF4-FFF2-40B4-BE49-F238E27FC236}">
                  <a16:creationId xmlns:a16="http://schemas.microsoft.com/office/drawing/2014/main" id="{00000000-0008-0000-1B00-000016000000}"/>
                </a:ext>
              </a:extLst>
            </xdr:cNvPr>
            <xdr:cNvSpPr>
              <a:spLocks noChangeArrowheads="1"/>
            </xdr:cNvSpPr>
          </xdr:nvSpPr>
          <xdr:spPr bwMode="auto">
            <a:xfrm>
              <a:off x="661" y="225"/>
              <a:ext cx="81" cy="61"/>
            </a:xfrm>
            <a:prstGeom prst="ellipse">
              <a:avLst/>
            </a:prstGeom>
            <a:solidFill>
              <a:srgbClr val="FFFFFF"/>
            </a:solidFill>
            <a:ln w="9525">
              <a:solidFill>
                <a:srgbClr val="000000"/>
              </a:solidFill>
              <a:round/>
              <a:headEnd/>
              <a:tailEnd/>
            </a:ln>
          </xdr:spPr>
        </xdr:sp>
        <xdr:sp macro="" textlink="">
          <xdr:nvSpPr>
            <xdr:cNvPr id="23" name="Rectangle 4">
              <a:extLst>
                <a:ext uri="{FF2B5EF4-FFF2-40B4-BE49-F238E27FC236}">
                  <a16:creationId xmlns:a16="http://schemas.microsoft.com/office/drawing/2014/main" id="{00000000-0008-0000-1B00-000017000000}"/>
                </a:ext>
              </a:extLst>
            </xdr:cNvPr>
            <xdr:cNvSpPr>
              <a:spLocks noChangeArrowheads="1"/>
            </xdr:cNvSpPr>
          </xdr:nvSpPr>
          <xdr:spPr bwMode="auto">
            <a:xfrm>
              <a:off x="557" y="118"/>
              <a:ext cx="125" cy="63"/>
            </a:xfrm>
            <a:prstGeom prst="rect">
              <a:avLst/>
            </a:prstGeom>
            <a:solidFill>
              <a:srgbClr val="FFFFFF"/>
            </a:solidFill>
            <a:ln w="9525">
              <a:solidFill>
                <a:srgbClr val="000000"/>
              </a:solidFill>
              <a:miter lim="800000"/>
              <a:headEnd/>
              <a:tailEnd/>
            </a:ln>
          </xdr:spPr>
        </xdr:sp>
        <xdr:sp macro="" textlink="">
          <xdr:nvSpPr>
            <xdr:cNvPr id="24" name="Line 5">
              <a:extLst>
                <a:ext uri="{FF2B5EF4-FFF2-40B4-BE49-F238E27FC236}">
                  <a16:creationId xmlns:a16="http://schemas.microsoft.com/office/drawing/2014/main" id="{00000000-0008-0000-1B00-000018000000}"/>
                </a:ext>
              </a:extLst>
            </xdr:cNvPr>
            <xdr:cNvSpPr>
              <a:spLocks noChangeShapeType="1"/>
            </xdr:cNvSpPr>
          </xdr:nvSpPr>
          <xdr:spPr bwMode="auto">
            <a:xfrm>
              <a:off x="557" y="196"/>
              <a:ext cx="123"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25" name="Line 6">
              <a:extLst>
                <a:ext uri="{FF2B5EF4-FFF2-40B4-BE49-F238E27FC236}">
                  <a16:creationId xmlns:a16="http://schemas.microsoft.com/office/drawing/2014/main" id="{00000000-0008-0000-1B00-000019000000}"/>
                </a:ext>
              </a:extLst>
            </xdr:cNvPr>
            <xdr:cNvSpPr>
              <a:spLocks noChangeShapeType="1"/>
            </xdr:cNvSpPr>
          </xdr:nvSpPr>
          <xdr:spPr bwMode="auto">
            <a:xfrm>
              <a:off x="701" y="117"/>
              <a:ext cx="0" cy="66"/>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26" name="Text Box 7">
              <a:extLst>
                <a:ext uri="{FF2B5EF4-FFF2-40B4-BE49-F238E27FC236}">
                  <a16:creationId xmlns:a16="http://schemas.microsoft.com/office/drawing/2014/main" id="{00000000-0008-0000-1B00-00001A000000}"/>
                </a:ext>
              </a:extLst>
            </xdr:cNvPr>
            <xdr:cNvSpPr txBox="1">
              <a:spLocks noChangeArrowheads="1"/>
            </xdr:cNvSpPr>
          </xdr:nvSpPr>
          <xdr:spPr bwMode="auto">
            <a:xfrm>
              <a:off x="713" y="129"/>
              <a:ext cx="53" cy="46"/>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Width</a:t>
              </a:r>
            </a:p>
          </xdr:txBody>
        </xdr:sp>
        <xdr:sp macro="" textlink="">
          <xdr:nvSpPr>
            <xdr:cNvPr id="27" name="Text Box 8">
              <a:extLst>
                <a:ext uri="{FF2B5EF4-FFF2-40B4-BE49-F238E27FC236}">
                  <a16:creationId xmlns:a16="http://schemas.microsoft.com/office/drawing/2014/main" id="{00000000-0008-0000-1B00-00001B000000}"/>
                </a:ext>
              </a:extLst>
            </xdr:cNvPr>
            <xdr:cNvSpPr txBox="1">
              <a:spLocks noChangeArrowheads="1"/>
            </xdr:cNvSpPr>
          </xdr:nvSpPr>
          <xdr:spPr bwMode="auto">
            <a:xfrm>
              <a:off x="574" y="200"/>
              <a:ext cx="77" cy="25"/>
            </a:xfrm>
            <a:prstGeom prst="rect">
              <a:avLst/>
            </a:prstGeom>
            <a:solidFill>
              <a:srgbClr val="FFFFFF"/>
            </a:solidFill>
            <a:ln w="9525">
              <a:noFill/>
              <a:miter lim="800000"/>
              <a:headEnd/>
              <a:tailEnd/>
            </a:ln>
          </xdr:spPr>
          <xdr:txBody>
            <a:bodyPr vertOverflow="clip" wrap="square" lIns="27432" tIns="22860" rIns="0" bIns="0" anchor="ctr" upright="1"/>
            <a:lstStyle/>
            <a:p>
              <a:pPr algn="ctr" rtl="0">
                <a:defRPr sz="1000"/>
              </a:pPr>
              <a:r>
                <a:rPr lang="en-US" sz="1000" b="0" i="0" strike="noStrike">
                  <a:solidFill>
                    <a:srgbClr val="000000"/>
                  </a:solidFill>
                  <a:latin typeface="Arial"/>
                  <a:cs typeface="Arial"/>
                </a:rPr>
                <a:t>Length</a:t>
              </a:r>
            </a:p>
          </xdr:txBody>
        </xdr:sp>
        <xdr:sp macro="" textlink="">
          <xdr:nvSpPr>
            <xdr:cNvPr id="28" name="Text Box 9">
              <a:extLst>
                <a:ext uri="{FF2B5EF4-FFF2-40B4-BE49-F238E27FC236}">
                  <a16:creationId xmlns:a16="http://schemas.microsoft.com/office/drawing/2014/main" id="{00000000-0008-0000-1B00-00001C000000}"/>
                </a:ext>
              </a:extLst>
            </xdr:cNvPr>
            <xdr:cNvSpPr txBox="1">
              <a:spLocks noChangeArrowheads="1"/>
            </xdr:cNvSpPr>
          </xdr:nvSpPr>
          <xdr:spPr bwMode="auto">
            <a:xfrm>
              <a:off x="709" y="283"/>
              <a:ext cx="53" cy="32"/>
            </a:xfrm>
            <a:prstGeom prst="rect">
              <a:avLst/>
            </a:prstGeom>
            <a:noFill/>
            <a:ln w="9525">
              <a:noFill/>
              <a:miter lim="800000"/>
              <a:headEnd/>
              <a:tailEnd/>
            </a:ln>
          </xdr:spPr>
          <xdr:txBody>
            <a:bodyPr vertOverflow="clip" wrap="square" lIns="27432" tIns="22860" rIns="0" bIns="0" anchor="ctr" upright="1"/>
            <a:lstStyle/>
            <a:p>
              <a:pPr algn="ctr" rtl="0">
                <a:defRPr sz="1000"/>
              </a:pPr>
              <a:r>
                <a:rPr lang="en-US" sz="1000" b="0" i="0" strike="noStrike">
                  <a:solidFill>
                    <a:srgbClr val="000000"/>
                  </a:solidFill>
                  <a:latin typeface="Arial"/>
                  <a:cs typeface="Arial"/>
                </a:rPr>
                <a:t>Radius</a:t>
              </a:r>
            </a:p>
          </xdr:txBody>
        </xdr:sp>
      </xdr:grpSp>
      <xdr:sp macro="" textlink="">
        <xdr:nvSpPr>
          <xdr:cNvPr id="21" name="Line 10">
            <a:extLst>
              <a:ext uri="{FF2B5EF4-FFF2-40B4-BE49-F238E27FC236}">
                <a16:creationId xmlns:a16="http://schemas.microsoft.com/office/drawing/2014/main" id="{00000000-0008-0000-1B00-000015000000}"/>
              </a:ext>
            </a:extLst>
          </xdr:cNvPr>
          <xdr:cNvSpPr>
            <a:spLocks noChangeShapeType="1"/>
          </xdr:cNvSpPr>
        </xdr:nvSpPr>
        <xdr:spPr bwMode="auto">
          <a:xfrm>
            <a:off x="699" y="254"/>
            <a:ext cx="42" cy="0"/>
          </a:xfrm>
          <a:prstGeom prst="line">
            <a:avLst/>
          </a:prstGeom>
          <a:noFill/>
          <a:ln w="317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grpSp>
    <xdr:clientData/>
  </xdr:twoCellAnchor>
</xdr:wsDr>
</file>

<file path=xl/drawings/drawing27.xml><?xml version="1.0" encoding="utf-8"?>
<xdr:wsDr xmlns:xdr="http://schemas.openxmlformats.org/drawingml/2006/spreadsheetDrawing" xmlns:a="http://schemas.openxmlformats.org/drawingml/2006/main">
  <xdr:twoCellAnchor editAs="oneCell">
    <xdr:from>
      <xdr:col>10</xdr:col>
      <xdr:colOff>266700</xdr:colOff>
      <xdr:row>11</xdr:row>
      <xdr:rowOff>95250</xdr:rowOff>
    </xdr:from>
    <xdr:to>
      <xdr:col>18</xdr:col>
      <xdr:colOff>400050</xdr:colOff>
      <xdr:row>18</xdr:row>
      <xdr:rowOff>152400</xdr:rowOff>
    </xdr:to>
    <xdr:pic>
      <xdr:nvPicPr>
        <xdr:cNvPr id="2967281" name="Picture 66" descr="Pump selection">
          <a:extLst>
            <a:ext uri="{FF2B5EF4-FFF2-40B4-BE49-F238E27FC236}">
              <a16:creationId xmlns:a16="http://schemas.microsoft.com/office/drawing/2014/main" id="{00000000-0008-0000-1C00-0000F1462D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43425" y="2495550"/>
          <a:ext cx="3714750" cy="1209675"/>
        </a:xfrm>
        <a:prstGeom prst="rect">
          <a:avLst/>
        </a:prstGeom>
        <a:noFill/>
        <a:ln w="1587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95250</xdr:colOff>
      <xdr:row>20</xdr:row>
      <xdr:rowOff>219075</xdr:rowOff>
    </xdr:from>
    <xdr:to>
      <xdr:col>11</xdr:col>
      <xdr:colOff>38100</xdr:colOff>
      <xdr:row>26</xdr:row>
      <xdr:rowOff>47625</xdr:rowOff>
    </xdr:to>
    <xdr:pic>
      <xdr:nvPicPr>
        <xdr:cNvPr id="2967282" name="Picture 68" descr="Distribution Head Loss">
          <a:extLst>
            <a:ext uri="{FF2B5EF4-FFF2-40B4-BE49-F238E27FC236}">
              <a16:creationId xmlns:a16="http://schemas.microsoft.com/office/drawing/2014/main" id="{00000000-0008-0000-1C00-0000F2462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4095750"/>
          <a:ext cx="4667250" cy="16002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295275</xdr:colOff>
      <xdr:row>19</xdr:row>
      <xdr:rowOff>19050</xdr:rowOff>
    </xdr:from>
    <xdr:to>
      <xdr:col>18</xdr:col>
      <xdr:colOff>304800</xdr:colOff>
      <xdr:row>39</xdr:row>
      <xdr:rowOff>60325</xdr:rowOff>
    </xdr:to>
    <xdr:pic>
      <xdr:nvPicPr>
        <xdr:cNvPr id="2967286" name="Picture 2253">
          <a:extLst>
            <a:ext uri="{FF2B5EF4-FFF2-40B4-BE49-F238E27FC236}">
              <a16:creationId xmlns:a16="http://schemas.microsoft.com/office/drawing/2014/main" id="{00000000-0008-0000-1C00-0000F6462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19675" y="3819525"/>
          <a:ext cx="3143250" cy="443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76200</xdr:rowOff>
    </xdr:from>
    <xdr:to>
      <xdr:col>3</xdr:col>
      <xdr:colOff>276225</xdr:colOff>
      <xdr:row>0</xdr:row>
      <xdr:rowOff>624840</xdr:rowOff>
    </xdr:to>
    <xdr:pic>
      <xdr:nvPicPr>
        <xdr:cNvPr id="8" name="Picture 7">
          <a:extLst>
            <a:ext uri="{FF2B5EF4-FFF2-40B4-BE49-F238E27FC236}">
              <a16:creationId xmlns:a16="http://schemas.microsoft.com/office/drawing/2014/main" id="{00000000-0008-0000-1C00-00000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8100" y="76200"/>
          <a:ext cx="1381125" cy="548640"/>
        </a:xfrm>
        <a:prstGeom prst="rect">
          <a:avLst/>
        </a:prstGeom>
      </xdr:spPr>
    </xdr:pic>
    <xdr:clientData/>
  </xdr:twoCellAnchor>
  <xdr:twoCellAnchor editAs="oneCell">
    <xdr:from>
      <xdr:col>14</xdr:col>
      <xdr:colOff>361950</xdr:colOff>
      <xdr:row>0</xdr:row>
      <xdr:rowOff>95250</xdr:rowOff>
    </xdr:from>
    <xdr:to>
      <xdr:col>18</xdr:col>
      <xdr:colOff>358249</xdr:colOff>
      <xdr:row>0</xdr:row>
      <xdr:rowOff>643890</xdr:rowOff>
    </xdr:to>
    <xdr:pic>
      <xdr:nvPicPr>
        <xdr:cNvPr id="9" name="Picture 8">
          <a:extLst>
            <a:ext uri="{FF2B5EF4-FFF2-40B4-BE49-F238E27FC236}">
              <a16:creationId xmlns:a16="http://schemas.microsoft.com/office/drawing/2014/main" id="{00000000-0008-0000-1C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429375" y="95250"/>
          <a:ext cx="1786999" cy="54864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32</xdr:col>
      <xdr:colOff>342900</xdr:colOff>
      <xdr:row>1</xdr:row>
      <xdr:rowOff>0</xdr:rowOff>
    </xdr:from>
    <xdr:to>
      <xdr:col>36</xdr:col>
      <xdr:colOff>438150</xdr:colOff>
      <xdr:row>10</xdr:row>
      <xdr:rowOff>123825</xdr:rowOff>
    </xdr:to>
    <xdr:grpSp>
      <xdr:nvGrpSpPr>
        <xdr:cNvPr id="2999506" name="Group 1363">
          <a:extLst>
            <a:ext uri="{FF2B5EF4-FFF2-40B4-BE49-F238E27FC236}">
              <a16:creationId xmlns:a16="http://schemas.microsoft.com/office/drawing/2014/main" id="{00000000-0008-0000-1D00-0000D2C42D00}"/>
            </a:ext>
          </a:extLst>
        </xdr:cNvPr>
        <xdr:cNvGrpSpPr>
          <a:grpSpLocks/>
        </xdr:cNvGrpSpPr>
      </xdr:nvGrpSpPr>
      <xdr:grpSpPr bwMode="auto">
        <a:xfrm>
          <a:off x="15102840" y="693420"/>
          <a:ext cx="1790700" cy="1722120"/>
          <a:chOff x="557" y="117"/>
          <a:chExt cx="209" cy="169"/>
        </a:xfrm>
      </xdr:grpSpPr>
      <xdr:grpSp>
        <xdr:nvGrpSpPr>
          <xdr:cNvPr id="2999513" name="Group 1362">
            <a:extLst>
              <a:ext uri="{FF2B5EF4-FFF2-40B4-BE49-F238E27FC236}">
                <a16:creationId xmlns:a16="http://schemas.microsoft.com/office/drawing/2014/main" id="{00000000-0008-0000-1D00-0000D9C42D00}"/>
              </a:ext>
            </a:extLst>
          </xdr:cNvPr>
          <xdr:cNvGrpSpPr>
            <a:grpSpLocks/>
          </xdr:cNvGrpSpPr>
        </xdr:nvGrpSpPr>
        <xdr:grpSpPr bwMode="auto">
          <a:xfrm>
            <a:off x="557" y="117"/>
            <a:ext cx="209" cy="169"/>
            <a:chOff x="557" y="117"/>
            <a:chExt cx="209" cy="169"/>
          </a:xfrm>
        </xdr:grpSpPr>
        <xdr:sp macro="" textlink="">
          <xdr:nvSpPr>
            <xdr:cNvPr id="2999515" name="Oval 3">
              <a:extLst>
                <a:ext uri="{FF2B5EF4-FFF2-40B4-BE49-F238E27FC236}">
                  <a16:creationId xmlns:a16="http://schemas.microsoft.com/office/drawing/2014/main" id="{00000000-0008-0000-1D00-0000DBC42D00}"/>
                </a:ext>
              </a:extLst>
            </xdr:cNvPr>
            <xdr:cNvSpPr>
              <a:spLocks noChangeArrowheads="1"/>
            </xdr:cNvSpPr>
          </xdr:nvSpPr>
          <xdr:spPr bwMode="auto">
            <a:xfrm>
              <a:off x="661" y="225"/>
              <a:ext cx="81" cy="61"/>
            </a:xfrm>
            <a:prstGeom prst="ellipse">
              <a:avLst/>
            </a:prstGeom>
            <a:solidFill>
              <a:srgbClr val="FFFFFF"/>
            </a:solidFill>
            <a:ln w="9525">
              <a:solidFill>
                <a:srgbClr val="000000"/>
              </a:solidFill>
              <a:round/>
              <a:headEnd/>
              <a:tailEnd/>
            </a:ln>
          </xdr:spPr>
        </xdr:sp>
        <xdr:sp macro="" textlink="">
          <xdr:nvSpPr>
            <xdr:cNvPr id="2999516" name="Rectangle 4">
              <a:extLst>
                <a:ext uri="{FF2B5EF4-FFF2-40B4-BE49-F238E27FC236}">
                  <a16:creationId xmlns:a16="http://schemas.microsoft.com/office/drawing/2014/main" id="{00000000-0008-0000-1D00-0000DCC42D00}"/>
                </a:ext>
              </a:extLst>
            </xdr:cNvPr>
            <xdr:cNvSpPr>
              <a:spLocks noChangeArrowheads="1"/>
            </xdr:cNvSpPr>
          </xdr:nvSpPr>
          <xdr:spPr bwMode="auto">
            <a:xfrm>
              <a:off x="557" y="118"/>
              <a:ext cx="125" cy="63"/>
            </a:xfrm>
            <a:prstGeom prst="rect">
              <a:avLst/>
            </a:prstGeom>
            <a:solidFill>
              <a:srgbClr val="FFFFFF"/>
            </a:solidFill>
            <a:ln w="9525">
              <a:solidFill>
                <a:srgbClr val="000000"/>
              </a:solidFill>
              <a:miter lim="800000"/>
              <a:headEnd/>
              <a:tailEnd/>
            </a:ln>
          </xdr:spPr>
        </xdr:sp>
        <xdr:sp macro="" textlink="">
          <xdr:nvSpPr>
            <xdr:cNvPr id="2999517" name="Line 5">
              <a:extLst>
                <a:ext uri="{FF2B5EF4-FFF2-40B4-BE49-F238E27FC236}">
                  <a16:creationId xmlns:a16="http://schemas.microsoft.com/office/drawing/2014/main" id="{00000000-0008-0000-1D00-0000DDC42D00}"/>
                </a:ext>
              </a:extLst>
            </xdr:cNvPr>
            <xdr:cNvSpPr>
              <a:spLocks noChangeShapeType="1"/>
            </xdr:cNvSpPr>
          </xdr:nvSpPr>
          <xdr:spPr bwMode="auto">
            <a:xfrm>
              <a:off x="557" y="196"/>
              <a:ext cx="123"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2999518" name="Line 6">
              <a:extLst>
                <a:ext uri="{FF2B5EF4-FFF2-40B4-BE49-F238E27FC236}">
                  <a16:creationId xmlns:a16="http://schemas.microsoft.com/office/drawing/2014/main" id="{00000000-0008-0000-1D00-0000DEC42D00}"/>
                </a:ext>
              </a:extLst>
            </xdr:cNvPr>
            <xdr:cNvSpPr>
              <a:spLocks noChangeShapeType="1"/>
            </xdr:cNvSpPr>
          </xdr:nvSpPr>
          <xdr:spPr bwMode="auto">
            <a:xfrm>
              <a:off x="701" y="117"/>
              <a:ext cx="0" cy="66"/>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9" name="Text Box 7">
              <a:extLst>
                <a:ext uri="{FF2B5EF4-FFF2-40B4-BE49-F238E27FC236}">
                  <a16:creationId xmlns:a16="http://schemas.microsoft.com/office/drawing/2014/main" id="{00000000-0008-0000-1D00-000009000000}"/>
                </a:ext>
              </a:extLst>
            </xdr:cNvPr>
            <xdr:cNvSpPr txBox="1">
              <a:spLocks noChangeArrowheads="1"/>
            </xdr:cNvSpPr>
          </xdr:nvSpPr>
          <xdr:spPr bwMode="auto">
            <a:xfrm>
              <a:off x="713" y="129"/>
              <a:ext cx="53" cy="46"/>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Width</a:t>
              </a:r>
            </a:p>
          </xdr:txBody>
        </xdr:sp>
        <xdr:sp macro="" textlink="">
          <xdr:nvSpPr>
            <xdr:cNvPr id="10" name="Text Box 8">
              <a:extLst>
                <a:ext uri="{FF2B5EF4-FFF2-40B4-BE49-F238E27FC236}">
                  <a16:creationId xmlns:a16="http://schemas.microsoft.com/office/drawing/2014/main" id="{00000000-0008-0000-1D00-00000A000000}"/>
                </a:ext>
              </a:extLst>
            </xdr:cNvPr>
            <xdr:cNvSpPr txBox="1">
              <a:spLocks noChangeArrowheads="1"/>
            </xdr:cNvSpPr>
          </xdr:nvSpPr>
          <xdr:spPr bwMode="auto">
            <a:xfrm>
              <a:off x="574" y="200"/>
              <a:ext cx="77" cy="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Length</a:t>
              </a:r>
            </a:p>
          </xdr:txBody>
        </xdr:sp>
        <xdr:sp macro="" textlink="">
          <xdr:nvSpPr>
            <xdr:cNvPr id="11" name="Text Box 9">
              <a:extLst>
                <a:ext uri="{FF2B5EF4-FFF2-40B4-BE49-F238E27FC236}">
                  <a16:creationId xmlns:a16="http://schemas.microsoft.com/office/drawing/2014/main" id="{00000000-0008-0000-1D00-00000B000000}"/>
                </a:ext>
              </a:extLst>
            </xdr:cNvPr>
            <xdr:cNvSpPr txBox="1">
              <a:spLocks noChangeArrowheads="1"/>
            </xdr:cNvSpPr>
          </xdr:nvSpPr>
          <xdr:spPr bwMode="auto">
            <a:xfrm>
              <a:off x="696" y="256"/>
              <a:ext cx="53" cy="24"/>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Radius</a:t>
              </a:r>
            </a:p>
          </xdr:txBody>
        </xdr:sp>
      </xdr:grpSp>
      <xdr:sp macro="" textlink="">
        <xdr:nvSpPr>
          <xdr:cNvPr id="2999514" name="Line 10">
            <a:extLst>
              <a:ext uri="{FF2B5EF4-FFF2-40B4-BE49-F238E27FC236}">
                <a16:creationId xmlns:a16="http://schemas.microsoft.com/office/drawing/2014/main" id="{00000000-0008-0000-1D00-0000DAC42D00}"/>
              </a:ext>
            </a:extLst>
          </xdr:cNvPr>
          <xdr:cNvSpPr>
            <a:spLocks noChangeShapeType="1"/>
          </xdr:cNvSpPr>
        </xdr:nvSpPr>
        <xdr:spPr bwMode="auto">
          <a:xfrm>
            <a:off x="699" y="254"/>
            <a:ext cx="42" cy="0"/>
          </a:xfrm>
          <a:prstGeom prst="line">
            <a:avLst/>
          </a:prstGeom>
          <a:noFill/>
          <a:ln w="317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grpSp>
    <xdr:clientData/>
  </xdr:twoCellAnchor>
  <xdr:twoCellAnchor editAs="oneCell">
    <xdr:from>
      <xdr:col>20</xdr:col>
      <xdr:colOff>133350</xdr:colOff>
      <xdr:row>37</xdr:row>
      <xdr:rowOff>57150</xdr:rowOff>
    </xdr:from>
    <xdr:to>
      <xdr:col>28</xdr:col>
      <xdr:colOff>47625</xdr:colOff>
      <xdr:row>44</xdr:row>
      <xdr:rowOff>66675</xdr:rowOff>
    </xdr:to>
    <xdr:pic>
      <xdr:nvPicPr>
        <xdr:cNvPr id="2999507" name="Picture 128" descr="Tank Capacity">
          <a:extLst>
            <a:ext uri="{FF2B5EF4-FFF2-40B4-BE49-F238E27FC236}">
              <a16:creationId xmlns:a16="http://schemas.microsoft.com/office/drawing/2014/main" id="{00000000-0008-0000-1D00-0000D3C42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10725" y="8572500"/>
          <a:ext cx="3495675" cy="17621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228600</xdr:colOff>
      <xdr:row>27</xdr:row>
      <xdr:rowOff>142875</xdr:rowOff>
    </xdr:from>
    <xdr:to>
      <xdr:col>18</xdr:col>
      <xdr:colOff>66675</xdr:colOff>
      <xdr:row>39</xdr:row>
      <xdr:rowOff>142875</xdr:rowOff>
    </xdr:to>
    <xdr:pic>
      <xdr:nvPicPr>
        <xdr:cNvPr id="2999508" name="Picture 129" descr="Volume of Pipe II">
          <a:extLst>
            <a:ext uri="{FF2B5EF4-FFF2-40B4-BE49-F238E27FC236}">
              <a16:creationId xmlns:a16="http://schemas.microsoft.com/office/drawing/2014/main" id="{00000000-0008-0000-1D00-0000D4C42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91325" y="6276975"/>
          <a:ext cx="1781175" cy="29146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180975</xdr:colOff>
      <xdr:row>46</xdr:row>
      <xdr:rowOff>171450</xdr:rowOff>
    </xdr:from>
    <xdr:to>
      <xdr:col>19</xdr:col>
      <xdr:colOff>342900</xdr:colOff>
      <xdr:row>54</xdr:row>
      <xdr:rowOff>28575</xdr:rowOff>
    </xdr:to>
    <xdr:pic>
      <xdr:nvPicPr>
        <xdr:cNvPr id="2999512" name="Picture 142">
          <a:extLst>
            <a:ext uri="{FF2B5EF4-FFF2-40B4-BE49-F238E27FC236}">
              <a16:creationId xmlns:a16="http://schemas.microsoft.com/office/drawing/2014/main" id="{00000000-0008-0000-1D00-0000D8C42D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b="10344"/>
        <a:stretch>
          <a:fillRect/>
        </a:stretch>
      </xdr:blipFill>
      <xdr:spPr bwMode="auto">
        <a:xfrm>
          <a:off x="7715250" y="10915650"/>
          <a:ext cx="1619250" cy="2009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0</xdr:row>
      <xdr:rowOff>76200</xdr:rowOff>
    </xdr:from>
    <xdr:to>
      <xdr:col>3</xdr:col>
      <xdr:colOff>228600</xdr:colOff>
      <xdr:row>0</xdr:row>
      <xdr:rowOff>624840</xdr:rowOff>
    </xdr:to>
    <xdr:pic>
      <xdr:nvPicPr>
        <xdr:cNvPr id="18" name="Picture 17">
          <a:extLst>
            <a:ext uri="{FF2B5EF4-FFF2-40B4-BE49-F238E27FC236}">
              <a16:creationId xmlns:a16="http://schemas.microsoft.com/office/drawing/2014/main" id="{00000000-0008-0000-1D00-00001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6675" y="76200"/>
          <a:ext cx="1381125" cy="548640"/>
        </a:xfrm>
        <a:prstGeom prst="rect">
          <a:avLst/>
        </a:prstGeom>
      </xdr:spPr>
    </xdr:pic>
    <xdr:clientData/>
  </xdr:twoCellAnchor>
  <xdr:twoCellAnchor editAs="oneCell">
    <xdr:from>
      <xdr:col>15</xdr:col>
      <xdr:colOff>428625</xdr:colOff>
      <xdr:row>0</xdr:row>
      <xdr:rowOff>76200</xdr:rowOff>
    </xdr:from>
    <xdr:to>
      <xdr:col>19</xdr:col>
      <xdr:colOff>272524</xdr:colOff>
      <xdr:row>0</xdr:row>
      <xdr:rowOff>624840</xdr:rowOff>
    </xdr:to>
    <xdr:pic>
      <xdr:nvPicPr>
        <xdr:cNvPr id="19" name="Picture 18">
          <a:extLst>
            <a:ext uri="{FF2B5EF4-FFF2-40B4-BE49-F238E27FC236}">
              <a16:creationId xmlns:a16="http://schemas.microsoft.com/office/drawing/2014/main" id="{00000000-0008-0000-1D00-00001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477125" y="76200"/>
          <a:ext cx="1786999" cy="54864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20</xdr:col>
      <xdr:colOff>161925</xdr:colOff>
      <xdr:row>28</xdr:row>
      <xdr:rowOff>152400</xdr:rowOff>
    </xdr:from>
    <xdr:to>
      <xdr:col>28</xdr:col>
      <xdr:colOff>76200</xdr:colOff>
      <xdr:row>37</xdr:row>
      <xdr:rowOff>139513</xdr:rowOff>
    </xdr:to>
    <xdr:pic>
      <xdr:nvPicPr>
        <xdr:cNvPr id="12" name="Picture 128" descr="Tank Capacity">
          <a:extLst>
            <a:ext uri="{FF2B5EF4-FFF2-40B4-BE49-F238E27FC236}">
              <a16:creationId xmlns:a16="http://schemas.microsoft.com/office/drawing/2014/main" id="{00000000-0008-0000-1E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62900" y="5715000"/>
          <a:ext cx="3419475" cy="1806388"/>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228600</xdr:colOff>
      <xdr:row>27</xdr:row>
      <xdr:rowOff>142875</xdr:rowOff>
    </xdr:from>
    <xdr:to>
      <xdr:col>19</xdr:col>
      <xdr:colOff>47625</xdr:colOff>
      <xdr:row>42</xdr:row>
      <xdr:rowOff>53789</xdr:rowOff>
    </xdr:to>
    <xdr:pic>
      <xdr:nvPicPr>
        <xdr:cNvPr id="13" name="Picture 129" descr="Volume of Pipe II">
          <a:extLst>
            <a:ext uri="{FF2B5EF4-FFF2-40B4-BE49-F238E27FC236}">
              <a16:creationId xmlns:a16="http://schemas.microsoft.com/office/drawing/2014/main" id="{00000000-0008-0000-1E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00675" y="5467350"/>
          <a:ext cx="1819275" cy="314941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200122</xdr:colOff>
      <xdr:row>66</xdr:row>
      <xdr:rowOff>84852</xdr:rowOff>
    </xdr:from>
    <xdr:to>
      <xdr:col>19</xdr:col>
      <xdr:colOff>381001</xdr:colOff>
      <xdr:row>79</xdr:row>
      <xdr:rowOff>0</xdr:rowOff>
    </xdr:to>
    <xdr:pic>
      <xdr:nvPicPr>
        <xdr:cNvPr id="14" name="Picture 142">
          <a:extLst>
            <a:ext uri="{FF2B5EF4-FFF2-40B4-BE49-F238E27FC236}">
              <a16:creationId xmlns:a16="http://schemas.microsoft.com/office/drawing/2014/main" id="{00000000-0008-0000-1E00-00000E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b="10344"/>
        <a:stretch>
          <a:fillRect/>
        </a:stretch>
      </xdr:blipFill>
      <xdr:spPr bwMode="auto">
        <a:xfrm>
          <a:off x="5848447" y="13572252"/>
          <a:ext cx="1704879" cy="26583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85725</xdr:rowOff>
    </xdr:from>
    <xdr:to>
      <xdr:col>4</xdr:col>
      <xdr:colOff>200025</xdr:colOff>
      <xdr:row>0</xdr:row>
      <xdr:rowOff>634365</xdr:rowOff>
    </xdr:to>
    <xdr:pic>
      <xdr:nvPicPr>
        <xdr:cNvPr id="15" name="Picture 14">
          <a:extLst>
            <a:ext uri="{FF2B5EF4-FFF2-40B4-BE49-F238E27FC236}">
              <a16:creationId xmlns:a16="http://schemas.microsoft.com/office/drawing/2014/main" id="{00000000-0008-0000-1E00-00000F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3350" y="85725"/>
          <a:ext cx="1390650" cy="548640"/>
        </a:xfrm>
        <a:prstGeom prst="rect">
          <a:avLst/>
        </a:prstGeom>
      </xdr:spPr>
    </xdr:pic>
    <xdr:clientData/>
  </xdr:twoCellAnchor>
  <xdr:twoCellAnchor editAs="oneCell">
    <xdr:from>
      <xdr:col>15</xdr:col>
      <xdr:colOff>323850</xdr:colOff>
      <xdr:row>0</xdr:row>
      <xdr:rowOff>104775</xdr:rowOff>
    </xdr:from>
    <xdr:to>
      <xdr:col>19</xdr:col>
      <xdr:colOff>624949</xdr:colOff>
      <xdr:row>0</xdr:row>
      <xdr:rowOff>653415</xdr:rowOff>
    </xdr:to>
    <xdr:pic>
      <xdr:nvPicPr>
        <xdr:cNvPr id="16" name="Picture 15">
          <a:extLst>
            <a:ext uri="{FF2B5EF4-FFF2-40B4-BE49-F238E27FC236}">
              <a16:creationId xmlns:a16="http://schemas.microsoft.com/office/drawing/2014/main" id="{00000000-0008-0000-1E00-00001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972175" y="104775"/>
          <a:ext cx="1825099" cy="548640"/>
        </a:xfrm>
        <a:prstGeom prst="rect">
          <a:avLst/>
        </a:prstGeom>
      </xdr:spPr>
    </xdr:pic>
    <xdr:clientData/>
  </xdr:twoCellAnchor>
  <xdr:twoCellAnchor>
    <xdr:from>
      <xdr:col>32</xdr:col>
      <xdr:colOff>361950</xdr:colOff>
      <xdr:row>0</xdr:row>
      <xdr:rowOff>466725</xdr:rowOff>
    </xdr:from>
    <xdr:to>
      <xdr:col>37</xdr:col>
      <xdr:colOff>19050</xdr:colOff>
      <xdr:row>5</xdr:row>
      <xdr:rowOff>163165</xdr:rowOff>
    </xdr:to>
    <xdr:grpSp>
      <xdr:nvGrpSpPr>
        <xdr:cNvPr id="17" name="Group 1363">
          <a:extLst>
            <a:ext uri="{FF2B5EF4-FFF2-40B4-BE49-F238E27FC236}">
              <a16:creationId xmlns:a16="http://schemas.microsoft.com/office/drawing/2014/main" id="{00000000-0008-0000-1E00-000011000000}"/>
            </a:ext>
          </a:extLst>
        </xdr:cNvPr>
        <xdr:cNvGrpSpPr>
          <a:grpSpLocks/>
        </xdr:cNvGrpSpPr>
      </xdr:nvGrpSpPr>
      <xdr:grpSpPr bwMode="auto">
        <a:xfrm>
          <a:off x="13296900" y="464820"/>
          <a:ext cx="1790700" cy="1045180"/>
          <a:chOff x="557" y="117"/>
          <a:chExt cx="209" cy="198"/>
        </a:xfrm>
      </xdr:grpSpPr>
      <xdr:grpSp>
        <xdr:nvGrpSpPr>
          <xdr:cNvPr id="18" name="Group 1362">
            <a:extLst>
              <a:ext uri="{FF2B5EF4-FFF2-40B4-BE49-F238E27FC236}">
                <a16:creationId xmlns:a16="http://schemas.microsoft.com/office/drawing/2014/main" id="{00000000-0008-0000-1E00-000012000000}"/>
              </a:ext>
            </a:extLst>
          </xdr:cNvPr>
          <xdr:cNvGrpSpPr>
            <a:grpSpLocks/>
          </xdr:cNvGrpSpPr>
        </xdr:nvGrpSpPr>
        <xdr:grpSpPr bwMode="auto">
          <a:xfrm>
            <a:off x="557" y="117"/>
            <a:ext cx="209" cy="198"/>
            <a:chOff x="557" y="117"/>
            <a:chExt cx="209" cy="198"/>
          </a:xfrm>
        </xdr:grpSpPr>
        <xdr:sp macro="" textlink="">
          <xdr:nvSpPr>
            <xdr:cNvPr id="20" name="Oval 3">
              <a:extLst>
                <a:ext uri="{FF2B5EF4-FFF2-40B4-BE49-F238E27FC236}">
                  <a16:creationId xmlns:a16="http://schemas.microsoft.com/office/drawing/2014/main" id="{00000000-0008-0000-1E00-000014000000}"/>
                </a:ext>
              </a:extLst>
            </xdr:cNvPr>
            <xdr:cNvSpPr>
              <a:spLocks noChangeArrowheads="1"/>
            </xdr:cNvSpPr>
          </xdr:nvSpPr>
          <xdr:spPr bwMode="auto">
            <a:xfrm>
              <a:off x="661" y="225"/>
              <a:ext cx="81" cy="61"/>
            </a:xfrm>
            <a:prstGeom prst="ellipse">
              <a:avLst/>
            </a:prstGeom>
            <a:solidFill>
              <a:srgbClr val="FFFFFF"/>
            </a:solidFill>
            <a:ln w="9525">
              <a:solidFill>
                <a:srgbClr val="000000"/>
              </a:solidFill>
              <a:round/>
              <a:headEnd/>
              <a:tailEnd/>
            </a:ln>
          </xdr:spPr>
        </xdr:sp>
        <xdr:sp macro="" textlink="">
          <xdr:nvSpPr>
            <xdr:cNvPr id="21" name="Rectangle 4">
              <a:extLst>
                <a:ext uri="{FF2B5EF4-FFF2-40B4-BE49-F238E27FC236}">
                  <a16:creationId xmlns:a16="http://schemas.microsoft.com/office/drawing/2014/main" id="{00000000-0008-0000-1E00-000015000000}"/>
                </a:ext>
              </a:extLst>
            </xdr:cNvPr>
            <xdr:cNvSpPr>
              <a:spLocks noChangeArrowheads="1"/>
            </xdr:cNvSpPr>
          </xdr:nvSpPr>
          <xdr:spPr bwMode="auto">
            <a:xfrm>
              <a:off x="557" y="118"/>
              <a:ext cx="125" cy="63"/>
            </a:xfrm>
            <a:prstGeom prst="rect">
              <a:avLst/>
            </a:prstGeom>
            <a:solidFill>
              <a:srgbClr val="FFFFFF"/>
            </a:solidFill>
            <a:ln w="9525">
              <a:solidFill>
                <a:srgbClr val="000000"/>
              </a:solidFill>
              <a:miter lim="800000"/>
              <a:headEnd/>
              <a:tailEnd/>
            </a:ln>
          </xdr:spPr>
        </xdr:sp>
        <xdr:sp macro="" textlink="">
          <xdr:nvSpPr>
            <xdr:cNvPr id="22" name="Line 5">
              <a:extLst>
                <a:ext uri="{FF2B5EF4-FFF2-40B4-BE49-F238E27FC236}">
                  <a16:creationId xmlns:a16="http://schemas.microsoft.com/office/drawing/2014/main" id="{00000000-0008-0000-1E00-000016000000}"/>
                </a:ext>
              </a:extLst>
            </xdr:cNvPr>
            <xdr:cNvSpPr>
              <a:spLocks noChangeShapeType="1"/>
            </xdr:cNvSpPr>
          </xdr:nvSpPr>
          <xdr:spPr bwMode="auto">
            <a:xfrm>
              <a:off x="557" y="196"/>
              <a:ext cx="123"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23" name="Line 6">
              <a:extLst>
                <a:ext uri="{FF2B5EF4-FFF2-40B4-BE49-F238E27FC236}">
                  <a16:creationId xmlns:a16="http://schemas.microsoft.com/office/drawing/2014/main" id="{00000000-0008-0000-1E00-000017000000}"/>
                </a:ext>
              </a:extLst>
            </xdr:cNvPr>
            <xdr:cNvSpPr>
              <a:spLocks noChangeShapeType="1"/>
            </xdr:cNvSpPr>
          </xdr:nvSpPr>
          <xdr:spPr bwMode="auto">
            <a:xfrm>
              <a:off x="701" y="117"/>
              <a:ext cx="0" cy="66"/>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24" name="Text Box 7">
              <a:extLst>
                <a:ext uri="{FF2B5EF4-FFF2-40B4-BE49-F238E27FC236}">
                  <a16:creationId xmlns:a16="http://schemas.microsoft.com/office/drawing/2014/main" id="{00000000-0008-0000-1E00-000018000000}"/>
                </a:ext>
              </a:extLst>
            </xdr:cNvPr>
            <xdr:cNvSpPr txBox="1">
              <a:spLocks noChangeArrowheads="1"/>
            </xdr:cNvSpPr>
          </xdr:nvSpPr>
          <xdr:spPr bwMode="auto">
            <a:xfrm>
              <a:off x="713" y="129"/>
              <a:ext cx="53" cy="46"/>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Width</a:t>
              </a:r>
            </a:p>
          </xdr:txBody>
        </xdr:sp>
        <xdr:sp macro="" textlink="">
          <xdr:nvSpPr>
            <xdr:cNvPr id="25" name="Text Box 8">
              <a:extLst>
                <a:ext uri="{FF2B5EF4-FFF2-40B4-BE49-F238E27FC236}">
                  <a16:creationId xmlns:a16="http://schemas.microsoft.com/office/drawing/2014/main" id="{00000000-0008-0000-1E00-000019000000}"/>
                </a:ext>
              </a:extLst>
            </xdr:cNvPr>
            <xdr:cNvSpPr txBox="1">
              <a:spLocks noChangeArrowheads="1"/>
            </xdr:cNvSpPr>
          </xdr:nvSpPr>
          <xdr:spPr bwMode="auto">
            <a:xfrm>
              <a:off x="574" y="200"/>
              <a:ext cx="77" cy="25"/>
            </a:xfrm>
            <a:prstGeom prst="rect">
              <a:avLst/>
            </a:prstGeom>
            <a:solidFill>
              <a:srgbClr val="FFFFFF"/>
            </a:solidFill>
            <a:ln w="9525">
              <a:noFill/>
              <a:miter lim="800000"/>
              <a:headEnd/>
              <a:tailEnd/>
            </a:ln>
          </xdr:spPr>
          <xdr:txBody>
            <a:bodyPr vertOverflow="clip" wrap="square" lIns="27432" tIns="22860" rIns="0" bIns="0" anchor="ctr" upright="1"/>
            <a:lstStyle/>
            <a:p>
              <a:pPr algn="ctr" rtl="0">
                <a:defRPr sz="1000"/>
              </a:pPr>
              <a:r>
                <a:rPr lang="en-US" sz="1000" b="0" i="0" strike="noStrike">
                  <a:solidFill>
                    <a:srgbClr val="000000"/>
                  </a:solidFill>
                  <a:latin typeface="Arial"/>
                  <a:cs typeface="Arial"/>
                </a:rPr>
                <a:t>Length</a:t>
              </a:r>
            </a:p>
          </xdr:txBody>
        </xdr:sp>
        <xdr:sp macro="" textlink="">
          <xdr:nvSpPr>
            <xdr:cNvPr id="26" name="Text Box 9">
              <a:extLst>
                <a:ext uri="{FF2B5EF4-FFF2-40B4-BE49-F238E27FC236}">
                  <a16:creationId xmlns:a16="http://schemas.microsoft.com/office/drawing/2014/main" id="{00000000-0008-0000-1E00-00001A000000}"/>
                </a:ext>
              </a:extLst>
            </xdr:cNvPr>
            <xdr:cNvSpPr txBox="1">
              <a:spLocks noChangeArrowheads="1"/>
            </xdr:cNvSpPr>
          </xdr:nvSpPr>
          <xdr:spPr bwMode="auto">
            <a:xfrm>
              <a:off x="709" y="283"/>
              <a:ext cx="53" cy="32"/>
            </a:xfrm>
            <a:prstGeom prst="rect">
              <a:avLst/>
            </a:prstGeom>
            <a:noFill/>
            <a:ln w="9525">
              <a:noFill/>
              <a:miter lim="800000"/>
              <a:headEnd/>
              <a:tailEnd/>
            </a:ln>
          </xdr:spPr>
          <xdr:txBody>
            <a:bodyPr vertOverflow="clip" wrap="square" lIns="27432" tIns="22860" rIns="0" bIns="0" anchor="ctr" upright="1"/>
            <a:lstStyle/>
            <a:p>
              <a:pPr algn="ctr" rtl="0">
                <a:defRPr sz="1000"/>
              </a:pPr>
              <a:r>
                <a:rPr lang="en-US" sz="1000" b="0" i="0" strike="noStrike">
                  <a:solidFill>
                    <a:srgbClr val="000000"/>
                  </a:solidFill>
                  <a:latin typeface="Arial"/>
                  <a:cs typeface="Arial"/>
                </a:rPr>
                <a:t>Radius</a:t>
              </a:r>
            </a:p>
          </xdr:txBody>
        </xdr:sp>
      </xdr:grpSp>
      <xdr:sp macro="" textlink="">
        <xdr:nvSpPr>
          <xdr:cNvPr id="19" name="Line 10">
            <a:extLst>
              <a:ext uri="{FF2B5EF4-FFF2-40B4-BE49-F238E27FC236}">
                <a16:creationId xmlns:a16="http://schemas.microsoft.com/office/drawing/2014/main" id="{00000000-0008-0000-1E00-000013000000}"/>
              </a:ext>
            </a:extLst>
          </xdr:cNvPr>
          <xdr:cNvSpPr>
            <a:spLocks noChangeShapeType="1"/>
          </xdr:cNvSpPr>
        </xdr:nvSpPr>
        <xdr:spPr bwMode="auto">
          <a:xfrm>
            <a:off x="699" y="254"/>
            <a:ext cx="42" cy="0"/>
          </a:xfrm>
          <a:prstGeom prst="line">
            <a:avLst/>
          </a:prstGeom>
          <a:noFill/>
          <a:ln w="317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grp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312420</xdr:colOff>
          <xdr:row>2</xdr:row>
          <xdr:rowOff>45720</xdr:rowOff>
        </xdr:from>
        <xdr:to>
          <xdr:col>6</xdr:col>
          <xdr:colOff>304800</xdr:colOff>
          <xdr:row>2</xdr:row>
          <xdr:rowOff>259080</xdr:rowOff>
        </xdr:to>
        <xdr:sp macro="" textlink="">
          <xdr:nvSpPr>
            <xdr:cNvPr id="3942401" name="Check Box 1" hidden="1">
              <a:extLst>
                <a:ext uri="{63B3BB69-23CF-44E3-9099-C40C66FF867C}">
                  <a14:compatExt spid="_x0000_s3942401"/>
                </a:ext>
                <a:ext uri="{FF2B5EF4-FFF2-40B4-BE49-F238E27FC236}">
                  <a16:creationId xmlns:a16="http://schemas.microsoft.com/office/drawing/2014/main" id="{00000000-0008-0000-0400-000001283C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Outwash</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419100</xdr:colOff>
          <xdr:row>2</xdr:row>
          <xdr:rowOff>45720</xdr:rowOff>
        </xdr:from>
        <xdr:to>
          <xdr:col>7</xdr:col>
          <xdr:colOff>411480</xdr:colOff>
          <xdr:row>2</xdr:row>
          <xdr:rowOff>259080</xdr:rowOff>
        </xdr:to>
        <xdr:sp macro="" textlink="">
          <xdr:nvSpPr>
            <xdr:cNvPr id="3942402" name="Check Box 2" hidden="1">
              <a:extLst>
                <a:ext uri="{63B3BB69-23CF-44E3-9099-C40C66FF867C}">
                  <a14:compatExt spid="_x0000_s3942402"/>
                </a:ext>
                <a:ext uri="{FF2B5EF4-FFF2-40B4-BE49-F238E27FC236}">
                  <a16:creationId xmlns:a16="http://schemas.microsoft.com/office/drawing/2014/main" id="{00000000-0008-0000-0400-000002283C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Lacustrine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182880</xdr:colOff>
          <xdr:row>2</xdr:row>
          <xdr:rowOff>45720</xdr:rowOff>
        </xdr:from>
        <xdr:to>
          <xdr:col>8</xdr:col>
          <xdr:colOff>220980</xdr:colOff>
          <xdr:row>2</xdr:row>
          <xdr:rowOff>259080</xdr:rowOff>
        </xdr:to>
        <xdr:sp macro="" textlink="">
          <xdr:nvSpPr>
            <xdr:cNvPr id="3942403" name="Check Box 3" hidden="1">
              <a:extLst>
                <a:ext uri="{63B3BB69-23CF-44E3-9099-C40C66FF867C}">
                  <a14:compatExt spid="_x0000_s3942403"/>
                </a:ext>
                <a:ext uri="{FF2B5EF4-FFF2-40B4-BE49-F238E27FC236}">
                  <a16:creationId xmlns:a16="http://schemas.microsoft.com/office/drawing/2014/main" id="{00000000-0008-0000-0400-000003283C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Loess</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731520</xdr:colOff>
          <xdr:row>2</xdr:row>
          <xdr:rowOff>45720</xdr:rowOff>
        </xdr:from>
        <xdr:to>
          <xdr:col>9</xdr:col>
          <xdr:colOff>45720</xdr:colOff>
          <xdr:row>2</xdr:row>
          <xdr:rowOff>259080</xdr:rowOff>
        </xdr:to>
        <xdr:sp macro="" textlink="">
          <xdr:nvSpPr>
            <xdr:cNvPr id="3942404" name="Check Box 4" hidden="1">
              <a:extLst>
                <a:ext uri="{63B3BB69-23CF-44E3-9099-C40C66FF867C}">
                  <a14:compatExt spid="_x0000_s3942404"/>
                </a:ext>
                <a:ext uri="{FF2B5EF4-FFF2-40B4-BE49-F238E27FC236}">
                  <a16:creationId xmlns:a16="http://schemas.microsoft.com/office/drawing/2014/main" id="{00000000-0008-0000-0400-000004283C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Till</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350520</xdr:colOff>
          <xdr:row>2</xdr:row>
          <xdr:rowOff>45720</xdr:rowOff>
        </xdr:from>
        <xdr:to>
          <xdr:col>9</xdr:col>
          <xdr:colOff>609600</xdr:colOff>
          <xdr:row>2</xdr:row>
          <xdr:rowOff>259080</xdr:rowOff>
        </xdr:to>
        <xdr:sp macro="" textlink="">
          <xdr:nvSpPr>
            <xdr:cNvPr id="3942405" name="Check Box 5" hidden="1">
              <a:extLst>
                <a:ext uri="{63B3BB69-23CF-44E3-9099-C40C66FF867C}">
                  <a14:compatExt spid="_x0000_s3942405"/>
                </a:ext>
                <a:ext uri="{FF2B5EF4-FFF2-40B4-BE49-F238E27FC236}">
                  <a16:creationId xmlns:a16="http://schemas.microsoft.com/office/drawing/2014/main" id="{00000000-0008-0000-0400-000005283C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Alluvium</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388620</xdr:colOff>
          <xdr:row>2</xdr:row>
          <xdr:rowOff>45720</xdr:rowOff>
        </xdr:from>
        <xdr:to>
          <xdr:col>10</xdr:col>
          <xdr:colOff>617220</xdr:colOff>
          <xdr:row>2</xdr:row>
          <xdr:rowOff>259080</xdr:rowOff>
        </xdr:to>
        <xdr:sp macro="" textlink="">
          <xdr:nvSpPr>
            <xdr:cNvPr id="3942406" name="Check Box 6" hidden="1">
              <a:extLst>
                <a:ext uri="{63B3BB69-23CF-44E3-9099-C40C66FF867C}">
                  <a14:compatExt spid="_x0000_s3942406"/>
                </a:ext>
                <a:ext uri="{FF2B5EF4-FFF2-40B4-BE49-F238E27FC236}">
                  <a16:creationId xmlns:a16="http://schemas.microsoft.com/office/drawing/2014/main" id="{00000000-0008-0000-0400-000006283C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Bedrock</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426720</xdr:colOff>
          <xdr:row>2</xdr:row>
          <xdr:rowOff>45720</xdr:rowOff>
        </xdr:from>
        <xdr:to>
          <xdr:col>11</xdr:col>
          <xdr:colOff>541020</xdr:colOff>
          <xdr:row>2</xdr:row>
          <xdr:rowOff>259080</xdr:rowOff>
        </xdr:to>
        <xdr:sp macro="" textlink="">
          <xdr:nvSpPr>
            <xdr:cNvPr id="3942407" name="Check Box 7" hidden="1">
              <a:extLst>
                <a:ext uri="{63B3BB69-23CF-44E3-9099-C40C66FF867C}">
                  <a14:compatExt spid="_x0000_s3942407"/>
                </a:ext>
                <a:ext uri="{FF2B5EF4-FFF2-40B4-BE49-F238E27FC236}">
                  <a16:creationId xmlns:a16="http://schemas.microsoft.com/office/drawing/2014/main" id="{00000000-0008-0000-0400-000007283C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Organic Matter</a:t>
              </a:r>
            </a:p>
          </xdr:txBody>
        </xdr:sp>
        <xdr:clientData/>
      </xdr:twoCellAnchor>
    </mc:Choice>
    <mc:Fallback/>
  </mc:AlternateContent>
  <xdr:twoCellAnchor editAs="oneCell">
    <xdr:from>
      <xdr:col>0</xdr:col>
      <xdr:colOff>38100</xdr:colOff>
      <xdr:row>0</xdr:row>
      <xdr:rowOff>9525</xdr:rowOff>
    </xdr:from>
    <xdr:to>
      <xdr:col>1</xdr:col>
      <xdr:colOff>722688</xdr:colOff>
      <xdr:row>0</xdr:row>
      <xdr:rowOff>558165</xdr:rowOff>
    </xdr:to>
    <xdr:pic>
      <xdr:nvPicPr>
        <xdr:cNvPr id="9" name="Picture 8">
          <a:extLst>
            <a:ext uri="{FF2B5EF4-FFF2-40B4-BE49-F238E27FC236}">
              <a16:creationId xmlns:a16="http://schemas.microsoft.com/office/drawing/2014/main" id="{00000000-0008-0000-0400-000009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9525"/>
          <a:ext cx="1379913" cy="54864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12</xdr:col>
      <xdr:colOff>85725</xdr:colOff>
      <xdr:row>21</xdr:row>
      <xdr:rowOff>38100</xdr:rowOff>
    </xdr:from>
    <xdr:to>
      <xdr:col>18</xdr:col>
      <xdr:colOff>409575</xdr:colOff>
      <xdr:row>30</xdr:row>
      <xdr:rowOff>209550</xdr:rowOff>
    </xdr:to>
    <xdr:pic>
      <xdr:nvPicPr>
        <xdr:cNvPr id="2976492" name="Picture 69" descr="Equivalent Length Factors">
          <a:extLst>
            <a:ext uri="{FF2B5EF4-FFF2-40B4-BE49-F238E27FC236}">
              <a16:creationId xmlns:a16="http://schemas.microsoft.com/office/drawing/2014/main" id="{00000000-0008-0000-1F00-0000EC6A2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57800" y="4486275"/>
          <a:ext cx="3009900" cy="2266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190500</xdr:colOff>
      <xdr:row>2</xdr:row>
      <xdr:rowOff>19050</xdr:rowOff>
    </xdr:from>
    <xdr:to>
      <xdr:col>19</xdr:col>
      <xdr:colOff>219075</xdr:colOff>
      <xdr:row>9</xdr:row>
      <xdr:rowOff>66675</xdr:rowOff>
    </xdr:to>
    <xdr:pic>
      <xdr:nvPicPr>
        <xdr:cNvPr id="2976496" name="Picture 4591">
          <a:extLst>
            <a:ext uri="{FF2B5EF4-FFF2-40B4-BE49-F238E27FC236}">
              <a16:creationId xmlns:a16="http://schemas.microsoft.com/office/drawing/2014/main" id="{00000000-0008-0000-1F00-0000F06A2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53275" y="1028700"/>
          <a:ext cx="1371600" cy="1400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85725</xdr:colOff>
      <xdr:row>2</xdr:row>
      <xdr:rowOff>19050</xdr:rowOff>
    </xdr:from>
    <xdr:to>
      <xdr:col>16</xdr:col>
      <xdr:colOff>104775</xdr:colOff>
      <xdr:row>10</xdr:row>
      <xdr:rowOff>0</xdr:rowOff>
    </xdr:to>
    <xdr:pic>
      <xdr:nvPicPr>
        <xdr:cNvPr id="2976497" name="Picture 4590">
          <a:extLst>
            <a:ext uri="{FF2B5EF4-FFF2-40B4-BE49-F238E27FC236}">
              <a16:creationId xmlns:a16="http://schemas.microsoft.com/office/drawing/2014/main" id="{00000000-0008-0000-1F00-0000F16A2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05475" y="1028700"/>
          <a:ext cx="1362075"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13</xdr:col>
          <xdr:colOff>259080</xdr:colOff>
          <xdr:row>32</xdr:row>
          <xdr:rowOff>106680</xdr:rowOff>
        </xdr:from>
        <xdr:to>
          <xdr:col>18</xdr:col>
          <xdr:colOff>68580</xdr:colOff>
          <xdr:row>34</xdr:row>
          <xdr:rowOff>121920</xdr:rowOff>
        </xdr:to>
        <xdr:sp macro="" textlink="">
          <xdr:nvSpPr>
            <xdr:cNvPr id="43019" name="Object 11" hidden="1">
              <a:extLst>
                <a:ext uri="{63B3BB69-23CF-44E3-9099-C40C66FF867C}">
                  <a14:compatExt spid="_x0000_s43019"/>
                </a:ext>
                <a:ext uri="{FF2B5EF4-FFF2-40B4-BE49-F238E27FC236}">
                  <a16:creationId xmlns:a16="http://schemas.microsoft.com/office/drawing/2014/main" id="{00000000-0008-0000-1F00-00000BA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57150</xdr:colOff>
      <xdr:row>0</xdr:row>
      <xdr:rowOff>66675</xdr:rowOff>
    </xdr:from>
    <xdr:to>
      <xdr:col>3</xdr:col>
      <xdr:colOff>295275</xdr:colOff>
      <xdr:row>0</xdr:row>
      <xdr:rowOff>615315</xdr:rowOff>
    </xdr:to>
    <xdr:pic>
      <xdr:nvPicPr>
        <xdr:cNvPr id="11" name="Picture 10">
          <a:extLst>
            <a:ext uri="{FF2B5EF4-FFF2-40B4-BE49-F238E27FC236}">
              <a16:creationId xmlns:a16="http://schemas.microsoft.com/office/drawing/2014/main" id="{00000000-0008-0000-1F00-00000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7150" y="66675"/>
          <a:ext cx="1381125" cy="548640"/>
        </a:xfrm>
        <a:prstGeom prst="rect">
          <a:avLst/>
        </a:prstGeom>
      </xdr:spPr>
    </xdr:pic>
    <xdr:clientData/>
  </xdr:twoCellAnchor>
  <xdr:twoCellAnchor editAs="oneCell">
    <xdr:from>
      <xdr:col>15</xdr:col>
      <xdr:colOff>390525</xdr:colOff>
      <xdr:row>0</xdr:row>
      <xdr:rowOff>57150</xdr:rowOff>
    </xdr:from>
    <xdr:to>
      <xdr:col>19</xdr:col>
      <xdr:colOff>386824</xdr:colOff>
      <xdr:row>0</xdr:row>
      <xdr:rowOff>605790</xdr:rowOff>
    </xdr:to>
    <xdr:pic>
      <xdr:nvPicPr>
        <xdr:cNvPr id="12" name="Picture 11">
          <a:extLst>
            <a:ext uri="{FF2B5EF4-FFF2-40B4-BE49-F238E27FC236}">
              <a16:creationId xmlns:a16="http://schemas.microsoft.com/office/drawing/2014/main" id="{00000000-0008-0000-1F00-00000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905625" y="57150"/>
          <a:ext cx="1786999" cy="54864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19050</xdr:colOff>
      <xdr:row>0</xdr:row>
      <xdr:rowOff>66675</xdr:rowOff>
    </xdr:from>
    <xdr:to>
      <xdr:col>2</xdr:col>
      <xdr:colOff>447675</xdr:colOff>
      <xdr:row>0</xdr:row>
      <xdr:rowOff>615315</xdr:rowOff>
    </xdr:to>
    <xdr:pic>
      <xdr:nvPicPr>
        <xdr:cNvPr id="6" name="Picture 5">
          <a:extLst>
            <a:ext uri="{FF2B5EF4-FFF2-40B4-BE49-F238E27FC236}">
              <a16:creationId xmlns:a16="http://schemas.microsoft.com/office/drawing/2014/main" id="{00000000-0008-0000-20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66675"/>
          <a:ext cx="1381125" cy="548640"/>
        </a:xfrm>
        <a:prstGeom prst="rect">
          <a:avLst/>
        </a:prstGeom>
      </xdr:spPr>
    </xdr:pic>
    <xdr:clientData/>
  </xdr:twoCellAnchor>
  <xdr:twoCellAnchor editAs="oneCell">
    <xdr:from>
      <xdr:col>5</xdr:col>
      <xdr:colOff>790575</xdr:colOff>
      <xdr:row>0</xdr:row>
      <xdr:rowOff>66675</xdr:rowOff>
    </xdr:from>
    <xdr:to>
      <xdr:col>6</xdr:col>
      <xdr:colOff>1653649</xdr:colOff>
      <xdr:row>0</xdr:row>
      <xdr:rowOff>615315</xdr:rowOff>
    </xdr:to>
    <xdr:pic>
      <xdr:nvPicPr>
        <xdr:cNvPr id="7" name="Picture 6">
          <a:extLst>
            <a:ext uri="{FF2B5EF4-FFF2-40B4-BE49-F238E27FC236}">
              <a16:creationId xmlns:a16="http://schemas.microsoft.com/office/drawing/2014/main" id="{00000000-0008-0000-20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191000" y="66675"/>
          <a:ext cx="1786999" cy="54864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6</xdr:col>
      <xdr:colOff>285750</xdr:colOff>
      <xdr:row>96</xdr:row>
      <xdr:rowOff>76200</xdr:rowOff>
    </xdr:from>
    <xdr:to>
      <xdr:col>8</xdr:col>
      <xdr:colOff>762000</xdr:colOff>
      <xdr:row>105</xdr:row>
      <xdr:rowOff>190500</xdr:rowOff>
    </xdr:to>
    <xdr:pic>
      <xdr:nvPicPr>
        <xdr:cNvPr id="2953156" name="Picture 12" descr="Treatment Media Specs">
          <a:extLst>
            <a:ext uri="{FF2B5EF4-FFF2-40B4-BE49-F238E27FC236}">
              <a16:creationId xmlns:a16="http://schemas.microsoft.com/office/drawing/2014/main" id="{00000000-0008-0000-2100-0000C40F2D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14850" y="21840825"/>
          <a:ext cx="2038350" cy="19240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895350</xdr:colOff>
      <xdr:row>76</xdr:row>
      <xdr:rowOff>161925</xdr:rowOff>
    </xdr:from>
    <xdr:to>
      <xdr:col>8</xdr:col>
      <xdr:colOff>685800</xdr:colOff>
      <xdr:row>76</xdr:row>
      <xdr:rowOff>1914525</xdr:rowOff>
    </xdr:to>
    <xdr:pic>
      <xdr:nvPicPr>
        <xdr:cNvPr id="2953160" name="Picture 7" descr="10.17_RMF.tif">
          <a:extLst>
            <a:ext uri="{FF2B5EF4-FFF2-40B4-BE49-F238E27FC236}">
              <a16:creationId xmlns:a16="http://schemas.microsoft.com/office/drawing/2014/main" id="{00000000-0008-0000-2100-0000C80F2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85950" y="16230600"/>
          <a:ext cx="4591050" cy="175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800100</xdr:colOff>
      <xdr:row>4</xdr:row>
      <xdr:rowOff>101600</xdr:rowOff>
    </xdr:from>
    <xdr:to>
      <xdr:col>4</xdr:col>
      <xdr:colOff>177800</xdr:colOff>
      <xdr:row>6</xdr:row>
      <xdr:rowOff>12700</xdr:rowOff>
    </xdr:to>
    <xdr:sp macro="" textlink="">
      <xdr:nvSpPr>
        <xdr:cNvPr id="39937" name="CheckBox1" hidden="1">
          <a:extLst>
            <a:ext uri="{63B3BB69-23CF-44E3-9099-C40C66FF867C}">
              <a14:compatExt xmlns:a14="http://schemas.microsoft.com/office/drawing/2010/main" spid="_x0000_s39937"/>
            </a:ext>
            <a:ext uri="{FF2B5EF4-FFF2-40B4-BE49-F238E27FC236}">
              <a16:creationId xmlns:a16="http://schemas.microsoft.com/office/drawing/2014/main" id="{00000000-0008-0000-2100-0000019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4</xdr:col>
      <xdr:colOff>190500</xdr:colOff>
      <xdr:row>4</xdr:row>
      <xdr:rowOff>101600</xdr:rowOff>
    </xdr:from>
    <xdr:to>
      <xdr:col>5</xdr:col>
      <xdr:colOff>711200</xdr:colOff>
      <xdr:row>6</xdr:row>
      <xdr:rowOff>12700</xdr:rowOff>
    </xdr:to>
    <xdr:sp macro="" textlink="">
      <xdr:nvSpPr>
        <xdr:cNvPr id="39938" name="CheckBox2" hidden="1">
          <a:extLst>
            <a:ext uri="{63B3BB69-23CF-44E3-9099-C40C66FF867C}">
              <a14:compatExt xmlns:a14="http://schemas.microsoft.com/office/drawing/2010/main" spid="_x0000_s39938"/>
            </a:ext>
            <a:ext uri="{FF2B5EF4-FFF2-40B4-BE49-F238E27FC236}">
              <a16:creationId xmlns:a16="http://schemas.microsoft.com/office/drawing/2014/main" id="{00000000-0008-0000-2100-0000029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0</xdr:colOff>
      <xdr:row>110</xdr:row>
      <xdr:rowOff>114300</xdr:rowOff>
    </xdr:from>
    <xdr:to>
      <xdr:col>2</xdr:col>
      <xdr:colOff>876300</xdr:colOff>
      <xdr:row>111</xdr:row>
      <xdr:rowOff>241300</xdr:rowOff>
    </xdr:to>
    <xdr:sp macro="" textlink="">
      <xdr:nvSpPr>
        <xdr:cNvPr id="39945" name="CheckBox3" hidden="1">
          <a:extLst>
            <a:ext uri="{63B3BB69-23CF-44E3-9099-C40C66FF867C}">
              <a14:compatExt xmlns:a14="http://schemas.microsoft.com/office/drawing/2010/main" spid="_x0000_s39945"/>
            </a:ext>
            <a:ext uri="{FF2B5EF4-FFF2-40B4-BE49-F238E27FC236}">
              <a16:creationId xmlns:a16="http://schemas.microsoft.com/office/drawing/2014/main" id="{00000000-0008-0000-2100-0000099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50800</xdr:colOff>
      <xdr:row>111</xdr:row>
      <xdr:rowOff>0</xdr:rowOff>
    </xdr:from>
    <xdr:to>
      <xdr:col>1</xdr:col>
      <xdr:colOff>723900</xdr:colOff>
      <xdr:row>112</xdr:row>
      <xdr:rowOff>0</xdr:rowOff>
    </xdr:to>
    <xdr:sp macro="" textlink="">
      <xdr:nvSpPr>
        <xdr:cNvPr id="39946" name="CheckBox4" hidden="1">
          <a:extLst>
            <a:ext uri="{63B3BB69-23CF-44E3-9099-C40C66FF867C}">
              <a14:compatExt xmlns:a14="http://schemas.microsoft.com/office/drawing/2010/main" spid="_x0000_s39946"/>
            </a:ext>
            <a:ext uri="{FF2B5EF4-FFF2-40B4-BE49-F238E27FC236}">
              <a16:creationId xmlns:a16="http://schemas.microsoft.com/office/drawing/2014/main" id="{00000000-0008-0000-2100-00000A9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161925</xdr:colOff>
      <xdr:row>0</xdr:row>
      <xdr:rowOff>85725</xdr:rowOff>
    </xdr:from>
    <xdr:to>
      <xdr:col>2</xdr:col>
      <xdr:colOff>552450</xdr:colOff>
      <xdr:row>0</xdr:row>
      <xdr:rowOff>634365</xdr:rowOff>
    </xdr:to>
    <xdr:pic>
      <xdr:nvPicPr>
        <xdr:cNvPr id="11" name="Picture 10">
          <a:extLst>
            <a:ext uri="{FF2B5EF4-FFF2-40B4-BE49-F238E27FC236}">
              <a16:creationId xmlns:a16="http://schemas.microsoft.com/office/drawing/2014/main" id="{00000000-0008-0000-21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1925" y="85725"/>
          <a:ext cx="1381125" cy="548640"/>
        </a:xfrm>
        <a:prstGeom prst="rect">
          <a:avLst/>
        </a:prstGeom>
      </xdr:spPr>
    </xdr:pic>
    <xdr:clientData/>
  </xdr:twoCellAnchor>
  <xdr:twoCellAnchor editAs="oneCell">
    <xdr:from>
      <xdr:col>6</xdr:col>
      <xdr:colOff>381000</xdr:colOff>
      <xdr:row>0</xdr:row>
      <xdr:rowOff>76200</xdr:rowOff>
    </xdr:from>
    <xdr:to>
      <xdr:col>8</xdr:col>
      <xdr:colOff>605899</xdr:colOff>
      <xdr:row>0</xdr:row>
      <xdr:rowOff>624840</xdr:rowOff>
    </xdr:to>
    <xdr:pic>
      <xdr:nvPicPr>
        <xdr:cNvPr id="12" name="Picture 11">
          <a:extLst>
            <a:ext uri="{FF2B5EF4-FFF2-40B4-BE49-F238E27FC236}">
              <a16:creationId xmlns:a16="http://schemas.microsoft.com/office/drawing/2014/main" id="{00000000-0008-0000-2100-00000C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610100" y="76200"/>
          <a:ext cx="1786999" cy="548640"/>
        </a:xfrm>
        <a:prstGeom prst="rect">
          <a:avLst/>
        </a:prstGeom>
      </xdr:spPr>
    </xdr:pic>
    <xdr:clientData/>
  </xdr:twoCellAnchor>
  <xdr:twoCellAnchor editAs="oneCell">
    <xdr:from>
      <xdr:col>2</xdr:col>
      <xdr:colOff>600075</xdr:colOff>
      <xdr:row>4</xdr:row>
      <xdr:rowOff>76200</xdr:rowOff>
    </xdr:from>
    <xdr:to>
      <xdr:col>4</xdr:col>
      <xdr:colOff>133350</xdr:colOff>
      <xdr:row>6</xdr:row>
      <xdr:rowOff>9525</xdr:rowOff>
    </xdr:to>
    <xdr:pic>
      <xdr:nvPicPr>
        <xdr:cNvPr id="2" name="CheckBox1">
          <a:extLst>
            <a:ext uri="{FF2B5EF4-FFF2-40B4-BE49-F238E27FC236}">
              <a16:creationId xmlns:a16="http://schemas.microsoft.com/office/drawing/2014/main" id="{00000000-0008-0000-2100-000002000000}"/>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71625" y="1381125"/>
          <a:ext cx="11906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4</xdr:col>
      <xdr:colOff>142875</xdr:colOff>
      <xdr:row>4</xdr:row>
      <xdr:rowOff>76200</xdr:rowOff>
    </xdr:from>
    <xdr:to>
      <xdr:col>5</xdr:col>
      <xdr:colOff>533400</xdr:colOff>
      <xdr:row>6</xdr:row>
      <xdr:rowOff>9525</xdr:rowOff>
    </xdr:to>
    <xdr:pic>
      <xdr:nvPicPr>
        <xdr:cNvPr id="3" name="CheckBox2">
          <a:extLst>
            <a:ext uri="{FF2B5EF4-FFF2-40B4-BE49-F238E27FC236}">
              <a16:creationId xmlns:a16="http://schemas.microsoft.com/office/drawing/2014/main" id="{00000000-0008-0000-2100-000003000000}"/>
            </a:ext>
          </a:extLst>
        </xdr:cNvPr>
        <xdr:cNvPicPr preferRelativeResize="0">
          <a:picLocks noChangeArrowheads="1" noChangeShapeType="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771775" y="1381125"/>
          <a:ext cx="11525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0</xdr:colOff>
      <xdr:row>110</xdr:row>
      <xdr:rowOff>85725</xdr:rowOff>
    </xdr:from>
    <xdr:to>
      <xdr:col>2</xdr:col>
      <xdr:colOff>657225</xdr:colOff>
      <xdr:row>111</xdr:row>
      <xdr:rowOff>180975</xdr:rowOff>
    </xdr:to>
    <xdr:pic>
      <xdr:nvPicPr>
        <xdr:cNvPr id="4" name="CheckBox3">
          <a:extLst>
            <a:ext uri="{FF2B5EF4-FFF2-40B4-BE49-F238E27FC236}">
              <a16:creationId xmlns:a16="http://schemas.microsoft.com/office/drawing/2014/main" id="{00000000-0008-0000-2100-000004000000}"/>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71550" y="24517350"/>
          <a:ext cx="657225" cy="2286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xdr:col>
      <xdr:colOff>38100</xdr:colOff>
      <xdr:row>111</xdr:row>
      <xdr:rowOff>0</xdr:rowOff>
    </xdr:from>
    <xdr:to>
      <xdr:col>1</xdr:col>
      <xdr:colOff>542925</xdr:colOff>
      <xdr:row>112</xdr:row>
      <xdr:rowOff>0</xdr:rowOff>
    </xdr:to>
    <xdr:pic>
      <xdr:nvPicPr>
        <xdr:cNvPr id="5" name="CheckBox4">
          <a:extLst>
            <a:ext uri="{FF2B5EF4-FFF2-40B4-BE49-F238E27FC236}">
              <a16:creationId xmlns:a16="http://schemas.microsoft.com/office/drawing/2014/main" id="{00000000-0008-0000-2100-000005000000}"/>
            </a:ext>
          </a:extLst>
        </xdr:cNvPr>
        <xdr:cNvPicPr preferRelativeResize="0">
          <a:picLocks noChangeArrowheads="1" noChangeShapeType="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47650" y="24564975"/>
          <a:ext cx="504825"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47625</xdr:colOff>
      <xdr:row>0</xdr:row>
      <xdr:rowOff>104775</xdr:rowOff>
    </xdr:from>
    <xdr:to>
      <xdr:col>1</xdr:col>
      <xdr:colOff>828675</xdr:colOff>
      <xdr:row>0</xdr:row>
      <xdr:rowOff>653415</xdr:rowOff>
    </xdr:to>
    <xdr:pic>
      <xdr:nvPicPr>
        <xdr:cNvPr id="5" name="Picture 4">
          <a:extLst>
            <a:ext uri="{FF2B5EF4-FFF2-40B4-BE49-F238E27FC236}">
              <a16:creationId xmlns:a16="http://schemas.microsoft.com/office/drawing/2014/main" id="{00000000-0008-0000-22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104775"/>
          <a:ext cx="1381125" cy="548640"/>
        </a:xfrm>
        <a:prstGeom prst="rect">
          <a:avLst/>
        </a:prstGeom>
      </xdr:spPr>
    </xdr:pic>
    <xdr:clientData/>
  </xdr:twoCellAnchor>
  <xdr:twoCellAnchor editAs="oneCell">
    <xdr:from>
      <xdr:col>4</xdr:col>
      <xdr:colOff>114300</xdr:colOff>
      <xdr:row>0</xdr:row>
      <xdr:rowOff>104775</xdr:rowOff>
    </xdr:from>
    <xdr:to>
      <xdr:col>5</xdr:col>
      <xdr:colOff>872599</xdr:colOff>
      <xdr:row>0</xdr:row>
      <xdr:rowOff>653415</xdr:rowOff>
    </xdr:to>
    <xdr:pic>
      <xdr:nvPicPr>
        <xdr:cNvPr id="6" name="Picture 5">
          <a:extLst>
            <a:ext uri="{FF2B5EF4-FFF2-40B4-BE49-F238E27FC236}">
              <a16:creationId xmlns:a16="http://schemas.microsoft.com/office/drawing/2014/main" id="{00000000-0008-0000-22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76650" y="104775"/>
          <a:ext cx="1786999" cy="54864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133350</xdr:colOff>
      <xdr:row>0</xdr:row>
      <xdr:rowOff>104775</xdr:rowOff>
    </xdr:from>
    <xdr:to>
      <xdr:col>2</xdr:col>
      <xdr:colOff>476250</xdr:colOff>
      <xdr:row>0</xdr:row>
      <xdr:rowOff>653415</xdr:rowOff>
    </xdr:to>
    <xdr:pic>
      <xdr:nvPicPr>
        <xdr:cNvPr id="4" name="Picture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104775"/>
          <a:ext cx="1409700" cy="548640"/>
        </a:xfrm>
        <a:prstGeom prst="rect">
          <a:avLst/>
        </a:prstGeom>
      </xdr:spPr>
    </xdr:pic>
    <xdr:clientData/>
  </xdr:twoCellAnchor>
  <xdr:twoCellAnchor editAs="oneCell">
    <xdr:from>
      <xdr:col>11</xdr:col>
      <xdr:colOff>76200</xdr:colOff>
      <xdr:row>0</xdr:row>
      <xdr:rowOff>104775</xdr:rowOff>
    </xdr:from>
    <xdr:to>
      <xdr:col>14</xdr:col>
      <xdr:colOff>291574</xdr:colOff>
      <xdr:row>0</xdr:row>
      <xdr:rowOff>653415</xdr:rowOff>
    </xdr:to>
    <xdr:pic>
      <xdr:nvPicPr>
        <xdr:cNvPr id="5" name="Picture 4">
          <a:extLst>
            <a:ext uri="{FF2B5EF4-FFF2-40B4-BE49-F238E27FC236}">
              <a16:creationId xmlns:a16="http://schemas.microsoft.com/office/drawing/2014/main" id="{00000000-0008-0000-23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19675" y="104775"/>
          <a:ext cx="1844149" cy="54864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76200</xdr:colOff>
      <xdr:row>0</xdr:row>
      <xdr:rowOff>66675</xdr:rowOff>
    </xdr:from>
    <xdr:to>
      <xdr:col>1</xdr:col>
      <xdr:colOff>609600</xdr:colOff>
      <xdr:row>1</xdr:row>
      <xdr:rowOff>72390</xdr:rowOff>
    </xdr:to>
    <xdr:pic>
      <xdr:nvPicPr>
        <xdr:cNvPr id="5" name="Picture 4">
          <a:extLst>
            <a:ext uri="{FF2B5EF4-FFF2-40B4-BE49-F238E27FC236}">
              <a16:creationId xmlns:a16="http://schemas.microsoft.com/office/drawing/2014/main" id="{00000000-0008-0000-24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66675"/>
          <a:ext cx="1381125" cy="548640"/>
        </a:xfrm>
        <a:prstGeom prst="rect">
          <a:avLst/>
        </a:prstGeom>
      </xdr:spPr>
    </xdr:pic>
    <xdr:clientData/>
  </xdr:twoCellAnchor>
  <xdr:twoCellAnchor editAs="oneCell">
    <xdr:from>
      <xdr:col>4</xdr:col>
      <xdr:colOff>66675</xdr:colOff>
      <xdr:row>0</xdr:row>
      <xdr:rowOff>19050</xdr:rowOff>
    </xdr:from>
    <xdr:to>
      <xdr:col>5</xdr:col>
      <xdr:colOff>920224</xdr:colOff>
      <xdr:row>1</xdr:row>
      <xdr:rowOff>24765</xdr:rowOff>
    </xdr:to>
    <xdr:pic>
      <xdr:nvPicPr>
        <xdr:cNvPr id="6" name="Picture 5">
          <a:extLst>
            <a:ext uri="{FF2B5EF4-FFF2-40B4-BE49-F238E27FC236}">
              <a16:creationId xmlns:a16="http://schemas.microsoft.com/office/drawing/2014/main" id="{00000000-0008-0000-24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591300" y="19050"/>
          <a:ext cx="1786999" cy="548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85725</xdr:colOff>
      <xdr:row>0</xdr:row>
      <xdr:rowOff>85725</xdr:rowOff>
    </xdr:from>
    <xdr:to>
      <xdr:col>0</xdr:col>
      <xdr:colOff>1466850</xdr:colOff>
      <xdr:row>1</xdr:row>
      <xdr:rowOff>81915</xdr:rowOff>
    </xdr:to>
    <xdr:pic>
      <xdr:nvPicPr>
        <xdr:cNvPr id="5" name="Picture 4">
          <a:extLst>
            <a:ext uri="{FF2B5EF4-FFF2-40B4-BE49-F238E27FC236}">
              <a16:creationId xmlns:a16="http://schemas.microsoft.com/office/drawing/2014/main" id="{00000000-0008-0000-25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85725"/>
          <a:ext cx="1381125" cy="548640"/>
        </a:xfrm>
        <a:prstGeom prst="rect">
          <a:avLst/>
        </a:prstGeom>
      </xdr:spPr>
    </xdr:pic>
    <xdr:clientData/>
  </xdr:twoCellAnchor>
  <xdr:twoCellAnchor editAs="oneCell">
    <xdr:from>
      <xdr:col>4</xdr:col>
      <xdr:colOff>114300</xdr:colOff>
      <xdr:row>0</xdr:row>
      <xdr:rowOff>19050</xdr:rowOff>
    </xdr:from>
    <xdr:to>
      <xdr:col>6</xdr:col>
      <xdr:colOff>586849</xdr:colOff>
      <xdr:row>1</xdr:row>
      <xdr:rowOff>15240</xdr:rowOff>
    </xdr:to>
    <xdr:pic>
      <xdr:nvPicPr>
        <xdr:cNvPr id="6" name="Picture 5">
          <a:extLst>
            <a:ext uri="{FF2B5EF4-FFF2-40B4-BE49-F238E27FC236}">
              <a16:creationId xmlns:a16="http://schemas.microsoft.com/office/drawing/2014/main" id="{00000000-0008-0000-25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905375" y="19050"/>
          <a:ext cx="1786999" cy="548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9</xdr:col>
      <xdr:colOff>9525</xdr:colOff>
      <xdr:row>81</xdr:row>
      <xdr:rowOff>9525</xdr:rowOff>
    </xdr:from>
    <xdr:to>
      <xdr:col>14</xdr:col>
      <xdr:colOff>514350</xdr:colOff>
      <xdr:row>96</xdr:row>
      <xdr:rowOff>85725</xdr:rowOff>
    </xdr:to>
    <xdr:pic>
      <xdr:nvPicPr>
        <xdr:cNvPr id="2993312" name="Picture 5" descr="Table IXa.jpg">
          <a:extLst>
            <a:ext uri="{FF2B5EF4-FFF2-40B4-BE49-F238E27FC236}">
              <a16:creationId xmlns:a16="http://schemas.microsoft.com/office/drawing/2014/main" id="{00000000-0008-0000-2600-0000A0AC2D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4750" y="16202025"/>
          <a:ext cx="2933700" cy="266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330200</xdr:colOff>
      <xdr:row>104</xdr:row>
      <xdr:rowOff>25400</xdr:rowOff>
    </xdr:from>
    <xdr:to>
      <xdr:col>7</xdr:col>
      <xdr:colOff>63500</xdr:colOff>
      <xdr:row>105</xdr:row>
      <xdr:rowOff>101600</xdr:rowOff>
    </xdr:to>
    <xdr:sp macro="" textlink="">
      <xdr:nvSpPr>
        <xdr:cNvPr id="38923" name="CheckBox1" hidden="1">
          <a:extLst>
            <a:ext uri="{63B3BB69-23CF-44E3-9099-C40C66FF867C}">
              <a14:compatExt xmlns:a14="http://schemas.microsoft.com/office/drawing/2010/main" spid="_x0000_s38923"/>
            </a:ext>
            <a:ext uri="{FF2B5EF4-FFF2-40B4-BE49-F238E27FC236}">
              <a16:creationId xmlns:a16="http://schemas.microsoft.com/office/drawing/2014/main" id="{00000000-0008-0000-2600-00000B9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7</xdr:col>
      <xdr:colOff>254000</xdr:colOff>
      <xdr:row>104</xdr:row>
      <xdr:rowOff>25400</xdr:rowOff>
    </xdr:from>
    <xdr:to>
      <xdr:col>9</xdr:col>
      <xdr:colOff>0</xdr:colOff>
      <xdr:row>105</xdr:row>
      <xdr:rowOff>101600</xdr:rowOff>
    </xdr:to>
    <xdr:sp macro="" textlink="">
      <xdr:nvSpPr>
        <xdr:cNvPr id="38924" name="CheckBox2" hidden="1">
          <a:extLst>
            <a:ext uri="{63B3BB69-23CF-44E3-9099-C40C66FF867C}">
              <a14:compatExt xmlns:a14="http://schemas.microsoft.com/office/drawing/2010/main" spid="_x0000_s38924"/>
            </a:ext>
            <a:ext uri="{FF2B5EF4-FFF2-40B4-BE49-F238E27FC236}">
              <a16:creationId xmlns:a16="http://schemas.microsoft.com/office/drawing/2014/main" id="{00000000-0008-0000-2600-00000C9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10</xdr:col>
      <xdr:colOff>12700</xdr:colOff>
      <xdr:row>7</xdr:row>
      <xdr:rowOff>25400</xdr:rowOff>
    </xdr:from>
    <xdr:to>
      <xdr:col>11</xdr:col>
      <xdr:colOff>165100</xdr:colOff>
      <xdr:row>8</xdr:row>
      <xdr:rowOff>127000</xdr:rowOff>
    </xdr:to>
    <xdr:sp macro="" textlink="">
      <xdr:nvSpPr>
        <xdr:cNvPr id="38931" name="CheckBox5" hidden="1">
          <a:extLst>
            <a:ext uri="{63B3BB69-23CF-44E3-9099-C40C66FF867C}">
              <a14:compatExt xmlns:a14="http://schemas.microsoft.com/office/drawing/2010/main" spid="_x0000_s38931"/>
            </a:ext>
            <a:ext uri="{FF2B5EF4-FFF2-40B4-BE49-F238E27FC236}">
              <a16:creationId xmlns:a16="http://schemas.microsoft.com/office/drawing/2014/main" id="{00000000-0008-0000-2600-0000139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12</xdr:col>
      <xdr:colOff>12700</xdr:colOff>
      <xdr:row>7</xdr:row>
      <xdr:rowOff>38100</xdr:rowOff>
    </xdr:from>
    <xdr:to>
      <xdr:col>13</xdr:col>
      <xdr:colOff>165100</xdr:colOff>
      <xdr:row>8</xdr:row>
      <xdr:rowOff>139700</xdr:rowOff>
    </xdr:to>
    <xdr:sp macro="" textlink="">
      <xdr:nvSpPr>
        <xdr:cNvPr id="38932" name="CheckBox6" hidden="1">
          <a:extLst>
            <a:ext uri="{63B3BB69-23CF-44E3-9099-C40C66FF867C}">
              <a14:compatExt xmlns:a14="http://schemas.microsoft.com/office/drawing/2010/main" spid="_x0000_s38932"/>
            </a:ext>
            <a:ext uri="{FF2B5EF4-FFF2-40B4-BE49-F238E27FC236}">
              <a16:creationId xmlns:a16="http://schemas.microsoft.com/office/drawing/2014/main" id="{00000000-0008-0000-2600-0000149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7</xdr:col>
      <xdr:colOff>12700</xdr:colOff>
      <xdr:row>10</xdr:row>
      <xdr:rowOff>25400</xdr:rowOff>
    </xdr:from>
    <xdr:to>
      <xdr:col>9</xdr:col>
      <xdr:colOff>25400</xdr:colOff>
      <xdr:row>11</xdr:row>
      <xdr:rowOff>127000</xdr:rowOff>
    </xdr:to>
    <xdr:sp macro="" textlink="">
      <xdr:nvSpPr>
        <xdr:cNvPr id="38933" name="CheckBox7" hidden="1">
          <a:extLst>
            <a:ext uri="{63B3BB69-23CF-44E3-9099-C40C66FF867C}">
              <a14:compatExt xmlns:a14="http://schemas.microsoft.com/office/drawing/2010/main" spid="_x0000_s38933"/>
            </a:ext>
            <a:ext uri="{FF2B5EF4-FFF2-40B4-BE49-F238E27FC236}">
              <a16:creationId xmlns:a16="http://schemas.microsoft.com/office/drawing/2014/main" id="{00000000-0008-0000-2600-0000159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12700</xdr:colOff>
      <xdr:row>10</xdr:row>
      <xdr:rowOff>25400</xdr:rowOff>
    </xdr:from>
    <xdr:to>
      <xdr:col>11</xdr:col>
      <xdr:colOff>38100</xdr:colOff>
      <xdr:row>11</xdr:row>
      <xdr:rowOff>127000</xdr:rowOff>
    </xdr:to>
    <xdr:sp macro="" textlink="">
      <xdr:nvSpPr>
        <xdr:cNvPr id="38934" name="CheckBox8" hidden="1">
          <a:extLst>
            <a:ext uri="{63B3BB69-23CF-44E3-9099-C40C66FF867C}">
              <a14:compatExt xmlns:a14="http://schemas.microsoft.com/office/drawing/2010/main" spid="_x0000_s38934"/>
            </a:ext>
            <a:ext uri="{FF2B5EF4-FFF2-40B4-BE49-F238E27FC236}">
              <a16:creationId xmlns:a16="http://schemas.microsoft.com/office/drawing/2014/main" id="{00000000-0008-0000-2600-0000169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7</xdr:col>
      <xdr:colOff>12700</xdr:colOff>
      <xdr:row>67</xdr:row>
      <xdr:rowOff>25400</xdr:rowOff>
    </xdr:from>
    <xdr:to>
      <xdr:col>8</xdr:col>
      <xdr:colOff>165100</xdr:colOff>
      <xdr:row>68</xdr:row>
      <xdr:rowOff>63500</xdr:rowOff>
    </xdr:to>
    <xdr:sp macro="" textlink="">
      <xdr:nvSpPr>
        <xdr:cNvPr id="38936" name="CheckBox9" hidden="1">
          <a:extLst>
            <a:ext uri="{63B3BB69-23CF-44E3-9099-C40C66FF867C}">
              <a14:compatExt xmlns:a14="http://schemas.microsoft.com/office/drawing/2010/main" spid="_x0000_s38936"/>
            </a:ext>
            <a:ext uri="{FF2B5EF4-FFF2-40B4-BE49-F238E27FC236}">
              <a16:creationId xmlns:a16="http://schemas.microsoft.com/office/drawing/2014/main" id="{00000000-0008-0000-2600-0000189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12700</xdr:colOff>
      <xdr:row>67</xdr:row>
      <xdr:rowOff>38100</xdr:rowOff>
    </xdr:from>
    <xdr:to>
      <xdr:col>10</xdr:col>
      <xdr:colOff>165100</xdr:colOff>
      <xdr:row>68</xdr:row>
      <xdr:rowOff>63500</xdr:rowOff>
    </xdr:to>
    <xdr:sp macro="" textlink="">
      <xdr:nvSpPr>
        <xdr:cNvPr id="38937" name="CheckBox10" hidden="1">
          <a:extLst>
            <a:ext uri="{63B3BB69-23CF-44E3-9099-C40C66FF867C}">
              <a14:compatExt xmlns:a14="http://schemas.microsoft.com/office/drawing/2010/main" spid="_x0000_s38937"/>
            </a:ext>
            <a:ext uri="{FF2B5EF4-FFF2-40B4-BE49-F238E27FC236}">
              <a16:creationId xmlns:a16="http://schemas.microsoft.com/office/drawing/2014/main" id="{00000000-0008-0000-2600-0000199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5</xdr:col>
          <xdr:colOff>83820</xdr:colOff>
          <xdr:row>37</xdr:row>
          <xdr:rowOff>0</xdr:rowOff>
        </xdr:from>
        <xdr:to>
          <xdr:col>6</xdr:col>
          <xdr:colOff>144780</xdr:colOff>
          <xdr:row>38</xdr:row>
          <xdr:rowOff>7620</xdr:rowOff>
        </xdr:to>
        <xdr:sp macro="" textlink="">
          <xdr:nvSpPr>
            <xdr:cNvPr id="39285" name="Check Box 373" hidden="1">
              <a:extLst>
                <a:ext uri="{63B3BB69-23CF-44E3-9099-C40C66FF867C}">
                  <a14:compatExt spid="_x0000_s39285"/>
                </a:ext>
                <a:ext uri="{FF2B5EF4-FFF2-40B4-BE49-F238E27FC236}">
                  <a16:creationId xmlns:a16="http://schemas.microsoft.com/office/drawing/2014/main" id="{00000000-0008-0000-2600-0000759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37</xdr:row>
          <xdr:rowOff>0</xdr:rowOff>
        </xdr:from>
        <xdr:to>
          <xdr:col>7</xdr:col>
          <xdr:colOff>220980</xdr:colOff>
          <xdr:row>38</xdr:row>
          <xdr:rowOff>30480</xdr:rowOff>
        </xdr:to>
        <xdr:sp macro="" textlink="">
          <xdr:nvSpPr>
            <xdr:cNvPr id="39286" name="Check Box 374" hidden="1">
              <a:extLst>
                <a:ext uri="{63B3BB69-23CF-44E3-9099-C40C66FF867C}">
                  <a14:compatExt spid="_x0000_s39286"/>
                </a:ext>
                <a:ext uri="{FF2B5EF4-FFF2-40B4-BE49-F238E27FC236}">
                  <a16:creationId xmlns:a16="http://schemas.microsoft.com/office/drawing/2014/main" id="{00000000-0008-0000-2600-0000769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xdr:twoCellAnchor editAs="oneCell">
    <xdr:from>
      <xdr:col>4</xdr:col>
      <xdr:colOff>152400</xdr:colOff>
      <xdr:row>108</xdr:row>
      <xdr:rowOff>25400</xdr:rowOff>
    </xdr:from>
    <xdr:to>
      <xdr:col>6</xdr:col>
      <xdr:colOff>50800</xdr:colOff>
      <xdr:row>109</xdr:row>
      <xdr:rowOff>63500</xdr:rowOff>
    </xdr:to>
    <xdr:sp macro="" textlink="">
      <xdr:nvSpPr>
        <xdr:cNvPr id="959812" name="CheckBox11" hidden="1">
          <a:extLst>
            <a:ext uri="{63B3BB69-23CF-44E3-9099-C40C66FF867C}">
              <a14:compatExt xmlns:a14="http://schemas.microsoft.com/office/drawing/2010/main" spid="_x0000_s959812"/>
            </a:ext>
            <a:ext uri="{FF2B5EF4-FFF2-40B4-BE49-F238E27FC236}">
              <a16:creationId xmlns:a16="http://schemas.microsoft.com/office/drawing/2014/main" id="{00000000-0008-0000-2600-000044A50E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254000</xdr:colOff>
      <xdr:row>108</xdr:row>
      <xdr:rowOff>25400</xdr:rowOff>
    </xdr:from>
    <xdr:to>
      <xdr:col>7</xdr:col>
      <xdr:colOff>0</xdr:colOff>
      <xdr:row>109</xdr:row>
      <xdr:rowOff>63500</xdr:rowOff>
    </xdr:to>
    <xdr:sp macro="" textlink="">
      <xdr:nvSpPr>
        <xdr:cNvPr id="959813" name="CheckBox12" hidden="1">
          <a:extLst>
            <a:ext uri="{63B3BB69-23CF-44E3-9099-C40C66FF867C}">
              <a14:compatExt xmlns:a14="http://schemas.microsoft.com/office/drawing/2010/main" spid="_x0000_s959813"/>
            </a:ext>
            <a:ext uri="{FF2B5EF4-FFF2-40B4-BE49-F238E27FC236}">
              <a16:creationId xmlns:a16="http://schemas.microsoft.com/office/drawing/2014/main" id="{00000000-0008-0000-2600-000045A50E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6</xdr:col>
      <xdr:colOff>368300</xdr:colOff>
      <xdr:row>108</xdr:row>
      <xdr:rowOff>25400</xdr:rowOff>
    </xdr:from>
    <xdr:to>
      <xdr:col>8</xdr:col>
      <xdr:colOff>127000</xdr:colOff>
      <xdr:row>109</xdr:row>
      <xdr:rowOff>63500</xdr:rowOff>
    </xdr:to>
    <xdr:sp macro="" textlink="">
      <xdr:nvSpPr>
        <xdr:cNvPr id="959814" name="CheckBox13" hidden="1">
          <a:extLst>
            <a:ext uri="{63B3BB69-23CF-44E3-9099-C40C66FF867C}">
              <a14:compatExt xmlns:a14="http://schemas.microsoft.com/office/drawing/2010/main" spid="_x0000_s959814"/>
            </a:ext>
            <a:ext uri="{FF2B5EF4-FFF2-40B4-BE49-F238E27FC236}">
              <a16:creationId xmlns:a16="http://schemas.microsoft.com/office/drawing/2014/main" id="{00000000-0008-0000-2600-000046A50E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50800</xdr:colOff>
      <xdr:row>108</xdr:row>
      <xdr:rowOff>25400</xdr:rowOff>
    </xdr:from>
    <xdr:to>
      <xdr:col>9</xdr:col>
      <xdr:colOff>292100</xdr:colOff>
      <xdr:row>109</xdr:row>
      <xdr:rowOff>63500</xdr:rowOff>
    </xdr:to>
    <xdr:sp macro="" textlink="">
      <xdr:nvSpPr>
        <xdr:cNvPr id="959815" name="CheckBox14" hidden="1">
          <a:extLst>
            <a:ext uri="{63B3BB69-23CF-44E3-9099-C40C66FF867C}">
              <a14:compatExt xmlns:a14="http://schemas.microsoft.com/office/drawing/2010/main" spid="_x0000_s959815"/>
            </a:ext>
            <a:ext uri="{FF2B5EF4-FFF2-40B4-BE49-F238E27FC236}">
              <a16:creationId xmlns:a16="http://schemas.microsoft.com/office/drawing/2014/main" id="{00000000-0008-0000-2600-000047A50E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50800</xdr:colOff>
      <xdr:row>108</xdr:row>
      <xdr:rowOff>25400</xdr:rowOff>
    </xdr:from>
    <xdr:to>
      <xdr:col>10</xdr:col>
      <xdr:colOff>431800</xdr:colOff>
      <xdr:row>109</xdr:row>
      <xdr:rowOff>63500</xdr:rowOff>
    </xdr:to>
    <xdr:sp macro="" textlink="">
      <xdr:nvSpPr>
        <xdr:cNvPr id="959816" name="CheckBox15" hidden="1">
          <a:extLst>
            <a:ext uri="{63B3BB69-23CF-44E3-9099-C40C66FF867C}">
              <a14:compatExt xmlns:a14="http://schemas.microsoft.com/office/drawing/2010/main" spid="_x0000_s959816"/>
            </a:ext>
            <a:ext uri="{FF2B5EF4-FFF2-40B4-BE49-F238E27FC236}">
              <a16:creationId xmlns:a16="http://schemas.microsoft.com/office/drawing/2014/main" id="{00000000-0008-0000-2600-000048A50E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7</xdr:col>
      <xdr:colOff>12700</xdr:colOff>
      <xdr:row>69</xdr:row>
      <xdr:rowOff>25400</xdr:rowOff>
    </xdr:from>
    <xdr:to>
      <xdr:col>10</xdr:col>
      <xdr:colOff>12700</xdr:colOff>
      <xdr:row>70</xdr:row>
      <xdr:rowOff>63500</xdr:rowOff>
    </xdr:to>
    <xdr:sp macro="" textlink="">
      <xdr:nvSpPr>
        <xdr:cNvPr id="1834600" name="CheckBox16" hidden="1">
          <a:extLst>
            <a:ext uri="{63B3BB69-23CF-44E3-9099-C40C66FF867C}">
              <a14:compatExt xmlns:a14="http://schemas.microsoft.com/office/drawing/2010/main" spid="_x0000_s1834600"/>
            </a:ext>
            <a:ext uri="{FF2B5EF4-FFF2-40B4-BE49-F238E27FC236}">
              <a16:creationId xmlns:a16="http://schemas.microsoft.com/office/drawing/2014/main" id="{00000000-0008-0000-2600-000068FE1B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139700</xdr:colOff>
      <xdr:row>69</xdr:row>
      <xdr:rowOff>38100</xdr:rowOff>
    </xdr:from>
    <xdr:to>
      <xdr:col>10</xdr:col>
      <xdr:colOff>292100</xdr:colOff>
      <xdr:row>70</xdr:row>
      <xdr:rowOff>63500</xdr:rowOff>
    </xdr:to>
    <xdr:sp macro="" textlink="">
      <xdr:nvSpPr>
        <xdr:cNvPr id="1834601" name="CheckBox17" hidden="1">
          <a:extLst>
            <a:ext uri="{63B3BB69-23CF-44E3-9099-C40C66FF867C}">
              <a14:compatExt xmlns:a14="http://schemas.microsoft.com/office/drawing/2010/main" spid="_x0000_s1834601"/>
            </a:ext>
            <a:ext uri="{FF2B5EF4-FFF2-40B4-BE49-F238E27FC236}">
              <a16:creationId xmlns:a16="http://schemas.microsoft.com/office/drawing/2014/main" id="{00000000-0008-0000-2600-000069FE1B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38100</xdr:colOff>
      <xdr:row>0</xdr:row>
      <xdr:rowOff>66675</xdr:rowOff>
    </xdr:from>
    <xdr:to>
      <xdr:col>4</xdr:col>
      <xdr:colOff>142875</xdr:colOff>
      <xdr:row>0</xdr:row>
      <xdr:rowOff>615315</xdr:rowOff>
    </xdr:to>
    <xdr:pic>
      <xdr:nvPicPr>
        <xdr:cNvPr id="25" name="Picture 24">
          <a:extLst>
            <a:ext uri="{FF2B5EF4-FFF2-40B4-BE49-F238E27FC236}">
              <a16:creationId xmlns:a16="http://schemas.microsoft.com/office/drawing/2014/main" id="{00000000-0008-0000-2600-00001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 y="66675"/>
          <a:ext cx="1381125" cy="548640"/>
        </a:xfrm>
        <a:prstGeom prst="rect">
          <a:avLst/>
        </a:prstGeom>
      </xdr:spPr>
    </xdr:pic>
    <xdr:clientData/>
  </xdr:twoCellAnchor>
  <xdr:twoCellAnchor editAs="oneCell">
    <xdr:from>
      <xdr:col>11</xdr:col>
      <xdr:colOff>95250</xdr:colOff>
      <xdr:row>0</xdr:row>
      <xdr:rowOff>76200</xdr:rowOff>
    </xdr:from>
    <xdr:to>
      <xdr:col>14</xdr:col>
      <xdr:colOff>424924</xdr:colOff>
      <xdr:row>0</xdr:row>
      <xdr:rowOff>624840</xdr:rowOff>
    </xdr:to>
    <xdr:pic>
      <xdr:nvPicPr>
        <xdr:cNvPr id="26" name="Picture 25">
          <a:extLst>
            <a:ext uri="{FF2B5EF4-FFF2-40B4-BE49-F238E27FC236}">
              <a16:creationId xmlns:a16="http://schemas.microsoft.com/office/drawing/2014/main" id="{00000000-0008-0000-2600-00001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772025" y="76200"/>
          <a:ext cx="1786999" cy="548640"/>
        </a:xfrm>
        <a:prstGeom prst="rect">
          <a:avLst/>
        </a:prstGeom>
      </xdr:spPr>
    </xdr:pic>
    <xdr:clientData/>
  </xdr:twoCellAnchor>
  <xdr:twoCellAnchor editAs="oneCell">
    <xdr:from>
      <xdr:col>7</xdr:col>
      <xdr:colOff>76200</xdr:colOff>
      <xdr:row>109</xdr:row>
      <xdr:rowOff>114300</xdr:rowOff>
    </xdr:from>
    <xdr:to>
      <xdr:col>7</xdr:col>
      <xdr:colOff>482600</xdr:colOff>
      <xdr:row>111</xdr:row>
      <xdr:rowOff>12700</xdr:rowOff>
    </xdr:to>
    <xdr:sp macro="" textlink="">
      <xdr:nvSpPr>
        <xdr:cNvPr id="1834602" name="CheckBox3" hidden="1">
          <a:extLst>
            <a:ext uri="{63B3BB69-23CF-44E3-9099-C40C66FF867C}">
              <a14:compatExt xmlns:a14="http://schemas.microsoft.com/office/drawing/2010/main" spid="_x0000_s1834602"/>
            </a:ext>
            <a:ext uri="{FF2B5EF4-FFF2-40B4-BE49-F238E27FC236}">
              <a16:creationId xmlns:a16="http://schemas.microsoft.com/office/drawing/2014/main" id="{00000000-0008-0000-2600-00006AFE1B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393700</xdr:colOff>
      <xdr:row>109</xdr:row>
      <xdr:rowOff>101600</xdr:rowOff>
    </xdr:from>
    <xdr:to>
      <xdr:col>9</xdr:col>
      <xdr:colOff>457200</xdr:colOff>
      <xdr:row>111</xdr:row>
      <xdr:rowOff>25400</xdr:rowOff>
    </xdr:to>
    <xdr:sp macro="" textlink="">
      <xdr:nvSpPr>
        <xdr:cNvPr id="1834603" name="CheckBox4" hidden="1">
          <a:extLst>
            <a:ext uri="{63B3BB69-23CF-44E3-9099-C40C66FF867C}">
              <a14:compatExt xmlns:a14="http://schemas.microsoft.com/office/drawing/2010/main" spid="_x0000_s1834603"/>
            </a:ext>
            <a:ext uri="{FF2B5EF4-FFF2-40B4-BE49-F238E27FC236}">
              <a16:creationId xmlns:a16="http://schemas.microsoft.com/office/drawing/2014/main" id="{00000000-0008-0000-2600-00006BFE1B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247650</xdr:colOff>
      <xdr:row>104</xdr:row>
      <xdr:rowOff>19050</xdr:rowOff>
    </xdr:from>
    <xdr:to>
      <xdr:col>7</xdr:col>
      <xdr:colOff>47625</xdr:colOff>
      <xdr:row>105</xdr:row>
      <xdr:rowOff>76200</xdr:rowOff>
    </xdr:to>
    <xdr:pic>
      <xdr:nvPicPr>
        <xdr:cNvPr id="2" name="CheckBox1">
          <a:extLst>
            <a:ext uri="{FF2B5EF4-FFF2-40B4-BE49-F238E27FC236}">
              <a16:creationId xmlns:a16="http://schemas.microsoft.com/office/drawing/2014/main" id="{00000000-0008-0000-2600-00000200000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057400" y="20088225"/>
          <a:ext cx="790575"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7</xdr:col>
      <xdr:colOff>190500</xdr:colOff>
      <xdr:row>104</xdr:row>
      <xdr:rowOff>19050</xdr:rowOff>
    </xdr:from>
    <xdr:to>
      <xdr:col>9</xdr:col>
      <xdr:colOff>0</xdr:colOff>
      <xdr:row>105</xdr:row>
      <xdr:rowOff>76200</xdr:rowOff>
    </xdr:to>
    <xdr:pic>
      <xdr:nvPicPr>
        <xdr:cNvPr id="3" name="CheckBox2">
          <a:extLst>
            <a:ext uri="{FF2B5EF4-FFF2-40B4-BE49-F238E27FC236}">
              <a16:creationId xmlns:a16="http://schemas.microsoft.com/office/drawing/2014/main" id="{00000000-0008-0000-2600-000003000000}"/>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90850" y="20088225"/>
          <a:ext cx="800100"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10</xdr:col>
      <xdr:colOff>9525</xdr:colOff>
      <xdr:row>7</xdr:row>
      <xdr:rowOff>19050</xdr:rowOff>
    </xdr:from>
    <xdr:to>
      <xdr:col>11</xdr:col>
      <xdr:colOff>123825</xdr:colOff>
      <xdr:row>8</xdr:row>
      <xdr:rowOff>95250</xdr:rowOff>
    </xdr:to>
    <xdr:pic>
      <xdr:nvPicPr>
        <xdr:cNvPr id="4" name="CheckBox5">
          <a:extLst>
            <a:ext uri="{FF2B5EF4-FFF2-40B4-BE49-F238E27FC236}">
              <a16:creationId xmlns:a16="http://schemas.microsoft.com/office/drawing/2014/main" id="{00000000-0008-0000-2600-000004000000}"/>
            </a:ext>
          </a:extLst>
        </xdr:cNvPr>
        <xdr:cNvPicPr preferRelativeResize="0">
          <a:picLocks noChangeArrowheads="1" noChangeShapeType="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295775" y="1809750"/>
          <a:ext cx="609600" cy="2667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12</xdr:col>
      <xdr:colOff>9525</xdr:colOff>
      <xdr:row>7</xdr:row>
      <xdr:rowOff>28575</xdr:rowOff>
    </xdr:from>
    <xdr:to>
      <xdr:col>13</xdr:col>
      <xdr:colOff>123825</xdr:colOff>
      <xdr:row>8</xdr:row>
      <xdr:rowOff>104775</xdr:rowOff>
    </xdr:to>
    <xdr:pic>
      <xdr:nvPicPr>
        <xdr:cNvPr id="5" name="CheckBox6">
          <a:extLst>
            <a:ext uri="{FF2B5EF4-FFF2-40B4-BE49-F238E27FC236}">
              <a16:creationId xmlns:a16="http://schemas.microsoft.com/office/drawing/2014/main" id="{00000000-0008-0000-2600-000005000000}"/>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286375" y="1819275"/>
          <a:ext cx="609600" cy="2667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7</xdr:col>
      <xdr:colOff>9525</xdr:colOff>
      <xdr:row>10</xdr:row>
      <xdr:rowOff>19050</xdr:rowOff>
    </xdr:from>
    <xdr:to>
      <xdr:col>9</xdr:col>
      <xdr:colOff>19050</xdr:colOff>
      <xdr:row>11</xdr:row>
      <xdr:rowOff>95250</xdr:rowOff>
    </xdr:to>
    <xdr:pic>
      <xdr:nvPicPr>
        <xdr:cNvPr id="6" name="CheckBox7">
          <a:extLst>
            <a:ext uri="{FF2B5EF4-FFF2-40B4-BE49-F238E27FC236}">
              <a16:creationId xmlns:a16="http://schemas.microsoft.com/office/drawing/2014/main" id="{00000000-0008-0000-2600-000006000000}"/>
            </a:ext>
          </a:extLst>
        </xdr:cNvPr>
        <xdr:cNvPicPr preferRelativeResize="0">
          <a:picLocks noChangeArrowheads="1" noChangeShapeType="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809875" y="2362200"/>
          <a:ext cx="1000125" cy="2667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9</xdr:col>
      <xdr:colOff>9525</xdr:colOff>
      <xdr:row>10</xdr:row>
      <xdr:rowOff>19050</xdr:rowOff>
    </xdr:from>
    <xdr:to>
      <xdr:col>11</xdr:col>
      <xdr:colOff>28575</xdr:colOff>
      <xdr:row>11</xdr:row>
      <xdr:rowOff>95250</xdr:rowOff>
    </xdr:to>
    <xdr:pic>
      <xdr:nvPicPr>
        <xdr:cNvPr id="7" name="CheckBox8">
          <a:extLst>
            <a:ext uri="{FF2B5EF4-FFF2-40B4-BE49-F238E27FC236}">
              <a16:creationId xmlns:a16="http://schemas.microsoft.com/office/drawing/2014/main" id="{00000000-0008-0000-2600-000007000000}"/>
            </a:ext>
          </a:extLst>
        </xdr:cNvPr>
        <xdr:cNvPicPr preferRelativeResize="0">
          <a:picLocks noChangeArrowheads="1" noChangeShapeType="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800475" y="2362200"/>
          <a:ext cx="1009650" cy="2667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7</xdr:col>
      <xdr:colOff>9525</xdr:colOff>
      <xdr:row>67</xdr:row>
      <xdr:rowOff>19050</xdr:rowOff>
    </xdr:from>
    <xdr:to>
      <xdr:col>8</xdr:col>
      <xdr:colOff>123825</xdr:colOff>
      <xdr:row>68</xdr:row>
      <xdr:rowOff>47625</xdr:rowOff>
    </xdr:to>
    <xdr:pic>
      <xdr:nvPicPr>
        <xdr:cNvPr id="8" name="CheckBox9">
          <a:extLst>
            <a:ext uri="{FF2B5EF4-FFF2-40B4-BE49-F238E27FC236}">
              <a16:creationId xmlns:a16="http://schemas.microsoft.com/office/drawing/2014/main" id="{00000000-0008-0000-2600-000008000000}"/>
            </a:ext>
          </a:extLst>
        </xdr:cNvPr>
        <xdr:cNvPicPr preferRelativeResize="0">
          <a:picLocks noChangeArrowheads="1" noChangeShapeType="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809875" y="13449300"/>
          <a:ext cx="609600" cy="3333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9</xdr:col>
      <xdr:colOff>9525</xdr:colOff>
      <xdr:row>67</xdr:row>
      <xdr:rowOff>28575</xdr:rowOff>
    </xdr:from>
    <xdr:to>
      <xdr:col>10</xdr:col>
      <xdr:colOff>123825</xdr:colOff>
      <xdr:row>68</xdr:row>
      <xdr:rowOff>47625</xdr:rowOff>
    </xdr:to>
    <xdr:pic>
      <xdr:nvPicPr>
        <xdr:cNvPr id="9" name="CheckBox10">
          <a:extLst>
            <a:ext uri="{FF2B5EF4-FFF2-40B4-BE49-F238E27FC236}">
              <a16:creationId xmlns:a16="http://schemas.microsoft.com/office/drawing/2014/main" id="{00000000-0008-0000-2600-000009000000}"/>
            </a:ext>
          </a:extLst>
        </xdr:cNvPr>
        <xdr:cNvPicPr preferRelativeResize="0">
          <a:picLocks noChangeArrowheads="1" noChangeShapeType="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800475" y="13458825"/>
          <a:ext cx="609600" cy="3238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4</xdr:col>
      <xdr:colOff>114300</xdr:colOff>
      <xdr:row>108</xdr:row>
      <xdr:rowOff>19050</xdr:rowOff>
    </xdr:from>
    <xdr:to>
      <xdr:col>6</xdr:col>
      <xdr:colOff>38100</xdr:colOff>
      <xdr:row>109</xdr:row>
      <xdr:rowOff>47625</xdr:rowOff>
    </xdr:to>
    <xdr:pic>
      <xdr:nvPicPr>
        <xdr:cNvPr id="10" name="CheckBox11">
          <a:extLst>
            <a:ext uri="{FF2B5EF4-FFF2-40B4-BE49-F238E27FC236}">
              <a16:creationId xmlns:a16="http://schemas.microsoft.com/office/drawing/2014/main" id="{00000000-0008-0000-2600-00000A000000}"/>
            </a:ext>
          </a:extLst>
        </xdr:cNvPr>
        <xdr:cNvPicPr preferRelativeResize="0">
          <a:picLocks noChangeArrowheads="1" noChangeShapeType="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428750" y="20793075"/>
          <a:ext cx="914400" cy="3333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5</xdr:col>
      <xdr:colOff>190500</xdr:colOff>
      <xdr:row>108</xdr:row>
      <xdr:rowOff>19050</xdr:rowOff>
    </xdr:from>
    <xdr:to>
      <xdr:col>7</xdr:col>
      <xdr:colOff>0</xdr:colOff>
      <xdr:row>109</xdr:row>
      <xdr:rowOff>47625</xdr:rowOff>
    </xdr:to>
    <xdr:pic>
      <xdr:nvPicPr>
        <xdr:cNvPr id="11" name="CheckBox12">
          <a:extLst>
            <a:ext uri="{FF2B5EF4-FFF2-40B4-BE49-F238E27FC236}">
              <a16:creationId xmlns:a16="http://schemas.microsoft.com/office/drawing/2014/main" id="{00000000-0008-0000-2600-00000B000000}"/>
            </a:ext>
          </a:extLst>
        </xdr:cNvPr>
        <xdr:cNvPicPr preferRelativeResize="0">
          <a:picLocks noChangeArrowheads="1" noChangeShapeType="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000250" y="20793075"/>
          <a:ext cx="800100" cy="3333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6</xdr:col>
      <xdr:colOff>276225</xdr:colOff>
      <xdr:row>108</xdr:row>
      <xdr:rowOff>19050</xdr:rowOff>
    </xdr:from>
    <xdr:to>
      <xdr:col>8</xdr:col>
      <xdr:colOff>95250</xdr:colOff>
      <xdr:row>109</xdr:row>
      <xdr:rowOff>47625</xdr:rowOff>
    </xdr:to>
    <xdr:pic>
      <xdr:nvPicPr>
        <xdr:cNvPr id="12" name="CheckBox13">
          <a:extLst>
            <a:ext uri="{FF2B5EF4-FFF2-40B4-BE49-F238E27FC236}">
              <a16:creationId xmlns:a16="http://schemas.microsoft.com/office/drawing/2014/main" id="{00000000-0008-0000-2600-00000C000000}"/>
            </a:ext>
          </a:extLst>
        </xdr:cNvPr>
        <xdr:cNvPicPr preferRelativeResize="0">
          <a:picLocks noChangeArrowheads="1" noChangeShapeType="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581275" y="20793075"/>
          <a:ext cx="809625" cy="3333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8</xdr:col>
      <xdr:colOff>38100</xdr:colOff>
      <xdr:row>108</xdr:row>
      <xdr:rowOff>19050</xdr:rowOff>
    </xdr:from>
    <xdr:to>
      <xdr:col>9</xdr:col>
      <xdr:colOff>219075</xdr:colOff>
      <xdr:row>109</xdr:row>
      <xdr:rowOff>47625</xdr:rowOff>
    </xdr:to>
    <xdr:pic>
      <xdr:nvPicPr>
        <xdr:cNvPr id="13" name="CheckBox14">
          <a:extLst>
            <a:ext uri="{FF2B5EF4-FFF2-40B4-BE49-F238E27FC236}">
              <a16:creationId xmlns:a16="http://schemas.microsoft.com/office/drawing/2014/main" id="{00000000-0008-0000-2600-00000D000000}"/>
            </a:ext>
          </a:extLst>
        </xdr:cNvPr>
        <xdr:cNvPicPr preferRelativeResize="0">
          <a:picLocks noChangeArrowheads="1" noChangeShapeType="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3333750" y="20793075"/>
          <a:ext cx="676275" cy="3333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9</xdr:col>
      <xdr:colOff>38100</xdr:colOff>
      <xdr:row>108</xdr:row>
      <xdr:rowOff>19050</xdr:rowOff>
    </xdr:from>
    <xdr:to>
      <xdr:col>10</xdr:col>
      <xdr:colOff>323850</xdr:colOff>
      <xdr:row>109</xdr:row>
      <xdr:rowOff>47625</xdr:rowOff>
    </xdr:to>
    <xdr:pic>
      <xdr:nvPicPr>
        <xdr:cNvPr id="14" name="CheckBox15">
          <a:extLst>
            <a:ext uri="{FF2B5EF4-FFF2-40B4-BE49-F238E27FC236}">
              <a16:creationId xmlns:a16="http://schemas.microsoft.com/office/drawing/2014/main" id="{00000000-0008-0000-2600-00000E000000}"/>
            </a:ext>
          </a:extLst>
        </xdr:cNvPr>
        <xdr:cNvPicPr preferRelativeResize="0">
          <a:picLocks noChangeArrowheads="1" noChangeShapeType="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3829050" y="20793075"/>
          <a:ext cx="781050" cy="3333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7</xdr:col>
      <xdr:colOff>9525</xdr:colOff>
      <xdr:row>69</xdr:row>
      <xdr:rowOff>19050</xdr:rowOff>
    </xdr:from>
    <xdr:to>
      <xdr:col>10</xdr:col>
      <xdr:colOff>9525</xdr:colOff>
      <xdr:row>70</xdr:row>
      <xdr:rowOff>47625</xdr:rowOff>
    </xdr:to>
    <xdr:pic>
      <xdr:nvPicPr>
        <xdr:cNvPr id="15" name="CheckBox16">
          <a:extLst>
            <a:ext uri="{FF2B5EF4-FFF2-40B4-BE49-F238E27FC236}">
              <a16:creationId xmlns:a16="http://schemas.microsoft.com/office/drawing/2014/main" id="{00000000-0008-0000-2600-00000F000000}"/>
            </a:ext>
          </a:extLst>
        </xdr:cNvPr>
        <xdr:cNvPicPr preferRelativeResize="0">
          <a:picLocks noChangeArrowheads="1" noChangeShapeType="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809875" y="13830300"/>
          <a:ext cx="1485900" cy="3333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9</xdr:col>
      <xdr:colOff>104775</xdr:colOff>
      <xdr:row>69</xdr:row>
      <xdr:rowOff>28575</xdr:rowOff>
    </xdr:from>
    <xdr:to>
      <xdr:col>10</xdr:col>
      <xdr:colOff>219075</xdr:colOff>
      <xdr:row>70</xdr:row>
      <xdr:rowOff>47625</xdr:rowOff>
    </xdr:to>
    <xdr:pic>
      <xdr:nvPicPr>
        <xdr:cNvPr id="16" name="CheckBox17">
          <a:extLst>
            <a:ext uri="{FF2B5EF4-FFF2-40B4-BE49-F238E27FC236}">
              <a16:creationId xmlns:a16="http://schemas.microsoft.com/office/drawing/2014/main" id="{00000000-0008-0000-2600-000010000000}"/>
            </a:ext>
          </a:extLst>
        </xdr:cNvPr>
        <xdr:cNvPicPr preferRelativeResize="0">
          <a:picLocks noChangeArrowheads="1" noChangeShapeType="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3895725" y="13839825"/>
          <a:ext cx="609600" cy="3238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7</xdr:col>
      <xdr:colOff>57150</xdr:colOff>
      <xdr:row>109</xdr:row>
      <xdr:rowOff>85725</xdr:rowOff>
    </xdr:from>
    <xdr:to>
      <xdr:col>7</xdr:col>
      <xdr:colOff>361950</xdr:colOff>
      <xdr:row>111</xdr:row>
      <xdr:rowOff>9525</xdr:rowOff>
    </xdr:to>
    <xdr:pic>
      <xdr:nvPicPr>
        <xdr:cNvPr id="17" name="CheckBox3">
          <a:extLst>
            <a:ext uri="{FF2B5EF4-FFF2-40B4-BE49-F238E27FC236}">
              <a16:creationId xmlns:a16="http://schemas.microsoft.com/office/drawing/2014/main" id="{00000000-0008-0000-2600-000011000000}"/>
            </a:ext>
          </a:extLst>
        </xdr:cNvPr>
        <xdr:cNvPicPr preferRelativeResize="0">
          <a:picLocks noChangeArrowheads="1" noChangeShapeType="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857500" y="21164550"/>
          <a:ext cx="304800" cy="3048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8</xdr:col>
      <xdr:colOff>295275</xdr:colOff>
      <xdr:row>109</xdr:row>
      <xdr:rowOff>76200</xdr:rowOff>
    </xdr:from>
    <xdr:to>
      <xdr:col>9</xdr:col>
      <xdr:colOff>342900</xdr:colOff>
      <xdr:row>111</xdr:row>
      <xdr:rowOff>19050</xdr:rowOff>
    </xdr:to>
    <xdr:pic>
      <xdr:nvPicPr>
        <xdr:cNvPr id="18" name="CheckBox4">
          <a:extLst>
            <a:ext uri="{FF2B5EF4-FFF2-40B4-BE49-F238E27FC236}">
              <a16:creationId xmlns:a16="http://schemas.microsoft.com/office/drawing/2014/main" id="{00000000-0008-0000-2600-000012000000}"/>
            </a:ext>
          </a:extLst>
        </xdr:cNvPr>
        <xdr:cNvPicPr preferRelativeResize="0">
          <a:picLocks noChangeArrowheads="1" noChangeShapeType="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590925" y="21155025"/>
          <a:ext cx="542925" cy="3238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16</xdr:col>
      <xdr:colOff>485775</xdr:colOff>
      <xdr:row>38</xdr:row>
      <xdr:rowOff>9525</xdr:rowOff>
    </xdr:from>
    <xdr:to>
      <xdr:col>20</xdr:col>
      <xdr:colOff>0</xdr:colOff>
      <xdr:row>55</xdr:row>
      <xdr:rowOff>57150</xdr:rowOff>
    </xdr:to>
    <xdr:pic>
      <xdr:nvPicPr>
        <xdr:cNvPr id="2994332" name="Picture 1" descr="7.23_Buoyancy_Calculation.tif">
          <a:extLst>
            <a:ext uri="{FF2B5EF4-FFF2-40B4-BE49-F238E27FC236}">
              <a16:creationId xmlns:a16="http://schemas.microsoft.com/office/drawing/2014/main" id="{00000000-0008-0000-2700-00009CB02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48675" y="7229475"/>
          <a:ext cx="1562100" cy="28194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190500</xdr:colOff>
      <xdr:row>0</xdr:row>
      <xdr:rowOff>74083</xdr:rowOff>
    </xdr:from>
    <xdr:to>
      <xdr:col>3</xdr:col>
      <xdr:colOff>185208</xdr:colOff>
      <xdr:row>0</xdr:row>
      <xdr:rowOff>622723</xdr:rowOff>
    </xdr:to>
    <xdr:pic>
      <xdr:nvPicPr>
        <xdr:cNvPr id="6" name="Picture 5">
          <a:extLst>
            <a:ext uri="{FF2B5EF4-FFF2-40B4-BE49-F238E27FC236}">
              <a16:creationId xmlns:a16="http://schemas.microsoft.com/office/drawing/2014/main" id="{00000000-0008-0000-27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0500" y="74083"/>
          <a:ext cx="1381125" cy="548640"/>
        </a:xfrm>
        <a:prstGeom prst="rect">
          <a:avLst/>
        </a:prstGeom>
      </xdr:spPr>
    </xdr:pic>
    <xdr:clientData/>
  </xdr:twoCellAnchor>
  <xdr:twoCellAnchor editAs="oneCell">
    <xdr:from>
      <xdr:col>15</xdr:col>
      <xdr:colOff>405343</xdr:colOff>
      <xdr:row>0</xdr:row>
      <xdr:rowOff>94191</xdr:rowOff>
    </xdr:from>
    <xdr:to>
      <xdr:col>19</xdr:col>
      <xdr:colOff>118008</xdr:colOff>
      <xdr:row>0</xdr:row>
      <xdr:rowOff>642831</xdr:rowOff>
    </xdr:to>
    <xdr:pic>
      <xdr:nvPicPr>
        <xdr:cNvPr id="7" name="Picture 6">
          <a:extLst>
            <a:ext uri="{FF2B5EF4-FFF2-40B4-BE49-F238E27FC236}">
              <a16:creationId xmlns:a16="http://schemas.microsoft.com/office/drawing/2014/main" id="{00000000-0008-0000-27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908926" y="94191"/>
          <a:ext cx="1786999" cy="54864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16</xdr:col>
      <xdr:colOff>485775</xdr:colOff>
      <xdr:row>38</xdr:row>
      <xdr:rowOff>9525</xdr:rowOff>
    </xdr:from>
    <xdr:to>
      <xdr:col>20</xdr:col>
      <xdr:colOff>0</xdr:colOff>
      <xdr:row>55</xdr:row>
      <xdr:rowOff>57150</xdr:rowOff>
    </xdr:to>
    <xdr:pic>
      <xdr:nvPicPr>
        <xdr:cNvPr id="2" name="Picture 1" descr="7.23_Buoyancy_Calculation.tif">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48675" y="7172325"/>
          <a:ext cx="1562100" cy="28194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190500</xdr:colOff>
      <xdr:row>0</xdr:row>
      <xdr:rowOff>74083</xdr:rowOff>
    </xdr:from>
    <xdr:to>
      <xdr:col>3</xdr:col>
      <xdr:colOff>185208</xdr:colOff>
      <xdr:row>0</xdr:row>
      <xdr:rowOff>622723</xdr:rowOff>
    </xdr:to>
    <xdr:pic>
      <xdr:nvPicPr>
        <xdr:cNvPr id="3" name="Picture 2">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0500" y="74083"/>
          <a:ext cx="1375833" cy="548640"/>
        </a:xfrm>
        <a:prstGeom prst="rect">
          <a:avLst/>
        </a:prstGeom>
      </xdr:spPr>
    </xdr:pic>
    <xdr:clientData/>
  </xdr:twoCellAnchor>
  <xdr:twoCellAnchor editAs="oneCell">
    <xdr:from>
      <xdr:col>15</xdr:col>
      <xdr:colOff>405343</xdr:colOff>
      <xdr:row>0</xdr:row>
      <xdr:rowOff>94191</xdr:rowOff>
    </xdr:from>
    <xdr:to>
      <xdr:col>19</xdr:col>
      <xdr:colOff>118008</xdr:colOff>
      <xdr:row>0</xdr:row>
      <xdr:rowOff>642831</xdr:rowOff>
    </xdr:to>
    <xdr:pic>
      <xdr:nvPicPr>
        <xdr:cNvPr id="4" name="Picture 3">
          <a:extLst>
            <a:ext uri="{FF2B5EF4-FFF2-40B4-BE49-F238E27FC236}">
              <a16:creationId xmlns:a16="http://schemas.microsoft.com/office/drawing/2014/main" id="{00000000-0008-0000-28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853893" y="94191"/>
          <a:ext cx="1770065" cy="5486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312420</xdr:colOff>
          <xdr:row>2</xdr:row>
          <xdr:rowOff>45720</xdr:rowOff>
        </xdr:from>
        <xdr:to>
          <xdr:col>6</xdr:col>
          <xdr:colOff>304800</xdr:colOff>
          <xdr:row>2</xdr:row>
          <xdr:rowOff>259080</xdr:rowOff>
        </xdr:to>
        <xdr:sp macro="" textlink="">
          <xdr:nvSpPr>
            <xdr:cNvPr id="3841025" name="Check Box 1" hidden="1">
              <a:extLst>
                <a:ext uri="{63B3BB69-23CF-44E3-9099-C40C66FF867C}">
                  <a14:compatExt spid="_x0000_s3841025"/>
                </a:ext>
                <a:ext uri="{FF2B5EF4-FFF2-40B4-BE49-F238E27FC236}">
                  <a16:creationId xmlns:a16="http://schemas.microsoft.com/office/drawing/2014/main" id="{00000000-0008-0000-0500-0000019C3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Outwash</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419100</xdr:colOff>
          <xdr:row>2</xdr:row>
          <xdr:rowOff>45720</xdr:rowOff>
        </xdr:from>
        <xdr:to>
          <xdr:col>7</xdr:col>
          <xdr:colOff>411480</xdr:colOff>
          <xdr:row>2</xdr:row>
          <xdr:rowOff>259080</xdr:rowOff>
        </xdr:to>
        <xdr:sp macro="" textlink="">
          <xdr:nvSpPr>
            <xdr:cNvPr id="3841026" name="Check Box 2" hidden="1">
              <a:extLst>
                <a:ext uri="{63B3BB69-23CF-44E3-9099-C40C66FF867C}">
                  <a14:compatExt spid="_x0000_s3841026"/>
                </a:ext>
                <a:ext uri="{FF2B5EF4-FFF2-40B4-BE49-F238E27FC236}">
                  <a16:creationId xmlns:a16="http://schemas.microsoft.com/office/drawing/2014/main" id="{00000000-0008-0000-0500-0000029C3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Lacustrine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182880</xdr:colOff>
          <xdr:row>2</xdr:row>
          <xdr:rowOff>45720</xdr:rowOff>
        </xdr:from>
        <xdr:to>
          <xdr:col>8</xdr:col>
          <xdr:colOff>220980</xdr:colOff>
          <xdr:row>2</xdr:row>
          <xdr:rowOff>259080</xdr:rowOff>
        </xdr:to>
        <xdr:sp macro="" textlink="">
          <xdr:nvSpPr>
            <xdr:cNvPr id="3841027" name="Check Box 3" hidden="1">
              <a:extLst>
                <a:ext uri="{63B3BB69-23CF-44E3-9099-C40C66FF867C}">
                  <a14:compatExt spid="_x0000_s3841027"/>
                </a:ext>
                <a:ext uri="{FF2B5EF4-FFF2-40B4-BE49-F238E27FC236}">
                  <a16:creationId xmlns:a16="http://schemas.microsoft.com/office/drawing/2014/main" id="{00000000-0008-0000-0500-0000039C3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Loess</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731520</xdr:colOff>
          <xdr:row>2</xdr:row>
          <xdr:rowOff>45720</xdr:rowOff>
        </xdr:from>
        <xdr:to>
          <xdr:col>9</xdr:col>
          <xdr:colOff>45720</xdr:colOff>
          <xdr:row>2</xdr:row>
          <xdr:rowOff>259080</xdr:rowOff>
        </xdr:to>
        <xdr:sp macro="" textlink="">
          <xdr:nvSpPr>
            <xdr:cNvPr id="3841028" name="Check Box 4" hidden="1">
              <a:extLst>
                <a:ext uri="{63B3BB69-23CF-44E3-9099-C40C66FF867C}">
                  <a14:compatExt spid="_x0000_s3841028"/>
                </a:ext>
                <a:ext uri="{FF2B5EF4-FFF2-40B4-BE49-F238E27FC236}">
                  <a16:creationId xmlns:a16="http://schemas.microsoft.com/office/drawing/2014/main" id="{00000000-0008-0000-0500-0000049C3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Till</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350520</xdr:colOff>
          <xdr:row>2</xdr:row>
          <xdr:rowOff>45720</xdr:rowOff>
        </xdr:from>
        <xdr:to>
          <xdr:col>9</xdr:col>
          <xdr:colOff>609600</xdr:colOff>
          <xdr:row>2</xdr:row>
          <xdr:rowOff>259080</xdr:rowOff>
        </xdr:to>
        <xdr:sp macro="" textlink="">
          <xdr:nvSpPr>
            <xdr:cNvPr id="3841029" name="Check Box 5" hidden="1">
              <a:extLst>
                <a:ext uri="{63B3BB69-23CF-44E3-9099-C40C66FF867C}">
                  <a14:compatExt spid="_x0000_s3841029"/>
                </a:ext>
                <a:ext uri="{FF2B5EF4-FFF2-40B4-BE49-F238E27FC236}">
                  <a16:creationId xmlns:a16="http://schemas.microsoft.com/office/drawing/2014/main" id="{00000000-0008-0000-0500-0000059C3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Alluvium</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388620</xdr:colOff>
          <xdr:row>2</xdr:row>
          <xdr:rowOff>45720</xdr:rowOff>
        </xdr:from>
        <xdr:to>
          <xdr:col>10</xdr:col>
          <xdr:colOff>617220</xdr:colOff>
          <xdr:row>2</xdr:row>
          <xdr:rowOff>259080</xdr:rowOff>
        </xdr:to>
        <xdr:sp macro="" textlink="">
          <xdr:nvSpPr>
            <xdr:cNvPr id="3841030" name="Check Box 6" hidden="1">
              <a:extLst>
                <a:ext uri="{63B3BB69-23CF-44E3-9099-C40C66FF867C}">
                  <a14:compatExt spid="_x0000_s3841030"/>
                </a:ext>
                <a:ext uri="{FF2B5EF4-FFF2-40B4-BE49-F238E27FC236}">
                  <a16:creationId xmlns:a16="http://schemas.microsoft.com/office/drawing/2014/main" id="{00000000-0008-0000-0500-0000069C3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Bedrock</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426720</xdr:colOff>
          <xdr:row>2</xdr:row>
          <xdr:rowOff>45720</xdr:rowOff>
        </xdr:from>
        <xdr:to>
          <xdr:col>11</xdr:col>
          <xdr:colOff>541020</xdr:colOff>
          <xdr:row>2</xdr:row>
          <xdr:rowOff>259080</xdr:rowOff>
        </xdr:to>
        <xdr:sp macro="" textlink="">
          <xdr:nvSpPr>
            <xdr:cNvPr id="3841031" name="Check Box 7" hidden="1">
              <a:extLst>
                <a:ext uri="{63B3BB69-23CF-44E3-9099-C40C66FF867C}">
                  <a14:compatExt spid="_x0000_s3841031"/>
                </a:ext>
                <a:ext uri="{FF2B5EF4-FFF2-40B4-BE49-F238E27FC236}">
                  <a16:creationId xmlns:a16="http://schemas.microsoft.com/office/drawing/2014/main" id="{00000000-0008-0000-0500-0000079C3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Organic Matter</a:t>
              </a:r>
            </a:p>
          </xdr:txBody>
        </xdr:sp>
        <xdr:clientData/>
      </xdr:twoCellAnchor>
    </mc:Choice>
    <mc:Fallback/>
  </mc:AlternateContent>
  <xdr:twoCellAnchor editAs="oneCell">
    <xdr:from>
      <xdr:col>0</xdr:col>
      <xdr:colOff>38100</xdr:colOff>
      <xdr:row>0</xdr:row>
      <xdr:rowOff>9525</xdr:rowOff>
    </xdr:from>
    <xdr:to>
      <xdr:col>1</xdr:col>
      <xdr:colOff>722688</xdr:colOff>
      <xdr:row>0</xdr:row>
      <xdr:rowOff>558165</xdr:rowOff>
    </xdr:to>
    <xdr:pic>
      <xdr:nvPicPr>
        <xdr:cNvPr id="9" name="Picture 8">
          <a:extLst>
            <a:ext uri="{FF2B5EF4-FFF2-40B4-BE49-F238E27FC236}">
              <a16:creationId xmlns:a16="http://schemas.microsoft.com/office/drawing/2014/main" id="{00000000-0008-0000-0500-000009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9525"/>
          <a:ext cx="1379913" cy="5486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312420</xdr:colOff>
          <xdr:row>2</xdr:row>
          <xdr:rowOff>45720</xdr:rowOff>
        </xdr:from>
        <xdr:to>
          <xdr:col>6</xdr:col>
          <xdr:colOff>304800</xdr:colOff>
          <xdr:row>2</xdr:row>
          <xdr:rowOff>259080</xdr:rowOff>
        </xdr:to>
        <xdr:sp macro="" textlink="">
          <xdr:nvSpPr>
            <xdr:cNvPr id="3840001" name="Check Box 1" hidden="1">
              <a:extLst>
                <a:ext uri="{63B3BB69-23CF-44E3-9099-C40C66FF867C}">
                  <a14:compatExt spid="_x0000_s3840001"/>
                </a:ext>
                <a:ext uri="{FF2B5EF4-FFF2-40B4-BE49-F238E27FC236}">
                  <a16:creationId xmlns:a16="http://schemas.microsoft.com/office/drawing/2014/main" id="{00000000-0008-0000-0600-000001983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Outwash</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419100</xdr:colOff>
          <xdr:row>2</xdr:row>
          <xdr:rowOff>45720</xdr:rowOff>
        </xdr:from>
        <xdr:to>
          <xdr:col>7</xdr:col>
          <xdr:colOff>411480</xdr:colOff>
          <xdr:row>2</xdr:row>
          <xdr:rowOff>259080</xdr:rowOff>
        </xdr:to>
        <xdr:sp macro="" textlink="">
          <xdr:nvSpPr>
            <xdr:cNvPr id="3840002" name="Check Box 2" hidden="1">
              <a:extLst>
                <a:ext uri="{63B3BB69-23CF-44E3-9099-C40C66FF867C}">
                  <a14:compatExt spid="_x0000_s3840002"/>
                </a:ext>
                <a:ext uri="{FF2B5EF4-FFF2-40B4-BE49-F238E27FC236}">
                  <a16:creationId xmlns:a16="http://schemas.microsoft.com/office/drawing/2014/main" id="{00000000-0008-0000-0600-000002983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Lacustrine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182880</xdr:colOff>
          <xdr:row>2</xdr:row>
          <xdr:rowOff>45720</xdr:rowOff>
        </xdr:from>
        <xdr:to>
          <xdr:col>8</xdr:col>
          <xdr:colOff>220980</xdr:colOff>
          <xdr:row>2</xdr:row>
          <xdr:rowOff>259080</xdr:rowOff>
        </xdr:to>
        <xdr:sp macro="" textlink="">
          <xdr:nvSpPr>
            <xdr:cNvPr id="3840003" name="Check Box 3" hidden="1">
              <a:extLst>
                <a:ext uri="{63B3BB69-23CF-44E3-9099-C40C66FF867C}">
                  <a14:compatExt spid="_x0000_s3840003"/>
                </a:ext>
                <a:ext uri="{FF2B5EF4-FFF2-40B4-BE49-F238E27FC236}">
                  <a16:creationId xmlns:a16="http://schemas.microsoft.com/office/drawing/2014/main" id="{00000000-0008-0000-0600-000003983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Loess</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731520</xdr:colOff>
          <xdr:row>2</xdr:row>
          <xdr:rowOff>45720</xdr:rowOff>
        </xdr:from>
        <xdr:to>
          <xdr:col>9</xdr:col>
          <xdr:colOff>45720</xdr:colOff>
          <xdr:row>2</xdr:row>
          <xdr:rowOff>259080</xdr:rowOff>
        </xdr:to>
        <xdr:sp macro="" textlink="">
          <xdr:nvSpPr>
            <xdr:cNvPr id="3840004" name="Check Box 4" hidden="1">
              <a:extLst>
                <a:ext uri="{63B3BB69-23CF-44E3-9099-C40C66FF867C}">
                  <a14:compatExt spid="_x0000_s3840004"/>
                </a:ext>
                <a:ext uri="{FF2B5EF4-FFF2-40B4-BE49-F238E27FC236}">
                  <a16:creationId xmlns:a16="http://schemas.microsoft.com/office/drawing/2014/main" id="{00000000-0008-0000-0600-000004983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Till</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350520</xdr:colOff>
          <xdr:row>2</xdr:row>
          <xdr:rowOff>45720</xdr:rowOff>
        </xdr:from>
        <xdr:to>
          <xdr:col>9</xdr:col>
          <xdr:colOff>609600</xdr:colOff>
          <xdr:row>2</xdr:row>
          <xdr:rowOff>259080</xdr:rowOff>
        </xdr:to>
        <xdr:sp macro="" textlink="">
          <xdr:nvSpPr>
            <xdr:cNvPr id="3840005" name="Check Box 5" hidden="1">
              <a:extLst>
                <a:ext uri="{63B3BB69-23CF-44E3-9099-C40C66FF867C}">
                  <a14:compatExt spid="_x0000_s3840005"/>
                </a:ext>
                <a:ext uri="{FF2B5EF4-FFF2-40B4-BE49-F238E27FC236}">
                  <a16:creationId xmlns:a16="http://schemas.microsoft.com/office/drawing/2014/main" id="{00000000-0008-0000-0600-000005983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Alluvium</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388620</xdr:colOff>
          <xdr:row>2</xdr:row>
          <xdr:rowOff>45720</xdr:rowOff>
        </xdr:from>
        <xdr:to>
          <xdr:col>10</xdr:col>
          <xdr:colOff>617220</xdr:colOff>
          <xdr:row>2</xdr:row>
          <xdr:rowOff>259080</xdr:rowOff>
        </xdr:to>
        <xdr:sp macro="" textlink="">
          <xdr:nvSpPr>
            <xdr:cNvPr id="3840006" name="Check Box 6" hidden="1">
              <a:extLst>
                <a:ext uri="{63B3BB69-23CF-44E3-9099-C40C66FF867C}">
                  <a14:compatExt spid="_x0000_s3840006"/>
                </a:ext>
                <a:ext uri="{FF2B5EF4-FFF2-40B4-BE49-F238E27FC236}">
                  <a16:creationId xmlns:a16="http://schemas.microsoft.com/office/drawing/2014/main" id="{00000000-0008-0000-0600-000006983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Bedrock</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426720</xdr:colOff>
          <xdr:row>2</xdr:row>
          <xdr:rowOff>45720</xdr:rowOff>
        </xdr:from>
        <xdr:to>
          <xdr:col>11</xdr:col>
          <xdr:colOff>541020</xdr:colOff>
          <xdr:row>2</xdr:row>
          <xdr:rowOff>259080</xdr:rowOff>
        </xdr:to>
        <xdr:sp macro="" textlink="">
          <xdr:nvSpPr>
            <xdr:cNvPr id="3840007" name="Check Box 7" hidden="1">
              <a:extLst>
                <a:ext uri="{63B3BB69-23CF-44E3-9099-C40C66FF867C}">
                  <a14:compatExt spid="_x0000_s3840007"/>
                </a:ext>
                <a:ext uri="{FF2B5EF4-FFF2-40B4-BE49-F238E27FC236}">
                  <a16:creationId xmlns:a16="http://schemas.microsoft.com/office/drawing/2014/main" id="{00000000-0008-0000-0600-000007983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Organic Matter</a:t>
              </a:r>
            </a:p>
          </xdr:txBody>
        </xdr:sp>
        <xdr:clientData/>
      </xdr:twoCellAnchor>
    </mc:Choice>
    <mc:Fallback/>
  </mc:AlternateContent>
  <xdr:twoCellAnchor editAs="oneCell">
    <xdr:from>
      <xdr:col>0</xdr:col>
      <xdr:colOff>38100</xdr:colOff>
      <xdr:row>0</xdr:row>
      <xdr:rowOff>9525</xdr:rowOff>
    </xdr:from>
    <xdr:to>
      <xdr:col>1</xdr:col>
      <xdr:colOff>722688</xdr:colOff>
      <xdr:row>0</xdr:row>
      <xdr:rowOff>558165</xdr:rowOff>
    </xdr:to>
    <xdr:pic>
      <xdr:nvPicPr>
        <xdr:cNvPr id="9" name="Picture 8">
          <a:extLst>
            <a:ext uri="{FF2B5EF4-FFF2-40B4-BE49-F238E27FC236}">
              <a16:creationId xmlns:a16="http://schemas.microsoft.com/office/drawing/2014/main" id="{00000000-0008-0000-0600-000009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9525"/>
          <a:ext cx="1379913" cy="5486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312420</xdr:colOff>
          <xdr:row>2</xdr:row>
          <xdr:rowOff>45720</xdr:rowOff>
        </xdr:from>
        <xdr:to>
          <xdr:col>6</xdr:col>
          <xdr:colOff>304800</xdr:colOff>
          <xdr:row>2</xdr:row>
          <xdr:rowOff>259080</xdr:rowOff>
        </xdr:to>
        <xdr:sp macro="" textlink="">
          <xdr:nvSpPr>
            <xdr:cNvPr id="3838977" name="Check Box 1" hidden="1">
              <a:extLst>
                <a:ext uri="{63B3BB69-23CF-44E3-9099-C40C66FF867C}">
                  <a14:compatExt spid="_x0000_s3838977"/>
                </a:ext>
                <a:ext uri="{FF2B5EF4-FFF2-40B4-BE49-F238E27FC236}">
                  <a16:creationId xmlns:a16="http://schemas.microsoft.com/office/drawing/2014/main" id="{00000000-0008-0000-0700-000001943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Outwash</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419100</xdr:colOff>
          <xdr:row>2</xdr:row>
          <xdr:rowOff>45720</xdr:rowOff>
        </xdr:from>
        <xdr:to>
          <xdr:col>7</xdr:col>
          <xdr:colOff>411480</xdr:colOff>
          <xdr:row>2</xdr:row>
          <xdr:rowOff>259080</xdr:rowOff>
        </xdr:to>
        <xdr:sp macro="" textlink="">
          <xdr:nvSpPr>
            <xdr:cNvPr id="3838978" name="Check Box 2" hidden="1">
              <a:extLst>
                <a:ext uri="{63B3BB69-23CF-44E3-9099-C40C66FF867C}">
                  <a14:compatExt spid="_x0000_s3838978"/>
                </a:ext>
                <a:ext uri="{FF2B5EF4-FFF2-40B4-BE49-F238E27FC236}">
                  <a16:creationId xmlns:a16="http://schemas.microsoft.com/office/drawing/2014/main" id="{00000000-0008-0000-0700-000002943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Lacustrine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182880</xdr:colOff>
          <xdr:row>2</xdr:row>
          <xdr:rowOff>45720</xdr:rowOff>
        </xdr:from>
        <xdr:to>
          <xdr:col>8</xdr:col>
          <xdr:colOff>220980</xdr:colOff>
          <xdr:row>2</xdr:row>
          <xdr:rowOff>259080</xdr:rowOff>
        </xdr:to>
        <xdr:sp macro="" textlink="">
          <xdr:nvSpPr>
            <xdr:cNvPr id="3838979" name="Check Box 3" hidden="1">
              <a:extLst>
                <a:ext uri="{63B3BB69-23CF-44E3-9099-C40C66FF867C}">
                  <a14:compatExt spid="_x0000_s3838979"/>
                </a:ext>
                <a:ext uri="{FF2B5EF4-FFF2-40B4-BE49-F238E27FC236}">
                  <a16:creationId xmlns:a16="http://schemas.microsoft.com/office/drawing/2014/main" id="{00000000-0008-0000-0700-000003943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Loess</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731520</xdr:colOff>
          <xdr:row>2</xdr:row>
          <xdr:rowOff>45720</xdr:rowOff>
        </xdr:from>
        <xdr:to>
          <xdr:col>9</xdr:col>
          <xdr:colOff>45720</xdr:colOff>
          <xdr:row>2</xdr:row>
          <xdr:rowOff>259080</xdr:rowOff>
        </xdr:to>
        <xdr:sp macro="" textlink="">
          <xdr:nvSpPr>
            <xdr:cNvPr id="3838980" name="Check Box 4" hidden="1">
              <a:extLst>
                <a:ext uri="{63B3BB69-23CF-44E3-9099-C40C66FF867C}">
                  <a14:compatExt spid="_x0000_s3838980"/>
                </a:ext>
                <a:ext uri="{FF2B5EF4-FFF2-40B4-BE49-F238E27FC236}">
                  <a16:creationId xmlns:a16="http://schemas.microsoft.com/office/drawing/2014/main" id="{00000000-0008-0000-0700-000004943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Till</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350520</xdr:colOff>
          <xdr:row>2</xdr:row>
          <xdr:rowOff>45720</xdr:rowOff>
        </xdr:from>
        <xdr:to>
          <xdr:col>9</xdr:col>
          <xdr:colOff>609600</xdr:colOff>
          <xdr:row>2</xdr:row>
          <xdr:rowOff>259080</xdr:rowOff>
        </xdr:to>
        <xdr:sp macro="" textlink="">
          <xdr:nvSpPr>
            <xdr:cNvPr id="3838981" name="Check Box 5" hidden="1">
              <a:extLst>
                <a:ext uri="{63B3BB69-23CF-44E3-9099-C40C66FF867C}">
                  <a14:compatExt spid="_x0000_s3838981"/>
                </a:ext>
                <a:ext uri="{FF2B5EF4-FFF2-40B4-BE49-F238E27FC236}">
                  <a16:creationId xmlns:a16="http://schemas.microsoft.com/office/drawing/2014/main" id="{00000000-0008-0000-0700-000005943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Alluvium</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388620</xdr:colOff>
          <xdr:row>2</xdr:row>
          <xdr:rowOff>45720</xdr:rowOff>
        </xdr:from>
        <xdr:to>
          <xdr:col>10</xdr:col>
          <xdr:colOff>617220</xdr:colOff>
          <xdr:row>2</xdr:row>
          <xdr:rowOff>259080</xdr:rowOff>
        </xdr:to>
        <xdr:sp macro="" textlink="">
          <xdr:nvSpPr>
            <xdr:cNvPr id="3838982" name="Check Box 6" hidden="1">
              <a:extLst>
                <a:ext uri="{63B3BB69-23CF-44E3-9099-C40C66FF867C}">
                  <a14:compatExt spid="_x0000_s3838982"/>
                </a:ext>
                <a:ext uri="{FF2B5EF4-FFF2-40B4-BE49-F238E27FC236}">
                  <a16:creationId xmlns:a16="http://schemas.microsoft.com/office/drawing/2014/main" id="{00000000-0008-0000-0700-000006943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Bedrock</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426720</xdr:colOff>
          <xdr:row>2</xdr:row>
          <xdr:rowOff>45720</xdr:rowOff>
        </xdr:from>
        <xdr:to>
          <xdr:col>11</xdr:col>
          <xdr:colOff>541020</xdr:colOff>
          <xdr:row>2</xdr:row>
          <xdr:rowOff>259080</xdr:rowOff>
        </xdr:to>
        <xdr:sp macro="" textlink="">
          <xdr:nvSpPr>
            <xdr:cNvPr id="3838983" name="Check Box 7" hidden="1">
              <a:extLst>
                <a:ext uri="{63B3BB69-23CF-44E3-9099-C40C66FF867C}">
                  <a14:compatExt spid="_x0000_s3838983"/>
                </a:ext>
                <a:ext uri="{FF2B5EF4-FFF2-40B4-BE49-F238E27FC236}">
                  <a16:creationId xmlns:a16="http://schemas.microsoft.com/office/drawing/2014/main" id="{00000000-0008-0000-0700-000007943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Organic Matter</a:t>
              </a:r>
            </a:p>
          </xdr:txBody>
        </xdr:sp>
        <xdr:clientData/>
      </xdr:twoCellAnchor>
    </mc:Choice>
    <mc:Fallback/>
  </mc:AlternateContent>
  <xdr:twoCellAnchor editAs="oneCell">
    <xdr:from>
      <xdr:col>0</xdr:col>
      <xdr:colOff>38100</xdr:colOff>
      <xdr:row>0</xdr:row>
      <xdr:rowOff>9525</xdr:rowOff>
    </xdr:from>
    <xdr:to>
      <xdr:col>1</xdr:col>
      <xdr:colOff>722688</xdr:colOff>
      <xdr:row>0</xdr:row>
      <xdr:rowOff>558165</xdr:rowOff>
    </xdr:to>
    <xdr:pic>
      <xdr:nvPicPr>
        <xdr:cNvPr id="9" name="Picture 8">
          <a:extLst>
            <a:ext uri="{FF2B5EF4-FFF2-40B4-BE49-F238E27FC236}">
              <a16:creationId xmlns:a16="http://schemas.microsoft.com/office/drawing/2014/main" id="{00000000-0008-0000-0700-000009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9525"/>
          <a:ext cx="1379913" cy="5486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312420</xdr:colOff>
          <xdr:row>2</xdr:row>
          <xdr:rowOff>45720</xdr:rowOff>
        </xdr:from>
        <xdr:to>
          <xdr:col>6</xdr:col>
          <xdr:colOff>304800</xdr:colOff>
          <xdr:row>2</xdr:row>
          <xdr:rowOff>259080</xdr:rowOff>
        </xdr:to>
        <xdr:sp macro="" textlink="">
          <xdr:nvSpPr>
            <xdr:cNvPr id="3837953" name="Check Box 1" hidden="1">
              <a:extLst>
                <a:ext uri="{63B3BB69-23CF-44E3-9099-C40C66FF867C}">
                  <a14:compatExt spid="_x0000_s3837953"/>
                </a:ext>
                <a:ext uri="{FF2B5EF4-FFF2-40B4-BE49-F238E27FC236}">
                  <a16:creationId xmlns:a16="http://schemas.microsoft.com/office/drawing/2014/main" id="{00000000-0008-0000-0800-000001903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Outwash</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419100</xdr:colOff>
          <xdr:row>2</xdr:row>
          <xdr:rowOff>45720</xdr:rowOff>
        </xdr:from>
        <xdr:to>
          <xdr:col>7</xdr:col>
          <xdr:colOff>411480</xdr:colOff>
          <xdr:row>2</xdr:row>
          <xdr:rowOff>259080</xdr:rowOff>
        </xdr:to>
        <xdr:sp macro="" textlink="">
          <xdr:nvSpPr>
            <xdr:cNvPr id="3837954" name="Check Box 2" hidden="1">
              <a:extLst>
                <a:ext uri="{63B3BB69-23CF-44E3-9099-C40C66FF867C}">
                  <a14:compatExt spid="_x0000_s3837954"/>
                </a:ext>
                <a:ext uri="{FF2B5EF4-FFF2-40B4-BE49-F238E27FC236}">
                  <a16:creationId xmlns:a16="http://schemas.microsoft.com/office/drawing/2014/main" id="{00000000-0008-0000-0800-000002903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Lacustrine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182880</xdr:colOff>
          <xdr:row>2</xdr:row>
          <xdr:rowOff>45720</xdr:rowOff>
        </xdr:from>
        <xdr:to>
          <xdr:col>8</xdr:col>
          <xdr:colOff>220980</xdr:colOff>
          <xdr:row>2</xdr:row>
          <xdr:rowOff>259080</xdr:rowOff>
        </xdr:to>
        <xdr:sp macro="" textlink="">
          <xdr:nvSpPr>
            <xdr:cNvPr id="3837955" name="Check Box 3" hidden="1">
              <a:extLst>
                <a:ext uri="{63B3BB69-23CF-44E3-9099-C40C66FF867C}">
                  <a14:compatExt spid="_x0000_s3837955"/>
                </a:ext>
                <a:ext uri="{FF2B5EF4-FFF2-40B4-BE49-F238E27FC236}">
                  <a16:creationId xmlns:a16="http://schemas.microsoft.com/office/drawing/2014/main" id="{00000000-0008-0000-0800-000003903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Loess</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731520</xdr:colOff>
          <xdr:row>2</xdr:row>
          <xdr:rowOff>45720</xdr:rowOff>
        </xdr:from>
        <xdr:to>
          <xdr:col>9</xdr:col>
          <xdr:colOff>45720</xdr:colOff>
          <xdr:row>2</xdr:row>
          <xdr:rowOff>259080</xdr:rowOff>
        </xdr:to>
        <xdr:sp macro="" textlink="">
          <xdr:nvSpPr>
            <xdr:cNvPr id="3837956" name="Check Box 4" hidden="1">
              <a:extLst>
                <a:ext uri="{63B3BB69-23CF-44E3-9099-C40C66FF867C}">
                  <a14:compatExt spid="_x0000_s3837956"/>
                </a:ext>
                <a:ext uri="{FF2B5EF4-FFF2-40B4-BE49-F238E27FC236}">
                  <a16:creationId xmlns:a16="http://schemas.microsoft.com/office/drawing/2014/main" id="{00000000-0008-0000-0800-000004903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Till</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350520</xdr:colOff>
          <xdr:row>2</xdr:row>
          <xdr:rowOff>45720</xdr:rowOff>
        </xdr:from>
        <xdr:to>
          <xdr:col>9</xdr:col>
          <xdr:colOff>609600</xdr:colOff>
          <xdr:row>2</xdr:row>
          <xdr:rowOff>259080</xdr:rowOff>
        </xdr:to>
        <xdr:sp macro="" textlink="">
          <xdr:nvSpPr>
            <xdr:cNvPr id="3837957" name="Check Box 5" hidden="1">
              <a:extLst>
                <a:ext uri="{63B3BB69-23CF-44E3-9099-C40C66FF867C}">
                  <a14:compatExt spid="_x0000_s3837957"/>
                </a:ext>
                <a:ext uri="{FF2B5EF4-FFF2-40B4-BE49-F238E27FC236}">
                  <a16:creationId xmlns:a16="http://schemas.microsoft.com/office/drawing/2014/main" id="{00000000-0008-0000-0800-000005903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Alluvium</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388620</xdr:colOff>
          <xdr:row>2</xdr:row>
          <xdr:rowOff>45720</xdr:rowOff>
        </xdr:from>
        <xdr:to>
          <xdr:col>10</xdr:col>
          <xdr:colOff>617220</xdr:colOff>
          <xdr:row>2</xdr:row>
          <xdr:rowOff>259080</xdr:rowOff>
        </xdr:to>
        <xdr:sp macro="" textlink="">
          <xdr:nvSpPr>
            <xdr:cNvPr id="3837958" name="Check Box 6" hidden="1">
              <a:extLst>
                <a:ext uri="{63B3BB69-23CF-44E3-9099-C40C66FF867C}">
                  <a14:compatExt spid="_x0000_s3837958"/>
                </a:ext>
                <a:ext uri="{FF2B5EF4-FFF2-40B4-BE49-F238E27FC236}">
                  <a16:creationId xmlns:a16="http://schemas.microsoft.com/office/drawing/2014/main" id="{00000000-0008-0000-0800-000006903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Bedrock</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426720</xdr:colOff>
          <xdr:row>2</xdr:row>
          <xdr:rowOff>45720</xdr:rowOff>
        </xdr:from>
        <xdr:to>
          <xdr:col>11</xdr:col>
          <xdr:colOff>541020</xdr:colOff>
          <xdr:row>2</xdr:row>
          <xdr:rowOff>259080</xdr:rowOff>
        </xdr:to>
        <xdr:sp macro="" textlink="">
          <xdr:nvSpPr>
            <xdr:cNvPr id="3837959" name="Check Box 7" hidden="1">
              <a:extLst>
                <a:ext uri="{63B3BB69-23CF-44E3-9099-C40C66FF867C}">
                  <a14:compatExt spid="_x0000_s3837959"/>
                </a:ext>
                <a:ext uri="{FF2B5EF4-FFF2-40B4-BE49-F238E27FC236}">
                  <a16:creationId xmlns:a16="http://schemas.microsoft.com/office/drawing/2014/main" id="{00000000-0008-0000-0800-000007903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Organic Matter</a:t>
              </a:r>
            </a:p>
          </xdr:txBody>
        </xdr:sp>
        <xdr:clientData/>
      </xdr:twoCellAnchor>
    </mc:Choice>
    <mc:Fallback/>
  </mc:AlternateContent>
  <xdr:twoCellAnchor editAs="oneCell">
    <xdr:from>
      <xdr:col>0</xdr:col>
      <xdr:colOff>38100</xdr:colOff>
      <xdr:row>0</xdr:row>
      <xdr:rowOff>9525</xdr:rowOff>
    </xdr:from>
    <xdr:to>
      <xdr:col>1</xdr:col>
      <xdr:colOff>722688</xdr:colOff>
      <xdr:row>0</xdr:row>
      <xdr:rowOff>558165</xdr:rowOff>
    </xdr:to>
    <xdr:pic>
      <xdr:nvPicPr>
        <xdr:cNvPr id="9" name="Picture 8">
          <a:extLst>
            <a:ext uri="{FF2B5EF4-FFF2-40B4-BE49-F238E27FC236}">
              <a16:creationId xmlns:a16="http://schemas.microsoft.com/office/drawing/2014/main" id="{00000000-0008-0000-0800-000009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9525"/>
          <a:ext cx="1379913" cy="54864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312420</xdr:colOff>
          <xdr:row>2</xdr:row>
          <xdr:rowOff>45720</xdr:rowOff>
        </xdr:from>
        <xdr:to>
          <xdr:col>6</xdr:col>
          <xdr:colOff>304800</xdr:colOff>
          <xdr:row>2</xdr:row>
          <xdr:rowOff>259080</xdr:rowOff>
        </xdr:to>
        <xdr:sp macro="" textlink="">
          <xdr:nvSpPr>
            <xdr:cNvPr id="3907585" name="Check Box 1" hidden="1">
              <a:extLst>
                <a:ext uri="{63B3BB69-23CF-44E3-9099-C40C66FF867C}">
                  <a14:compatExt spid="_x0000_s3907585"/>
                </a:ext>
                <a:ext uri="{FF2B5EF4-FFF2-40B4-BE49-F238E27FC236}">
                  <a16:creationId xmlns:a16="http://schemas.microsoft.com/office/drawing/2014/main" id="{00000000-0008-0000-0900-000001A03B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Outwash</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419100</xdr:colOff>
          <xdr:row>2</xdr:row>
          <xdr:rowOff>45720</xdr:rowOff>
        </xdr:from>
        <xdr:to>
          <xdr:col>7</xdr:col>
          <xdr:colOff>411480</xdr:colOff>
          <xdr:row>2</xdr:row>
          <xdr:rowOff>259080</xdr:rowOff>
        </xdr:to>
        <xdr:sp macro="" textlink="">
          <xdr:nvSpPr>
            <xdr:cNvPr id="3907586" name="Check Box 2" hidden="1">
              <a:extLst>
                <a:ext uri="{63B3BB69-23CF-44E3-9099-C40C66FF867C}">
                  <a14:compatExt spid="_x0000_s3907586"/>
                </a:ext>
                <a:ext uri="{FF2B5EF4-FFF2-40B4-BE49-F238E27FC236}">
                  <a16:creationId xmlns:a16="http://schemas.microsoft.com/office/drawing/2014/main" id="{00000000-0008-0000-0900-000002A03B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Lacustrine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182880</xdr:colOff>
          <xdr:row>2</xdr:row>
          <xdr:rowOff>45720</xdr:rowOff>
        </xdr:from>
        <xdr:to>
          <xdr:col>8</xdr:col>
          <xdr:colOff>220980</xdr:colOff>
          <xdr:row>2</xdr:row>
          <xdr:rowOff>259080</xdr:rowOff>
        </xdr:to>
        <xdr:sp macro="" textlink="">
          <xdr:nvSpPr>
            <xdr:cNvPr id="3907587" name="Check Box 3" hidden="1">
              <a:extLst>
                <a:ext uri="{63B3BB69-23CF-44E3-9099-C40C66FF867C}">
                  <a14:compatExt spid="_x0000_s3907587"/>
                </a:ext>
                <a:ext uri="{FF2B5EF4-FFF2-40B4-BE49-F238E27FC236}">
                  <a16:creationId xmlns:a16="http://schemas.microsoft.com/office/drawing/2014/main" id="{00000000-0008-0000-0900-000003A03B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Loess</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731520</xdr:colOff>
          <xdr:row>2</xdr:row>
          <xdr:rowOff>45720</xdr:rowOff>
        </xdr:from>
        <xdr:to>
          <xdr:col>9</xdr:col>
          <xdr:colOff>45720</xdr:colOff>
          <xdr:row>2</xdr:row>
          <xdr:rowOff>259080</xdr:rowOff>
        </xdr:to>
        <xdr:sp macro="" textlink="">
          <xdr:nvSpPr>
            <xdr:cNvPr id="3907588" name="Check Box 4" hidden="1">
              <a:extLst>
                <a:ext uri="{63B3BB69-23CF-44E3-9099-C40C66FF867C}">
                  <a14:compatExt spid="_x0000_s3907588"/>
                </a:ext>
                <a:ext uri="{FF2B5EF4-FFF2-40B4-BE49-F238E27FC236}">
                  <a16:creationId xmlns:a16="http://schemas.microsoft.com/office/drawing/2014/main" id="{00000000-0008-0000-0900-000004A03B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Till</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350520</xdr:colOff>
          <xdr:row>2</xdr:row>
          <xdr:rowOff>45720</xdr:rowOff>
        </xdr:from>
        <xdr:to>
          <xdr:col>9</xdr:col>
          <xdr:colOff>609600</xdr:colOff>
          <xdr:row>2</xdr:row>
          <xdr:rowOff>259080</xdr:rowOff>
        </xdr:to>
        <xdr:sp macro="" textlink="">
          <xdr:nvSpPr>
            <xdr:cNvPr id="3907589" name="Check Box 5" hidden="1">
              <a:extLst>
                <a:ext uri="{63B3BB69-23CF-44E3-9099-C40C66FF867C}">
                  <a14:compatExt spid="_x0000_s3907589"/>
                </a:ext>
                <a:ext uri="{FF2B5EF4-FFF2-40B4-BE49-F238E27FC236}">
                  <a16:creationId xmlns:a16="http://schemas.microsoft.com/office/drawing/2014/main" id="{00000000-0008-0000-0900-000005A03B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Alluvium</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388620</xdr:colOff>
          <xdr:row>2</xdr:row>
          <xdr:rowOff>45720</xdr:rowOff>
        </xdr:from>
        <xdr:to>
          <xdr:col>10</xdr:col>
          <xdr:colOff>617220</xdr:colOff>
          <xdr:row>2</xdr:row>
          <xdr:rowOff>259080</xdr:rowOff>
        </xdr:to>
        <xdr:sp macro="" textlink="">
          <xdr:nvSpPr>
            <xdr:cNvPr id="3907590" name="Check Box 6" hidden="1">
              <a:extLst>
                <a:ext uri="{63B3BB69-23CF-44E3-9099-C40C66FF867C}">
                  <a14:compatExt spid="_x0000_s3907590"/>
                </a:ext>
                <a:ext uri="{FF2B5EF4-FFF2-40B4-BE49-F238E27FC236}">
                  <a16:creationId xmlns:a16="http://schemas.microsoft.com/office/drawing/2014/main" id="{00000000-0008-0000-0900-000006A03B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Bedrock</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426720</xdr:colOff>
          <xdr:row>2</xdr:row>
          <xdr:rowOff>45720</xdr:rowOff>
        </xdr:from>
        <xdr:to>
          <xdr:col>11</xdr:col>
          <xdr:colOff>541020</xdr:colOff>
          <xdr:row>2</xdr:row>
          <xdr:rowOff>259080</xdr:rowOff>
        </xdr:to>
        <xdr:sp macro="" textlink="">
          <xdr:nvSpPr>
            <xdr:cNvPr id="3907591" name="Check Box 7" hidden="1">
              <a:extLst>
                <a:ext uri="{63B3BB69-23CF-44E3-9099-C40C66FF867C}">
                  <a14:compatExt spid="_x0000_s3907591"/>
                </a:ext>
                <a:ext uri="{FF2B5EF4-FFF2-40B4-BE49-F238E27FC236}">
                  <a16:creationId xmlns:a16="http://schemas.microsoft.com/office/drawing/2014/main" id="{00000000-0008-0000-0900-000007A03B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Organic Matter</a:t>
              </a:r>
            </a:p>
          </xdr:txBody>
        </xdr:sp>
        <xdr:clientData/>
      </xdr:twoCellAnchor>
    </mc:Choice>
    <mc:Fallback/>
  </mc:AlternateContent>
  <xdr:twoCellAnchor editAs="oneCell">
    <xdr:from>
      <xdr:col>0</xdr:col>
      <xdr:colOff>38100</xdr:colOff>
      <xdr:row>0</xdr:row>
      <xdr:rowOff>9525</xdr:rowOff>
    </xdr:from>
    <xdr:to>
      <xdr:col>1</xdr:col>
      <xdr:colOff>722688</xdr:colOff>
      <xdr:row>0</xdr:row>
      <xdr:rowOff>558165</xdr:rowOff>
    </xdr:to>
    <xdr:pic>
      <xdr:nvPicPr>
        <xdr:cNvPr id="9" name="Picture 8">
          <a:extLst>
            <a:ext uri="{FF2B5EF4-FFF2-40B4-BE49-F238E27FC236}">
              <a16:creationId xmlns:a16="http://schemas.microsoft.com/office/drawing/2014/main" id="{00000000-0008-0000-0900-000009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9525"/>
          <a:ext cx="1418013" cy="54864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14</xdr:col>
      <xdr:colOff>0</xdr:colOff>
      <xdr:row>13</xdr:row>
      <xdr:rowOff>76199</xdr:rowOff>
    </xdr:from>
    <xdr:ext cx="2876550" cy="1457325"/>
    <xdr:pic>
      <xdr:nvPicPr>
        <xdr:cNvPr id="2" name="Picture 9">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400" y="2552699"/>
          <a:ext cx="287655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editAs="oneCell">
        <xdr:from>
          <xdr:col>14</xdr:col>
          <xdr:colOff>30480</xdr:colOff>
          <xdr:row>28</xdr:row>
          <xdr:rowOff>7620</xdr:rowOff>
        </xdr:from>
        <xdr:to>
          <xdr:col>17</xdr:col>
          <xdr:colOff>754380</xdr:colOff>
          <xdr:row>37</xdr:row>
          <xdr:rowOff>106680</xdr:rowOff>
        </xdr:to>
        <xdr:sp macro="" textlink="">
          <xdr:nvSpPr>
            <xdr:cNvPr id="3832833" name="Object 1" hidden="1">
              <a:extLst>
                <a:ext uri="{63B3BB69-23CF-44E3-9099-C40C66FF867C}">
                  <a14:compatExt spid="_x0000_s3832833"/>
                </a:ext>
                <a:ext uri="{FF2B5EF4-FFF2-40B4-BE49-F238E27FC236}">
                  <a16:creationId xmlns:a16="http://schemas.microsoft.com/office/drawing/2014/main" id="{00000000-0008-0000-0A00-0000017C3A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oneCellAnchor>
    <xdr:from>
      <xdr:col>14</xdr:col>
      <xdr:colOff>47625</xdr:colOff>
      <xdr:row>0</xdr:row>
      <xdr:rowOff>96053</xdr:rowOff>
    </xdr:from>
    <xdr:ext cx="2733675" cy="2398512"/>
    <xdr:pic>
      <xdr:nvPicPr>
        <xdr:cNvPr id="4" name="Picture 3" descr="Image result for usda soil texture triangle">
          <a:extLst>
            <a:ext uri="{FF2B5EF4-FFF2-40B4-BE49-F238E27FC236}">
              <a16:creationId xmlns:a16="http://schemas.microsoft.com/office/drawing/2014/main" id="{00000000-0008-0000-0A00-000004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993" t="4858" r="8129" b="2429"/>
        <a:stretch/>
      </xdr:blipFill>
      <xdr:spPr bwMode="auto">
        <a:xfrm>
          <a:off x="8582025" y="96053"/>
          <a:ext cx="2733675" cy="239851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heger/Downloads/Flow%20EQ.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otterness/Desktop/UMN%202021/2021%20master_design_forms%202-2-2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User/Dropbox/Jobs/2020/7500%20Braegelmann/7500%20SSTS%20Forms%203.5.20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sheger/Downloads/Bridgeview%20Church%20SD02001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MASTER"/>
      <sheetName val="Prelim"/>
      <sheetName val="Field"/>
      <sheetName val="Soil1"/>
      <sheetName val="Soil2"/>
      <sheetName val="Soil3"/>
      <sheetName val="Site Eval Map"/>
      <sheetName val="Perc. Test"/>
      <sheetName val="Summary"/>
      <sheetName val="Sketch"/>
      <sheetName val="Trench"/>
      <sheetName val="Bed "/>
      <sheetName val="Mound&lt;1%"/>
      <sheetName val="Mound&gt;1%"/>
      <sheetName val="Mound Mat."/>
      <sheetName val="At-Grade"/>
      <sheetName val="Drip"/>
      <sheetName val="Pres. Dist."/>
      <sheetName val="Non-Level "/>
      <sheetName val="Pump-Basic(1) "/>
      <sheetName val="Pump Tank(1)Demand"/>
      <sheetName val="Pump-Tank(1)Time"/>
      <sheetName val="Pump-Basic(2)"/>
      <sheetName val="Pump Tank (2)Demand"/>
      <sheetName val="Pump Tank(2)Time"/>
      <sheetName val="Pump-Collection"/>
      <sheetName val="Flow EQ"/>
      <sheetName val="Sand Filter"/>
      <sheetName val="Existing Dwellings"/>
      <sheetName val="Measured Flow-OE"/>
      <sheetName val="Estimated Flow-OE"/>
      <sheetName val="Final Flow Total"/>
      <sheetName val="Flow &amp; System Summary"/>
      <sheetName val="Tank Buoyancy"/>
      <sheetName val="Tank Buoyancy (2)"/>
      <sheetName val="Waste Strengths"/>
      <sheetName val="Drop-Down 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2">
          <cell r="A2">
            <v>0</v>
          </cell>
          <cell r="B2" t="str">
            <v>Sand</v>
          </cell>
          <cell r="C2" t="str">
            <v>Linear, Linear</v>
          </cell>
          <cell r="G2">
            <v>4</v>
          </cell>
          <cell r="H2">
            <v>4</v>
          </cell>
          <cell r="I2">
            <v>1</v>
          </cell>
          <cell r="J2" t="str">
            <v>Rock</v>
          </cell>
          <cell r="L2" t="str">
            <v>Airport, bus station, rail depot</v>
          </cell>
          <cell r="M2" t="str">
            <v>add for each nonresident meal</v>
          </cell>
        </row>
        <row r="3">
          <cell r="A3">
            <v>1</v>
          </cell>
          <cell r="B3" t="str">
            <v>Coarse Sand</v>
          </cell>
          <cell r="C3" t="str">
            <v>Linear, Concave</v>
          </cell>
          <cell r="D3" t="str">
            <v>Back/ Side Slope</v>
          </cell>
          <cell r="F3" t="str">
            <v>S1</v>
          </cell>
          <cell r="G3">
            <v>3.85</v>
          </cell>
          <cell r="H3">
            <v>4.17</v>
          </cell>
          <cell r="I3">
            <v>1.25</v>
          </cell>
          <cell r="J3" t="str">
            <v xml:space="preserve">Registered Product:  </v>
          </cell>
          <cell r="L3" t="str">
            <v>Assembly hall</v>
          </cell>
          <cell r="M3" t="str">
            <v>alley</v>
          </cell>
        </row>
        <row r="4">
          <cell r="A4">
            <v>2</v>
          </cell>
          <cell r="B4" t="str">
            <v>Loamy Sand</v>
          </cell>
          <cell r="C4" t="str">
            <v>Linear, Convex</v>
          </cell>
          <cell r="D4" t="str">
            <v>Foot Slope</v>
          </cell>
          <cell r="F4" t="str">
            <v>S2</v>
          </cell>
          <cell r="G4">
            <v>3.7</v>
          </cell>
          <cell r="H4">
            <v>4.3499999999999996</v>
          </cell>
          <cell r="I4">
            <v>1.5</v>
          </cell>
          <cell r="L4" t="str">
            <v>Bar or lounge (no meals)</v>
          </cell>
          <cell r="M4" t="str">
            <v>auditorium seat</v>
          </cell>
        </row>
        <row r="5">
          <cell r="A5">
            <v>3</v>
          </cell>
          <cell r="B5" t="str">
            <v>Loamy Coarse Sand</v>
          </cell>
          <cell r="C5" t="str">
            <v>Convex, Linear</v>
          </cell>
          <cell r="D5" t="str">
            <v>Plain</v>
          </cell>
          <cell r="F5" t="str">
            <v>S3</v>
          </cell>
          <cell r="G5">
            <v>3.57</v>
          </cell>
          <cell r="H5">
            <v>4.54</v>
          </cell>
          <cell r="I5">
            <v>2</v>
          </cell>
          <cell r="L5" t="str">
            <v>Barber shop*</v>
          </cell>
          <cell r="M5" t="str">
            <v>bed</v>
          </cell>
        </row>
        <row r="6">
          <cell r="A6">
            <v>4</v>
          </cell>
          <cell r="B6" t="str">
            <v>Fine Sand</v>
          </cell>
          <cell r="C6" t="str">
            <v>Convex, Convex</v>
          </cell>
          <cell r="D6" t="str">
            <v>Manmade</v>
          </cell>
          <cell r="F6" t="str">
            <v>S4</v>
          </cell>
          <cell r="G6">
            <v>3.45</v>
          </cell>
          <cell r="H6">
            <v>4.76</v>
          </cell>
          <cell r="I6">
            <v>3</v>
          </cell>
          <cell r="J6" t="str">
            <v>I</v>
          </cell>
          <cell r="L6" t="str">
            <v>Beauty salon*</v>
          </cell>
          <cell r="M6" t="str">
            <v>bed</v>
          </cell>
        </row>
        <row r="7">
          <cell r="A7">
            <v>5</v>
          </cell>
          <cell r="B7" t="str">
            <v>Very Fine Sand</v>
          </cell>
          <cell r="C7" t="str">
            <v>Convex, Concave</v>
          </cell>
          <cell r="D7" t="str">
            <v>Stream/Terrace</v>
          </cell>
          <cell r="F7" t="str">
            <v>T1</v>
          </cell>
          <cell r="G7">
            <v>3.33</v>
          </cell>
          <cell r="H7">
            <v>5</v>
          </cell>
          <cell r="I7">
            <v>4</v>
          </cell>
          <cell r="J7" t="str">
            <v>II</v>
          </cell>
          <cell r="L7" t="str">
            <v>Industrial building*</v>
          </cell>
          <cell r="M7" t="str">
            <v>parking space</v>
          </cell>
        </row>
        <row r="8">
          <cell r="A8">
            <v>6</v>
          </cell>
          <cell r="B8" t="str">
            <v>Loamy Fine Sand</v>
          </cell>
          <cell r="C8" t="str">
            <v>Concave, Convex</v>
          </cell>
          <cell r="D8" t="str">
            <v>Shoulder</v>
          </cell>
          <cell r="F8" t="str">
            <v>T2</v>
          </cell>
          <cell r="G8">
            <v>3.23</v>
          </cell>
          <cell r="H8">
            <v>5.26</v>
          </cell>
          <cell r="I8">
            <v>6</v>
          </cell>
          <cell r="J8" t="str">
            <v>III</v>
          </cell>
          <cell r="L8" t="str">
            <v>Bowling alley</v>
          </cell>
          <cell r="M8" t="str">
            <v>car space</v>
          </cell>
        </row>
        <row r="9">
          <cell r="A9">
            <v>7</v>
          </cell>
          <cell r="B9" t="str">
            <v>Loamy Very Fine Sand</v>
          </cell>
          <cell r="C9" t="str">
            <v>Concave, Concave</v>
          </cell>
          <cell r="D9" t="str">
            <v>Summit</v>
          </cell>
          <cell r="F9" t="str">
            <v>T3</v>
          </cell>
          <cell r="G9">
            <v>3.12</v>
          </cell>
          <cell r="H9">
            <v>5.56</v>
          </cell>
          <cell r="J9" t="str">
            <v>IV</v>
          </cell>
          <cell r="L9" t="str">
            <v>Cabin, resort</v>
          </cell>
          <cell r="M9" t="str">
            <v>car stall</v>
          </cell>
        </row>
        <row r="10">
          <cell r="A10">
            <v>8</v>
          </cell>
          <cell r="B10" t="str">
            <v>Sandy Loam</v>
          </cell>
          <cell r="C10" t="str">
            <v>Concave, Linear</v>
          </cell>
          <cell r="D10" t="str">
            <v>Toe Slope</v>
          </cell>
          <cell r="F10" t="str">
            <v>T4</v>
          </cell>
          <cell r="G10">
            <v>3.03</v>
          </cell>
          <cell r="H10">
            <v>5.88</v>
          </cell>
          <cell r="L10" t="str">
            <v>Cafeteria</v>
          </cell>
          <cell r="M10" t="str">
            <v>chair</v>
          </cell>
        </row>
        <row r="11">
          <cell r="A11">
            <v>9</v>
          </cell>
          <cell r="B11" t="str">
            <v>Coarse Sandy Loam</v>
          </cell>
          <cell r="F11" t="str">
            <v>T5</v>
          </cell>
          <cell r="G11">
            <v>2.94</v>
          </cell>
          <cell r="H11">
            <v>6.25</v>
          </cell>
          <cell r="L11" t="str">
            <v>Camp, day without meals</v>
          </cell>
          <cell r="M11" t="str">
            <v>child</v>
          </cell>
        </row>
        <row r="12">
          <cell r="A12">
            <v>10</v>
          </cell>
          <cell r="B12" t="str">
            <v>Loam</v>
          </cell>
          <cell r="D12" t="str">
            <v>Single grain</v>
          </cell>
          <cell r="F12" t="str">
            <v>T6</v>
          </cell>
          <cell r="G12">
            <v>2.86</v>
          </cell>
          <cell r="H12">
            <v>6.67</v>
          </cell>
          <cell r="L12" t="str">
            <v>Camp, day and night with meals</v>
          </cell>
          <cell r="M12" t="str">
            <v>convenience store customer</v>
          </cell>
        </row>
        <row r="13">
          <cell r="A13">
            <v>11</v>
          </cell>
          <cell r="B13" t="str">
            <v>Fine Sandy Loam</v>
          </cell>
          <cell r="D13" t="str">
            <v>Granular</v>
          </cell>
          <cell r="F13" t="str">
            <v>S1, T2</v>
          </cell>
          <cell r="G13">
            <v>2.78</v>
          </cell>
          <cell r="H13">
            <v>7.14</v>
          </cell>
          <cell r="L13" t="str">
            <v>Camp, day with meals</v>
          </cell>
          <cell r="M13" t="str">
            <v>customer</v>
          </cell>
        </row>
        <row r="14">
          <cell r="A14">
            <v>12</v>
          </cell>
          <cell r="B14" t="str">
            <v>Very Fine Sandy Loam</v>
          </cell>
          <cell r="D14" t="str">
            <v>Platy</v>
          </cell>
          <cell r="F14" t="str">
            <v>S1, T3</v>
          </cell>
          <cell r="G14">
            <v>2.7</v>
          </cell>
          <cell r="H14">
            <v>7.69</v>
          </cell>
          <cell r="L14" t="str">
            <v>Industrial building*</v>
          </cell>
          <cell r="M14" t="str">
            <v>employee</v>
          </cell>
        </row>
        <row r="15">
          <cell r="A15">
            <v>13</v>
          </cell>
          <cell r="B15" t="str">
            <v>Silt Loam</v>
          </cell>
          <cell r="D15" t="str">
            <v>Blocky</v>
          </cell>
          <cell r="F15" t="str">
            <v>S1, T4</v>
          </cell>
          <cell r="G15">
            <v>2.62</v>
          </cell>
          <cell r="H15">
            <v>8.2899999999999991</v>
          </cell>
          <cell r="L15" t="str">
            <v>Industrial building*</v>
          </cell>
          <cell r="M15" t="str">
            <v>parking space</v>
          </cell>
        </row>
        <row r="16">
          <cell r="A16">
            <v>14</v>
          </cell>
          <cell r="B16" t="str">
            <v>Silt</v>
          </cell>
          <cell r="D16" t="str">
            <v>Prismatic</v>
          </cell>
          <cell r="F16" t="str">
            <v>S1, T5</v>
          </cell>
          <cell r="G16">
            <v>2.5499999999999998</v>
          </cell>
          <cell r="H16">
            <v>8.9149999999999991</v>
          </cell>
          <cell r="L16" t="str">
            <v>Institutional meals</v>
          </cell>
          <cell r="M16" t="str">
            <v>parking space</v>
          </cell>
        </row>
        <row r="17">
          <cell r="A17">
            <v>15</v>
          </cell>
          <cell r="B17" t="str">
            <v>Clay Loam</v>
          </cell>
          <cell r="D17" t="str">
            <v>Massive</v>
          </cell>
          <cell r="F17" t="str">
            <v>S1, T6</v>
          </cell>
          <cell r="G17">
            <v>2.48</v>
          </cell>
          <cell r="H17">
            <v>9.5649999999999995</v>
          </cell>
          <cell r="L17" t="str">
            <v>Labor camp</v>
          </cell>
          <cell r="M17" t="str">
            <v>passenger</v>
          </cell>
        </row>
        <row r="18">
          <cell r="A18">
            <v>16</v>
          </cell>
          <cell r="B18" t="str">
            <v>Sandy Clay Loam</v>
          </cell>
          <cell r="F18" t="str">
            <v>S2, T2</v>
          </cell>
          <cell r="G18">
            <v>2.41</v>
          </cell>
          <cell r="H18">
            <v>10.24</v>
          </cell>
          <cell r="L18" t="str">
            <v>Labor camp (semi permanent)</v>
          </cell>
          <cell r="M18" t="str">
            <v>patient</v>
          </cell>
        </row>
        <row r="19">
          <cell r="A19">
            <v>17</v>
          </cell>
          <cell r="B19" t="str">
            <v>Silty Clay Loam</v>
          </cell>
          <cell r="F19" t="str">
            <v>S2, T3</v>
          </cell>
          <cell r="G19">
            <v>2.35</v>
          </cell>
          <cell r="H19">
            <v>10.94</v>
          </cell>
          <cell r="L19" t="str">
            <v>Laundromat</v>
          </cell>
          <cell r="M19" t="str">
            <v>person</v>
          </cell>
        </row>
        <row r="20">
          <cell r="A20">
            <v>18</v>
          </cell>
          <cell r="B20" t="str">
            <v>Sandy Clay</v>
          </cell>
          <cell r="D20" t="str">
            <v>Loose</v>
          </cell>
          <cell r="F20" t="str">
            <v>S2, T4</v>
          </cell>
          <cell r="G20">
            <v>2.29</v>
          </cell>
          <cell r="H20">
            <v>11.664999999999999</v>
          </cell>
          <cell r="L20" t="str">
            <v>Medical office*</v>
          </cell>
          <cell r="M20" t="str">
            <v>campsite with sewer hook-up (per person)</v>
          </cell>
        </row>
        <row r="21">
          <cell r="A21">
            <v>19</v>
          </cell>
          <cell r="B21" t="str">
            <v>Silty Clay</v>
          </cell>
          <cell r="D21" t="str">
            <v>Friable</v>
          </cell>
          <cell r="F21" t="str">
            <v>S2, T5</v>
          </cell>
          <cell r="G21">
            <v>2.23</v>
          </cell>
          <cell r="H21">
            <v>12.414999999999999</v>
          </cell>
          <cell r="L21" t="str">
            <v>Mental health hospital*</v>
          </cell>
          <cell r="M21" t="str">
            <v>practitioner</v>
          </cell>
        </row>
        <row r="22">
          <cell r="A22">
            <v>20</v>
          </cell>
          <cell r="B22" t="str">
            <v>Clay</v>
          </cell>
          <cell r="C22" t="str">
            <v>Structureless</v>
          </cell>
          <cell r="D22" t="str">
            <v>Firm</v>
          </cell>
          <cell r="F22" t="str">
            <v>S2, T6</v>
          </cell>
          <cell r="G22">
            <v>2.1800000000000002</v>
          </cell>
          <cell r="H22">
            <v>13.19</v>
          </cell>
          <cell r="L22" t="str">
            <v>Motel</v>
          </cell>
          <cell r="M22" t="str">
            <v>resident</v>
          </cell>
        </row>
        <row r="23">
          <cell r="A23">
            <v>21</v>
          </cell>
          <cell r="B23" t="str">
            <v>Bedrock</v>
          </cell>
          <cell r="C23" t="str">
            <v>Weak</v>
          </cell>
          <cell r="D23" t="str">
            <v>Extremely Firm</v>
          </cell>
          <cell r="F23" t="str">
            <v>S3, T1</v>
          </cell>
          <cell r="G23">
            <v>2.13</v>
          </cell>
          <cell r="H23">
            <v>13.99</v>
          </cell>
          <cell r="L23" t="str">
            <v>Nursing home, other adult congregate living</v>
          </cell>
          <cell r="M23" t="str">
            <v>restroom</v>
          </cell>
        </row>
        <row r="24">
          <cell r="A24">
            <v>22</v>
          </cell>
          <cell r="B24" t="str">
            <v>Organic</v>
          </cell>
          <cell r="C24" t="str">
            <v>Moderate</v>
          </cell>
          <cell r="D24" t="str">
            <v>Rigid</v>
          </cell>
          <cell r="F24" t="str">
            <v>S3, T2</v>
          </cell>
          <cell r="G24">
            <v>2.08</v>
          </cell>
          <cell r="H24">
            <v>14.815</v>
          </cell>
          <cell r="L24" t="str">
            <v>Office</v>
          </cell>
          <cell r="M24" t="str">
            <v>seat</v>
          </cell>
        </row>
        <row r="25">
          <cell r="A25">
            <v>23</v>
          </cell>
          <cell r="B25" t="str">
            <v>Fill Soil</v>
          </cell>
          <cell r="C25" t="str">
            <v>Strong</v>
          </cell>
          <cell r="F25" t="str">
            <v>S3, T3</v>
          </cell>
          <cell r="G25">
            <v>2.0299999999999998</v>
          </cell>
          <cell r="H25">
            <v>15.664999999999999</v>
          </cell>
          <cell r="L25" t="str">
            <v>Other public institution</v>
          </cell>
          <cell r="M25" t="str">
            <v>seat (open 16  hours or less, single service articles)</v>
          </cell>
        </row>
        <row r="26">
          <cell r="A26">
            <v>24</v>
          </cell>
          <cell r="F26" t="str">
            <v>S3, T4</v>
          </cell>
          <cell r="G26">
            <v>1.98</v>
          </cell>
          <cell r="H26">
            <v>16.54</v>
          </cell>
          <cell r="L26" t="str">
            <v>Park or   swimming pool</v>
          </cell>
          <cell r="M26" t="str">
            <v>seat (open 16 hours or less)</v>
          </cell>
        </row>
        <row r="27">
          <cell r="A27">
            <v>25</v>
          </cell>
          <cell r="D27" t="str">
            <v>1/8</v>
          </cell>
          <cell r="F27" t="str">
            <v>S3, T5</v>
          </cell>
          <cell r="G27">
            <v>1.93</v>
          </cell>
          <cell r="H27">
            <v>17.440000000000001</v>
          </cell>
          <cell r="L27" t="str">
            <v>Permanent mobile  home</v>
          </cell>
          <cell r="M27" t="str">
            <v>seat (open more    than 16 hours)</v>
          </cell>
        </row>
        <row r="28">
          <cell r="A28">
            <v>26</v>
          </cell>
          <cell r="C28">
            <v>0.3</v>
          </cell>
          <cell r="D28" t="str">
            <v>3/16</v>
          </cell>
          <cell r="F28" t="str">
            <v>S3, T6</v>
          </cell>
          <cell r="L28" t="str">
            <v>Prison or jail</v>
          </cell>
          <cell r="M28" t="str">
            <v>seat (open more  than 16 hours,  single service   articles)</v>
          </cell>
        </row>
        <row r="29">
          <cell r="A29">
            <v>27</v>
          </cell>
          <cell r="C29">
            <v>0.42</v>
          </cell>
          <cell r="D29" t="str">
            <v>7/32</v>
          </cell>
          <cell r="F29" t="str">
            <v>S4, T1</v>
          </cell>
          <cell r="L29" t="str">
            <v>Public lavatory</v>
          </cell>
          <cell r="M29" t="str">
            <v>service bay</v>
          </cell>
        </row>
        <row r="30">
          <cell r="A30">
            <v>28</v>
          </cell>
          <cell r="B30">
            <v>2</v>
          </cell>
          <cell r="C30">
            <v>0.45</v>
          </cell>
          <cell r="D30" t="str">
            <v>1/4</v>
          </cell>
          <cell r="F30" t="str">
            <v>S4, T2</v>
          </cell>
          <cell r="G30">
            <v>1</v>
          </cell>
          <cell r="H30" t="str">
            <v>Yes</v>
          </cell>
          <cell r="L30" t="str">
            <v>Public shower</v>
          </cell>
          <cell r="M30" t="str">
            <v>Service station* customer</v>
          </cell>
        </row>
        <row r="31">
          <cell r="A31">
            <v>29</v>
          </cell>
          <cell r="B31">
            <v>3</v>
          </cell>
          <cell r="C31">
            <v>0.5</v>
          </cell>
          <cell r="F31" t="str">
            <v>S4, T3</v>
          </cell>
          <cell r="G31">
            <v>2</v>
          </cell>
          <cell r="H31" t="str">
            <v>No</v>
          </cell>
          <cell r="L31" t="str">
            <v>Resort</v>
          </cell>
          <cell r="M31" t="str">
            <v>shower taken</v>
          </cell>
        </row>
        <row r="32">
          <cell r="A32">
            <v>30</v>
          </cell>
          <cell r="C32">
            <v>0.52</v>
          </cell>
          <cell r="F32" t="str">
            <v>S4, T4</v>
          </cell>
          <cell r="G32">
            <v>3</v>
          </cell>
          <cell r="L32" t="str">
            <v>Restaurant (carry  out including caterers)</v>
          </cell>
          <cell r="M32" t="str">
            <v>campsite with sewer hook-up (per site/space)</v>
          </cell>
        </row>
        <row r="33">
          <cell r="C33">
            <v>0.6</v>
          </cell>
          <cell r="D33" t="str">
            <v>1/8</v>
          </cell>
          <cell r="F33" t="str">
            <v>S4, T5</v>
          </cell>
          <cell r="G33">
            <v>4</v>
          </cell>
          <cell r="L33" t="str">
            <v>Restaurant (does not include bar or lounge)</v>
          </cell>
          <cell r="M33" t="str">
            <v>campsite without sewer hook-up, with central toilet or shower facility (per site)</v>
          </cell>
        </row>
        <row r="34">
          <cell r="C34">
            <v>0.65</v>
          </cell>
          <cell r="D34" t="str">
            <v>1/16</v>
          </cell>
          <cell r="F34" t="str">
            <v>S4, T6</v>
          </cell>
          <cell r="G34">
            <v>5</v>
          </cell>
          <cell r="L34" t="str">
            <v>Restaurant (drive‑ in)</v>
          </cell>
          <cell r="M34" t="str">
            <v>campsite without sewer hook-up, with central toilet or shower facility, served by dump station (per site)</v>
          </cell>
        </row>
        <row r="35">
          <cell r="A35">
            <v>2</v>
          </cell>
          <cell r="C35">
            <v>0.68</v>
          </cell>
          <cell r="E35" t="str">
            <v>Drainfield rock</v>
          </cell>
          <cell r="G35">
            <v>6</v>
          </cell>
          <cell r="L35" t="str">
            <v>Restaurant (short  order)</v>
          </cell>
          <cell r="M35" t="str">
            <v>square foot</v>
          </cell>
        </row>
        <row r="36">
          <cell r="A36">
            <v>3</v>
          </cell>
          <cell r="C36">
            <v>0.78</v>
          </cell>
          <cell r="E36" t="str">
            <v>Drainfield rock &amp; pea gravel</v>
          </cell>
          <cell r="G36">
            <v>7</v>
          </cell>
          <cell r="L36" t="str">
            <v>Retail resort store</v>
          </cell>
          <cell r="M36" t="str">
            <v>station</v>
          </cell>
        </row>
        <row r="37">
          <cell r="A37">
            <v>4</v>
          </cell>
          <cell r="C37">
            <v>0.87</v>
          </cell>
          <cell r="D37">
            <v>1</v>
          </cell>
          <cell r="E37" t="str">
            <v>Sand</v>
          </cell>
          <cell r="G37">
            <v>8</v>
          </cell>
          <cell r="L37" t="str">
            <v>Retail store</v>
          </cell>
          <cell r="M37" t="str">
            <v>student</v>
          </cell>
        </row>
        <row r="38">
          <cell r="A38">
            <v>5</v>
          </cell>
          <cell r="C38">
            <v>1</v>
          </cell>
          <cell r="D38">
            <v>0.45</v>
          </cell>
          <cell r="E38" t="str">
            <v>Other</v>
          </cell>
          <cell r="G38">
            <v>9</v>
          </cell>
          <cell r="L38" t="str">
            <v>Rooming house</v>
          </cell>
          <cell r="M38" t="str">
            <v>toilet</v>
          </cell>
        </row>
        <row r="39">
          <cell r="A39">
            <v>6</v>
          </cell>
          <cell r="C39">
            <v>1.2</v>
          </cell>
          <cell r="G39">
            <v>10</v>
          </cell>
          <cell r="L39" t="str">
            <v>School (boarding)</v>
          </cell>
          <cell r="M39" t="str">
            <v>user</v>
          </cell>
        </row>
        <row r="40">
          <cell r="A40">
            <v>7</v>
          </cell>
          <cell r="C40">
            <v>1.6</v>
          </cell>
          <cell r="G40">
            <v>11</v>
          </cell>
          <cell r="L40" t="str">
            <v>School (no gym, no cafeteria, and no showers)</v>
          </cell>
          <cell r="M40" t="str">
            <v>visitor</v>
          </cell>
        </row>
        <row r="41">
          <cell r="A41">
            <v>8</v>
          </cell>
          <cell r="E41" t="str">
            <v>0</v>
          </cell>
          <cell r="G41">
            <v>12</v>
          </cell>
          <cell r="L41" t="str">
            <v>School (with cafeteria, gym, and showers)</v>
          </cell>
          <cell r="M41" t="str">
            <v>with food vendor space</v>
          </cell>
        </row>
        <row r="42">
          <cell r="A42">
            <v>9</v>
          </cell>
          <cell r="B42">
            <v>2</v>
          </cell>
          <cell r="E42">
            <v>5</v>
          </cell>
          <cell r="G42">
            <v>13</v>
          </cell>
          <cell r="L42" t="str">
            <v>School (with cafeteria, no gym and no showers)</v>
          </cell>
        </row>
        <row r="43">
          <cell r="B43">
            <v>2.5</v>
          </cell>
          <cell r="E43">
            <v>6</v>
          </cell>
          <cell r="G43">
            <v>14</v>
          </cell>
          <cell r="J43" t="str">
            <v>&lt;35%</v>
          </cell>
          <cell r="L43" t="str">
            <v>Shopping center</v>
          </cell>
        </row>
        <row r="44">
          <cell r="B44">
            <v>3</v>
          </cell>
          <cell r="C44">
            <v>1</v>
          </cell>
          <cell r="E44">
            <v>6.5</v>
          </cell>
          <cell r="G44">
            <v>15</v>
          </cell>
          <cell r="J44" t="str">
            <v>35-50%</v>
          </cell>
          <cell r="L44" t="str">
            <v>Stadium</v>
          </cell>
        </row>
        <row r="45">
          <cell r="C45">
            <v>2</v>
          </cell>
          <cell r="D45">
            <v>1.2</v>
          </cell>
          <cell r="E45">
            <v>10</v>
          </cell>
          <cell r="G45">
            <v>16</v>
          </cell>
          <cell r="J45" t="str">
            <v>&gt;50%</v>
          </cell>
          <cell r="L45" t="str">
            <v>Theater</v>
          </cell>
        </row>
        <row r="46">
          <cell r="C46">
            <v>2.5</v>
          </cell>
          <cell r="D46">
            <v>1</v>
          </cell>
          <cell r="G46">
            <v>17</v>
          </cell>
          <cell r="L46" t="str">
            <v>Visitor center</v>
          </cell>
        </row>
        <row r="47">
          <cell r="C47">
            <v>5</v>
          </cell>
          <cell r="D47">
            <v>1.6</v>
          </cell>
          <cell r="E47" t="str">
            <v>2/1</v>
          </cell>
          <cell r="G47">
            <v>18</v>
          </cell>
        </row>
        <row r="48">
          <cell r="B48" t="str">
            <v>Probe</v>
          </cell>
          <cell r="E48" t="str">
            <v>2/2</v>
          </cell>
          <cell r="G48">
            <v>19</v>
          </cell>
        </row>
        <row r="49">
          <cell r="B49" t="str">
            <v>Auger</v>
          </cell>
          <cell r="E49" t="str">
            <v>2.5/0</v>
          </cell>
          <cell r="G49">
            <v>20</v>
          </cell>
          <cell r="J49" t="str">
            <v>Pressure distribution</v>
          </cell>
        </row>
        <row r="50">
          <cell r="B50" t="str">
            <v>Soil Pit</v>
          </cell>
          <cell r="E50" t="str">
            <v>2.5/1</v>
          </cell>
          <cell r="J50" t="str">
            <v>5 feet of separation</v>
          </cell>
        </row>
        <row r="51">
          <cell r="D51" t="str">
            <v>10R</v>
          </cell>
          <cell r="E51" t="str">
            <v>2.5/2</v>
          </cell>
        </row>
        <row r="52">
          <cell r="D52" t="str">
            <v>2.5YR</v>
          </cell>
          <cell r="E52" t="str">
            <v>2.5/3</v>
          </cell>
        </row>
        <row r="53">
          <cell r="D53" t="str">
            <v>5YR</v>
          </cell>
          <cell r="E53" t="str">
            <v>3/1</v>
          </cell>
        </row>
        <row r="54">
          <cell r="D54" t="str">
            <v>7.5YR</v>
          </cell>
          <cell r="E54" t="str">
            <v>3/2</v>
          </cell>
        </row>
        <row r="55">
          <cell r="D55" t="str">
            <v>10YR</v>
          </cell>
          <cell r="E55" t="str">
            <v>3/3</v>
          </cell>
        </row>
        <row r="56">
          <cell r="D56" t="str">
            <v>2.5Y</v>
          </cell>
          <cell r="E56" t="str">
            <v>3/4</v>
          </cell>
        </row>
        <row r="57">
          <cell r="D57" t="str">
            <v>5Y</v>
          </cell>
          <cell r="E57" t="str">
            <v>3/6</v>
          </cell>
        </row>
        <row r="58">
          <cell r="D58" t="str">
            <v>GLEY</v>
          </cell>
          <cell r="E58" t="str">
            <v>4/1</v>
          </cell>
        </row>
        <row r="59">
          <cell r="D59" t="str">
            <v>N</v>
          </cell>
          <cell r="E59" t="str">
            <v>4/2</v>
          </cell>
        </row>
        <row r="60">
          <cell r="B60" t="str">
            <v xml:space="preserve">Demand Dosing </v>
          </cell>
          <cell r="D60" t="str">
            <v>None</v>
          </cell>
          <cell r="E60" t="str">
            <v>4/3</v>
          </cell>
        </row>
        <row r="61">
          <cell r="B61" t="str">
            <v>Equalization/Time Dosing</v>
          </cell>
          <cell r="E61" t="str">
            <v>4/4</v>
          </cell>
        </row>
        <row r="62">
          <cell r="E62" t="str">
            <v>4/6</v>
          </cell>
          <cell r="F62" t="str">
            <v>Type I</v>
          </cell>
          <cell r="L62" t="str">
            <v>Trench</v>
          </cell>
        </row>
        <row r="63">
          <cell r="E63" t="str">
            <v>4/8</v>
          </cell>
          <cell r="F63" t="str">
            <v>Type II</v>
          </cell>
          <cell r="L63" t="str">
            <v>Bed</v>
          </cell>
        </row>
        <row r="64">
          <cell r="E64" t="str">
            <v>5/1</v>
          </cell>
          <cell r="F64" t="str">
            <v>Type III</v>
          </cell>
          <cell r="L64" t="str">
            <v>Mound</v>
          </cell>
        </row>
        <row r="65">
          <cell r="E65" t="str">
            <v>5/2</v>
          </cell>
          <cell r="F65" t="str">
            <v>Type IV</v>
          </cell>
          <cell r="L65" t="str">
            <v>At-Grade</v>
          </cell>
        </row>
        <row r="66">
          <cell r="E66" t="str">
            <v>5/3</v>
          </cell>
          <cell r="F66" t="str">
            <v>Type V</v>
          </cell>
          <cell r="L66" t="str">
            <v>Drip</v>
          </cell>
        </row>
        <row r="67">
          <cell r="E67" t="str">
            <v>5/4</v>
          </cell>
          <cell r="J67" t="str">
            <v>A</v>
          </cell>
        </row>
        <row r="68">
          <cell r="E68" t="str">
            <v>5/6</v>
          </cell>
          <cell r="J68" t="str">
            <v>A-2</v>
          </cell>
        </row>
        <row r="69">
          <cell r="E69" t="str">
            <v>5/8</v>
          </cell>
          <cell r="J69" t="str">
            <v>B</v>
          </cell>
          <cell r="L69" t="str">
            <v>Gravity Distribution</v>
          </cell>
        </row>
        <row r="70">
          <cell r="E70" t="str">
            <v>6/1</v>
          </cell>
          <cell r="J70" t="str">
            <v>B-2</v>
          </cell>
          <cell r="L70" t="str">
            <v>Pressure Distribution-Level</v>
          </cell>
        </row>
        <row r="71">
          <cell r="E71" t="str">
            <v>6/2</v>
          </cell>
          <cell r="J71" t="str">
            <v>C</v>
          </cell>
          <cell r="L71" t="str">
            <v>Pressure Distribution-Unlevel</v>
          </cell>
        </row>
        <row r="72">
          <cell r="E72" t="str">
            <v>6/3</v>
          </cell>
        </row>
        <row r="73">
          <cell r="E73" t="str">
            <v>6/4</v>
          </cell>
        </row>
        <row r="74">
          <cell r="E74" t="str">
            <v>6/6</v>
          </cell>
          <cell r="L74" t="str">
            <v>Gravity</v>
          </cell>
        </row>
        <row r="75">
          <cell r="E75" t="str">
            <v>6/8</v>
          </cell>
          <cell r="L75" t="str">
            <v>Pressure</v>
          </cell>
        </row>
        <row r="76">
          <cell r="E76" t="str">
            <v>7/1</v>
          </cell>
        </row>
        <row r="77">
          <cell r="E77" t="str">
            <v>7/2</v>
          </cell>
        </row>
        <row r="78">
          <cell r="E78" t="str">
            <v>7/3</v>
          </cell>
        </row>
        <row r="79">
          <cell r="E79" t="str">
            <v>7/4</v>
          </cell>
        </row>
        <row r="80">
          <cell r="E80" t="str">
            <v>7/6</v>
          </cell>
        </row>
        <row r="81">
          <cell r="E81" t="str">
            <v>7/8</v>
          </cell>
        </row>
        <row r="82">
          <cell r="E82" t="str">
            <v>8/1</v>
          </cell>
        </row>
        <row r="83">
          <cell r="E83" t="str">
            <v>8/2</v>
          </cell>
        </row>
        <row r="84">
          <cell r="E84" t="str">
            <v>8/3</v>
          </cell>
        </row>
        <row r="85">
          <cell r="E85" t="str">
            <v>8/4</v>
          </cell>
        </row>
        <row r="86">
          <cell r="E86" t="str">
            <v>8/6</v>
          </cell>
        </row>
        <row r="87">
          <cell r="E87" t="str">
            <v>8/8</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op-Down Lists"/>
      <sheetName val="Intro-MASTER"/>
      <sheetName val="Prelim"/>
      <sheetName val="Field"/>
      <sheetName val="Soil Log 1"/>
      <sheetName val="Soil Log 2"/>
      <sheetName val="Soil Log 3"/>
      <sheetName val="Soil Log 4"/>
      <sheetName val="Soil Log 5"/>
      <sheetName val="Soil Log 6"/>
      <sheetName val="Soil Chart"/>
      <sheetName val="Site Eval Map"/>
      <sheetName val="Site Eval Sketch"/>
      <sheetName val="Perc. Test"/>
      <sheetName val="Summary"/>
      <sheetName val="Trench"/>
      <sheetName val="Bed "/>
      <sheetName val="Mound&lt;1%"/>
      <sheetName val="Mound&gt;1%"/>
      <sheetName val="Mound Mat."/>
      <sheetName val="At-Grade"/>
      <sheetName val="Drip"/>
      <sheetName val="Pres. Dist."/>
      <sheetName val="Non-Level "/>
      <sheetName val="Pump-Basic(1) "/>
      <sheetName val="Pump Tank(1)Demand"/>
      <sheetName val="Pump-Tank(1)Time"/>
      <sheetName val="Pump-Basic(2)"/>
      <sheetName val="Pump Tank (2)Demand"/>
      <sheetName val="Pump-Tank(2)Time"/>
      <sheetName val="Pump-Collection"/>
      <sheetName val="Flow EQ"/>
      <sheetName val="Sand Filter"/>
      <sheetName val="Existing Dwellings"/>
      <sheetName val="OE-Measured Flow"/>
      <sheetName val="OE-Estimated Flow"/>
      <sheetName val="Final Flow Total"/>
      <sheetName val="Flow &amp; System Summary"/>
      <sheetName val="Tank Buoyancy"/>
      <sheetName val="Tank Buoyancy (2)"/>
      <sheetName val="Waste Strengths"/>
    </sheetNames>
    <sheetDataSet>
      <sheetData sheetId="0">
        <row r="2">
          <cell r="A2" t="str">
            <v>0</v>
          </cell>
          <cell r="B2" t="str">
            <v>Sand</v>
          </cell>
          <cell r="C2" t="str">
            <v>Linear, Linear</v>
          </cell>
          <cell r="G2">
            <v>4</v>
          </cell>
          <cell r="H2">
            <v>4</v>
          </cell>
          <cell r="I2">
            <v>1</v>
          </cell>
          <cell r="J2" t="str">
            <v>Rock</v>
          </cell>
          <cell r="L2" t="str">
            <v>Airport, bus station, rail depot</v>
          </cell>
          <cell r="M2" t="str">
            <v>add for each nonresident meal</v>
          </cell>
        </row>
        <row r="3">
          <cell r="A3">
            <v>1</v>
          </cell>
          <cell r="B3" t="str">
            <v>Coarse Sand</v>
          </cell>
          <cell r="C3" t="str">
            <v>Linear, Concave</v>
          </cell>
          <cell r="D3" t="str">
            <v>Back/ Side Slope</v>
          </cell>
          <cell r="G3">
            <v>3.85</v>
          </cell>
          <cell r="H3">
            <v>4.17</v>
          </cell>
          <cell r="I3">
            <v>1.25</v>
          </cell>
          <cell r="J3" t="str">
            <v>Registered Product:</v>
          </cell>
          <cell r="L3" t="str">
            <v>Assembly hall</v>
          </cell>
          <cell r="M3" t="str">
            <v>alley</v>
          </cell>
        </row>
        <row r="4">
          <cell r="A4">
            <v>2</v>
          </cell>
          <cell r="B4" t="str">
            <v>Loamy Sand</v>
          </cell>
          <cell r="C4" t="str">
            <v>Linear, Convex</v>
          </cell>
          <cell r="D4" t="str">
            <v>Foot Slope</v>
          </cell>
          <cell r="G4">
            <v>3.7</v>
          </cell>
          <cell r="H4">
            <v>4.3499999999999996</v>
          </cell>
          <cell r="I4">
            <v>1.5</v>
          </cell>
          <cell r="L4" t="str">
            <v>Bar or lounge (no meals)</v>
          </cell>
          <cell r="M4" t="str">
            <v>auditorium seat</v>
          </cell>
        </row>
        <row r="5">
          <cell r="A5">
            <v>3</v>
          </cell>
          <cell r="B5" t="str">
            <v>Loamy Coarse Sand</v>
          </cell>
          <cell r="C5" t="str">
            <v>Convex, Linear</v>
          </cell>
          <cell r="D5" t="str">
            <v>Plain</v>
          </cell>
          <cell r="G5">
            <v>3.57</v>
          </cell>
          <cell r="H5">
            <v>4.54</v>
          </cell>
          <cell r="I5">
            <v>2</v>
          </cell>
          <cell r="L5" t="str">
            <v>Barber shop*</v>
          </cell>
          <cell r="M5" t="str">
            <v>bed</v>
          </cell>
        </row>
        <row r="6">
          <cell r="A6">
            <v>4</v>
          </cell>
          <cell r="B6" t="str">
            <v>Fine Sand</v>
          </cell>
          <cell r="C6" t="str">
            <v>Convex, Convex</v>
          </cell>
          <cell r="D6" t="str">
            <v>Manmade</v>
          </cell>
          <cell r="G6">
            <v>3.45</v>
          </cell>
          <cell r="H6">
            <v>4.76</v>
          </cell>
          <cell r="I6">
            <v>3</v>
          </cell>
          <cell r="L6" t="str">
            <v>Beauty salon*</v>
          </cell>
          <cell r="M6" t="str">
            <v>bed</v>
          </cell>
        </row>
        <row r="7">
          <cell r="A7">
            <v>5</v>
          </cell>
          <cell r="B7" t="str">
            <v>Very Fine Sand</v>
          </cell>
          <cell r="C7" t="str">
            <v>Convex, Concave</v>
          </cell>
          <cell r="D7" t="str">
            <v>Stream/Terrace</v>
          </cell>
          <cell r="G7">
            <v>3.33</v>
          </cell>
          <cell r="H7">
            <v>5</v>
          </cell>
          <cell r="I7">
            <v>4</v>
          </cell>
          <cell r="L7" t="str">
            <v>Industrial building*</v>
          </cell>
          <cell r="M7" t="str">
            <v>parking space</v>
          </cell>
        </row>
        <row r="8">
          <cell r="A8">
            <v>6</v>
          </cell>
          <cell r="B8" t="str">
            <v>Loamy Fine Sand</v>
          </cell>
          <cell r="C8" t="str">
            <v>Concave, Convex</v>
          </cell>
          <cell r="D8" t="str">
            <v>Shoulder</v>
          </cell>
          <cell r="G8">
            <v>3.23</v>
          </cell>
          <cell r="H8">
            <v>5.26</v>
          </cell>
          <cell r="I8">
            <v>6</v>
          </cell>
          <cell r="L8" t="str">
            <v>Bowling alley</v>
          </cell>
          <cell r="M8" t="str">
            <v>car space</v>
          </cell>
        </row>
        <row r="9">
          <cell r="A9">
            <v>7</v>
          </cell>
          <cell r="B9" t="str">
            <v>Loamy Very Fine Sand</v>
          </cell>
          <cell r="C9" t="str">
            <v>Concave, Concave</v>
          </cell>
          <cell r="D9" t="str">
            <v>Summit</v>
          </cell>
          <cell r="G9">
            <v>3.12</v>
          </cell>
          <cell r="H9">
            <v>5.56</v>
          </cell>
          <cell r="L9" t="str">
            <v>Cabin, resort</v>
          </cell>
          <cell r="M9" t="str">
            <v>car stall</v>
          </cell>
        </row>
        <row r="10">
          <cell r="A10">
            <v>8</v>
          </cell>
          <cell r="B10" t="str">
            <v>Sandy Loam</v>
          </cell>
          <cell r="C10" t="str">
            <v>Concave, Linear</v>
          </cell>
          <cell r="D10" t="str">
            <v>Toe Slope</v>
          </cell>
          <cell r="G10">
            <v>3.03</v>
          </cell>
          <cell r="H10">
            <v>5.88</v>
          </cell>
          <cell r="L10" t="str">
            <v>Cafeteria</v>
          </cell>
          <cell r="M10" t="str">
            <v>chair</v>
          </cell>
        </row>
        <row r="11">
          <cell r="A11">
            <v>9</v>
          </cell>
          <cell r="B11" t="str">
            <v>Coarse Sandy Loam</v>
          </cell>
          <cell r="G11">
            <v>2.94</v>
          </cell>
          <cell r="H11">
            <v>6.25</v>
          </cell>
          <cell r="L11" t="str">
            <v>Camp, day without meals</v>
          </cell>
          <cell r="M11" t="str">
            <v>child</v>
          </cell>
        </row>
        <row r="12">
          <cell r="A12">
            <v>10</v>
          </cell>
          <cell r="B12" t="str">
            <v>Loam</v>
          </cell>
          <cell r="D12" t="str">
            <v>Single grain</v>
          </cell>
          <cell r="G12">
            <v>2.86</v>
          </cell>
          <cell r="H12">
            <v>6.67</v>
          </cell>
          <cell r="L12" t="str">
            <v>Camp, day and night with meals</v>
          </cell>
          <cell r="M12" t="str">
            <v>convenience store customer</v>
          </cell>
        </row>
        <row r="13">
          <cell r="A13">
            <v>11</v>
          </cell>
          <cell r="B13" t="str">
            <v>Fine Sandy Loam</v>
          </cell>
          <cell r="D13" t="str">
            <v>Granular</v>
          </cell>
          <cell r="G13">
            <v>2.78</v>
          </cell>
          <cell r="H13">
            <v>7.14</v>
          </cell>
          <cell r="L13" t="str">
            <v>Camp, day with meals</v>
          </cell>
          <cell r="M13" t="str">
            <v>customer</v>
          </cell>
        </row>
        <row r="14">
          <cell r="A14">
            <v>12</v>
          </cell>
          <cell r="B14" t="str">
            <v>Very Fine Sandy Loam</v>
          </cell>
          <cell r="D14" t="str">
            <v>Platy</v>
          </cell>
          <cell r="G14">
            <v>2.7</v>
          </cell>
          <cell r="H14">
            <v>7.69</v>
          </cell>
          <cell r="L14" t="str">
            <v>Industrial building*</v>
          </cell>
          <cell r="M14" t="str">
            <v>employee</v>
          </cell>
        </row>
        <row r="15">
          <cell r="A15">
            <v>13</v>
          </cell>
          <cell r="B15" t="str">
            <v>Silt Loam</v>
          </cell>
          <cell r="D15" t="str">
            <v>Blocky</v>
          </cell>
          <cell r="G15">
            <v>2.62</v>
          </cell>
          <cell r="H15">
            <v>8.2899999999999991</v>
          </cell>
          <cell r="L15" t="str">
            <v>Industrial building*</v>
          </cell>
          <cell r="M15" t="str">
            <v>parking space</v>
          </cell>
        </row>
        <row r="16">
          <cell r="A16">
            <v>14</v>
          </cell>
          <cell r="B16" t="str">
            <v>Silt</v>
          </cell>
          <cell r="D16" t="str">
            <v>Prismatic</v>
          </cell>
          <cell r="G16">
            <v>2.5499999999999998</v>
          </cell>
          <cell r="H16">
            <v>8.9149999999999991</v>
          </cell>
          <cell r="L16" t="str">
            <v>Institutional meals</v>
          </cell>
          <cell r="M16" t="str">
            <v>parking space</v>
          </cell>
        </row>
        <row r="17">
          <cell r="A17">
            <v>15</v>
          </cell>
          <cell r="B17" t="str">
            <v>Clay Loam</v>
          </cell>
          <cell r="D17" t="str">
            <v>Massive</v>
          </cell>
          <cell r="G17">
            <v>2.48</v>
          </cell>
          <cell r="H17">
            <v>9.5649999999999995</v>
          </cell>
          <cell r="L17" t="str">
            <v>Labor camp</v>
          </cell>
          <cell r="M17" t="str">
            <v>passenger</v>
          </cell>
        </row>
        <row r="18">
          <cell r="A18">
            <v>16</v>
          </cell>
          <cell r="B18" t="str">
            <v>Sandy Clay Loam</v>
          </cell>
          <cell r="G18">
            <v>2.41</v>
          </cell>
          <cell r="H18">
            <v>10.24</v>
          </cell>
          <cell r="L18" t="str">
            <v>Labor camp (semi permanent)</v>
          </cell>
          <cell r="M18" t="str">
            <v>patient</v>
          </cell>
        </row>
        <row r="19">
          <cell r="A19">
            <v>17</v>
          </cell>
          <cell r="B19" t="str">
            <v>Silty Clay Loam</v>
          </cell>
          <cell r="G19">
            <v>2.35</v>
          </cell>
          <cell r="H19">
            <v>10.94</v>
          </cell>
          <cell r="L19" t="str">
            <v>Laundromat</v>
          </cell>
          <cell r="M19" t="str">
            <v>person</v>
          </cell>
        </row>
        <row r="20">
          <cell r="A20">
            <v>18</v>
          </cell>
          <cell r="B20" t="str">
            <v>Sandy Clay</v>
          </cell>
          <cell r="D20" t="str">
            <v>Loose</v>
          </cell>
          <cell r="G20">
            <v>2.29</v>
          </cell>
          <cell r="H20">
            <v>11.664999999999999</v>
          </cell>
          <cell r="L20" t="str">
            <v>Medical office*</v>
          </cell>
          <cell r="M20" t="str">
            <v>campsite with sewer hook-up (per person)</v>
          </cell>
        </row>
        <row r="21">
          <cell r="A21">
            <v>19</v>
          </cell>
          <cell r="B21" t="str">
            <v>Silty Clay</v>
          </cell>
          <cell r="D21" t="str">
            <v>Friable</v>
          </cell>
          <cell r="G21">
            <v>2.23</v>
          </cell>
          <cell r="H21">
            <v>12.414999999999999</v>
          </cell>
          <cell r="L21" t="str">
            <v>Mental health hospital*</v>
          </cell>
          <cell r="M21" t="str">
            <v>practitioner</v>
          </cell>
        </row>
        <row r="22">
          <cell r="A22">
            <v>20</v>
          </cell>
          <cell r="B22" t="str">
            <v>Clay</v>
          </cell>
          <cell r="C22" t="str">
            <v>Structureless</v>
          </cell>
          <cell r="D22" t="str">
            <v>Firm</v>
          </cell>
          <cell r="G22">
            <v>2.1800000000000002</v>
          </cell>
          <cell r="H22">
            <v>13.19</v>
          </cell>
          <cell r="L22" t="str">
            <v>Motel</v>
          </cell>
          <cell r="M22" t="str">
            <v>resident</v>
          </cell>
        </row>
        <row r="23">
          <cell r="A23">
            <v>21</v>
          </cell>
          <cell r="B23" t="str">
            <v>Bedrock</v>
          </cell>
          <cell r="C23" t="str">
            <v>Weak</v>
          </cell>
          <cell r="D23" t="str">
            <v>Extremely Firm</v>
          </cell>
          <cell r="G23">
            <v>2.13</v>
          </cell>
          <cell r="H23">
            <v>13.99</v>
          </cell>
          <cell r="L23" t="str">
            <v>Nursing home, other adult congregate living</v>
          </cell>
          <cell r="M23" t="str">
            <v>restroom</v>
          </cell>
        </row>
        <row r="24">
          <cell r="A24">
            <v>22</v>
          </cell>
          <cell r="B24" t="str">
            <v>Organic</v>
          </cell>
          <cell r="C24" t="str">
            <v>Moderate</v>
          </cell>
          <cell r="D24" t="str">
            <v>Rigid</v>
          </cell>
          <cell r="G24">
            <v>2.08</v>
          </cell>
          <cell r="H24">
            <v>14.815</v>
          </cell>
          <cell r="L24" t="str">
            <v>Office</v>
          </cell>
          <cell r="M24" t="str">
            <v>seat</v>
          </cell>
        </row>
        <row r="25">
          <cell r="A25">
            <v>23</v>
          </cell>
          <cell r="B25" t="str">
            <v>Fill Soil</v>
          </cell>
          <cell r="C25" t="str">
            <v>Strong</v>
          </cell>
          <cell r="G25">
            <v>2.0299999999999998</v>
          </cell>
          <cell r="H25">
            <v>15.664999999999999</v>
          </cell>
          <cell r="L25" t="str">
            <v>Other public institution</v>
          </cell>
          <cell r="M25" t="str">
            <v>seat (open 16  hours or less, single service articles)</v>
          </cell>
        </row>
        <row r="26">
          <cell r="A26">
            <v>24</v>
          </cell>
          <cell r="G26">
            <v>1.98</v>
          </cell>
          <cell r="H26">
            <v>16.54</v>
          </cell>
          <cell r="L26" t="str">
            <v>Park or   swimming pool</v>
          </cell>
          <cell r="M26" t="str">
            <v>seat (open 16 hours or less)</v>
          </cell>
        </row>
        <row r="27">
          <cell r="A27">
            <v>25</v>
          </cell>
          <cell r="D27" t="str">
            <v>1/8</v>
          </cell>
          <cell r="G27">
            <v>1.93</v>
          </cell>
          <cell r="H27">
            <v>17.440000000000001</v>
          </cell>
          <cell r="L27" t="str">
            <v>Permanent mobile  home</v>
          </cell>
          <cell r="M27" t="str">
            <v>seat (open more    than 16 hours)</v>
          </cell>
        </row>
        <row r="28">
          <cell r="A28">
            <v>26</v>
          </cell>
          <cell r="C28">
            <v>0.3</v>
          </cell>
          <cell r="D28" t="str">
            <v>3/16</v>
          </cell>
          <cell r="L28" t="str">
            <v>Prison or jail</v>
          </cell>
          <cell r="M28" t="str">
            <v>seat (open more  than 16 hours,  single service   articles)</v>
          </cell>
        </row>
        <row r="29">
          <cell r="A29">
            <v>27</v>
          </cell>
          <cell r="C29">
            <v>0.42</v>
          </cell>
          <cell r="D29" t="str">
            <v>7/32</v>
          </cell>
          <cell r="L29" t="str">
            <v>Public lavatory</v>
          </cell>
          <cell r="M29" t="str">
            <v>service bay</v>
          </cell>
        </row>
        <row r="30">
          <cell r="A30">
            <v>28</v>
          </cell>
          <cell r="B30">
            <v>2</v>
          </cell>
          <cell r="C30">
            <v>0.45</v>
          </cell>
          <cell r="D30" t="str">
            <v>1/4</v>
          </cell>
          <cell r="G30">
            <v>1</v>
          </cell>
          <cell r="H30" t="str">
            <v>Yes</v>
          </cell>
          <cell r="L30" t="str">
            <v>Public shower</v>
          </cell>
          <cell r="M30" t="str">
            <v>Service station* customer</v>
          </cell>
        </row>
        <row r="31">
          <cell r="A31">
            <v>29</v>
          </cell>
          <cell r="B31">
            <v>3</v>
          </cell>
          <cell r="C31">
            <v>0.5</v>
          </cell>
          <cell r="G31">
            <v>2</v>
          </cell>
          <cell r="H31" t="str">
            <v>No</v>
          </cell>
          <cell r="L31" t="str">
            <v>Resort</v>
          </cell>
          <cell r="M31" t="str">
            <v>shower taken</v>
          </cell>
        </row>
        <row r="32">
          <cell r="A32">
            <v>30</v>
          </cell>
          <cell r="C32">
            <v>0.52</v>
          </cell>
          <cell r="G32">
            <v>3</v>
          </cell>
          <cell r="L32" t="str">
            <v>Restaurant (carry  out including caterers)</v>
          </cell>
          <cell r="M32" t="str">
            <v>campsite with sewer hook-up (per site/space)</v>
          </cell>
        </row>
        <row r="33">
          <cell r="C33">
            <v>0.6</v>
          </cell>
          <cell r="D33" t="str">
            <v>1/8</v>
          </cell>
          <cell r="G33">
            <v>4</v>
          </cell>
          <cell r="L33" t="str">
            <v>Restaurant (does not include bar or lounge)</v>
          </cell>
          <cell r="M33" t="str">
            <v>campsite without sewer hook-up, with central toilet or shower facility (per site)</v>
          </cell>
        </row>
        <row r="34">
          <cell r="C34">
            <v>0.65</v>
          </cell>
          <cell r="D34" t="str">
            <v>1/16</v>
          </cell>
          <cell r="G34">
            <v>5</v>
          </cell>
          <cell r="L34" t="str">
            <v>Restaurant (drive‑ in)</v>
          </cell>
          <cell r="M34" t="str">
            <v>campsite without sewer hook-up, with central toilet or shower facility, served by dump station (per site)</v>
          </cell>
        </row>
        <row r="35">
          <cell r="C35">
            <v>0.68</v>
          </cell>
          <cell r="E35" t="str">
            <v>Drainfield rock</v>
          </cell>
          <cell r="G35">
            <v>6</v>
          </cell>
          <cell r="L35" t="str">
            <v>Restaurant (short  order)</v>
          </cell>
          <cell r="M35" t="str">
            <v>square foot</v>
          </cell>
        </row>
        <row r="36">
          <cell r="C36">
            <v>0.78</v>
          </cell>
          <cell r="E36" t="str">
            <v>Drainfield rock &amp; pea gravel</v>
          </cell>
          <cell r="G36">
            <v>7</v>
          </cell>
          <cell r="L36" t="str">
            <v>Retail resort store</v>
          </cell>
          <cell r="M36" t="str">
            <v>station</v>
          </cell>
        </row>
        <row r="37">
          <cell r="C37">
            <v>0.87</v>
          </cell>
          <cell r="D37">
            <v>1</v>
          </cell>
          <cell r="E37" t="str">
            <v>Sand</v>
          </cell>
          <cell r="G37">
            <v>8</v>
          </cell>
          <cell r="L37" t="str">
            <v>Retail store</v>
          </cell>
          <cell r="M37" t="str">
            <v>student</v>
          </cell>
        </row>
        <row r="38">
          <cell r="C38">
            <v>1</v>
          </cell>
          <cell r="D38">
            <v>0.45</v>
          </cell>
          <cell r="E38" t="str">
            <v>Other</v>
          </cell>
          <cell r="G38">
            <v>9</v>
          </cell>
          <cell r="L38" t="str">
            <v>Rooming house</v>
          </cell>
          <cell r="M38" t="str">
            <v>toilet</v>
          </cell>
        </row>
        <row r="39">
          <cell r="C39">
            <v>1.2</v>
          </cell>
          <cell r="G39">
            <v>10</v>
          </cell>
          <cell r="L39" t="str">
            <v>School (boarding)</v>
          </cell>
          <cell r="M39" t="str">
            <v>user</v>
          </cell>
        </row>
        <row r="40">
          <cell r="C40">
            <v>1.6</v>
          </cell>
          <cell r="G40">
            <v>11</v>
          </cell>
          <cell r="L40" t="str">
            <v>School (no gym, no cafeteria, and no showers)</v>
          </cell>
          <cell r="M40" t="str">
            <v>visitor</v>
          </cell>
        </row>
        <row r="41">
          <cell r="E41" t="str">
            <v>0</v>
          </cell>
          <cell r="G41">
            <v>12</v>
          </cell>
          <cell r="L41" t="str">
            <v>School (with cafeteria, gym, and showers)</v>
          </cell>
          <cell r="M41" t="str">
            <v>with food vendor space</v>
          </cell>
        </row>
        <row r="42">
          <cell r="B42">
            <v>2</v>
          </cell>
          <cell r="E42">
            <v>5</v>
          </cell>
          <cell r="G42">
            <v>13</v>
          </cell>
          <cell r="L42" t="str">
            <v>School (with cafeteria, no gym and no showers)</v>
          </cell>
        </row>
        <row r="43">
          <cell r="B43">
            <v>2.5</v>
          </cell>
          <cell r="E43">
            <v>6</v>
          </cell>
          <cell r="G43">
            <v>14</v>
          </cell>
          <cell r="J43" t="str">
            <v>&lt;35%</v>
          </cell>
          <cell r="L43" t="str">
            <v>Shopping center</v>
          </cell>
        </row>
        <row r="44">
          <cell r="B44">
            <v>3</v>
          </cell>
          <cell r="C44">
            <v>1</v>
          </cell>
          <cell r="E44">
            <v>6.5</v>
          </cell>
          <cell r="G44">
            <v>15</v>
          </cell>
          <cell r="J44" t="str">
            <v>35-50%</v>
          </cell>
          <cell r="L44" t="str">
            <v>Stadium</v>
          </cell>
        </row>
        <row r="45">
          <cell r="C45">
            <v>2</v>
          </cell>
          <cell r="D45">
            <v>1.2</v>
          </cell>
          <cell r="E45">
            <v>10</v>
          </cell>
          <cell r="G45">
            <v>16</v>
          </cell>
          <cell r="J45" t="str">
            <v>&gt;50%</v>
          </cell>
          <cell r="L45" t="str">
            <v>Theater</v>
          </cell>
        </row>
        <row r="46">
          <cell r="C46">
            <v>2.5</v>
          </cell>
          <cell r="D46">
            <v>1</v>
          </cell>
          <cell r="G46">
            <v>17</v>
          </cell>
          <cell r="L46" t="str">
            <v>Visitor center</v>
          </cell>
        </row>
        <row r="47">
          <cell r="C47">
            <v>5</v>
          </cell>
          <cell r="D47">
            <v>1.6</v>
          </cell>
          <cell r="E47" t="str">
            <v>2/1</v>
          </cell>
          <cell r="G47">
            <v>18</v>
          </cell>
        </row>
        <row r="48">
          <cell r="B48" t="str">
            <v>Probe</v>
          </cell>
          <cell r="E48" t="str">
            <v>2/2</v>
          </cell>
          <cell r="G48">
            <v>19</v>
          </cell>
        </row>
        <row r="49">
          <cell r="B49" t="str">
            <v>Auger</v>
          </cell>
          <cell r="E49" t="str">
            <v>2.5/0</v>
          </cell>
          <cell r="G49">
            <v>20</v>
          </cell>
        </row>
        <row r="50">
          <cell r="B50" t="str">
            <v>Pit</v>
          </cell>
          <cell r="E50" t="str">
            <v>2.5/1</v>
          </cell>
          <cell r="J50" t="str">
            <v>Pressure distribution</v>
          </cell>
        </row>
        <row r="51">
          <cell r="D51" t="str">
            <v>10R</v>
          </cell>
          <cell r="E51" t="str">
            <v>2.5/2</v>
          </cell>
          <cell r="J51" t="str">
            <v>5 feet of separation</v>
          </cell>
        </row>
        <row r="52">
          <cell r="D52" t="str">
            <v>2.5YR</v>
          </cell>
          <cell r="E52" t="str">
            <v>2.5/3</v>
          </cell>
        </row>
        <row r="53">
          <cell r="D53" t="str">
            <v>5YR</v>
          </cell>
          <cell r="E53" t="str">
            <v>3/1</v>
          </cell>
        </row>
        <row r="54">
          <cell r="D54" t="str">
            <v>7.5YR</v>
          </cell>
          <cell r="E54" t="str">
            <v>3/2</v>
          </cell>
        </row>
        <row r="55">
          <cell r="D55" t="str">
            <v>10YR</v>
          </cell>
          <cell r="E55" t="str">
            <v>3/3</v>
          </cell>
        </row>
        <row r="56">
          <cell r="D56" t="str">
            <v>2.5Y</v>
          </cell>
          <cell r="E56" t="str">
            <v>3/4</v>
          </cell>
        </row>
        <row r="57">
          <cell r="D57" t="str">
            <v>5Y</v>
          </cell>
          <cell r="E57" t="str">
            <v>3/6</v>
          </cell>
        </row>
        <row r="58">
          <cell r="D58" t="str">
            <v>GLEY</v>
          </cell>
          <cell r="E58" t="str">
            <v>4/1</v>
          </cell>
        </row>
        <row r="59">
          <cell r="D59" t="str">
            <v>N</v>
          </cell>
          <cell r="E59" t="str">
            <v>4/2</v>
          </cell>
        </row>
        <row r="60">
          <cell r="B60" t="str">
            <v xml:space="preserve">Demand Dosing </v>
          </cell>
          <cell r="D60" t="str">
            <v>None</v>
          </cell>
          <cell r="E60" t="str">
            <v>4/3</v>
          </cell>
        </row>
        <row r="61">
          <cell r="B61" t="str">
            <v>Equalization/Time Dosing</v>
          </cell>
          <cell r="E61" t="str">
            <v>4/4</v>
          </cell>
        </row>
        <row r="62">
          <cell r="E62" t="str">
            <v>4/6</v>
          </cell>
          <cell r="F62" t="str">
            <v>Type I</v>
          </cell>
          <cell r="L62" t="str">
            <v>Trench</v>
          </cell>
        </row>
        <row r="63">
          <cell r="E63" t="str">
            <v>4/8</v>
          </cell>
          <cell r="F63" t="str">
            <v>Type II</v>
          </cell>
          <cell r="L63" t="str">
            <v>Bed</v>
          </cell>
        </row>
        <row r="64">
          <cell r="E64" t="str">
            <v>5/1</v>
          </cell>
          <cell r="F64" t="str">
            <v>Type III</v>
          </cell>
          <cell r="L64" t="str">
            <v>Mound</v>
          </cell>
        </row>
        <row r="65">
          <cell r="E65" t="str">
            <v>5/2</v>
          </cell>
          <cell r="F65" t="str">
            <v>Type IV</v>
          </cell>
          <cell r="L65" t="str">
            <v>At-Grade</v>
          </cell>
        </row>
        <row r="66">
          <cell r="E66" t="str">
            <v>5/3</v>
          </cell>
          <cell r="F66" t="str">
            <v>Type V</v>
          </cell>
          <cell r="L66" t="str">
            <v>Drip</v>
          </cell>
        </row>
        <row r="67">
          <cell r="E67" t="str">
            <v>5/4</v>
          </cell>
        </row>
        <row r="68">
          <cell r="E68" t="str">
            <v>5/6</v>
          </cell>
          <cell r="J68" t="str">
            <v>A</v>
          </cell>
        </row>
        <row r="69">
          <cell r="E69" t="str">
            <v>5/8</v>
          </cell>
          <cell r="J69" t="str">
            <v>A-2</v>
          </cell>
          <cell r="L69" t="str">
            <v>Gravity Distribution</v>
          </cell>
        </row>
        <row r="70">
          <cell r="E70" t="str">
            <v>6/1</v>
          </cell>
          <cell r="J70" t="str">
            <v>B</v>
          </cell>
          <cell r="L70" t="str">
            <v>Pressure Distribution-Level</v>
          </cell>
        </row>
        <row r="71">
          <cell r="E71" t="str">
            <v>6/2</v>
          </cell>
          <cell r="J71" t="str">
            <v>B-2</v>
          </cell>
          <cell r="L71" t="str">
            <v>Pressure Distribution-Unlevel</v>
          </cell>
        </row>
        <row r="72">
          <cell r="E72" t="str">
            <v>6/3</v>
          </cell>
          <cell r="J72" t="str">
            <v>C</v>
          </cell>
        </row>
        <row r="73">
          <cell r="E73" t="str">
            <v>6/4</v>
          </cell>
        </row>
        <row r="74">
          <cell r="E74" t="str">
            <v>6/6</v>
          </cell>
          <cell r="L74" t="str">
            <v>Gravity</v>
          </cell>
        </row>
        <row r="75">
          <cell r="E75" t="str">
            <v>6/8</v>
          </cell>
          <cell r="L75" t="str">
            <v>Pressure</v>
          </cell>
        </row>
        <row r="76">
          <cell r="E76" t="str">
            <v>7/1</v>
          </cell>
        </row>
        <row r="77">
          <cell r="E77" t="str">
            <v>7/2</v>
          </cell>
        </row>
        <row r="78">
          <cell r="E78" t="str">
            <v>7/3</v>
          </cell>
        </row>
        <row r="79">
          <cell r="E79" t="str">
            <v>7/4</v>
          </cell>
        </row>
        <row r="80">
          <cell r="E80" t="str">
            <v>7/6</v>
          </cell>
        </row>
        <row r="81">
          <cell r="E81" t="str">
            <v>7/8</v>
          </cell>
        </row>
        <row r="82">
          <cell r="E82" t="str">
            <v>8/1</v>
          </cell>
        </row>
        <row r="83">
          <cell r="E83" t="str">
            <v>8/2</v>
          </cell>
        </row>
        <row r="84">
          <cell r="E84" t="str">
            <v>8/3</v>
          </cell>
        </row>
        <row r="85">
          <cell r="E85" t="str">
            <v>8/4</v>
          </cell>
        </row>
        <row r="86">
          <cell r="E86" t="str">
            <v>8/6</v>
          </cell>
        </row>
        <row r="87">
          <cell r="E87" t="str">
            <v>8/8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tab Page"/>
      <sheetName val="Prelim"/>
      <sheetName val="Soil (1)"/>
      <sheetName val="Soil (2)"/>
      <sheetName val="Soil (3)"/>
      <sheetName val="Soil (4)"/>
      <sheetName val="Soil Chart"/>
      <sheetName val="Perc (1)"/>
      <sheetName val="Perc (2)"/>
      <sheetName val="Field"/>
      <sheetName val="Summary"/>
      <sheetName val="Trench"/>
      <sheetName val="Bed "/>
      <sheetName val="Mound&lt;1%"/>
      <sheetName val="Mound&gt;1%"/>
      <sheetName val="Mound Mat."/>
      <sheetName val="Pres. Dist."/>
      <sheetName val="Non-Level "/>
      <sheetName val="Pump-Basic(1) "/>
      <sheetName val="Pump Tank(1)Demand"/>
      <sheetName val="Pump-Tank(1)Time"/>
      <sheetName val="Pump-Basic(2)"/>
      <sheetName val="Pump Tank (2)Demand"/>
      <sheetName val="Pump Tank(2)Time"/>
      <sheetName val="Pump-Collection"/>
      <sheetName val="Flow EQ"/>
      <sheetName val="At-Grade"/>
      <sheetName val="Drip"/>
      <sheetName val="Sand Filter"/>
      <sheetName val="Existing Dwellings"/>
      <sheetName val="Measured Flow-OE"/>
      <sheetName val="Estimated Flow-OE"/>
      <sheetName val="Final Flow Total"/>
      <sheetName val="Flow &amp; System Summary"/>
      <sheetName val="Tank Buoyancy"/>
      <sheetName val="Tank Buoyancy (2)"/>
      <sheetName val="Waste Strengths"/>
      <sheetName val="Soil1"/>
      <sheetName val="Soil2"/>
      <sheetName val="Soil3"/>
      <sheetName val="Perc. Test"/>
      <sheetName val="Drop-Down 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2">
          <cell r="A2">
            <v>0</v>
          </cell>
          <cell r="B2" t="str">
            <v>Sand</v>
          </cell>
          <cell r="C2" t="str">
            <v>Linear, Linear</v>
          </cell>
          <cell r="G2">
            <v>4</v>
          </cell>
          <cell r="H2">
            <v>4</v>
          </cell>
          <cell r="I2">
            <v>1</v>
          </cell>
          <cell r="J2" t="str">
            <v>Rock</v>
          </cell>
          <cell r="L2" t="str">
            <v>Airport, bus station, rail depot</v>
          </cell>
        </row>
        <row r="3">
          <cell r="A3">
            <v>1</v>
          </cell>
          <cell r="B3" t="str">
            <v>Coarse Sand</v>
          </cell>
          <cell r="C3" t="str">
            <v>Linear, Concave</v>
          </cell>
          <cell r="D3" t="str">
            <v>Back/ Side Slope</v>
          </cell>
          <cell r="F3" t="str">
            <v>S1</v>
          </cell>
          <cell r="G3">
            <v>3.85</v>
          </cell>
          <cell r="H3">
            <v>4.17</v>
          </cell>
          <cell r="I3">
            <v>1.25</v>
          </cell>
          <cell r="J3" t="str">
            <v xml:space="preserve">Registered Product:  </v>
          </cell>
          <cell r="L3" t="str">
            <v>Assembly hall</v>
          </cell>
        </row>
        <row r="4">
          <cell r="A4">
            <v>2</v>
          </cell>
          <cell r="B4" t="str">
            <v>Loamy Sand</v>
          </cell>
          <cell r="C4" t="str">
            <v>Linear, Convex</v>
          </cell>
          <cell r="D4" t="str">
            <v>Foot Slope</v>
          </cell>
          <cell r="F4" t="str">
            <v>S2</v>
          </cell>
          <cell r="G4">
            <v>3.7</v>
          </cell>
          <cell r="H4">
            <v>4.3499999999999996</v>
          </cell>
          <cell r="I4">
            <v>1.5</v>
          </cell>
          <cell r="L4" t="str">
            <v>Bar or lounge (no meals)</v>
          </cell>
        </row>
        <row r="5">
          <cell r="A5">
            <v>3</v>
          </cell>
          <cell r="B5" t="str">
            <v>Loamy Coarse Sand</v>
          </cell>
          <cell r="C5" t="str">
            <v>Convex, Linear</v>
          </cell>
          <cell r="D5" t="str">
            <v>Plain</v>
          </cell>
          <cell r="F5" t="str">
            <v>S3</v>
          </cell>
          <cell r="G5">
            <v>3.57</v>
          </cell>
          <cell r="H5">
            <v>4.54</v>
          </cell>
          <cell r="I5">
            <v>2</v>
          </cell>
          <cell r="L5" t="str">
            <v>Barber shop*</v>
          </cell>
        </row>
        <row r="6">
          <cell r="A6">
            <v>4</v>
          </cell>
          <cell r="B6" t="str">
            <v>Fine Sand</v>
          </cell>
          <cell r="C6" t="str">
            <v>Convex, Convex</v>
          </cell>
          <cell r="D6" t="str">
            <v>Manmade</v>
          </cell>
          <cell r="F6" t="str">
            <v>S4</v>
          </cell>
          <cell r="G6">
            <v>3.45</v>
          </cell>
          <cell r="H6">
            <v>4.76</v>
          </cell>
          <cell r="I6">
            <v>3</v>
          </cell>
          <cell r="J6" t="str">
            <v>I</v>
          </cell>
          <cell r="L6" t="str">
            <v>Beauty salon*</v>
          </cell>
        </row>
        <row r="7">
          <cell r="A7">
            <v>5</v>
          </cell>
          <cell r="B7" t="str">
            <v>Very Fine Sand</v>
          </cell>
          <cell r="C7" t="str">
            <v>Convex, Concave</v>
          </cell>
          <cell r="D7" t="str">
            <v>Stream/Terrace</v>
          </cell>
          <cell r="F7" t="str">
            <v>T1</v>
          </cell>
          <cell r="G7">
            <v>3.33</v>
          </cell>
          <cell r="H7">
            <v>5</v>
          </cell>
          <cell r="I7">
            <v>4</v>
          </cell>
          <cell r="J7" t="str">
            <v>II</v>
          </cell>
          <cell r="L7" t="str">
            <v>Industrial building*</v>
          </cell>
        </row>
        <row r="8">
          <cell r="A8">
            <v>6</v>
          </cell>
          <cell r="B8" t="str">
            <v>Loamy Fine Sand</v>
          </cell>
          <cell r="C8" t="str">
            <v>Concave, Convex</v>
          </cell>
          <cell r="D8" t="str">
            <v>Shoulder</v>
          </cell>
          <cell r="F8" t="str">
            <v>T2</v>
          </cell>
          <cell r="G8">
            <v>3.23</v>
          </cell>
          <cell r="H8">
            <v>5.26</v>
          </cell>
          <cell r="I8">
            <v>6</v>
          </cell>
          <cell r="J8" t="str">
            <v>III</v>
          </cell>
          <cell r="L8" t="str">
            <v>Bowling alley</v>
          </cell>
        </row>
        <row r="9">
          <cell r="A9">
            <v>7</v>
          </cell>
          <cell r="B9" t="str">
            <v>Loamy Very Fine Sand</v>
          </cell>
          <cell r="C9" t="str">
            <v>Concave, Concave</v>
          </cell>
          <cell r="D9" t="str">
            <v>Summit</v>
          </cell>
          <cell r="F9" t="str">
            <v>T3</v>
          </cell>
          <cell r="G9">
            <v>3.12</v>
          </cell>
          <cell r="H9">
            <v>5.56</v>
          </cell>
          <cell r="J9" t="str">
            <v>IV</v>
          </cell>
          <cell r="L9" t="str">
            <v>Cabin, resort</v>
          </cell>
        </row>
        <row r="10">
          <cell r="A10">
            <v>8</v>
          </cell>
          <cell r="B10" t="str">
            <v>Sandy Loam</v>
          </cell>
          <cell r="C10" t="str">
            <v>Concave, Linear</v>
          </cell>
          <cell r="D10" t="str">
            <v>Toe Slope</v>
          </cell>
          <cell r="F10" t="str">
            <v>T4</v>
          </cell>
          <cell r="G10">
            <v>3.03</v>
          </cell>
          <cell r="H10">
            <v>5.88</v>
          </cell>
          <cell r="L10" t="str">
            <v>Cafeteria</v>
          </cell>
        </row>
        <row r="11">
          <cell r="A11">
            <v>9</v>
          </cell>
          <cell r="B11" t="str">
            <v>Coarse Sandy Loam</v>
          </cell>
          <cell r="F11" t="str">
            <v>T5</v>
          </cell>
          <cell r="G11">
            <v>2.94</v>
          </cell>
          <cell r="H11">
            <v>6.25</v>
          </cell>
          <cell r="L11" t="str">
            <v>Camp, day without meals</v>
          </cell>
        </row>
        <row r="12">
          <cell r="A12">
            <v>10</v>
          </cell>
          <cell r="B12" t="str">
            <v>Loam</v>
          </cell>
          <cell r="D12" t="str">
            <v>Single grain</v>
          </cell>
          <cell r="F12" t="str">
            <v>T6</v>
          </cell>
          <cell r="G12">
            <v>2.86</v>
          </cell>
          <cell r="H12">
            <v>6.67</v>
          </cell>
          <cell r="L12" t="str">
            <v>Camp, day and night with meals</v>
          </cell>
        </row>
        <row r="13">
          <cell r="A13">
            <v>11</v>
          </cell>
          <cell r="B13" t="str">
            <v>Fine Sandy Loam</v>
          </cell>
          <cell r="D13" t="str">
            <v>Granular</v>
          </cell>
          <cell r="F13" t="str">
            <v>S1, T2</v>
          </cell>
          <cell r="G13">
            <v>2.78</v>
          </cell>
          <cell r="H13">
            <v>7.14</v>
          </cell>
          <cell r="L13" t="str">
            <v>Camp, day with meals</v>
          </cell>
        </row>
        <row r="14">
          <cell r="A14">
            <v>12</v>
          </cell>
          <cell r="B14" t="str">
            <v>Very Fine Sandy Loam</v>
          </cell>
          <cell r="D14" t="str">
            <v>Platy</v>
          </cell>
          <cell r="F14" t="str">
            <v>S1, T3</v>
          </cell>
          <cell r="G14">
            <v>2.7</v>
          </cell>
          <cell r="H14">
            <v>7.69</v>
          </cell>
          <cell r="L14" t="str">
            <v>Industrial building*</v>
          </cell>
        </row>
        <row r="15">
          <cell r="A15">
            <v>13</v>
          </cell>
          <cell r="B15" t="str">
            <v>Silt Loam</v>
          </cell>
          <cell r="D15" t="str">
            <v>Blocky</v>
          </cell>
          <cell r="F15" t="str">
            <v>S1, T4</v>
          </cell>
          <cell r="G15">
            <v>2.62</v>
          </cell>
          <cell r="H15">
            <v>8.2899999999999991</v>
          </cell>
          <cell r="L15" t="str">
            <v>Industrial building*</v>
          </cell>
        </row>
        <row r="16">
          <cell r="A16">
            <v>14</v>
          </cell>
          <cell r="B16" t="str">
            <v>Silt</v>
          </cell>
          <cell r="D16" t="str">
            <v>Prismatic</v>
          </cell>
          <cell r="F16" t="str">
            <v>S1, T5</v>
          </cell>
          <cell r="G16">
            <v>2.5499999999999998</v>
          </cell>
          <cell r="H16">
            <v>8.9149999999999991</v>
          </cell>
          <cell r="L16" t="str">
            <v>Institutional meals</v>
          </cell>
        </row>
        <row r="17">
          <cell r="A17">
            <v>15</v>
          </cell>
          <cell r="B17" t="str">
            <v>Clay Loam</v>
          </cell>
          <cell r="D17" t="str">
            <v>Massive</v>
          </cell>
          <cell r="F17" t="str">
            <v>S1, T6</v>
          </cell>
          <cell r="G17">
            <v>2.48</v>
          </cell>
          <cell r="H17">
            <v>9.5649999999999995</v>
          </cell>
          <cell r="L17" t="str">
            <v>Labor camp</v>
          </cell>
        </row>
        <row r="18">
          <cell r="A18">
            <v>16</v>
          </cell>
          <cell r="B18" t="str">
            <v>Sandy Clay Loam</v>
          </cell>
          <cell r="F18" t="str">
            <v>S2, T2</v>
          </cell>
          <cell r="G18">
            <v>2.41</v>
          </cell>
          <cell r="H18">
            <v>10.24</v>
          </cell>
          <cell r="L18" t="str">
            <v>Labor camp (semi permanent)</v>
          </cell>
        </row>
        <row r="19">
          <cell r="A19">
            <v>17</v>
          </cell>
          <cell r="B19" t="str">
            <v>Silty Clay Loam</v>
          </cell>
          <cell r="F19" t="str">
            <v>S2, T3</v>
          </cell>
          <cell r="G19">
            <v>2.35</v>
          </cell>
          <cell r="H19">
            <v>10.94</v>
          </cell>
          <cell r="L19" t="str">
            <v>Laundromat</v>
          </cell>
        </row>
        <row r="20">
          <cell r="A20">
            <v>18</v>
          </cell>
          <cell r="B20" t="str">
            <v>Sandy Clay</v>
          </cell>
          <cell r="D20" t="str">
            <v>Loose</v>
          </cell>
          <cell r="F20" t="str">
            <v>S2, T4</v>
          </cell>
          <cell r="G20">
            <v>2.29</v>
          </cell>
          <cell r="H20">
            <v>11.664999999999999</v>
          </cell>
          <cell r="L20" t="str">
            <v>Medical office*</v>
          </cell>
        </row>
        <row r="21">
          <cell r="A21">
            <v>19</v>
          </cell>
          <cell r="B21" t="str">
            <v>Silty Clay</v>
          </cell>
          <cell r="D21" t="str">
            <v>Friable</v>
          </cell>
          <cell r="F21" t="str">
            <v>S2, T5</v>
          </cell>
          <cell r="G21">
            <v>2.23</v>
          </cell>
          <cell r="H21">
            <v>12.414999999999999</v>
          </cell>
          <cell r="L21" t="str">
            <v>Mental health hospital*</v>
          </cell>
        </row>
        <row r="22">
          <cell r="A22">
            <v>20</v>
          </cell>
          <cell r="B22" t="str">
            <v>Clay</v>
          </cell>
          <cell r="C22" t="str">
            <v>Structureless</v>
          </cell>
          <cell r="D22" t="str">
            <v>Firm</v>
          </cell>
          <cell r="F22" t="str">
            <v>S2, T6</v>
          </cell>
          <cell r="G22">
            <v>2.1800000000000002</v>
          </cell>
          <cell r="H22">
            <v>13.19</v>
          </cell>
          <cell r="L22" t="str">
            <v>Motel</v>
          </cell>
        </row>
        <row r="23">
          <cell r="A23">
            <v>21</v>
          </cell>
          <cell r="B23" t="str">
            <v>Bedrock</v>
          </cell>
          <cell r="C23" t="str">
            <v>Weak</v>
          </cell>
          <cell r="D23" t="str">
            <v>Extremely Firm</v>
          </cell>
          <cell r="F23" t="str">
            <v>S3, T1</v>
          </cell>
          <cell r="G23">
            <v>2.13</v>
          </cell>
          <cell r="H23">
            <v>13.99</v>
          </cell>
          <cell r="L23" t="str">
            <v>Nursing home, other adult congregate living</v>
          </cell>
        </row>
        <row r="24">
          <cell r="A24">
            <v>22</v>
          </cell>
          <cell r="B24" t="str">
            <v>Organic</v>
          </cell>
          <cell r="C24" t="str">
            <v>Moderate</v>
          </cell>
          <cell r="D24" t="str">
            <v>Rigid</v>
          </cell>
          <cell r="F24" t="str">
            <v>S3, T2</v>
          </cell>
          <cell r="G24">
            <v>2.08</v>
          </cell>
          <cell r="H24">
            <v>14.815</v>
          </cell>
          <cell r="L24" t="str">
            <v>Office</v>
          </cell>
        </row>
        <row r="25">
          <cell r="A25">
            <v>23</v>
          </cell>
          <cell r="B25" t="str">
            <v>Fill Soil</v>
          </cell>
          <cell r="C25" t="str">
            <v>Strong</v>
          </cell>
          <cell r="F25" t="str">
            <v>S3, T3</v>
          </cell>
          <cell r="G25">
            <v>2.0299999999999998</v>
          </cell>
          <cell r="H25">
            <v>15.664999999999999</v>
          </cell>
          <cell r="L25" t="str">
            <v>Other public institution</v>
          </cell>
        </row>
        <row r="26">
          <cell r="A26">
            <v>24</v>
          </cell>
          <cell r="F26" t="str">
            <v>S3, T4</v>
          </cell>
          <cell r="G26">
            <v>1.98</v>
          </cell>
          <cell r="H26">
            <v>16.54</v>
          </cell>
          <cell r="L26" t="str">
            <v>Park or   swimming pool</v>
          </cell>
        </row>
        <row r="27">
          <cell r="A27">
            <v>25</v>
          </cell>
          <cell r="D27" t="str">
            <v>1/8</v>
          </cell>
          <cell r="F27" t="str">
            <v>S3, T5</v>
          </cell>
          <cell r="G27">
            <v>1.93</v>
          </cell>
          <cell r="H27">
            <v>17.440000000000001</v>
          </cell>
          <cell r="L27" t="str">
            <v>Permanent mobile  home</v>
          </cell>
        </row>
        <row r="28">
          <cell r="A28">
            <v>26</v>
          </cell>
          <cell r="C28">
            <v>0.3</v>
          </cell>
          <cell r="D28" t="str">
            <v>3/16</v>
          </cell>
          <cell r="F28" t="str">
            <v>S3, T6</v>
          </cell>
          <cell r="L28" t="str">
            <v>Prison or jail</v>
          </cell>
        </row>
        <row r="29">
          <cell r="A29">
            <v>27</v>
          </cell>
          <cell r="C29">
            <v>0.42</v>
          </cell>
          <cell r="D29" t="str">
            <v>7/32</v>
          </cell>
          <cell r="F29" t="str">
            <v>S4, T1</v>
          </cell>
          <cell r="L29" t="str">
            <v>Public lavatory</v>
          </cell>
        </row>
        <row r="30">
          <cell r="A30">
            <v>28</v>
          </cell>
          <cell r="B30">
            <v>2</v>
          </cell>
          <cell r="C30">
            <v>0.45</v>
          </cell>
          <cell r="D30" t="str">
            <v>1/4</v>
          </cell>
          <cell r="F30" t="str">
            <v>S4, T2</v>
          </cell>
          <cell r="G30">
            <v>1</v>
          </cell>
          <cell r="H30" t="str">
            <v>Yes</v>
          </cell>
          <cell r="L30" t="str">
            <v>Public shower</v>
          </cell>
        </row>
        <row r="31">
          <cell r="A31">
            <v>29</v>
          </cell>
          <cell r="B31">
            <v>3</v>
          </cell>
          <cell r="C31">
            <v>0.5</v>
          </cell>
          <cell r="F31" t="str">
            <v>S4, T3</v>
          </cell>
          <cell r="G31">
            <v>2</v>
          </cell>
          <cell r="H31" t="str">
            <v>No</v>
          </cell>
          <cell r="L31" t="str">
            <v>Resort</v>
          </cell>
        </row>
        <row r="32">
          <cell r="A32">
            <v>30</v>
          </cell>
          <cell r="C32">
            <v>0.52</v>
          </cell>
          <cell r="F32" t="str">
            <v>S4, T4</v>
          </cell>
          <cell r="G32">
            <v>3</v>
          </cell>
          <cell r="L32" t="str">
            <v>Restaurant (carry  out including caterers)</v>
          </cell>
        </row>
        <row r="33">
          <cell r="C33">
            <v>0.6</v>
          </cell>
          <cell r="D33" t="str">
            <v>1/8</v>
          </cell>
          <cell r="F33" t="str">
            <v>S4, T5</v>
          </cell>
          <cell r="G33">
            <v>4</v>
          </cell>
          <cell r="L33" t="str">
            <v>Restaurant (does not include bar or lounge)</v>
          </cell>
        </row>
        <row r="34">
          <cell r="C34">
            <v>0.65</v>
          </cell>
          <cell r="D34" t="str">
            <v>1/16</v>
          </cell>
          <cell r="F34" t="str">
            <v>S4, T6</v>
          </cell>
          <cell r="G34">
            <v>5</v>
          </cell>
          <cell r="L34" t="str">
            <v>Restaurant (drive‑ in)</v>
          </cell>
        </row>
        <row r="35">
          <cell r="A35">
            <v>2</v>
          </cell>
          <cell r="C35">
            <v>0.68</v>
          </cell>
          <cell r="E35" t="str">
            <v>Drainfield rock</v>
          </cell>
          <cell r="G35">
            <v>6</v>
          </cell>
          <cell r="L35" t="str">
            <v>Restaurant (short  order)</v>
          </cell>
        </row>
        <row r="36">
          <cell r="A36">
            <v>3</v>
          </cell>
          <cell r="C36">
            <v>0.78</v>
          </cell>
          <cell r="E36" t="str">
            <v>Drainfield rock &amp; pea gravel</v>
          </cell>
          <cell r="G36">
            <v>7</v>
          </cell>
          <cell r="L36" t="str">
            <v>Retail resort store</v>
          </cell>
        </row>
        <row r="37">
          <cell r="A37">
            <v>4</v>
          </cell>
          <cell r="C37">
            <v>0.87</v>
          </cell>
          <cell r="D37">
            <v>1</v>
          </cell>
          <cell r="E37" t="str">
            <v>Sand</v>
          </cell>
          <cell r="G37">
            <v>8</v>
          </cell>
          <cell r="L37" t="str">
            <v>Retail store</v>
          </cell>
        </row>
        <row r="38">
          <cell r="A38">
            <v>5</v>
          </cell>
          <cell r="C38">
            <v>1</v>
          </cell>
          <cell r="D38">
            <v>0.45</v>
          </cell>
          <cell r="E38" t="str">
            <v>Other</v>
          </cell>
          <cell r="G38">
            <v>9</v>
          </cell>
          <cell r="L38" t="str">
            <v>Rooming house</v>
          </cell>
        </row>
        <row r="39">
          <cell r="A39">
            <v>6</v>
          </cell>
          <cell r="C39">
            <v>1.2</v>
          </cell>
          <cell r="G39">
            <v>10</v>
          </cell>
          <cell r="L39" t="str">
            <v>School (boarding)</v>
          </cell>
        </row>
        <row r="40">
          <cell r="A40">
            <v>7</v>
          </cell>
          <cell r="C40">
            <v>1.6</v>
          </cell>
          <cell r="G40">
            <v>11</v>
          </cell>
          <cell r="L40" t="str">
            <v>School (no gym, no cafeteria, and no showers)</v>
          </cell>
        </row>
        <row r="41">
          <cell r="A41">
            <v>8</v>
          </cell>
          <cell r="E41" t="str">
            <v>0</v>
          </cell>
          <cell r="G41">
            <v>12</v>
          </cell>
          <cell r="L41" t="str">
            <v>School (with cafeteria, gym, and showers)</v>
          </cell>
        </row>
        <row r="42">
          <cell r="A42">
            <v>9</v>
          </cell>
          <cell r="B42">
            <v>2</v>
          </cell>
          <cell r="E42">
            <v>5</v>
          </cell>
          <cell r="G42">
            <v>13</v>
          </cell>
          <cell r="L42" t="str">
            <v>School (with cafeteria, no gym and no showers)</v>
          </cell>
        </row>
        <row r="43">
          <cell r="B43">
            <v>2.5</v>
          </cell>
          <cell r="E43">
            <v>6</v>
          </cell>
          <cell r="G43">
            <v>14</v>
          </cell>
          <cell r="J43" t="str">
            <v>&lt;35%</v>
          </cell>
          <cell r="L43" t="str">
            <v>Shopping center</v>
          </cell>
        </row>
        <row r="44">
          <cell r="B44">
            <v>3</v>
          </cell>
          <cell r="C44">
            <v>1</v>
          </cell>
          <cell r="E44">
            <v>6.5</v>
          </cell>
          <cell r="G44">
            <v>15</v>
          </cell>
          <cell r="J44" t="str">
            <v>35-50%</v>
          </cell>
          <cell r="L44" t="str">
            <v>Stadium</v>
          </cell>
        </row>
        <row r="45">
          <cell r="C45">
            <v>2</v>
          </cell>
          <cell r="D45">
            <v>1.2</v>
          </cell>
          <cell r="E45">
            <v>10</v>
          </cell>
          <cell r="G45">
            <v>16</v>
          </cell>
          <cell r="J45" t="str">
            <v>&gt;50%</v>
          </cell>
          <cell r="L45" t="str">
            <v>Theater</v>
          </cell>
        </row>
        <row r="46">
          <cell r="C46">
            <v>2.5</v>
          </cell>
          <cell r="D46">
            <v>1</v>
          </cell>
          <cell r="G46">
            <v>17</v>
          </cell>
          <cell r="L46" t="str">
            <v>Visitor center</v>
          </cell>
        </row>
        <row r="47">
          <cell r="C47">
            <v>5</v>
          </cell>
          <cell r="D47">
            <v>1.6</v>
          </cell>
          <cell r="E47" t="str">
            <v>2/1</v>
          </cell>
          <cell r="G47">
            <v>18</v>
          </cell>
        </row>
        <row r="48">
          <cell r="B48" t="str">
            <v>Probe</v>
          </cell>
          <cell r="E48" t="str">
            <v>2/2</v>
          </cell>
          <cell r="G48">
            <v>19</v>
          </cell>
        </row>
        <row r="49">
          <cell r="B49" t="str">
            <v>Auger</v>
          </cell>
          <cell r="E49" t="str">
            <v>2.5/0</v>
          </cell>
          <cell r="G49">
            <v>20</v>
          </cell>
          <cell r="J49" t="str">
            <v>Pressure distribution</v>
          </cell>
        </row>
        <row r="50">
          <cell r="B50" t="str">
            <v>Soil Pit</v>
          </cell>
          <cell r="E50" t="str">
            <v>2.5/1</v>
          </cell>
          <cell r="J50" t="str">
            <v>5 feet of separation</v>
          </cell>
        </row>
        <row r="51">
          <cell r="D51" t="str">
            <v>10R</v>
          </cell>
          <cell r="E51" t="str">
            <v>2.5/2</v>
          </cell>
        </row>
        <row r="52">
          <cell r="D52" t="str">
            <v>2.5YR</v>
          </cell>
          <cell r="E52" t="str">
            <v>2.5/3</v>
          </cell>
        </row>
        <row r="53">
          <cell r="D53" t="str">
            <v>5YR</v>
          </cell>
          <cell r="E53" t="str">
            <v>3/1</v>
          </cell>
        </row>
        <row r="54">
          <cell r="D54" t="str">
            <v>7.5YR</v>
          </cell>
          <cell r="E54" t="str">
            <v>3/2</v>
          </cell>
        </row>
        <row r="55">
          <cell r="D55" t="str">
            <v>10YR</v>
          </cell>
          <cell r="E55" t="str">
            <v>3/3</v>
          </cell>
        </row>
        <row r="56">
          <cell r="D56" t="str">
            <v>2.5Y</v>
          </cell>
          <cell r="E56" t="str">
            <v>3/4</v>
          </cell>
        </row>
        <row r="57">
          <cell r="D57" t="str">
            <v>5Y</v>
          </cell>
          <cell r="E57" t="str">
            <v>3/6</v>
          </cell>
        </row>
        <row r="58">
          <cell r="D58" t="str">
            <v>GLEY</v>
          </cell>
          <cell r="E58" t="str">
            <v>4/1</v>
          </cell>
        </row>
        <row r="59">
          <cell r="D59" t="str">
            <v>N</v>
          </cell>
          <cell r="E59" t="str">
            <v>4/2</v>
          </cell>
        </row>
        <row r="60">
          <cell r="B60" t="str">
            <v xml:space="preserve">Demand Dosing </v>
          </cell>
          <cell r="D60" t="str">
            <v>None</v>
          </cell>
          <cell r="E60" t="str">
            <v>4/3</v>
          </cell>
        </row>
        <row r="61">
          <cell r="B61" t="str">
            <v>Equalization/Time Dosing</v>
          </cell>
          <cell r="E61" t="str">
            <v>4/4</v>
          </cell>
        </row>
        <row r="62">
          <cell r="E62" t="str">
            <v>4/6</v>
          </cell>
          <cell r="F62" t="str">
            <v>Type I</v>
          </cell>
          <cell r="L62" t="str">
            <v>Trench</v>
          </cell>
        </row>
        <row r="63">
          <cell r="E63" t="str">
            <v>4/8</v>
          </cell>
          <cell r="F63" t="str">
            <v>Type II</v>
          </cell>
          <cell r="L63" t="str">
            <v>Bed</v>
          </cell>
        </row>
        <row r="64">
          <cell r="E64" t="str">
            <v>5/1</v>
          </cell>
          <cell r="F64" t="str">
            <v>Type III</v>
          </cell>
          <cell r="L64" t="str">
            <v>Mound</v>
          </cell>
        </row>
        <row r="65">
          <cell r="E65" t="str">
            <v>5/2</v>
          </cell>
          <cell r="F65" t="str">
            <v>Type IV</v>
          </cell>
          <cell r="L65" t="str">
            <v>At-Grade</v>
          </cell>
        </row>
        <row r="66">
          <cell r="E66" t="str">
            <v>5/3</v>
          </cell>
          <cell r="F66" t="str">
            <v>Type V</v>
          </cell>
          <cell r="L66" t="str">
            <v>Drip</v>
          </cell>
        </row>
        <row r="67">
          <cell r="E67" t="str">
            <v>5/4</v>
          </cell>
          <cell r="J67" t="str">
            <v>A</v>
          </cell>
        </row>
        <row r="68">
          <cell r="E68" t="str">
            <v>5/6</v>
          </cell>
          <cell r="J68" t="str">
            <v>A-2</v>
          </cell>
        </row>
        <row r="69">
          <cell r="E69" t="str">
            <v>5/8</v>
          </cell>
          <cell r="J69" t="str">
            <v>B</v>
          </cell>
          <cell r="L69" t="str">
            <v>Gravity Distribution</v>
          </cell>
        </row>
        <row r="70">
          <cell r="E70" t="str">
            <v>6/1</v>
          </cell>
          <cell r="J70" t="str">
            <v>B-2</v>
          </cell>
          <cell r="L70" t="str">
            <v>Pressure Distribution-Level</v>
          </cell>
        </row>
        <row r="71">
          <cell r="E71" t="str">
            <v>6/2</v>
          </cell>
          <cell r="J71" t="str">
            <v>C</v>
          </cell>
          <cell r="L71" t="str">
            <v>Pressure Distribution-Unlevel</v>
          </cell>
        </row>
        <row r="72">
          <cell r="E72" t="str">
            <v>6/3</v>
          </cell>
        </row>
        <row r="73">
          <cell r="E73" t="str">
            <v>6/4</v>
          </cell>
        </row>
        <row r="74">
          <cell r="E74" t="str">
            <v>6/6</v>
          </cell>
          <cell r="L74" t="str">
            <v>Gravity</v>
          </cell>
        </row>
        <row r="75">
          <cell r="E75" t="str">
            <v>6/8</v>
          </cell>
          <cell r="L75" t="str">
            <v>Pressure</v>
          </cell>
        </row>
        <row r="76">
          <cell r="E76" t="str">
            <v>7/1</v>
          </cell>
        </row>
        <row r="77">
          <cell r="E77" t="str">
            <v>7/2</v>
          </cell>
        </row>
        <row r="78">
          <cell r="E78" t="str">
            <v>7/3</v>
          </cell>
        </row>
        <row r="79">
          <cell r="E79" t="str">
            <v>7/4</v>
          </cell>
        </row>
        <row r="80">
          <cell r="E80" t="str">
            <v>7/6</v>
          </cell>
        </row>
        <row r="81">
          <cell r="E81" t="str">
            <v>7/8</v>
          </cell>
        </row>
        <row r="82">
          <cell r="E82" t="str">
            <v>8/1</v>
          </cell>
        </row>
        <row r="83">
          <cell r="E83" t="str">
            <v>8/2</v>
          </cell>
        </row>
        <row r="84">
          <cell r="E84" t="str">
            <v>8/3</v>
          </cell>
        </row>
        <row r="85">
          <cell r="E85" t="str">
            <v>8/4</v>
          </cell>
        </row>
        <row r="86">
          <cell r="E86" t="str">
            <v>8/6</v>
          </cell>
        </row>
        <row r="87">
          <cell r="E87" t="str">
            <v>8/8</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lim"/>
      <sheetName val="Field"/>
      <sheetName val="Soil1"/>
      <sheetName val="Soil1 (2)"/>
      <sheetName val="Summary"/>
      <sheetName val="Measured Flow-OE"/>
      <sheetName val="Bed "/>
      <sheetName val="Pres. Dist."/>
      <sheetName val="Pump-Basic "/>
      <sheetName val="Pump Tank Demand"/>
      <sheetName val="Pump-Tank Time"/>
      <sheetName val="Drop-Down List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ow r="13">
          <cell r="C13" t="str">
            <v>Concentrations</v>
          </cell>
        </row>
        <row r="14">
          <cell r="C14" t="str">
            <v>Depletions</v>
          </cell>
        </row>
        <row r="15">
          <cell r="C15" t="str">
            <v>Gleyed</v>
          </cell>
        </row>
        <row r="16">
          <cell r="C16" t="str">
            <v>Concentrations, gleyed</v>
          </cell>
        </row>
        <row r="17">
          <cell r="C17" t="str">
            <v>Depletions, gleyed</v>
          </cell>
        </row>
        <row r="18">
          <cell r="C18" t="str">
            <v>Concentrations, depletions, gleyed</v>
          </cell>
        </row>
        <row r="19">
          <cell r="C19" t="str">
            <v>Concentrations, depletions</v>
          </cell>
        </row>
        <row r="74">
          <cell r="J74" t="str">
            <v>Residential</v>
          </cell>
        </row>
        <row r="75">
          <cell r="J75" t="str">
            <v>Other Est. - At-Risk</v>
          </cell>
        </row>
        <row r="76">
          <cell r="J76" t="str">
            <v>Other Est. - HSW</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76.xml"/><Relationship Id="rId3" Type="http://schemas.openxmlformats.org/officeDocument/2006/relationships/vmlDrawing" Target="../drawings/vmlDrawing11.vml"/><Relationship Id="rId7" Type="http://schemas.openxmlformats.org/officeDocument/2006/relationships/ctrlProp" Target="../ctrlProps/ctrlProp75.xml"/><Relationship Id="rId2" Type="http://schemas.openxmlformats.org/officeDocument/2006/relationships/drawing" Target="../drawings/drawing8.xml"/><Relationship Id="rId1" Type="http://schemas.openxmlformats.org/officeDocument/2006/relationships/printerSettings" Target="../printerSettings/printerSettings14.bin"/><Relationship Id="rId6" Type="http://schemas.openxmlformats.org/officeDocument/2006/relationships/ctrlProp" Target="../ctrlProps/ctrlProp74.xml"/><Relationship Id="rId5" Type="http://schemas.openxmlformats.org/officeDocument/2006/relationships/ctrlProp" Target="../ctrlProps/ctrlProp73.xml"/><Relationship Id="rId10" Type="http://schemas.openxmlformats.org/officeDocument/2006/relationships/ctrlProp" Target="../ctrlProps/ctrlProp78.xml"/><Relationship Id="rId4" Type="http://schemas.openxmlformats.org/officeDocument/2006/relationships/ctrlProp" Target="../ctrlProps/ctrlProp72.xml"/><Relationship Id="rId9" Type="http://schemas.openxmlformats.org/officeDocument/2006/relationships/ctrlProp" Target="../ctrlProps/ctrlProp7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9.xml"/><Relationship Id="rId1" Type="http://schemas.openxmlformats.org/officeDocument/2006/relationships/printerSettings" Target="../printerSettings/printerSettings15.bin"/><Relationship Id="rId5" Type="http://schemas.openxmlformats.org/officeDocument/2006/relationships/image" Target="../media/image9.emf"/><Relationship Id="rId4" Type="http://schemas.openxmlformats.org/officeDocument/2006/relationships/oleObject" Target="../embeddings/oleObject1.bin"/></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83.xml"/><Relationship Id="rId13" Type="http://schemas.openxmlformats.org/officeDocument/2006/relationships/ctrlProp" Target="../ctrlProps/ctrlProp88.xml"/><Relationship Id="rId18" Type="http://schemas.openxmlformats.org/officeDocument/2006/relationships/ctrlProp" Target="../ctrlProps/ctrlProp93.xml"/><Relationship Id="rId26" Type="http://schemas.openxmlformats.org/officeDocument/2006/relationships/ctrlProp" Target="../ctrlProps/ctrlProp101.xml"/><Relationship Id="rId3" Type="http://schemas.openxmlformats.org/officeDocument/2006/relationships/vmlDrawing" Target="../drawings/vmlDrawing13.vml"/><Relationship Id="rId21" Type="http://schemas.openxmlformats.org/officeDocument/2006/relationships/ctrlProp" Target="../ctrlProps/ctrlProp96.xml"/><Relationship Id="rId7" Type="http://schemas.openxmlformats.org/officeDocument/2006/relationships/ctrlProp" Target="../ctrlProps/ctrlProp82.xml"/><Relationship Id="rId12" Type="http://schemas.openxmlformats.org/officeDocument/2006/relationships/ctrlProp" Target="../ctrlProps/ctrlProp87.xml"/><Relationship Id="rId17" Type="http://schemas.openxmlformats.org/officeDocument/2006/relationships/ctrlProp" Target="../ctrlProps/ctrlProp92.xml"/><Relationship Id="rId25" Type="http://schemas.openxmlformats.org/officeDocument/2006/relationships/ctrlProp" Target="../ctrlProps/ctrlProp100.xml"/><Relationship Id="rId33" Type="http://schemas.openxmlformats.org/officeDocument/2006/relationships/ctrlProp" Target="../ctrlProps/ctrlProp108.xml"/><Relationship Id="rId2" Type="http://schemas.openxmlformats.org/officeDocument/2006/relationships/drawing" Target="../drawings/drawing10.xml"/><Relationship Id="rId16" Type="http://schemas.openxmlformats.org/officeDocument/2006/relationships/ctrlProp" Target="../ctrlProps/ctrlProp91.xml"/><Relationship Id="rId20" Type="http://schemas.openxmlformats.org/officeDocument/2006/relationships/ctrlProp" Target="../ctrlProps/ctrlProp95.xml"/><Relationship Id="rId29" Type="http://schemas.openxmlformats.org/officeDocument/2006/relationships/ctrlProp" Target="../ctrlProps/ctrlProp104.xml"/><Relationship Id="rId1" Type="http://schemas.openxmlformats.org/officeDocument/2006/relationships/printerSettings" Target="../printerSettings/printerSettings16.bin"/><Relationship Id="rId6" Type="http://schemas.openxmlformats.org/officeDocument/2006/relationships/ctrlProp" Target="../ctrlProps/ctrlProp81.xml"/><Relationship Id="rId11" Type="http://schemas.openxmlformats.org/officeDocument/2006/relationships/ctrlProp" Target="../ctrlProps/ctrlProp86.xml"/><Relationship Id="rId24" Type="http://schemas.openxmlformats.org/officeDocument/2006/relationships/ctrlProp" Target="../ctrlProps/ctrlProp99.xml"/><Relationship Id="rId32" Type="http://schemas.openxmlformats.org/officeDocument/2006/relationships/ctrlProp" Target="../ctrlProps/ctrlProp107.xml"/><Relationship Id="rId5" Type="http://schemas.openxmlformats.org/officeDocument/2006/relationships/ctrlProp" Target="../ctrlProps/ctrlProp80.xml"/><Relationship Id="rId15" Type="http://schemas.openxmlformats.org/officeDocument/2006/relationships/ctrlProp" Target="../ctrlProps/ctrlProp90.xml"/><Relationship Id="rId23" Type="http://schemas.openxmlformats.org/officeDocument/2006/relationships/ctrlProp" Target="../ctrlProps/ctrlProp98.xml"/><Relationship Id="rId28" Type="http://schemas.openxmlformats.org/officeDocument/2006/relationships/ctrlProp" Target="../ctrlProps/ctrlProp103.xml"/><Relationship Id="rId10" Type="http://schemas.openxmlformats.org/officeDocument/2006/relationships/ctrlProp" Target="../ctrlProps/ctrlProp85.xml"/><Relationship Id="rId19" Type="http://schemas.openxmlformats.org/officeDocument/2006/relationships/ctrlProp" Target="../ctrlProps/ctrlProp94.xml"/><Relationship Id="rId31" Type="http://schemas.openxmlformats.org/officeDocument/2006/relationships/ctrlProp" Target="../ctrlProps/ctrlProp106.xml"/><Relationship Id="rId4" Type="http://schemas.openxmlformats.org/officeDocument/2006/relationships/ctrlProp" Target="../ctrlProps/ctrlProp79.xml"/><Relationship Id="rId9" Type="http://schemas.openxmlformats.org/officeDocument/2006/relationships/ctrlProp" Target="../ctrlProps/ctrlProp84.xml"/><Relationship Id="rId14" Type="http://schemas.openxmlformats.org/officeDocument/2006/relationships/ctrlProp" Target="../ctrlProps/ctrlProp89.xml"/><Relationship Id="rId22" Type="http://schemas.openxmlformats.org/officeDocument/2006/relationships/ctrlProp" Target="../ctrlProps/ctrlProp97.xml"/><Relationship Id="rId27" Type="http://schemas.openxmlformats.org/officeDocument/2006/relationships/ctrlProp" Target="../ctrlProps/ctrlProp102.xml"/><Relationship Id="rId30" Type="http://schemas.openxmlformats.org/officeDocument/2006/relationships/ctrlProp" Target="../ctrlProps/ctrlProp105.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ctrlProp" Target="../ctrlProps/ctrlProp110.xml"/><Relationship Id="rId5" Type="http://schemas.openxmlformats.org/officeDocument/2006/relationships/ctrlProp" Target="../ctrlProps/ctrlProp109.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5" Type="http://schemas.openxmlformats.org/officeDocument/2006/relationships/vmlDrawing" Target="../drawings/vmlDrawing15.vml"/><Relationship Id="rId4"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14.xml"/><Relationship Id="rId13" Type="http://schemas.openxmlformats.org/officeDocument/2006/relationships/ctrlProp" Target="../ctrlProps/ctrlProp119.xml"/><Relationship Id="rId18" Type="http://schemas.openxmlformats.org/officeDocument/2006/relationships/ctrlProp" Target="../ctrlProps/ctrlProp124.xml"/><Relationship Id="rId26" Type="http://schemas.openxmlformats.org/officeDocument/2006/relationships/ctrlProp" Target="../ctrlProps/ctrlProp132.xml"/><Relationship Id="rId3" Type="http://schemas.openxmlformats.org/officeDocument/2006/relationships/drawing" Target="../drawings/drawing14.xml"/><Relationship Id="rId21" Type="http://schemas.openxmlformats.org/officeDocument/2006/relationships/ctrlProp" Target="../ctrlProps/ctrlProp127.xml"/><Relationship Id="rId7" Type="http://schemas.openxmlformats.org/officeDocument/2006/relationships/ctrlProp" Target="../ctrlProps/ctrlProp113.xml"/><Relationship Id="rId12" Type="http://schemas.openxmlformats.org/officeDocument/2006/relationships/ctrlProp" Target="../ctrlProps/ctrlProp118.xml"/><Relationship Id="rId17" Type="http://schemas.openxmlformats.org/officeDocument/2006/relationships/ctrlProp" Target="../ctrlProps/ctrlProp123.xml"/><Relationship Id="rId25" Type="http://schemas.openxmlformats.org/officeDocument/2006/relationships/ctrlProp" Target="../ctrlProps/ctrlProp131.xml"/><Relationship Id="rId2" Type="http://schemas.openxmlformats.org/officeDocument/2006/relationships/printerSettings" Target="../printerSettings/printerSettings25.bin"/><Relationship Id="rId16" Type="http://schemas.openxmlformats.org/officeDocument/2006/relationships/ctrlProp" Target="../ctrlProps/ctrlProp122.xml"/><Relationship Id="rId20" Type="http://schemas.openxmlformats.org/officeDocument/2006/relationships/ctrlProp" Target="../ctrlProps/ctrlProp126.xml"/><Relationship Id="rId1" Type="http://schemas.openxmlformats.org/officeDocument/2006/relationships/printerSettings" Target="../printerSettings/printerSettings24.bin"/><Relationship Id="rId6" Type="http://schemas.openxmlformats.org/officeDocument/2006/relationships/ctrlProp" Target="../ctrlProps/ctrlProp112.xml"/><Relationship Id="rId11" Type="http://schemas.openxmlformats.org/officeDocument/2006/relationships/ctrlProp" Target="../ctrlProps/ctrlProp117.xml"/><Relationship Id="rId24" Type="http://schemas.openxmlformats.org/officeDocument/2006/relationships/ctrlProp" Target="../ctrlProps/ctrlProp130.xml"/><Relationship Id="rId5" Type="http://schemas.openxmlformats.org/officeDocument/2006/relationships/ctrlProp" Target="../ctrlProps/ctrlProp111.xml"/><Relationship Id="rId15" Type="http://schemas.openxmlformats.org/officeDocument/2006/relationships/ctrlProp" Target="../ctrlProps/ctrlProp121.xml"/><Relationship Id="rId23" Type="http://schemas.openxmlformats.org/officeDocument/2006/relationships/ctrlProp" Target="../ctrlProps/ctrlProp129.xml"/><Relationship Id="rId10" Type="http://schemas.openxmlformats.org/officeDocument/2006/relationships/ctrlProp" Target="../ctrlProps/ctrlProp116.xml"/><Relationship Id="rId19" Type="http://schemas.openxmlformats.org/officeDocument/2006/relationships/ctrlProp" Target="../ctrlProps/ctrlProp125.xml"/><Relationship Id="rId4" Type="http://schemas.openxmlformats.org/officeDocument/2006/relationships/vmlDrawing" Target="../drawings/vmlDrawing16.vml"/><Relationship Id="rId9" Type="http://schemas.openxmlformats.org/officeDocument/2006/relationships/ctrlProp" Target="../ctrlProps/ctrlProp115.xml"/><Relationship Id="rId14" Type="http://schemas.openxmlformats.org/officeDocument/2006/relationships/ctrlProp" Target="../ctrlProps/ctrlProp120.xml"/><Relationship Id="rId22" Type="http://schemas.openxmlformats.org/officeDocument/2006/relationships/ctrlProp" Target="../ctrlProps/ctrlProp128.xml"/><Relationship Id="rId27" Type="http://schemas.openxmlformats.org/officeDocument/2006/relationships/ctrlProp" Target="../ctrlProps/ctrlProp133.x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4"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openoffice.org/" TargetMode="External"/><Relationship Id="rId1" Type="http://schemas.openxmlformats.org/officeDocument/2006/relationships/printerSettings" Target="../printerSettings/printerSettings3.bin"/><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vmlDrawing" Target="../drawings/vmlDrawing17.vml"/></Relationships>
</file>

<file path=xl/worksheets/_rels/sheet21.xml.rels><?xml version="1.0" encoding="UTF-8" standalone="yes"?>
<Relationships xmlns="http://schemas.openxmlformats.org/package/2006/relationships"><Relationship Id="rId8" Type="http://schemas.openxmlformats.org/officeDocument/2006/relationships/image" Target="../media/image68.emf"/><Relationship Id="rId3" Type="http://schemas.openxmlformats.org/officeDocument/2006/relationships/drawing" Target="../drawings/drawing19.xml"/><Relationship Id="rId7" Type="http://schemas.openxmlformats.org/officeDocument/2006/relationships/oleObject" Target="../embeddings/oleObject3.bin"/><Relationship Id="rId12" Type="http://schemas.openxmlformats.org/officeDocument/2006/relationships/image" Target="../media/image70.emf"/><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 Id="rId6" Type="http://schemas.openxmlformats.org/officeDocument/2006/relationships/image" Target="../media/image67.emf"/><Relationship Id="rId11" Type="http://schemas.openxmlformats.org/officeDocument/2006/relationships/oleObject" Target="../embeddings/oleObject5.bin"/><Relationship Id="rId5" Type="http://schemas.openxmlformats.org/officeDocument/2006/relationships/oleObject" Target="../embeddings/oleObject2.bin"/><Relationship Id="rId10" Type="http://schemas.openxmlformats.org/officeDocument/2006/relationships/image" Target="../media/image69.emf"/><Relationship Id="rId4" Type="http://schemas.openxmlformats.org/officeDocument/2006/relationships/vmlDrawing" Target="../drawings/vmlDrawing18.vml"/><Relationship Id="rId9" Type="http://schemas.openxmlformats.org/officeDocument/2006/relationships/oleObject" Target="../embeddings/oleObject4.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136.xml"/><Relationship Id="rId13" Type="http://schemas.openxmlformats.org/officeDocument/2006/relationships/ctrlProp" Target="../ctrlProps/ctrlProp141.xml"/><Relationship Id="rId3" Type="http://schemas.openxmlformats.org/officeDocument/2006/relationships/printerSettings" Target="../printerSettings/printerSettings46.bin"/><Relationship Id="rId7" Type="http://schemas.openxmlformats.org/officeDocument/2006/relationships/ctrlProp" Target="../ctrlProps/ctrlProp135.xml"/><Relationship Id="rId12" Type="http://schemas.openxmlformats.org/officeDocument/2006/relationships/ctrlProp" Target="../ctrlProps/ctrlProp140.xml"/><Relationship Id="rId17" Type="http://schemas.openxmlformats.org/officeDocument/2006/relationships/ctrlProp" Target="../ctrlProps/ctrlProp145.xml"/><Relationship Id="rId2" Type="http://schemas.openxmlformats.org/officeDocument/2006/relationships/printerSettings" Target="../printerSettings/printerSettings45.bin"/><Relationship Id="rId16" Type="http://schemas.openxmlformats.org/officeDocument/2006/relationships/ctrlProp" Target="../ctrlProps/ctrlProp144.xml"/><Relationship Id="rId1" Type="http://schemas.openxmlformats.org/officeDocument/2006/relationships/printerSettings" Target="../printerSettings/printerSettings44.bin"/><Relationship Id="rId6" Type="http://schemas.openxmlformats.org/officeDocument/2006/relationships/ctrlProp" Target="../ctrlProps/ctrlProp134.xml"/><Relationship Id="rId11" Type="http://schemas.openxmlformats.org/officeDocument/2006/relationships/ctrlProp" Target="../ctrlProps/ctrlProp139.xml"/><Relationship Id="rId5" Type="http://schemas.openxmlformats.org/officeDocument/2006/relationships/vmlDrawing" Target="../drawings/vmlDrawing19.vml"/><Relationship Id="rId15" Type="http://schemas.openxmlformats.org/officeDocument/2006/relationships/ctrlProp" Target="../ctrlProps/ctrlProp143.xml"/><Relationship Id="rId10" Type="http://schemas.openxmlformats.org/officeDocument/2006/relationships/ctrlProp" Target="../ctrlProps/ctrlProp138.xml"/><Relationship Id="rId4" Type="http://schemas.openxmlformats.org/officeDocument/2006/relationships/drawing" Target="../drawings/drawing23.xml"/><Relationship Id="rId9" Type="http://schemas.openxmlformats.org/officeDocument/2006/relationships/ctrlProp" Target="../ctrlProps/ctrlProp137.xml"/><Relationship Id="rId14" Type="http://schemas.openxmlformats.org/officeDocument/2006/relationships/ctrlProp" Target="../ctrlProps/ctrlProp142.xm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drawing" Target="../drawings/drawing25.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52.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18" Type="http://schemas.openxmlformats.org/officeDocument/2006/relationships/ctrlProp" Target="../ctrlProps/ctrlProp13.xml"/><Relationship Id="rId26" Type="http://schemas.openxmlformats.org/officeDocument/2006/relationships/ctrlProp" Target="../ctrlProps/ctrlProp21.xml"/><Relationship Id="rId3" Type="http://schemas.openxmlformats.org/officeDocument/2006/relationships/drawing" Target="../drawings/drawing1.xml"/><Relationship Id="rId21" Type="http://schemas.openxmlformats.org/officeDocument/2006/relationships/ctrlProp" Target="../ctrlProps/ctrlProp16.xml"/><Relationship Id="rId34" Type="http://schemas.openxmlformats.org/officeDocument/2006/relationships/ctrlProp" Target="../ctrlProps/ctrlProp29.xml"/><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5" Type="http://schemas.openxmlformats.org/officeDocument/2006/relationships/ctrlProp" Target="../ctrlProps/ctrlProp20.xml"/><Relationship Id="rId33" Type="http://schemas.openxmlformats.org/officeDocument/2006/relationships/ctrlProp" Target="../ctrlProps/ctrlProp28.xml"/><Relationship Id="rId2" Type="http://schemas.openxmlformats.org/officeDocument/2006/relationships/printerSettings" Target="../printerSettings/printerSettings6.bin"/><Relationship Id="rId16" Type="http://schemas.openxmlformats.org/officeDocument/2006/relationships/ctrlProp" Target="../ctrlProps/ctrlProp11.xml"/><Relationship Id="rId20" Type="http://schemas.openxmlformats.org/officeDocument/2006/relationships/ctrlProp" Target="../ctrlProps/ctrlProp15.xml"/><Relationship Id="rId29" Type="http://schemas.openxmlformats.org/officeDocument/2006/relationships/ctrlProp" Target="../ctrlProps/ctrlProp24.xml"/><Relationship Id="rId1" Type="http://schemas.openxmlformats.org/officeDocument/2006/relationships/printerSettings" Target="../printerSettings/printerSettings5.bin"/><Relationship Id="rId6" Type="http://schemas.openxmlformats.org/officeDocument/2006/relationships/ctrlProp" Target="../ctrlProps/ctrlProp1.xml"/><Relationship Id="rId11" Type="http://schemas.openxmlformats.org/officeDocument/2006/relationships/ctrlProp" Target="../ctrlProps/ctrlProp6.xml"/><Relationship Id="rId24" Type="http://schemas.openxmlformats.org/officeDocument/2006/relationships/ctrlProp" Target="../ctrlProps/ctrlProp19.xml"/><Relationship Id="rId32" Type="http://schemas.openxmlformats.org/officeDocument/2006/relationships/ctrlProp" Target="../ctrlProps/ctrlProp27.xml"/><Relationship Id="rId5" Type="http://schemas.openxmlformats.org/officeDocument/2006/relationships/vmlDrawing" Target="../drawings/vmlDrawing3.vml"/><Relationship Id="rId15" Type="http://schemas.openxmlformats.org/officeDocument/2006/relationships/ctrlProp" Target="../ctrlProps/ctrlProp10.xml"/><Relationship Id="rId23" Type="http://schemas.openxmlformats.org/officeDocument/2006/relationships/ctrlProp" Target="../ctrlProps/ctrlProp18.xml"/><Relationship Id="rId28" Type="http://schemas.openxmlformats.org/officeDocument/2006/relationships/ctrlProp" Target="../ctrlProps/ctrlProp23.xml"/><Relationship Id="rId10" Type="http://schemas.openxmlformats.org/officeDocument/2006/relationships/ctrlProp" Target="../ctrlProps/ctrlProp5.xml"/><Relationship Id="rId19" Type="http://schemas.openxmlformats.org/officeDocument/2006/relationships/ctrlProp" Target="../ctrlProps/ctrlProp14.xml"/><Relationship Id="rId31" Type="http://schemas.openxmlformats.org/officeDocument/2006/relationships/ctrlProp" Target="../ctrlProps/ctrlProp26.xml"/><Relationship Id="rId4" Type="http://schemas.openxmlformats.org/officeDocument/2006/relationships/vmlDrawing" Target="../drawings/vmlDrawing2.vml"/><Relationship Id="rId9" Type="http://schemas.openxmlformats.org/officeDocument/2006/relationships/ctrlProp" Target="../ctrlProps/ctrlProp4.xml"/><Relationship Id="rId14" Type="http://schemas.openxmlformats.org/officeDocument/2006/relationships/ctrlProp" Target="../ctrlProps/ctrlProp9.xml"/><Relationship Id="rId22" Type="http://schemas.openxmlformats.org/officeDocument/2006/relationships/ctrlProp" Target="../ctrlProps/ctrlProp17.xml"/><Relationship Id="rId27" Type="http://schemas.openxmlformats.org/officeDocument/2006/relationships/ctrlProp" Target="../ctrlProps/ctrlProp22.xml"/><Relationship Id="rId30" Type="http://schemas.openxmlformats.org/officeDocument/2006/relationships/ctrlProp" Target="../ctrlProps/ctrlProp25.xml"/><Relationship Id="rId35" Type="http://schemas.openxmlformats.org/officeDocument/2006/relationships/ctrlProp" Target="../ctrlProps/ctrlProp30.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55.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56.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6" Type="http://schemas.openxmlformats.org/officeDocument/2006/relationships/image" Target="../media/image95.emf"/><Relationship Id="rId5" Type="http://schemas.openxmlformats.org/officeDocument/2006/relationships/oleObject" Target="../embeddings/oleObject6.bin"/><Relationship Id="rId4" Type="http://schemas.openxmlformats.org/officeDocument/2006/relationships/vmlDrawing" Target="../drawings/vmlDrawing20.v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59.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64.bin"/></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6" Type="http://schemas.openxmlformats.org/officeDocument/2006/relationships/ctrlProp" Target="../ctrlProps/ctrlProp147.xml"/><Relationship Id="rId5" Type="http://schemas.openxmlformats.org/officeDocument/2006/relationships/ctrlProp" Target="../ctrlProps/ctrlProp146.xml"/><Relationship Id="rId4" Type="http://schemas.openxmlformats.org/officeDocument/2006/relationships/vmlDrawing" Target="../drawings/vmlDrawing21.v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33.xml"/><Relationship Id="rId3" Type="http://schemas.openxmlformats.org/officeDocument/2006/relationships/drawing" Target="../drawings/drawing2.xml"/><Relationship Id="rId7" Type="http://schemas.openxmlformats.org/officeDocument/2006/relationships/ctrlProp" Target="../ctrlProps/ctrlProp32.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ctrlProp" Target="../ctrlProps/ctrlProp31.xml"/><Relationship Id="rId11" Type="http://schemas.openxmlformats.org/officeDocument/2006/relationships/ctrlProp" Target="../ctrlProps/ctrlProp36.xml"/><Relationship Id="rId5" Type="http://schemas.openxmlformats.org/officeDocument/2006/relationships/vmlDrawing" Target="../drawings/vmlDrawing5.vml"/><Relationship Id="rId10" Type="http://schemas.openxmlformats.org/officeDocument/2006/relationships/ctrlProp" Target="../ctrlProps/ctrlProp35.xml"/><Relationship Id="rId4" Type="http://schemas.openxmlformats.org/officeDocument/2006/relationships/vmlDrawing" Target="../drawings/vmlDrawing4.vml"/><Relationship Id="rId9" Type="http://schemas.openxmlformats.org/officeDocument/2006/relationships/ctrlProp" Target="../ctrlProps/ctrlProp34.xml"/></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73.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41.xml"/><Relationship Id="rId3" Type="http://schemas.openxmlformats.org/officeDocument/2006/relationships/vmlDrawing" Target="../drawings/vmlDrawing6.vml"/><Relationship Id="rId7" Type="http://schemas.openxmlformats.org/officeDocument/2006/relationships/ctrlProp" Target="../ctrlProps/ctrlProp40.xml"/><Relationship Id="rId2" Type="http://schemas.openxmlformats.org/officeDocument/2006/relationships/drawing" Target="../drawings/drawing3.xml"/><Relationship Id="rId1" Type="http://schemas.openxmlformats.org/officeDocument/2006/relationships/printerSettings" Target="../printerSettings/printerSettings9.bin"/><Relationship Id="rId6" Type="http://schemas.openxmlformats.org/officeDocument/2006/relationships/ctrlProp" Target="../ctrlProps/ctrlProp39.xml"/><Relationship Id="rId5" Type="http://schemas.openxmlformats.org/officeDocument/2006/relationships/ctrlProp" Target="../ctrlProps/ctrlProp38.xml"/><Relationship Id="rId10" Type="http://schemas.openxmlformats.org/officeDocument/2006/relationships/ctrlProp" Target="../ctrlProps/ctrlProp43.xml"/><Relationship Id="rId4" Type="http://schemas.openxmlformats.org/officeDocument/2006/relationships/ctrlProp" Target="../ctrlProps/ctrlProp37.xml"/><Relationship Id="rId9" Type="http://schemas.openxmlformats.org/officeDocument/2006/relationships/ctrlProp" Target="../ctrlProps/ctrlProp42.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48.xml"/><Relationship Id="rId3" Type="http://schemas.openxmlformats.org/officeDocument/2006/relationships/vmlDrawing" Target="../drawings/vmlDrawing7.vml"/><Relationship Id="rId7" Type="http://schemas.openxmlformats.org/officeDocument/2006/relationships/ctrlProp" Target="../ctrlProps/ctrlProp47.xml"/><Relationship Id="rId2" Type="http://schemas.openxmlformats.org/officeDocument/2006/relationships/drawing" Target="../drawings/drawing4.xml"/><Relationship Id="rId1" Type="http://schemas.openxmlformats.org/officeDocument/2006/relationships/printerSettings" Target="../printerSettings/printerSettings10.bin"/><Relationship Id="rId6" Type="http://schemas.openxmlformats.org/officeDocument/2006/relationships/ctrlProp" Target="../ctrlProps/ctrlProp46.xml"/><Relationship Id="rId5" Type="http://schemas.openxmlformats.org/officeDocument/2006/relationships/ctrlProp" Target="../ctrlProps/ctrlProp45.xml"/><Relationship Id="rId10" Type="http://schemas.openxmlformats.org/officeDocument/2006/relationships/ctrlProp" Target="../ctrlProps/ctrlProp50.xml"/><Relationship Id="rId4" Type="http://schemas.openxmlformats.org/officeDocument/2006/relationships/ctrlProp" Target="../ctrlProps/ctrlProp44.xml"/><Relationship Id="rId9" Type="http://schemas.openxmlformats.org/officeDocument/2006/relationships/ctrlProp" Target="../ctrlProps/ctrlProp49.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55.xml"/><Relationship Id="rId3" Type="http://schemas.openxmlformats.org/officeDocument/2006/relationships/vmlDrawing" Target="../drawings/vmlDrawing8.vml"/><Relationship Id="rId7" Type="http://schemas.openxmlformats.org/officeDocument/2006/relationships/ctrlProp" Target="../ctrlProps/ctrlProp54.xml"/><Relationship Id="rId2" Type="http://schemas.openxmlformats.org/officeDocument/2006/relationships/drawing" Target="../drawings/drawing5.xml"/><Relationship Id="rId1" Type="http://schemas.openxmlformats.org/officeDocument/2006/relationships/printerSettings" Target="../printerSettings/printerSettings11.bin"/><Relationship Id="rId6" Type="http://schemas.openxmlformats.org/officeDocument/2006/relationships/ctrlProp" Target="../ctrlProps/ctrlProp53.xml"/><Relationship Id="rId5" Type="http://schemas.openxmlformats.org/officeDocument/2006/relationships/ctrlProp" Target="../ctrlProps/ctrlProp52.xml"/><Relationship Id="rId10" Type="http://schemas.openxmlformats.org/officeDocument/2006/relationships/ctrlProp" Target="../ctrlProps/ctrlProp57.xml"/><Relationship Id="rId4" Type="http://schemas.openxmlformats.org/officeDocument/2006/relationships/ctrlProp" Target="../ctrlProps/ctrlProp51.xml"/><Relationship Id="rId9" Type="http://schemas.openxmlformats.org/officeDocument/2006/relationships/ctrlProp" Target="../ctrlProps/ctrlProp56.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62.xml"/><Relationship Id="rId3" Type="http://schemas.openxmlformats.org/officeDocument/2006/relationships/vmlDrawing" Target="../drawings/vmlDrawing9.vml"/><Relationship Id="rId7" Type="http://schemas.openxmlformats.org/officeDocument/2006/relationships/ctrlProp" Target="../ctrlProps/ctrlProp61.xml"/><Relationship Id="rId2" Type="http://schemas.openxmlformats.org/officeDocument/2006/relationships/drawing" Target="../drawings/drawing6.xml"/><Relationship Id="rId1" Type="http://schemas.openxmlformats.org/officeDocument/2006/relationships/printerSettings" Target="../printerSettings/printerSettings12.bin"/><Relationship Id="rId6" Type="http://schemas.openxmlformats.org/officeDocument/2006/relationships/ctrlProp" Target="../ctrlProps/ctrlProp60.xml"/><Relationship Id="rId5" Type="http://schemas.openxmlformats.org/officeDocument/2006/relationships/ctrlProp" Target="../ctrlProps/ctrlProp59.xml"/><Relationship Id="rId10" Type="http://schemas.openxmlformats.org/officeDocument/2006/relationships/ctrlProp" Target="../ctrlProps/ctrlProp64.xml"/><Relationship Id="rId4" Type="http://schemas.openxmlformats.org/officeDocument/2006/relationships/ctrlProp" Target="../ctrlProps/ctrlProp58.xml"/><Relationship Id="rId9" Type="http://schemas.openxmlformats.org/officeDocument/2006/relationships/ctrlProp" Target="../ctrlProps/ctrlProp63.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69.xml"/><Relationship Id="rId3" Type="http://schemas.openxmlformats.org/officeDocument/2006/relationships/vmlDrawing" Target="../drawings/vmlDrawing10.vml"/><Relationship Id="rId7" Type="http://schemas.openxmlformats.org/officeDocument/2006/relationships/ctrlProp" Target="../ctrlProps/ctrlProp68.xml"/><Relationship Id="rId2" Type="http://schemas.openxmlformats.org/officeDocument/2006/relationships/drawing" Target="../drawings/drawing7.xml"/><Relationship Id="rId1" Type="http://schemas.openxmlformats.org/officeDocument/2006/relationships/printerSettings" Target="../printerSettings/printerSettings13.bin"/><Relationship Id="rId6" Type="http://schemas.openxmlformats.org/officeDocument/2006/relationships/ctrlProp" Target="../ctrlProps/ctrlProp67.xml"/><Relationship Id="rId5" Type="http://schemas.openxmlformats.org/officeDocument/2006/relationships/ctrlProp" Target="../ctrlProps/ctrlProp66.xml"/><Relationship Id="rId10" Type="http://schemas.openxmlformats.org/officeDocument/2006/relationships/ctrlProp" Target="../ctrlProps/ctrlProp71.xml"/><Relationship Id="rId4" Type="http://schemas.openxmlformats.org/officeDocument/2006/relationships/ctrlProp" Target="../ctrlProps/ctrlProp65.xml"/><Relationship Id="rId9" Type="http://schemas.openxmlformats.org/officeDocument/2006/relationships/ctrlProp" Target="../ctrlProps/ctrlProp7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9" tint="0.79998168889431442"/>
    <pageSetUpPr fitToPage="1"/>
  </sheetPr>
  <dimension ref="A1:AJ96"/>
  <sheetViews>
    <sheetView topLeftCell="A13" zoomScale="110" zoomScaleNormal="110" workbookViewId="0">
      <selection activeCell="J41" sqref="J41"/>
    </sheetView>
  </sheetViews>
  <sheetFormatPr defaultColWidth="8.88671875" defaultRowHeight="14.4"/>
  <cols>
    <col min="1" max="1" width="9.44140625" style="1" bestFit="1" customWidth="1"/>
    <col min="2" max="2" width="19.44140625" style="1" bestFit="1" customWidth="1"/>
    <col min="3" max="3" width="30.44140625" style="1" bestFit="1" customWidth="1"/>
    <col min="4" max="4" width="19.109375" style="1" bestFit="1" customWidth="1"/>
    <col min="5" max="5" width="24.88671875" style="1" bestFit="1" customWidth="1"/>
    <col min="6" max="6" width="14.44140625" style="1" bestFit="1" customWidth="1"/>
    <col min="7" max="7" width="10.109375" style="1" bestFit="1" customWidth="1"/>
    <col min="8" max="8" width="12.44140625" style="1" bestFit="1" customWidth="1"/>
    <col min="9" max="9" width="19.44140625" style="1" customWidth="1"/>
    <col min="10" max="10" width="29.88671875" style="1" bestFit="1" customWidth="1"/>
    <col min="11" max="11" width="7.44140625" style="1" bestFit="1" customWidth="1"/>
    <col min="12" max="12" width="41.44140625" style="1" bestFit="1" customWidth="1"/>
    <col min="13" max="13" width="99.44140625" style="1" customWidth="1"/>
    <col min="14" max="14" width="20.44140625" style="1" customWidth="1"/>
    <col min="15" max="15" width="26" style="1" bestFit="1" customWidth="1"/>
    <col min="16" max="16" width="30.88671875" style="1" customWidth="1"/>
    <col min="17" max="17" width="19.109375" style="1" bestFit="1" customWidth="1"/>
    <col min="18" max="19" width="8.88671875" style="1"/>
    <col min="20" max="20" width="13.33203125" style="1" bestFit="1" customWidth="1"/>
    <col min="21" max="22" width="21.44140625" style="1" bestFit="1" customWidth="1"/>
    <col min="23" max="32" width="8.88671875" style="1"/>
    <col min="33" max="33" width="41.44140625" style="1" bestFit="1" customWidth="1"/>
    <col min="34" max="34" width="50.44140625" style="1" bestFit="1" customWidth="1"/>
    <col min="35" max="16384" width="8.88671875" style="1"/>
  </cols>
  <sheetData>
    <row r="1" spans="1:36">
      <c r="A1" s="536" t="s">
        <v>745</v>
      </c>
      <c r="B1" s="536" t="s">
        <v>769</v>
      </c>
      <c r="C1" s="536" t="s">
        <v>770</v>
      </c>
      <c r="D1" s="536" t="s">
        <v>771</v>
      </c>
      <c r="E1" s="536" t="s">
        <v>772</v>
      </c>
      <c r="F1" s="536" t="s">
        <v>777</v>
      </c>
      <c r="G1" s="536" t="s">
        <v>752</v>
      </c>
      <c r="H1" s="536">
        <v>3</v>
      </c>
      <c r="I1" s="536" t="s">
        <v>753</v>
      </c>
      <c r="J1" s="536" t="s">
        <v>751</v>
      </c>
      <c r="K1" s="536" t="s">
        <v>755</v>
      </c>
      <c r="L1" s="536" t="s">
        <v>778</v>
      </c>
      <c r="M1" s="536" t="s">
        <v>779</v>
      </c>
      <c r="N1" s="2117" t="s">
        <v>1842</v>
      </c>
      <c r="O1" s="2117" t="s">
        <v>1850</v>
      </c>
      <c r="P1" s="2164" t="s">
        <v>1811</v>
      </c>
      <c r="Q1" s="2164" t="s">
        <v>1958</v>
      </c>
      <c r="R1" s="2164" t="s">
        <v>1961</v>
      </c>
      <c r="T1" s="2164" t="s">
        <v>1975</v>
      </c>
      <c r="U1" s="2164" t="s">
        <v>1811</v>
      </c>
      <c r="V1" s="2164" t="s">
        <v>2083</v>
      </c>
    </row>
    <row r="2" spans="1:36">
      <c r="A2" s="2238" t="s">
        <v>1429</v>
      </c>
      <c r="B2" s="702" t="s">
        <v>2128</v>
      </c>
      <c r="C2" s="990" t="s">
        <v>218</v>
      </c>
      <c r="D2" s="1" t="s">
        <v>1567</v>
      </c>
      <c r="E2" s="702" t="s">
        <v>2128</v>
      </c>
      <c r="F2" s="1216" t="s">
        <v>1419</v>
      </c>
      <c r="G2" s="1110">
        <v>4</v>
      </c>
      <c r="H2" s="1111">
        <v>4</v>
      </c>
      <c r="I2" s="1136">
        <v>1</v>
      </c>
      <c r="J2" s="1112" t="s">
        <v>735</v>
      </c>
      <c r="K2" s="703">
        <v>1</v>
      </c>
      <c r="L2" s="985" t="s">
        <v>431</v>
      </c>
      <c r="M2" s="1113" t="s">
        <v>451</v>
      </c>
      <c r="N2" s="1" t="s">
        <v>1843</v>
      </c>
      <c r="O2" s="1" t="s">
        <v>1851</v>
      </c>
      <c r="P2" s="1" t="s">
        <v>1812</v>
      </c>
      <c r="Q2" s="1" t="s">
        <v>1959</v>
      </c>
      <c r="R2" s="1" t="s">
        <v>1457</v>
      </c>
      <c r="T2" s="1">
        <v>1.5</v>
      </c>
      <c r="U2" s="1" t="s">
        <v>735</v>
      </c>
      <c r="V2" s="1">
        <v>36</v>
      </c>
    </row>
    <row r="3" spans="1:36">
      <c r="A3" s="1114">
        <v>1</v>
      </c>
      <c r="B3" s="702" t="s">
        <v>682</v>
      </c>
      <c r="C3" s="990" t="s">
        <v>219</v>
      </c>
      <c r="D3" s="990" t="s">
        <v>231</v>
      </c>
      <c r="E3" s="702" t="s">
        <v>682</v>
      </c>
      <c r="F3" s="990" t="s">
        <v>168</v>
      </c>
      <c r="G3" s="1110">
        <v>3.85</v>
      </c>
      <c r="H3" s="1111">
        <v>4.17</v>
      </c>
      <c r="I3" s="1136">
        <v>1.25</v>
      </c>
      <c r="J3" s="1112" t="s">
        <v>1088</v>
      </c>
      <c r="K3" s="1112">
        <v>2</v>
      </c>
      <c r="L3" s="985" t="s">
        <v>444</v>
      </c>
      <c r="M3" s="1115" t="s">
        <v>411</v>
      </c>
      <c r="N3" s="1" t="s">
        <v>1844</v>
      </c>
      <c r="O3" s="1" t="s">
        <v>1852</v>
      </c>
      <c r="P3" s="1" t="s">
        <v>1928</v>
      </c>
      <c r="Q3" s="1" t="s">
        <v>1960</v>
      </c>
      <c r="R3" s="1" t="s">
        <v>1456</v>
      </c>
      <c r="T3" s="1">
        <v>2</v>
      </c>
      <c r="U3" s="1" t="s">
        <v>1812</v>
      </c>
      <c r="V3" s="1">
        <v>60</v>
      </c>
    </row>
    <row r="4" spans="1:36">
      <c r="A4" s="1114">
        <v>2</v>
      </c>
      <c r="B4" s="703" t="s">
        <v>2129</v>
      </c>
      <c r="C4" s="990" t="s">
        <v>163</v>
      </c>
      <c r="D4" s="990" t="s">
        <v>235</v>
      </c>
      <c r="E4" s="703" t="s">
        <v>2129</v>
      </c>
      <c r="F4" s="990" t="s">
        <v>169</v>
      </c>
      <c r="G4" s="1110">
        <v>3.7</v>
      </c>
      <c r="H4" s="1111">
        <v>4.3499999999999996</v>
      </c>
      <c r="I4" s="1136">
        <v>1.5</v>
      </c>
      <c r="K4" s="1112">
        <v>3</v>
      </c>
      <c r="L4" s="1116" t="s">
        <v>185</v>
      </c>
      <c r="M4" s="1115" t="s">
        <v>409</v>
      </c>
      <c r="N4" s="1" t="s">
        <v>1845</v>
      </c>
      <c r="O4" s="1" t="s">
        <v>1853</v>
      </c>
      <c r="P4" s="1" t="s">
        <v>1929</v>
      </c>
      <c r="Q4" s="1" t="s">
        <v>1457</v>
      </c>
      <c r="T4" s="1">
        <v>3</v>
      </c>
      <c r="U4" s="1" t="s">
        <v>1928</v>
      </c>
      <c r="V4" s="1">
        <v>18</v>
      </c>
    </row>
    <row r="5" spans="1:36">
      <c r="A5" s="1114">
        <v>3</v>
      </c>
      <c r="B5" s="703" t="s">
        <v>912</v>
      </c>
      <c r="C5" s="990" t="s">
        <v>222</v>
      </c>
      <c r="D5" s="1" t="s">
        <v>1566</v>
      </c>
      <c r="E5" s="703" t="s">
        <v>912</v>
      </c>
      <c r="F5" s="990" t="s">
        <v>170</v>
      </c>
      <c r="G5" s="1110">
        <v>3.57</v>
      </c>
      <c r="H5" s="1111">
        <v>4.54</v>
      </c>
      <c r="I5" s="1136">
        <v>2</v>
      </c>
      <c r="J5" s="536" t="s">
        <v>764</v>
      </c>
      <c r="K5" s="1112">
        <v>4</v>
      </c>
      <c r="L5" s="985" t="s">
        <v>391</v>
      </c>
      <c r="M5" s="1115" t="s">
        <v>434</v>
      </c>
      <c r="N5" s="1" t="s">
        <v>1846</v>
      </c>
      <c r="O5" s="1" t="s">
        <v>1419</v>
      </c>
      <c r="P5" s="1" t="s">
        <v>1813</v>
      </c>
      <c r="U5" s="1" t="s">
        <v>1929</v>
      </c>
      <c r="V5" s="1">
        <v>12</v>
      </c>
    </row>
    <row r="6" spans="1:36">
      <c r="A6" s="1114">
        <v>4</v>
      </c>
      <c r="B6" s="702" t="s">
        <v>673</v>
      </c>
      <c r="C6" s="990" t="s">
        <v>230</v>
      </c>
      <c r="D6" s="1" t="s">
        <v>1569</v>
      </c>
      <c r="E6" s="702" t="s">
        <v>673</v>
      </c>
      <c r="F6" s="990" t="s">
        <v>171</v>
      </c>
      <c r="G6" s="1110">
        <v>3.45</v>
      </c>
      <c r="H6" s="1111">
        <v>4.76</v>
      </c>
      <c r="I6" s="1136">
        <v>3</v>
      </c>
      <c r="J6" s="1137" t="s">
        <v>366</v>
      </c>
      <c r="K6" s="1112">
        <v>5</v>
      </c>
      <c r="L6" s="985" t="s">
        <v>393</v>
      </c>
      <c r="M6" s="1115" t="s">
        <v>434</v>
      </c>
      <c r="N6" s="1" t="s">
        <v>1847</v>
      </c>
      <c r="O6" s="1" t="s">
        <v>1854</v>
      </c>
      <c r="P6" s="1" t="s">
        <v>1930</v>
      </c>
      <c r="U6" s="1" t="s">
        <v>1813</v>
      </c>
      <c r="AI6" s="110"/>
      <c r="AJ6" s="110"/>
    </row>
    <row r="7" spans="1:36">
      <c r="A7" s="1114">
        <v>5</v>
      </c>
      <c r="B7" s="703" t="s">
        <v>913</v>
      </c>
      <c r="C7" s="990" t="s">
        <v>234</v>
      </c>
      <c r="D7" s="1" t="s">
        <v>1568</v>
      </c>
      <c r="E7" s="703" t="s">
        <v>913</v>
      </c>
      <c r="F7" s="990" t="s">
        <v>172</v>
      </c>
      <c r="G7" s="1110">
        <v>3.33</v>
      </c>
      <c r="H7" s="1111">
        <v>5</v>
      </c>
      <c r="I7" s="1136">
        <v>4</v>
      </c>
      <c r="J7" s="1137" t="s">
        <v>367</v>
      </c>
      <c r="K7" s="1112">
        <v>6</v>
      </c>
      <c r="L7" s="985" t="s">
        <v>389</v>
      </c>
      <c r="M7" s="1115" t="s">
        <v>384</v>
      </c>
      <c r="O7" s="1" t="s">
        <v>1855</v>
      </c>
      <c r="U7" s="1" t="s">
        <v>1930</v>
      </c>
      <c r="AI7" s="110"/>
      <c r="AJ7" s="110"/>
    </row>
    <row r="8" spans="1:36">
      <c r="A8" s="1114">
        <v>6</v>
      </c>
      <c r="B8" s="702" t="s">
        <v>914</v>
      </c>
      <c r="C8" s="990" t="s">
        <v>164</v>
      </c>
      <c r="D8" s="990" t="s">
        <v>223</v>
      </c>
      <c r="E8" s="702" t="s">
        <v>914</v>
      </c>
      <c r="F8" s="990" t="s">
        <v>173</v>
      </c>
      <c r="G8" s="1110">
        <v>3.23</v>
      </c>
      <c r="H8" s="1111">
        <v>5.26</v>
      </c>
      <c r="I8" s="1118">
        <v>6</v>
      </c>
      <c r="J8" s="1137" t="s">
        <v>368</v>
      </c>
      <c r="K8" s="1112">
        <v>7</v>
      </c>
      <c r="L8" s="985" t="s">
        <v>410</v>
      </c>
      <c r="M8" s="1115" t="s">
        <v>402</v>
      </c>
      <c r="O8" s="1" t="s">
        <v>1856</v>
      </c>
    </row>
    <row r="9" spans="1:36">
      <c r="A9" s="1114">
        <v>7</v>
      </c>
      <c r="B9" s="703" t="s">
        <v>915</v>
      </c>
      <c r="C9" s="990" t="s">
        <v>165</v>
      </c>
      <c r="D9" s="990" t="s">
        <v>220</v>
      </c>
      <c r="E9" s="703" t="s">
        <v>915</v>
      </c>
      <c r="F9" s="990" t="s">
        <v>175</v>
      </c>
      <c r="G9" s="1110">
        <v>3.12</v>
      </c>
      <c r="H9" s="1111">
        <v>5.56</v>
      </c>
      <c r="J9" s="1137" t="s">
        <v>369</v>
      </c>
      <c r="K9" s="1112">
        <v>8</v>
      </c>
      <c r="L9" s="985" t="s">
        <v>424</v>
      </c>
      <c r="M9" s="1115" t="s">
        <v>407</v>
      </c>
      <c r="O9" s="1" t="s">
        <v>1858</v>
      </c>
    </row>
    <row r="10" spans="1:36">
      <c r="A10" s="1114">
        <v>8</v>
      </c>
      <c r="B10" s="702" t="s">
        <v>2130</v>
      </c>
      <c r="C10" s="990" t="s">
        <v>166</v>
      </c>
      <c r="D10" s="1117" t="s">
        <v>731</v>
      </c>
      <c r="E10" s="702" t="s">
        <v>2130</v>
      </c>
      <c r="F10" s="990" t="s">
        <v>176</v>
      </c>
      <c r="G10" s="1110">
        <v>3.03</v>
      </c>
      <c r="H10" s="1111">
        <v>5.88</v>
      </c>
      <c r="I10" s="536" t="s">
        <v>1555</v>
      </c>
      <c r="K10" s="1112">
        <v>9</v>
      </c>
      <c r="L10" s="985" t="s">
        <v>405</v>
      </c>
      <c r="M10" s="1115" t="s">
        <v>392</v>
      </c>
      <c r="O10" s="1" t="s">
        <v>1859</v>
      </c>
    </row>
    <row r="11" spans="1:36">
      <c r="A11" s="1114">
        <v>9</v>
      </c>
      <c r="B11" s="702" t="s">
        <v>1075</v>
      </c>
      <c r="D11" s="536" t="s">
        <v>773</v>
      </c>
      <c r="E11" s="702" t="s">
        <v>1075</v>
      </c>
      <c r="F11" s="990" t="s">
        <v>177</v>
      </c>
      <c r="G11" s="1110">
        <v>2.94</v>
      </c>
      <c r="H11" s="1111">
        <v>6.25</v>
      </c>
      <c r="I11" s="1110" t="s">
        <v>1556</v>
      </c>
      <c r="J11" s="536" t="s">
        <v>758</v>
      </c>
      <c r="K11" s="1112">
        <v>10</v>
      </c>
      <c r="L11" s="985" t="s">
        <v>229</v>
      </c>
      <c r="M11" s="1115" t="s">
        <v>375</v>
      </c>
      <c r="O11" s="1" t="s">
        <v>1857</v>
      </c>
    </row>
    <row r="12" spans="1:36">
      <c r="A12" s="1114">
        <v>10</v>
      </c>
      <c r="B12" s="702" t="s">
        <v>674</v>
      </c>
      <c r="C12" s="536" t="s">
        <v>774</v>
      </c>
      <c r="D12" s="990" t="s">
        <v>167</v>
      </c>
      <c r="E12" s="702" t="s">
        <v>674</v>
      </c>
      <c r="F12" s="990" t="s">
        <v>178</v>
      </c>
      <c r="G12" s="1110">
        <v>2.86</v>
      </c>
      <c r="H12" s="1111">
        <v>6.67</v>
      </c>
      <c r="I12" s="1110" t="s">
        <v>1562</v>
      </c>
      <c r="J12" s="1112" t="s">
        <v>1456</v>
      </c>
      <c r="K12" s="1112">
        <v>11</v>
      </c>
      <c r="L12" s="985" t="s">
        <v>1281</v>
      </c>
      <c r="M12" s="1115" t="s">
        <v>428</v>
      </c>
    </row>
    <row r="13" spans="1:36">
      <c r="A13" s="1114">
        <v>11</v>
      </c>
      <c r="B13" s="702" t="s">
        <v>1076</v>
      </c>
      <c r="C13" s="1216" t="s">
        <v>1419</v>
      </c>
      <c r="D13" s="990" t="s">
        <v>683</v>
      </c>
      <c r="E13" s="702" t="s">
        <v>1076</v>
      </c>
      <c r="F13" s="990" t="s">
        <v>221</v>
      </c>
      <c r="G13" s="1110">
        <v>2.78</v>
      </c>
      <c r="H13" s="1111">
        <v>7.14</v>
      </c>
      <c r="I13" s="1110" t="s">
        <v>1563</v>
      </c>
      <c r="J13" s="1112" t="s">
        <v>1457</v>
      </c>
      <c r="K13" s="1112">
        <v>12</v>
      </c>
      <c r="L13" s="985" t="s">
        <v>421</v>
      </c>
      <c r="M13" s="1115" t="s">
        <v>381</v>
      </c>
    </row>
    <row r="14" spans="1:36">
      <c r="A14" s="1114">
        <v>12</v>
      </c>
      <c r="B14" s="702" t="s">
        <v>1077</v>
      </c>
      <c r="C14" s="990" t="s">
        <v>225</v>
      </c>
      <c r="D14" s="990" t="s">
        <v>1591</v>
      </c>
      <c r="E14" s="702" t="s">
        <v>1077</v>
      </c>
      <c r="F14" s="990" t="s">
        <v>224</v>
      </c>
      <c r="G14" s="1110">
        <v>2.7</v>
      </c>
      <c r="H14" s="1111">
        <v>7.69</v>
      </c>
      <c r="I14" s="1110" t="s">
        <v>1557</v>
      </c>
      <c r="J14" s="1112" t="s">
        <v>1609</v>
      </c>
      <c r="K14" s="1112">
        <v>13</v>
      </c>
      <c r="L14" s="985" t="s">
        <v>389</v>
      </c>
      <c r="M14" s="1115" t="s">
        <v>378</v>
      </c>
    </row>
    <row r="15" spans="1:36">
      <c r="A15" s="1114">
        <v>13</v>
      </c>
      <c r="B15" s="702" t="s">
        <v>675</v>
      </c>
      <c r="C15" s="990" t="s">
        <v>233</v>
      </c>
      <c r="D15" s="990" t="s">
        <v>256</v>
      </c>
      <c r="E15" s="702" t="s">
        <v>675</v>
      </c>
      <c r="F15" s="990" t="s">
        <v>232</v>
      </c>
      <c r="G15" s="1111">
        <v>2.62</v>
      </c>
      <c r="H15" s="1111">
        <v>8.2899999999999991</v>
      </c>
      <c r="I15" s="1110" t="s">
        <v>1560</v>
      </c>
      <c r="K15" s="1112">
        <v>14</v>
      </c>
      <c r="L15" s="985" t="s">
        <v>389</v>
      </c>
      <c r="M15" s="1115" t="s">
        <v>384</v>
      </c>
    </row>
    <row r="16" spans="1:36">
      <c r="A16" s="1114">
        <v>14</v>
      </c>
      <c r="B16" s="703" t="s">
        <v>916</v>
      </c>
      <c r="C16" s="990" t="s">
        <v>237</v>
      </c>
      <c r="D16" s="990" t="s">
        <v>684</v>
      </c>
      <c r="E16" s="703" t="s">
        <v>916</v>
      </c>
      <c r="F16" s="990" t="s">
        <v>236</v>
      </c>
      <c r="G16" s="1111">
        <v>2.5499999999999998</v>
      </c>
      <c r="H16" s="1111">
        <v>8.9149999999999991</v>
      </c>
      <c r="I16" s="1110" t="s">
        <v>1561</v>
      </c>
      <c r="J16" s="536" t="s">
        <v>789</v>
      </c>
      <c r="K16" s="1112">
        <v>15</v>
      </c>
      <c r="L16" s="985" t="s">
        <v>404</v>
      </c>
      <c r="M16" s="1115" t="s">
        <v>384</v>
      </c>
    </row>
    <row r="17" spans="1:21">
      <c r="A17" s="1114">
        <v>15</v>
      </c>
      <c r="B17" s="703" t="s">
        <v>676</v>
      </c>
      <c r="C17" s="990" t="s">
        <v>239</v>
      </c>
      <c r="D17" s="990" t="s">
        <v>685</v>
      </c>
      <c r="E17" s="703" t="s">
        <v>676</v>
      </c>
      <c r="F17" s="990" t="s">
        <v>179</v>
      </c>
      <c r="G17" s="1111">
        <v>2.48</v>
      </c>
      <c r="H17" s="1111">
        <v>9.5649999999999995</v>
      </c>
      <c r="I17" s="1110" t="s">
        <v>1558</v>
      </c>
      <c r="J17" s="1119">
        <v>1</v>
      </c>
      <c r="K17" s="1112">
        <v>16</v>
      </c>
      <c r="L17" s="985" t="s">
        <v>377</v>
      </c>
      <c r="M17" s="1115" t="s">
        <v>432</v>
      </c>
    </row>
    <row r="18" spans="1:21">
      <c r="A18" s="1114">
        <v>16</v>
      </c>
      <c r="B18" s="703" t="s">
        <v>678</v>
      </c>
      <c r="C18" s="990" t="s">
        <v>241</v>
      </c>
      <c r="E18" s="703" t="s">
        <v>678</v>
      </c>
      <c r="F18" s="990" t="s">
        <v>238</v>
      </c>
      <c r="G18" s="1111">
        <v>2.41</v>
      </c>
      <c r="H18" s="1111">
        <v>10.24</v>
      </c>
      <c r="I18" s="1110" t="s">
        <v>1559</v>
      </c>
      <c r="J18" s="1119">
        <v>1.5</v>
      </c>
      <c r="K18" s="1112">
        <v>17</v>
      </c>
      <c r="L18" s="985" t="s">
        <v>453</v>
      </c>
      <c r="M18" s="1115" t="s">
        <v>388</v>
      </c>
    </row>
    <row r="19" spans="1:21">
      <c r="A19" s="1114">
        <v>17</v>
      </c>
      <c r="B19" s="703" t="s">
        <v>677</v>
      </c>
      <c r="C19" s="990" t="s">
        <v>243</v>
      </c>
      <c r="D19" s="536" t="s">
        <v>776</v>
      </c>
      <c r="E19" s="703" t="s">
        <v>677</v>
      </c>
      <c r="F19" s="990" t="s">
        <v>240</v>
      </c>
      <c r="G19" s="1111">
        <v>2.35</v>
      </c>
      <c r="H19" s="1111">
        <v>10.94</v>
      </c>
      <c r="I19" s="1110"/>
      <c r="J19" s="1119">
        <v>1.6</v>
      </c>
      <c r="K19" s="1112">
        <v>18</v>
      </c>
      <c r="L19" s="985" t="s">
        <v>390</v>
      </c>
      <c r="M19" s="1115" t="s">
        <v>376</v>
      </c>
    </row>
    <row r="20" spans="1:21">
      <c r="A20" s="1114">
        <v>18</v>
      </c>
      <c r="B20" s="703" t="s">
        <v>680</v>
      </c>
      <c r="C20" s="990" t="s">
        <v>803</v>
      </c>
      <c r="D20" s="990" t="s">
        <v>689</v>
      </c>
      <c r="E20" s="703" t="s">
        <v>680</v>
      </c>
      <c r="F20" s="990" t="s">
        <v>242</v>
      </c>
      <c r="G20" s="1111">
        <v>2.29</v>
      </c>
      <c r="H20" s="1111">
        <v>11.664999999999999</v>
      </c>
      <c r="I20" s="1896" t="s">
        <v>1570</v>
      </c>
      <c r="J20" s="1119">
        <v>1.8</v>
      </c>
      <c r="K20" s="1112">
        <v>19</v>
      </c>
      <c r="L20" s="985" t="s">
        <v>386</v>
      </c>
      <c r="M20" s="1120" t="s">
        <v>905</v>
      </c>
    </row>
    <row r="21" spans="1:21">
      <c r="A21" s="1114">
        <v>19</v>
      </c>
      <c r="B21" s="703" t="s">
        <v>679</v>
      </c>
      <c r="C21" s="536" t="s">
        <v>775</v>
      </c>
      <c r="D21" s="990" t="s">
        <v>690</v>
      </c>
      <c r="E21" s="703" t="s">
        <v>679</v>
      </c>
      <c r="F21" s="990" t="s">
        <v>244</v>
      </c>
      <c r="G21" s="1111">
        <v>2.23</v>
      </c>
      <c r="H21" s="1111">
        <v>12.414999999999999</v>
      </c>
      <c r="I21" s="1" t="s">
        <v>1571</v>
      </c>
      <c r="J21" s="1119">
        <v>2</v>
      </c>
      <c r="K21" s="1112">
        <v>20</v>
      </c>
      <c r="L21" s="985" t="s">
        <v>435</v>
      </c>
      <c r="M21" s="1115" t="s">
        <v>387</v>
      </c>
    </row>
    <row r="22" spans="1:21">
      <c r="A22" s="1114">
        <v>20</v>
      </c>
      <c r="B22" s="703" t="s">
        <v>681</v>
      </c>
      <c r="C22" s="990" t="s">
        <v>717</v>
      </c>
      <c r="D22" s="990" t="s">
        <v>691</v>
      </c>
      <c r="E22" s="703" t="s">
        <v>681</v>
      </c>
      <c r="F22" s="990" t="s">
        <v>180</v>
      </c>
      <c r="G22" s="1111">
        <v>2.1800000000000002</v>
      </c>
      <c r="H22" s="1111">
        <v>13.19</v>
      </c>
      <c r="I22" s="1" t="s">
        <v>1014</v>
      </c>
      <c r="J22" s="1119">
        <v>2.1</v>
      </c>
      <c r="L22" s="985" t="s">
        <v>372</v>
      </c>
      <c r="M22" s="1115" t="s">
        <v>374</v>
      </c>
      <c r="U22" s="51"/>
    </row>
    <row r="23" spans="1:21">
      <c r="A23" s="1114">
        <v>21</v>
      </c>
      <c r="B23" s="702" t="s">
        <v>1014</v>
      </c>
      <c r="C23" s="990" t="s">
        <v>686</v>
      </c>
      <c r="D23" s="990" t="s">
        <v>258</v>
      </c>
      <c r="E23" s="702" t="s">
        <v>1014</v>
      </c>
      <c r="F23" s="990" t="s">
        <v>245</v>
      </c>
      <c r="G23" s="1111">
        <v>2.13</v>
      </c>
      <c r="H23" s="1111">
        <v>13.99</v>
      </c>
      <c r="I23" s="1" t="s">
        <v>1573</v>
      </c>
      <c r="J23" s="1119">
        <v>2.2999999999999998</v>
      </c>
      <c r="L23" s="985" t="s">
        <v>437</v>
      </c>
      <c r="M23" s="1115" t="s">
        <v>433</v>
      </c>
    </row>
    <row r="24" spans="1:21">
      <c r="A24" s="1114">
        <v>22</v>
      </c>
      <c r="B24" s="703" t="s">
        <v>1289</v>
      </c>
      <c r="C24" s="990" t="s">
        <v>687</v>
      </c>
      <c r="D24" s="990" t="s">
        <v>174</v>
      </c>
      <c r="E24" s="703" t="s">
        <v>1289</v>
      </c>
      <c r="F24" s="990" t="s">
        <v>254</v>
      </c>
      <c r="G24" s="1111">
        <v>2.08</v>
      </c>
      <c r="H24" s="1111">
        <v>14.815</v>
      </c>
      <c r="I24" s="1" t="s">
        <v>1572</v>
      </c>
      <c r="J24" s="1119">
        <v>2.4</v>
      </c>
      <c r="L24" s="985" t="s">
        <v>385</v>
      </c>
      <c r="M24" s="1115" t="s">
        <v>406</v>
      </c>
    </row>
    <row r="25" spans="1:21">
      <c r="A25" s="1114">
        <v>23</v>
      </c>
      <c r="B25" s="703" t="s">
        <v>1227</v>
      </c>
      <c r="C25" s="990" t="s">
        <v>688</v>
      </c>
      <c r="E25" s="703" t="s">
        <v>1227</v>
      </c>
      <c r="F25" s="990" t="s">
        <v>255</v>
      </c>
      <c r="G25" s="1111">
        <v>2.0299999999999998</v>
      </c>
      <c r="H25" s="1111">
        <v>15.664999999999999</v>
      </c>
      <c r="I25" s="1" t="s">
        <v>1574</v>
      </c>
      <c r="J25" s="1119">
        <v>2.5</v>
      </c>
      <c r="L25" s="985" t="s">
        <v>438</v>
      </c>
      <c r="M25" s="1115" t="s">
        <v>398</v>
      </c>
    </row>
    <row r="26" spans="1:21">
      <c r="A26" s="1114">
        <v>24</v>
      </c>
      <c r="B26" s="536" t="s">
        <v>768</v>
      </c>
      <c r="D26" s="536" t="s">
        <v>757</v>
      </c>
      <c r="E26" s="990"/>
      <c r="F26" s="990" t="s">
        <v>257</v>
      </c>
      <c r="G26" s="1111">
        <v>1.98</v>
      </c>
      <c r="H26" s="1111">
        <v>16.54</v>
      </c>
      <c r="I26" s="1" t="s">
        <v>1575</v>
      </c>
      <c r="J26" s="1119">
        <v>2.6</v>
      </c>
      <c r="L26" s="985" t="s">
        <v>426</v>
      </c>
      <c r="M26" s="1115" t="s">
        <v>396</v>
      </c>
    </row>
    <row r="27" spans="1:21">
      <c r="A27" s="1114">
        <v>25</v>
      </c>
      <c r="B27" s="703" t="s">
        <v>113</v>
      </c>
      <c r="C27" s="536" t="s">
        <v>747</v>
      </c>
      <c r="D27" s="1121" t="s">
        <v>115</v>
      </c>
      <c r="E27" s="536" t="s">
        <v>754</v>
      </c>
      <c r="F27" s="990" t="s">
        <v>259</v>
      </c>
      <c r="G27" s="1111">
        <v>1.93</v>
      </c>
      <c r="H27" s="1111">
        <v>17.440000000000001</v>
      </c>
      <c r="I27" s="1" t="s">
        <v>1289</v>
      </c>
      <c r="J27" s="1123">
        <v>2.7</v>
      </c>
      <c r="L27" s="985" t="s">
        <v>419</v>
      </c>
      <c r="M27" s="1115" t="s">
        <v>397</v>
      </c>
    </row>
    <row r="28" spans="1:21">
      <c r="A28" s="1114">
        <v>26</v>
      </c>
      <c r="B28" s="1112" t="s">
        <v>157</v>
      </c>
      <c r="C28" s="676">
        <v>0.3</v>
      </c>
      <c r="D28" s="1122" t="s">
        <v>114</v>
      </c>
      <c r="E28" s="1138">
        <v>4.4999999999999998E-2</v>
      </c>
      <c r="F28" s="990" t="s">
        <v>181</v>
      </c>
      <c r="I28" s="1" t="s">
        <v>1576</v>
      </c>
      <c r="J28" s="1123">
        <v>2.9</v>
      </c>
      <c r="L28" s="985" t="s">
        <v>436</v>
      </c>
      <c r="M28" s="1115" t="s">
        <v>399</v>
      </c>
    </row>
    <row r="29" spans="1:21">
      <c r="A29" s="1114">
        <v>27</v>
      </c>
      <c r="B29" s="536" t="s">
        <v>761</v>
      </c>
      <c r="C29" s="676">
        <v>0.42</v>
      </c>
      <c r="D29" s="1122" t="s">
        <v>15</v>
      </c>
      <c r="E29" s="1138">
        <v>7.8E-2</v>
      </c>
      <c r="F29" s="990" t="s">
        <v>182</v>
      </c>
      <c r="G29" s="536" t="s">
        <v>780</v>
      </c>
      <c r="H29" s="536" t="s">
        <v>781</v>
      </c>
      <c r="I29" s="1" t="s">
        <v>1577</v>
      </c>
      <c r="J29" s="1123">
        <v>5</v>
      </c>
      <c r="L29" s="985" t="s">
        <v>445</v>
      </c>
      <c r="M29" s="1115" t="s">
        <v>430</v>
      </c>
    </row>
    <row r="30" spans="1:21">
      <c r="A30" s="1114">
        <v>28</v>
      </c>
      <c r="B30" s="1112">
        <v>2</v>
      </c>
      <c r="C30" s="676">
        <v>0.45</v>
      </c>
      <c r="D30" s="530" t="s">
        <v>112</v>
      </c>
      <c r="E30" s="1138">
        <v>0.11</v>
      </c>
      <c r="F30" s="990" t="s">
        <v>183</v>
      </c>
      <c r="G30" s="1124">
        <v>1</v>
      </c>
      <c r="H30" s="1112" t="s">
        <v>718</v>
      </c>
      <c r="J30" s="1123">
        <v>5.3</v>
      </c>
      <c r="L30" s="985" t="s">
        <v>447</v>
      </c>
      <c r="M30" s="1115" t="s">
        <v>429</v>
      </c>
    </row>
    <row r="31" spans="1:21">
      <c r="A31" s="1114">
        <v>29</v>
      </c>
      <c r="B31" s="1112">
        <v>3</v>
      </c>
      <c r="C31" s="676">
        <v>0.5</v>
      </c>
      <c r="E31" s="1138">
        <v>0.17</v>
      </c>
      <c r="F31" s="990" t="s">
        <v>260</v>
      </c>
      <c r="G31" s="1124">
        <v>2</v>
      </c>
      <c r="H31" s="1112" t="s">
        <v>719</v>
      </c>
      <c r="J31" s="1123">
        <v>7</v>
      </c>
      <c r="L31" s="985" t="s">
        <v>423</v>
      </c>
      <c r="M31" s="1115" t="s">
        <v>448</v>
      </c>
    </row>
    <row r="32" spans="1:21">
      <c r="A32" s="1114">
        <v>30</v>
      </c>
      <c r="C32" s="676">
        <v>0.52</v>
      </c>
      <c r="D32" s="536" t="s">
        <v>766</v>
      </c>
      <c r="E32" s="1138">
        <v>0.38</v>
      </c>
      <c r="F32" s="990" t="s">
        <v>261</v>
      </c>
      <c r="G32" s="1124">
        <v>3</v>
      </c>
      <c r="H32" s="1" t="s">
        <v>30</v>
      </c>
      <c r="I32" s="536" t="s">
        <v>806</v>
      </c>
      <c r="L32" s="985" t="s">
        <v>403</v>
      </c>
      <c r="M32" s="1120" t="s">
        <v>904</v>
      </c>
    </row>
    <row r="33" spans="1:17">
      <c r="B33" s="536" t="s">
        <v>746</v>
      </c>
      <c r="C33" s="676">
        <v>0.6</v>
      </c>
      <c r="D33" s="531" t="s">
        <v>115</v>
      </c>
      <c r="E33" s="1138">
        <v>0.66100000000000003</v>
      </c>
      <c r="F33" s="990" t="s">
        <v>262</v>
      </c>
      <c r="G33" s="1124">
        <v>4</v>
      </c>
      <c r="I33" s="1112" t="s">
        <v>718</v>
      </c>
      <c r="J33" s="536" t="s">
        <v>804</v>
      </c>
      <c r="L33" s="985" t="s">
        <v>454</v>
      </c>
      <c r="M33" s="1120" t="s">
        <v>903</v>
      </c>
    </row>
    <row r="34" spans="1:17">
      <c r="A34" s="536" t="s">
        <v>763</v>
      </c>
      <c r="B34" s="1109">
        <v>500</v>
      </c>
      <c r="C34" s="676">
        <v>0.65</v>
      </c>
      <c r="D34" s="1122" t="s">
        <v>734</v>
      </c>
      <c r="F34" s="990" t="s">
        <v>184</v>
      </c>
      <c r="G34" s="1124">
        <v>5</v>
      </c>
      <c r="I34" s="1112" t="s">
        <v>719</v>
      </c>
      <c r="J34" s="1125">
        <v>0.5</v>
      </c>
      <c r="L34" s="985" t="s">
        <v>401</v>
      </c>
      <c r="M34" s="1120" t="s">
        <v>902</v>
      </c>
    </row>
    <row r="35" spans="1:17">
      <c r="A35" s="1137">
        <v>2</v>
      </c>
      <c r="B35" s="1126">
        <v>1000</v>
      </c>
      <c r="C35" s="676">
        <v>0.68</v>
      </c>
      <c r="E35" s="536" t="s">
        <v>762</v>
      </c>
      <c r="G35" s="1124">
        <v>6</v>
      </c>
      <c r="I35" s="1112" t="s">
        <v>805</v>
      </c>
      <c r="J35" s="676">
        <v>0.75</v>
      </c>
      <c r="L35" s="985" t="s">
        <v>400</v>
      </c>
      <c r="M35" s="1115" t="s">
        <v>371</v>
      </c>
    </row>
    <row r="36" spans="1:17">
      <c r="A36" s="1137">
        <v>3</v>
      </c>
      <c r="B36" s="1109">
        <v>1250</v>
      </c>
      <c r="C36" s="676">
        <v>0.78</v>
      </c>
      <c r="D36" s="536" t="s">
        <v>765</v>
      </c>
      <c r="E36" s="1127" t="s">
        <v>289</v>
      </c>
      <c r="G36" s="1124">
        <v>7</v>
      </c>
      <c r="I36" s="1112" t="s">
        <v>1081</v>
      </c>
      <c r="J36" s="1125">
        <v>1</v>
      </c>
      <c r="L36" s="985" t="s">
        <v>425</v>
      </c>
      <c r="M36" s="1115" t="s">
        <v>394</v>
      </c>
    </row>
    <row r="37" spans="1:17">
      <c r="A37" s="1137">
        <v>4</v>
      </c>
      <c r="B37" s="1126">
        <v>1500</v>
      </c>
      <c r="C37" s="676">
        <v>0.87</v>
      </c>
      <c r="D37" s="1139">
        <v>1</v>
      </c>
      <c r="E37" s="1127" t="s">
        <v>67</v>
      </c>
      <c r="F37" s="536" t="s">
        <v>767</v>
      </c>
      <c r="G37" s="1124">
        <v>8</v>
      </c>
      <c r="I37" s="1" t="s">
        <v>1596</v>
      </c>
      <c r="L37" s="985" t="s">
        <v>380</v>
      </c>
      <c r="M37" s="1115" t="s">
        <v>440</v>
      </c>
      <c r="Q37" s="175"/>
    </row>
    <row r="38" spans="1:17">
      <c r="A38" s="1137">
        <v>5</v>
      </c>
      <c r="B38" s="1126">
        <v>2000</v>
      </c>
      <c r="C38" s="676">
        <v>1</v>
      </c>
      <c r="D38" s="1137">
        <v>0.45</v>
      </c>
      <c r="E38" s="1127" t="s">
        <v>68</v>
      </c>
      <c r="F38" s="1112" t="s">
        <v>1447</v>
      </c>
      <c r="G38" s="1124">
        <v>9</v>
      </c>
      <c r="K38" s="2"/>
      <c r="L38" s="985" t="s">
        <v>373</v>
      </c>
      <c r="M38" s="1115" t="s">
        <v>382</v>
      </c>
      <c r="Q38" s="175"/>
    </row>
    <row r="39" spans="1:17">
      <c r="A39" s="1137">
        <v>6</v>
      </c>
      <c r="B39" s="1126">
        <v>2500</v>
      </c>
      <c r="C39" s="676">
        <v>1.2</v>
      </c>
      <c r="E39" s="1127" t="s">
        <v>54</v>
      </c>
      <c r="F39" s="1112" t="s">
        <v>705</v>
      </c>
      <c r="G39" s="1124">
        <v>10</v>
      </c>
      <c r="I39" s="1215" t="s">
        <v>1919</v>
      </c>
      <c r="J39" s="2093" t="s">
        <v>1474</v>
      </c>
      <c r="L39" s="985" t="s">
        <v>443</v>
      </c>
      <c r="M39" s="1115" t="s">
        <v>446</v>
      </c>
      <c r="P39" s="175"/>
      <c r="Q39" s="175"/>
    </row>
    <row r="40" spans="1:17">
      <c r="A40" s="1137">
        <v>7</v>
      </c>
      <c r="C40" s="676">
        <v>1.6</v>
      </c>
      <c r="D40" s="536" t="s">
        <v>748</v>
      </c>
      <c r="F40" s="1112" t="s">
        <v>704</v>
      </c>
      <c r="G40" s="1124">
        <v>11</v>
      </c>
      <c r="I40" s="1216" t="s">
        <v>220</v>
      </c>
      <c r="J40" s="1" t="s">
        <v>2145</v>
      </c>
      <c r="L40" s="985" t="s">
        <v>439</v>
      </c>
      <c r="M40" s="1115" t="s">
        <v>413</v>
      </c>
      <c r="P40" s="175"/>
      <c r="Q40" s="175"/>
    </row>
    <row r="41" spans="1:17">
      <c r="A41" s="1137">
        <v>8</v>
      </c>
      <c r="B41" s="536" t="s">
        <v>756</v>
      </c>
      <c r="D41" s="676">
        <v>0.33</v>
      </c>
      <c r="E41" s="536" t="s">
        <v>760</v>
      </c>
      <c r="F41" s="1112" t="s">
        <v>354</v>
      </c>
      <c r="G41" s="1124">
        <v>12</v>
      </c>
      <c r="I41" s="1216" t="s">
        <v>223</v>
      </c>
      <c r="L41" s="985" t="s">
        <v>442</v>
      </c>
      <c r="M41" s="1115" t="s">
        <v>395</v>
      </c>
      <c r="P41" s="175"/>
      <c r="Q41" s="175"/>
    </row>
    <row r="42" spans="1:17">
      <c r="A42" s="1137">
        <v>9</v>
      </c>
      <c r="B42" s="1128">
        <v>2</v>
      </c>
      <c r="D42" s="676">
        <v>0.5</v>
      </c>
      <c r="E42" s="1166" t="s">
        <v>1429</v>
      </c>
      <c r="F42" s="1188" t="s">
        <v>1449</v>
      </c>
      <c r="G42" s="1124">
        <v>13</v>
      </c>
      <c r="I42" s="1216" t="s">
        <v>1920</v>
      </c>
      <c r="J42" s="536" t="s">
        <v>1226</v>
      </c>
      <c r="L42" s="985" t="s">
        <v>441</v>
      </c>
      <c r="M42" s="1129"/>
      <c r="P42" s="175"/>
      <c r="Q42" s="175"/>
    </row>
    <row r="43" spans="1:17">
      <c r="A43" s="1216">
        <v>10</v>
      </c>
      <c r="B43" s="1112">
        <v>2.5</v>
      </c>
      <c r="C43" s="536" t="s">
        <v>759</v>
      </c>
      <c r="E43" s="1112">
        <v>5</v>
      </c>
      <c r="G43" s="1124">
        <v>14</v>
      </c>
      <c r="I43" s="1216" t="s">
        <v>235</v>
      </c>
      <c r="J43" s="794" t="s">
        <v>1082</v>
      </c>
      <c r="L43" s="985" t="s">
        <v>383</v>
      </c>
      <c r="M43" s="1129"/>
    </row>
    <row r="44" spans="1:17">
      <c r="A44" s="1216">
        <v>11</v>
      </c>
      <c r="B44" s="1125">
        <v>3</v>
      </c>
      <c r="C44" s="1128">
        <v>1</v>
      </c>
      <c r="D44" s="536" t="s">
        <v>750</v>
      </c>
      <c r="E44" s="1112">
        <v>6</v>
      </c>
      <c r="G44" s="1124">
        <v>15</v>
      </c>
      <c r="I44" s="1216" t="s">
        <v>731</v>
      </c>
      <c r="J44" s="794" t="s">
        <v>919</v>
      </c>
      <c r="L44" s="985" t="s">
        <v>414</v>
      </c>
      <c r="M44" s="1129"/>
    </row>
    <row r="45" spans="1:17">
      <c r="A45" s="1216">
        <v>12</v>
      </c>
      <c r="C45" s="1125">
        <v>2</v>
      </c>
      <c r="D45" s="1125">
        <v>1.2</v>
      </c>
      <c r="E45" s="1112">
        <v>6.5</v>
      </c>
      <c r="G45" s="1124">
        <v>16</v>
      </c>
      <c r="J45" s="794" t="s">
        <v>920</v>
      </c>
      <c r="L45" s="985" t="s">
        <v>408</v>
      </c>
      <c r="M45" s="1129"/>
    </row>
    <row r="46" spans="1:17">
      <c r="C46" s="1125">
        <v>2.5</v>
      </c>
      <c r="D46" s="1125">
        <v>1</v>
      </c>
      <c r="E46" s="1112">
        <v>10</v>
      </c>
      <c r="G46" s="1124">
        <v>17</v>
      </c>
      <c r="L46" s="985" t="s">
        <v>427</v>
      </c>
      <c r="M46" s="1129"/>
    </row>
    <row r="47" spans="1:17">
      <c r="B47" s="536" t="s">
        <v>928</v>
      </c>
      <c r="C47" s="1125">
        <v>5</v>
      </c>
      <c r="D47" s="1130">
        <v>1.6</v>
      </c>
      <c r="E47" s="536" t="s">
        <v>1230</v>
      </c>
      <c r="G47" s="1124">
        <v>18</v>
      </c>
      <c r="J47" s="1133"/>
      <c r="M47" s="1129"/>
    </row>
    <row r="48" spans="1:17">
      <c r="B48" s="794" t="s">
        <v>926</v>
      </c>
      <c r="E48" s="1132" t="s">
        <v>1237</v>
      </c>
      <c r="G48" s="1124">
        <v>19</v>
      </c>
      <c r="J48" s="536" t="s">
        <v>1382</v>
      </c>
    </row>
    <row r="49" spans="2:13">
      <c r="B49" s="794" t="s">
        <v>927</v>
      </c>
      <c r="C49" s="536" t="s">
        <v>749</v>
      </c>
      <c r="D49" s="1131"/>
      <c r="E49" s="1133" t="s">
        <v>1238</v>
      </c>
      <c r="G49" s="1124">
        <v>20</v>
      </c>
      <c r="J49" s="794" t="s">
        <v>1383</v>
      </c>
      <c r="L49" s="536" t="s">
        <v>1436</v>
      </c>
      <c r="M49" s="1896" t="s">
        <v>1788</v>
      </c>
    </row>
    <row r="50" spans="2:13">
      <c r="B50" s="794" t="s">
        <v>1987</v>
      </c>
      <c r="C50" s="1125">
        <v>1</v>
      </c>
      <c r="D50" s="536" t="s">
        <v>1229</v>
      </c>
      <c r="E50" s="1133" t="s">
        <v>1278</v>
      </c>
      <c r="J50" s="794" t="s">
        <v>1380</v>
      </c>
      <c r="L50" s="1188" t="s">
        <v>1437</v>
      </c>
      <c r="M50" s="1216" t="s">
        <v>1789</v>
      </c>
    </row>
    <row r="51" spans="2:13">
      <c r="C51" s="1125">
        <v>1.5</v>
      </c>
      <c r="D51" s="794" t="s">
        <v>1231</v>
      </c>
      <c r="E51" s="1133" t="s">
        <v>1239</v>
      </c>
      <c r="F51" s="1896" t="s">
        <v>1578</v>
      </c>
      <c r="J51" s="794" t="s">
        <v>1381</v>
      </c>
      <c r="L51" s="1188" t="s">
        <v>1438</v>
      </c>
      <c r="M51" s="1216" t="s">
        <v>1411</v>
      </c>
    </row>
    <row r="52" spans="2:13">
      <c r="B52" s="1134" t="s">
        <v>1284</v>
      </c>
      <c r="D52" s="794" t="s">
        <v>1232</v>
      </c>
      <c r="E52" s="1133" t="s">
        <v>1240</v>
      </c>
      <c r="F52" s="1" t="s">
        <v>1579</v>
      </c>
      <c r="L52" s="1188" t="s">
        <v>1439</v>
      </c>
      <c r="M52" s="1216" t="s">
        <v>1793</v>
      </c>
    </row>
    <row r="53" spans="2:13">
      <c r="B53" s="794" t="s">
        <v>1416</v>
      </c>
      <c r="D53" s="794" t="s">
        <v>1233</v>
      </c>
      <c r="E53" s="1133" t="s">
        <v>1241</v>
      </c>
      <c r="F53" s="1" t="s">
        <v>113</v>
      </c>
      <c r="J53" s="536" t="s">
        <v>1406</v>
      </c>
      <c r="L53" s="1188" t="s">
        <v>1440</v>
      </c>
    </row>
    <row r="54" spans="2:13">
      <c r="B54" s="794" t="s">
        <v>1413</v>
      </c>
      <c r="D54" s="794" t="s">
        <v>1234</v>
      </c>
      <c r="E54" s="1132" t="s">
        <v>1242</v>
      </c>
      <c r="J54" s="1131" t="s">
        <v>1409</v>
      </c>
      <c r="L54" s="1188" t="s">
        <v>1441</v>
      </c>
    </row>
    <row r="55" spans="2:13">
      <c r="B55" s="794" t="s">
        <v>1414</v>
      </c>
      <c r="D55" s="794" t="s">
        <v>1235</v>
      </c>
      <c r="E55" s="1133" t="s">
        <v>1243</v>
      </c>
      <c r="J55" s="1131" t="s">
        <v>1410</v>
      </c>
    </row>
    <row r="56" spans="2:13">
      <c r="B56" s="794" t="s">
        <v>1417</v>
      </c>
      <c r="D56" s="794" t="s">
        <v>1418</v>
      </c>
      <c r="E56" s="1133" t="s">
        <v>1244</v>
      </c>
      <c r="J56" s="1131" t="s">
        <v>1407</v>
      </c>
      <c r="L56" s="536" t="s">
        <v>1442</v>
      </c>
    </row>
    <row r="57" spans="2:13">
      <c r="D57" s="794" t="s">
        <v>1236</v>
      </c>
      <c r="E57" s="1133" t="s">
        <v>1245</v>
      </c>
      <c r="J57" s="1131" t="s">
        <v>1408</v>
      </c>
      <c r="L57" s="1188" t="s">
        <v>1443</v>
      </c>
      <c r="M57" s="1912" t="s">
        <v>1796</v>
      </c>
    </row>
    <row r="58" spans="2:13">
      <c r="D58" s="794" t="s">
        <v>1277</v>
      </c>
      <c r="E58" s="1133" t="s">
        <v>1246</v>
      </c>
      <c r="J58" s="1188" t="s">
        <v>1412</v>
      </c>
      <c r="L58" s="1188" t="s">
        <v>379</v>
      </c>
      <c r="M58" s="1216" t="s">
        <v>1797</v>
      </c>
    </row>
    <row r="59" spans="2:13">
      <c r="B59" s="1134" t="s">
        <v>1287</v>
      </c>
      <c r="D59" s="794" t="s">
        <v>1279</v>
      </c>
      <c r="E59" s="1133" t="s">
        <v>1247</v>
      </c>
      <c r="J59" s="1131" t="s">
        <v>1411</v>
      </c>
      <c r="L59" s="1188" t="s">
        <v>1444</v>
      </c>
      <c r="M59" s="1216" t="s">
        <v>1798</v>
      </c>
    </row>
    <row r="60" spans="2:13">
      <c r="B60" s="794" t="s">
        <v>1415</v>
      </c>
      <c r="D60" s="794" t="s">
        <v>1419</v>
      </c>
      <c r="E60" s="1133" t="s">
        <v>1248</v>
      </c>
      <c r="M60" s="1216" t="s">
        <v>1799</v>
      </c>
    </row>
    <row r="61" spans="2:13">
      <c r="B61" s="794" t="s">
        <v>1285</v>
      </c>
      <c r="E61" s="1133" t="s">
        <v>1249</v>
      </c>
      <c r="F61" s="1215" t="s">
        <v>1470</v>
      </c>
      <c r="J61" s="536" t="s">
        <v>1462</v>
      </c>
      <c r="L61" s="536" t="s">
        <v>1446</v>
      </c>
      <c r="M61" s="1216" t="s">
        <v>1800</v>
      </c>
    </row>
    <row r="62" spans="2:13">
      <c r="D62" s="536" t="s">
        <v>1501</v>
      </c>
      <c r="E62" s="1133" t="s">
        <v>1250</v>
      </c>
      <c r="F62" s="1216" t="s">
        <v>1465</v>
      </c>
      <c r="J62" s="1188" t="s">
        <v>1459</v>
      </c>
      <c r="L62" s="1188" t="s">
        <v>1447</v>
      </c>
      <c r="M62" s="1216" t="s">
        <v>1824</v>
      </c>
    </row>
    <row r="63" spans="2:13">
      <c r="D63" s="990" t="s">
        <v>1502</v>
      </c>
      <c r="E63" s="1133" t="s">
        <v>1251</v>
      </c>
      <c r="F63" s="1216" t="s">
        <v>1466</v>
      </c>
      <c r="J63" s="1188" t="s">
        <v>1460</v>
      </c>
      <c r="L63" s="1188" t="s">
        <v>1448</v>
      </c>
    </row>
    <row r="64" spans="2:13">
      <c r="D64" s="990" t="s">
        <v>1505</v>
      </c>
      <c r="E64" s="1133" t="s">
        <v>1252</v>
      </c>
      <c r="F64" s="1216" t="s">
        <v>1467</v>
      </c>
      <c r="J64" s="1188" t="s">
        <v>1461</v>
      </c>
      <c r="L64" s="1188" t="s">
        <v>704</v>
      </c>
    </row>
    <row r="65" spans="4:13">
      <c r="D65" s="990" t="s">
        <v>1503</v>
      </c>
      <c r="E65" s="1133" t="s">
        <v>1253</v>
      </c>
      <c r="F65" s="1216" t="s">
        <v>1468</v>
      </c>
      <c r="L65" s="1188" t="s">
        <v>705</v>
      </c>
    </row>
    <row r="66" spans="4:13">
      <c r="D66" s="990" t="s">
        <v>1506</v>
      </c>
      <c r="E66" s="1133" t="s">
        <v>1254</v>
      </c>
      <c r="F66" s="1216" t="s">
        <v>1469</v>
      </c>
      <c r="J66" s="536" t="s">
        <v>1436</v>
      </c>
      <c r="L66" s="1188" t="s">
        <v>1449</v>
      </c>
    </row>
    <row r="67" spans="4:13">
      <c r="D67" s="990" t="s">
        <v>1504</v>
      </c>
      <c r="E67" s="1133" t="s">
        <v>1255</v>
      </c>
      <c r="J67" s="1188" t="s">
        <v>1440</v>
      </c>
    </row>
    <row r="68" spans="4:13">
      <c r="D68" s="990" t="s">
        <v>1507</v>
      </c>
      <c r="E68" s="1133" t="s">
        <v>1256</v>
      </c>
      <c r="F68" s="1896" t="s">
        <v>1810</v>
      </c>
      <c r="G68" s="1896"/>
      <c r="J68" s="1188" t="s">
        <v>1463</v>
      </c>
      <c r="L68" s="536" t="s">
        <v>1452</v>
      </c>
      <c r="M68" s="1896" t="s">
        <v>1811</v>
      </c>
    </row>
    <row r="69" spans="4:13">
      <c r="E69" s="1133" t="s">
        <v>1257</v>
      </c>
      <c r="F69" s="1">
        <v>6</v>
      </c>
      <c r="J69" s="1188" t="s">
        <v>1438</v>
      </c>
      <c r="L69" s="1188" t="s">
        <v>140</v>
      </c>
      <c r="M69" s="1" t="s">
        <v>735</v>
      </c>
    </row>
    <row r="70" spans="4:13">
      <c r="E70" s="1133" t="s">
        <v>1258</v>
      </c>
      <c r="F70" s="1">
        <v>7</v>
      </c>
      <c r="J70" s="1188" t="s">
        <v>1464</v>
      </c>
      <c r="L70" s="1188" t="s">
        <v>1453</v>
      </c>
      <c r="M70" s="1" t="s">
        <v>1813</v>
      </c>
    </row>
    <row r="71" spans="4:13">
      <c r="E71" s="1133" t="s">
        <v>1259</v>
      </c>
      <c r="F71" s="1">
        <v>8</v>
      </c>
      <c r="J71" s="1188" t="s">
        <v>1437</v>
      </c>
      <c r="L71" s="1188" t="s">
        <v>1454</v>
      </c>
      <c r="M71" s="1" t="s">
        <v>1812</v>
      </c>
    </row>
    <row r="72" spans="4:13">
      <c r="E72" s="1133" t="s">
        <v>1260</v>
      </c>
      <c r="F72" s="1">
        <v>9</v>
      </c>
      <c r="M72" s="1" t="s">
        <v>1814</v>
      </c>
    </row>
    <row r="73" spans="4:13">
      <c r="E73" s="1133" t="s">
        <v>1261</v>
      </c>
      <c r="F73" s="1">
        <v>10</v>
      </c>
      <c r="J73" s="536" t="s">
        <v>1442</v>
      </c>
      <c r="L73" s="536" t="s">
        <v>1455</v>
      </c>
      <c r="M73" s="1" t="s">
        <v>1814</v>
      </c>
    </row>
    <row r="74" spans="4:13">
      <c r="E74" s="1133" t="s">
        <v>1262</v>
      </c>
      <c r="F74" s="1">
        <v>11</v>
      </c>
      <c r="J74" s="1188" t="s">
        <v>1443</v>
      </c>
      <c r="L74" s="1188" t="s">
        <v>1456</v>
      </c>
      <c r="M74" s="1" t="s">
        <v>1814</v>
      </c>
    </row>
    <row r="75" spans="4:13">
      <c r="E75" s="1133" t="s">
        <v>1263</v>
      </c>
      <c r="F75" s="1">
        <v>12</v>
      </c>
      <c r="J75" s="794" t="s">
        <v>1553</v>
      </c>
      <c r="L75" s="1188" t="s">
        <v>1457</v>
      </c>
    </row>
    <row r="76" spans="4:13">
      <c r="E76" s="1133" t="s">
        <v>1264</v>
      </c>
      <c r="J76" s="794" t="s">
        <v>1554</v>
      </c>
    </row>
    <row r="77" spans="4:13">
      <c r="E77" s="1133" t="s">
        <v>1265</v>
      </c>
      <c r="F77" s="1896" t="s">
        <v>1816</v>
      </c>
      <c r="J77" s="794" t="s">
        <v>1608</v>
      </c>
    </row>
    <row r="78" spans="4:13">
      <c r="E78" s="1133" t="s">
        <v>1266</v>
      </c>
      <c r="F78" s="1216" t="s">
        <v>1817</v>
      </c>
    </row>
    <row r="79" spans="4:13">
      <c r="E79" s="1133" t="s">
        <v>1267</v>
      </c>
      <c r="F79" s="1216" t="s">
        <v>1789</v>
      </c>
    </row>
    <row r="80" spans="4:13">
      <c r="E80" s="1133" t="s">
        <v>1268</v>
      </c>
      <c r="F80" s="1216" t="s">
        <v>1411</v>
      </c>
    </row>
    <row r="81" spans="5:6">
      <c r="E81" s="1133" t="s">
        <v>1269</v>
      </c>
      <c r="F81" s="1216" t="s">
        <v>1793</v>
      </c>
    </row>
    <row r="82" spans="5:6">
      <c r="E82" s="1133" t="s">
        <v>1270</v>
      </c>
      <c r="F82" s="1216" t="s">
        <v>1967</v>
      </c>
    </row>
    <row r="83" spans="5:6">
      <c r="E83" s="1133" t="s">
        <v>1271</v>
      </c>
      <c r="F83" s="1216" t="s">
        <v>1968</v>
      </c>
    </row>
    <row r="84" spans="5:6">
      <c r="E84" s="1133" t="s">
        <v>1272</v>
      </c>
    </row>
    <row r="85" spans="5:6">
      <c r="E85" s="1133" t="s">
        <v>1273</v>
      </c>
    </row>
    <row r="86" spans="5:6">
      <c r="E86" s="1133" t="s">
        <v>1274</v>
      </c>
    </row>
    <row r="87" spans="5:6">
      <c r="E87" s="1133" t="s">
        <v>1275</v>
      </c>
    </row>
    <row r="88" spans="5:6">
      <c r="E88" s="1133" t="s">
        <v>1276</v>
      </c>
    </row>
    <row r="96" spans="5:6">
      <c r="E96" s="1135"/>
    </row>
  </sheetData>
  <customSheetViews>
    <customSheetView guid="{D1431318-1DB8-4C45-813B-5A8065DFC797}" fitToPage="1" topLeftCell="C1">
      <selection activeCell="J41" sqref="J41"/>
      <pageMargins left="0.7" right="0.7" top="0.75" bottom="0.75" header="0.3" footer="0.3"/>
      <pageSetup scale="76" fitToWidth="3" orientation="portrait" horizontalDpi="1200" verticalDpi="1200" r:id="rId1"/>
    </customSheetView>
  </customSheetViews>
  <pageMargins left="0.7" right="0.7" top="0.75" bottom="0.75" header="0.3" footer="0.3"/>
  <pageSetup scale="76" fitToWidth="3" orientation="portrait" horizontalDpi="1200" verticalDpi="1200"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pageSetUpPr fitToPage="1"/>
  </sheetPr>
  <dimension ref="A1:AS311"/>
  <sheetViews>
    <sheetView view="pageBreakPreview" zoomScaleNormal="100" zoomScaleSheetLayoutView="100" workbookViewId="0">
      <selection activeCell="D4" sqref="D4:E4"/>
    </sheetView>
  </sheetViews>
  <sheetFormatPr defaultColWidth="9.109375" defaultRowHeight="14.4"/>
  <cols>
    <col min="1" max="1" width="10.44140625" style="929" customWidth="1"/>
    <col min="2" max="2" width="11.44140625" style="929" customWidth="1"/>
    <col min="3" max="3" width="7.88671875" style="929" customWidth="1"/>
    <col min="4" max="7" width="7.44140625" style="929" customWidth="1"/>
    <col min="8" max="8" width="14.44140625" style="929" customWidth="1"/>
    <col min="9" max="9" width="11.109375" style="929" customWidth="1"/>
    <col min="10" max="10" width="11.44140625" style="929" customWidth="1"/>
    <col min="11" max="11" width="13.44140625" style="929" customWidth="1"/>
    <col min="12" max="13" width="9.109375" style="929"/>
    <col min="14" max="14" width="13.109375" style="969" customWidth="1"/>
    <col min="15" max="15" width="7.88671875" style="969" customWidth="1"/>
    <col min="16" max="27" width="9.109375" style="969"/>
    <col min="28" max="16384" width="9.109375" style="929"/>
  </cols>
  <sheetData>
    <row r="1" spans="1:45" ht="45.75" customHeight="1" thickBot="1">
      <c r="A1" s="923"/>
      <c r="B1" s="924"/>
      <c r="C1" s="2844" t="s">
        <v>1746</v>
      </c>
      <c r="D1" s="2844"/>
      <c r="E1" s="2844"/>
      <c r="F1" s="2844"/>
      <c r="G1" s="2844"/>
      <c r="H1" s="2844"/>
      <c r="I1" s="2050" t="s">
        <v>1015</v>
      </c>
      <c r="J1" s="2845" t="str">
        <f>IF(ISBLANK(Prelim!S5)," ",Prelim!S5)</f>
        <v xml:space="preserve"> </v>
      </c>
      <c r="K1" s="2845"/>
      <c r="L1" s="2845" t="str">
        <f>'Drop-Down Lists'!J40</f>
        <v>v 04.01.2021</v>
      </c>
      <c r="M1" s="2845"/>
      <c r="N1" s="926"/>
      <c r="O1" s="926"/>
      <c r="P1" s="926"/>
      <c r="Q1" s="926"/>
      <c r="R1" s="926"/>
      <c r="S1" s="926"/>
      <c r="T1" s="926"/>
      <c r="U1" s="926"/>
      <c r="V1" s="926"/>
      <c r="W1" s="926"/>
      <c r="X1" s="926"/>
      <c r="Y1" s="926"/>
      <c r="Z1" s="926"/>
      <c r="AA1" s="926"/>
      <c r="AB1" s="927"/>
      <c r="AC1" s="928"/>
      <c r="AD1" s="928"/>
      <c r="AE1" s="928"/>
      <c r="AF1" s="928"/>
      <c r="AG1" s="928"/>
      <c r="AH1" s="928"/>
      <c r="AI1" s="928"/>
      <c r="AJ1" s="928"/>
      <c r="AK1" s="928"/>
      <c r="AL1" s="928"/>
      <c r="AM1" s="928"/>
      <c r="AN1" s="928"/>
      <c r="AO1" s="928"/>
      <c r="AP1" s="928"/>
      <c r="AQ1" s="928"/>
      <c r="AR1" s="928"/>
      <c r="AS1" s="928"/>
    </row>
    <row r="2" spans="1:45" ht="21.9" customHeight="1">
      <c r="A2" s="2160" t="s">
        <v>1774</v>
      </c>
      <c r="B2" s="2846" t="str">
        <f>IF(ISBLANK(Prelim!G3),"  ", Prelim!G3)</f>
        <v xml:space="preserve">  </v>
      </c>
      <c r="C2" s="2846"/>
      <c r="D2" s="2846"/>
      <c r="E2" s="2846"/>
      <c r="F2" s="2846"/>
      <c r="G2" s="2847"/>
      <c r="H2" s="2848" t="s">
        <v>1775</v>
      </c>
      <c r="I2" s="2849"/>
      <c r="J2" s="2850" t="str">
        <f>IF(ISBLANK(Prelim!G5), " ", Prelim!G5)</f>
        <v xml:space="preserve"> </v>
      </c>
      <c r="K2" s="2850"/>
      <c r="L2" s="2850"/>
      <c r="M2" s="2851"/>
      <c r="N2" s="926"/>
      <c r="O2" s="930"/>
      <c r="P2" s="930"/>
      <c r="Q2" s="930"/>
      <c r="R2" s="930"/>
      <c r="S2" s="930"/>
      <c r="T2" s="930"/>
      <c r="U2" s="930"/>
      <c r="V2" s="930"/>
      <c r="W2" s="930"/>
      <c r="X2" s="930"/>
      <c r="Y2" s="930"/>
      <c r="Z2" s="930"/>
      <c r="AA2" s="926"/>
      <c r="AB2" s="927"/>
      <c r="AC2" s="928"/>
      <c r="AD2" s="928"/>
      <c r="AE2" s="928"/>
      <c r="AF2" s="928"/>
      <c r="AG2" s="928"/>
      <c r="AH2" s="928"/>
      <c r="AI2" s="928"/>
      <c r="AJ2" s="928"/>
      <c r="AK2" s="928"/>
      <c r="AL2" s="928"/>
      <c r="AM2" s="928"/>
      <c r="AN2" s="928"/>
      <c r="AO2" s="928"/>
      <c r="AP2" s="928"/>
      <c r="AQ2" s="928"/>
      <c r="AR2" s="928"/>
      <c r="AS2" s="928"/>
    </row>
    <row r="3" spans="1:45" ht="21.9" customHeight="1">
      <c r="A3" s="2051" t="s">
        <v>1139</v>
      </c>
      <c r="B3" s="925"/>
      <c r="C3" s="925"/>
      <c r="D3" s="925"/>
      <c r="E3" s="925"/>
      <c r="F3" s="925"/>
      <c r="G3" s="925"/>
      <c r="H3" s="925"/>
      <c r="I3" s="925"/>
      <c r="J3" s="925"/>
      <c r="K3" s="925"/>
      <c r="L3" s="925"/>
      <c r="M3" s="2052"/>
      <c r="N3" s="926"/>
      <c r="O3" s="930"/>
      <c r="P3" s="930"/>
      <c r="Q3" s="930"/>
      <c r="R3" s="930"/>
      <c r="S3" s="930"/>
      <c r="T3" s="930"/>
      <c r="U3" s="930"/>
      <c r="V3" s="930"/>
      <c r="W3" s="930"/>
      <c r="X3" s="930"/>
      <c r="Y3" s="930"/>
      <c r="Z3" s="930"/>
      <c r="AA3" s="926"/>
      <c r="AB3" s="927"/>
      <c r="AC3" s="928"/>
      <c r="AD3" s="928"/>
      <c r="AE3" s="928"/>
      <c r="AF3" s="928"/>
      <c r="AG3" s="928"/>
      <c r="AH3" s="928"/>
      <c r="AI3" s="928"/>
      <c r="AJ3" s="928"/>
      <c r="AK3" s="928"/>
      <c r="AL3" s="928"/>
      <c r="AM3" s="928"/>
      <c r="AN3" s="928"/>
      <c r="AO3" s="928"/>
      <c r="AP3" s="928"/>
      <c r="AQ3" s="928"/>
      <c r="AR3" s="928"/>
      <c r="AS3" s="928"/>
    </row>
    <row r="4" spans="1:45" ht="24" customHeight="1">
      <c r="A4" s="931" t="s">
        <v>1921</v>
      </c>
      <c r="B4" s="932"/>
      <c r="C4" s="932"/>
      <c r="D4" s="2852"/>
      <c r="E4" s="2853"/>
      <c r="F4" s="2053" t="s">
        <v>1590</v>
      </c>
      <c r="G4" s="2054"/>
      <c r="H4" s="2053" t="s">
        <v>1140</v>
      </c>
      <c r="I4" s="2854"/>
      <c r="J4" s="2855"/>
      <c r="K4" s="2856" t="s">
        <v>1922</v>
      </c>
      <c r="L4" s="2857"/>
      <c r="M4" s="2262"/>
      <c r="N4" s="926"/>
      <c r="O4" s="930"/>
      <c r="P4" s="930"/>
      <c r="Q4" s="933"/>
      <c r="R4" s="933"/>
      <c r="S4" s="933"/>
      <c r="T4" s="933"/>
      <c r="U4" s="930"/>
      <c r="V4" s="930"/>
      <c r="W4" s="930"/>
      <c r="X4" s="930"/>
      <c r="Y4" s="930"/>
      <c r="Z4" s="930"/>
      <c r="AA4" s="926"/>
      <c r="AB4" s="927"/>
      <c r="AC4" s="928"/>
      <c r="AD4" s="928"/>
      <c r="AE4" s="928"/>
      <c r="AF4" s="928"/>
      <c r="AG4" s="928"/>
      <c r="AH4" s="928"/>
      <c r="AI4" s="928"/>
      <c r="AJ4" s="928"/>
      <c r="AK4" s="928"/>
      <c r="AL4" s="928"/>
      <c r="AM4" s="928"/>
      <c r="AN4" s="928"/>
      <c r="AO4" s="928"/>
      <c r="AP4" s="928"/>
      <c r="AQ4" s="928"/>
      <c r="AR4" s="928"/>
      <c r="AS4" s="928"/>
    </row>
    <row r="5" spans="1:45" ht="21.9" customHeight="1">
      <c r="A5" s="2384" t="s">
        <v>1589</v>
      </c>
      <c r="B5" s="2854"/>
      <c r="C5" s="2854"/>
      <c r="D5" s="2855"/>
      <c r="E5" s="2858" t="s">
        <v>1588</v>
      </c>
      <c r="F5" s="2859"/>
      <c r="G5" s="2859"/>
      <c r="H5" s="2854"/>
      <c r="I5" s="2854"/>
      <c r="J5" s="2855"/>
      <c r="K5" s="2860" t="s">
        <v>1925</v>
      </c>
      <c r="L5" s="2861"/>
      <c r="M5" s="2239"/>
      <c r="N5" s="926"/>
      <c r="O5" s="933"/>
      <c r="P5" s="930"/>
      <c r="Q5" s="930"/>
      <c r="R5" s="930"/>
      <c r="S5" s="933"/>
      <c r="T5" s="933"/>
      <c r="U5" s="930"/>
      <c r="V5" s="930"/>
      <c r="W5" s="930"/>
      <c r="X5" s="930"/>
      <c r="Y5" s="930"/>
      <c r="Z5" s="930"/>
      <c r="AA5" s="926"/>
      <c r="AB5" s="927"/>
      <c r="AC5" s="928"/>
      <c r="AD5" s="928"/>
      <c r="AE5" s="928"/>
      <c r="AF5" s="928"/>
      <c r="AG5" s="928"/>
      <c r="AH5" s="928"/>
      <c r="AI5" s="928"/>
      <c r="AJ5" s="928"/>
      <c r="AK5" s="928"/>
      <c r="AL5" s="928"/>
      <c r="AM5" s="928"/>
      <c r="AN5" s="928"/>
      <c r="AO5" s="928"/>
      <c r="AP5" s="928"/>
      <c r="AQ5" s="928"/>
      <c r="AR5" s="928"/>
      <c r="AS5" s="928"/>
    </row>
    <row r="6" spans="1:45" ht="21.9" customHeight="1">
      <c r="A6" s="2862" t="s">
        <v>1141</v>
      </c>
      <c r="B6" s="2863"/>
      <c r="C6" s="2863"/>
      <c r="D6" s="2864"/>
      <c r="E6" s="2864"/>
      <c r="F6" s="2864"/>
      <c r="G6" s="2864"/>
      <c r="H6" s="2865"/>
      <c r="I6" s="2855"/>
      <c r="J6" s="2383" t="s">
        <v>1128</v>
      </c>
      <c r="K6" s="2866"/>
      <c r="L6" s="2866"/>
      <c r="M6" s="2867"/>
      <c r="N6" s="926"/>
      <c r="O6" s="1887"/>
      <c r="P6" s="1887"/>
      <c r="Q6" s="934"/>
      <c r="R6" s="934"/>
      <c r="S6" s="933"/>
      <c r="T6" s="933"/>
      <c r="U6" s="930"/>
      <c r="V6" s="930"/>
      <c r="W6" s="930"/>
      <c r="X6" s="930"/>
      <c r="Y6" s="930"/>
      <c r="Z6" s="930"/>
      <c r="AA6" s="926"/>
      <c r="AB6" s="927"/>
      <c r="AC6" s="928"/>
      <c r="AD6" s="928"/>
      <c r="AE6" s="928"/>
      <c r="AF6" s="928"/>
      <c r="AG6" s="928"/>
      <c r="AH6" s="928"/>
      <c r="AI6" s="928"/>
      <c r="AJ6" s="928"/>
      <c r="AK6" s="928"/>
      <c r="AL6" s="928"/>
      <c r="AM6" s="928"/>
      <c r="AN6" s="928"/>
      <c r="AO6" s="928"/>
      <c r="AP6" s="928"/>
      <c r="AQ6" s="928"/>
      <c r="AR6" s="928"/>
      <c r="AS6" s="928"/>
    </row>
    <row r="7" spans="1:45" ht="21.9" customHeight="1" thickBot="1">
      <c r="A7" s="2868" t="s">
        <v>1142</v>
      </c>
      <c r="B7" s="2869"/>
      <c r="C7" s="2870"/>
      <c r="D7" s="2870"/>
      <c r="E7" s="2870"/>
      <c r="F7" s="2870"/>
      <c r="G7" s="2870"/>
      <c r="H7" s="2870"/>
      <c r="I7" s="2871" t="s">
        <v>1143</v>
      </c>
      <c r="J7" s="2872"/>
      <c r="K7" s="2873"/>
      <c r="L7" s="2873"/>
      <c r="M7" s="2874"/>
      <c r="N7" s="930"/>
      <c r="O7" s="930"/>
      <c r="P7" s="930"/>
      <c r="Q7" s="930"/>
      <c r="R7" s="930"/>
      <c r="S7" s="930"/>
      <c r="T7" s="930"/>
      <c r="U7" s="930"/>
      <c r="V7" s="930"/>
      <c r="W7" s="930"/>
      <c r="X7" s="926"/>
      <c r="Y7" s="927"/>
      <c r="Z7" s="928"/>
      <c r="AA7" s="928"/>
      <c r="AB7" s="928"/>
      <c r="AC7" s="928"/>
      <c r="AD7" s="928"/>
      <c r="AE7" s="928"/>
      <c r="AF7" s="928"/>
      <c r="AG7" s="928"/>
      <c r="AH7" s="928"/>
      <c r="AI7" s="928"/>
      <c r="AJ7" s="928"/>
      <c r="AK7" s="928"/>
      <c r="AL7" s="928"/>
      <c r="AM7" s="928"/>
      <c r="AN7" s="928"/>
      <c r="AO7" s="928"/>
      <c r="AP7" s="928"/>
    </row>
    <row r="8" spans="1:45" ht="14.1" customHeight="1">
      <c r="A8" s="2892" t="s">
        <v>1144</v>
      </c>
      <c r="B8" s="2875" t="s">
        <v>669</v>
      </c>
      <c r="C8" s="2894" t="s">
        <v>1145</v>
      </c>
      <c r="D8" s="2896" t="s">
        <v>1146</v>
      </c>
      <c r="E8" s="2897"/>
      <c r="F8" s="2896" t="s">
        <v>1147</v>
      </c>
      <c r="G8" s="2900"/>
      <c r="H8" s="2875" t="s">
        <v>1148</v>
      </c>
      <c r="I8" s="2875" t="s">
        <v>1149</v>
      </c>
      <c r="J8" s="2877" t="s">
        <v>1150</v>
      </c>
      <c r="K8" s="2877"/>
      <c r="L8" s="2877"/>
      <c r="M8" s="2878"/>
      <c r="N8" s="926"/>
      <c r="O8" s="930"/>
      <c r="P8" s="930"/>
      <c r="Q8" s="930"/>
      <c r="R8" s="930"/>
      <c r="S8" s="930"/>
      <c r="T8" s="930"/>
      <c r="U8" s="930"/>
      <c r="V8" s="930"/>
      <c r="W8" s="930"/>
      <c r="X8" s="930"/>
      <c r="Y8" s="930"/>
      <c r="Z8" s="930"/>
      <c r="AA8" s="926"/>
      <c r="AB8" s="927"/>
      <c r="AC8" s="928"/>
      <c r="AD8" s="928"/>
      <c r="AE8" s="928"/>
      <c r="AF8" s="928"/>
      <c r="AG8" s="928"/>
      <c r="AH8" s="928"/>
      <c r="AI8" s="928"/>
      <c r="AJ8" s="928"/>
      <c r="AK8" s="928"/>
      <c r="AL8" s="928"/>
      <c r="AM8" s="928"/>
      <c r="AN8" s="928"/>
      <c r="AO8" s="928"/>
      <c r="AP8" s="928"/>
      <c r="AQ8" s="928"/>
      <c r="AR8" s="928"/>
      <c r="AS8" s="928"/>
    </row>
    <row r="9" spans="1:45" ht="14.1" customHeight="1" thickBot="1">
      <c r="A9" s="2893"/>
      <c r="B9" s="2876"/>
      <c r="C9" s="2895"/>
      <c r="D9" s="2898"/>
      <c r="E9" s="2899"/>
      <c r="F9" s="2901"/>
      <c r="G9" s="2902"/>
      <c r="H9" s="2876"/>
      <c r="I9" s="2876"/>
      <c r="J9" s="2382" t="s">
        <v>1151</v>
      </c>
      <c r="K9" s="2382" t="s">
        <v>671</v>
      </c>
      <c r="L9" s="2876" t="s">
        <v>672</v>
      </c>
      <c r="M9" s="2879"/>
      <c r="N9" s="926"/>
      <c r="O9" s="930"/>
      <c r="P9" s="930"/>
      <c r="Q9" s="930"/>
      <c r="R9" s="935"/>
      <c r="S9" s="936"/>
      <c r="T9" s="930"/>
      <c r="U9" s="930"/>
      <c r="V9" s="930"/>
      <c r="W9" s="930"/>
      <c r="X9" s="930"/>
      <c r="Y9" s="930"/>
      <c r="Z9" s="930"/>
      <c r="AA9" s="926"/>
      <c r="AB9" s="927"/>
      <c r="AC9" s="928"/>
      <c r="AD9" s="928"/>
      <c r="AE9" s="928"/>
      <c r="AF9" s="928"/>
      <c r="AG9" s="928"/>
      <c r="AH9" s="928"/>
      <c r="AI9" s="928"/>
      <c r="AJ9" s="928"/>
      <c r="AK9" s="928"/>
      <c r="AL9" s="928"/>
      <c r="AM9" s="928"/>
      <c r="AN9" s="928"/>
      <c r="AO9" s="928"/>
      <c r="AP9" s="928"/>
      <c r="AQ9" s="928"/>
      <c r="AR9" s="928"/>
      <c r="AS9" s="928"/>
    </row>
    <row r="10" spans="1:45" ht="21.9" customHeight="1" thickTop="1">
      <c r="A10" s="2880"/>
      <c r="B10" s="2882"/>
      <c r="C10" s="2884"/>
      <c r="D10" s="2027"/>
      <c r="E10" s="2028"/>
      <c r="F10" s="2027"/>
      <c r="G10" s="2028"/>
      <c r="H10" s="2381"/>
      <c r="I10" s="2381"/>
      <c r="J10" s="2886"/>
      <c r="K10" s="2886"/>
      <c r="L10" s="2888"/>
      <c r="M10" s="2889"/>
      <c r="N10" s="937"/>
      <c r="O10" s="930"/>
      <c r="P10" s="930"/>
      <c r="Q10" s="930"/>
      <c r="R10" s="1887"/>
      <c r="S10" s="936"/>
      <c r="T10" s="930"/>
      <c r="U10" s="930"/>
      <c r="V10" s="930"/>
      <c r="W10" s="930"/>
      <c r="X10" s="930"/>
      <c r="Y10" s="930"/>
      <c r="Z10" s="930"/>
      <c r="AA10" s="926"/>
      <c r="AB10" s="926"/>
      <c r="AC10" s="928"/>
      <c r="AD10" s="928"/>
      <c r="AE10" s="928"/>
      <c r="AF10" s="928"/>
      <c r="AG10" s="928"/>
      <c r="AH10" s="928"/>
      <c r="AI10" s="928"/>
      <c r="AJ10" s="928"/>
      <c r="AK10" s="928"/>
      <c r="AL10" s="928"/>
      <c r="AM10" s="928"/>
      <c r="AN10" s="928"/>
      <c r="AO10" s="928"/>
      <c r="AP10" s="928"/>
      <c r="AQ10" s="928"/>
      <c r="AR10" s="928"/>
      <c r="AS10" s="928"/>
    </row>
    <row r="11" spans="1:45" ht="21.9" customHeight="1">
      <c r="A11" s="2881"/>
      <c r="B11" s="2883"/>
      <c r="C11" s="2885"/>
      <c r="D11" s="2027"/>
      <c r="E11" s="2028"/>
      <c r="F11" s="2027"/>
      <c r="G11" s="2028"/>
      <c r="H11" s="1423"/>
      <c r="I11" s="1423"/>
      <c r="J11" s="2887"/>
      <c r="K11" s="2887"/>
      <c r="L11" s="2890"/>
      <c r="M11" s="2891"/>
      <c r="N11" s="937"/>
      <c r="O11" s="934"/>
      <c r="P11" s="934"/>
      <c r="Q11" s="934"/>
      <c r="R11" s="934"/>
      <c r="S11" s="934"/>
      <c r="T11" s="930"/>
      <c r="U11" s="930"/>
      <c r="V11" s="930"/>
      <c r="W11" s="930"/>
      <c r="X11" s="930"/>
      <c r="Y11" s="930"/>
      <c r="Z11" s="930"/>
      <c r="AA11" s="926"/>
      <c r="AB11" s="926"/>
      <c r="AC11" s="928"/>
      <c r="AD11" s="928"/>
      <c r="AE11" s="928"/>
      <c r="AF11" s="928"/>
      <c r="AG11" s="928"/>
      <c r="AH11" s="928"/>
      <c r="AI11" s="928"/>
      <c r="AJ11" s="928"/>
      <c r="AK11" s="928"/>
      <c r="AL11" s="928"/>
      <c r="AM11" s="928"/>
      <c r="AN11" s="928"/>
      <c r="AO11" s="928"/>
      <c r="AP11" s="928"/>
      <c r="AQ11" s="928"/>
      <c r="AR11" s="928"/>
      <c r="AS11" s="928"/>
    </row>
    <row r="12" spans="1:45" ht="21.9" customHeight="1">
      <c r="A12" s="2905"/>
      <c r="B12" s="2906"/>
      <c r="C12" s="2907"/>
      <c r="D12" s="2029"/>
      <c r="E12" s="2030"/>
      <c r="F12" s="2029"/>
      <c r="G12" s="2030"/>
      <c r="H12" s="1423"/>
      <c r="I12" s="1423"/>
      <c r="J12" s="2908"/>
      <c r="K12" s="2908"/>
      <c r="L12" s="2903"/>
      <c r="M12" s="2904"/>
      <c r="N12" s="937"/>
      <c r="O12" s="930"/>
      <c r="P12" s="930"/>
      <c r="Q12" s="930"/>
      <c r="R12" s="1887"/>
      <c r="S12" s="936"/>
      <c r="T12" s="930"/>
      <c r="U12" s="930"/>
      <c r="V12" s="930"/>
      <c r="W12" s="930"/>
      <c r="X12" s="930"/>
      <c r="Y12" s="930"/>
      <c r="Z12" s="930"/>
      <c r="AA12" s="926"/>
      <c r="AB12" s="926"/>
      <c r="AC12" s="928"/>
      <c r="AD12" s="928"/>
      <c r="AE12" s="928"/>
      <c r="AF12" s="928"/>
      <c r="AG12" s="928"/>
      <c r="AH12" s="928"/>
      <c r="AI12" s="928"/>
      <c r="AJ12" s="928"/>
      <c r="AK12" s="928"/>
      <c r="AL12" s="928"/>
      <c r="AM12" s="928"/>
      <c r="AN12" s="928"/>
      <c r="AO12" s="928"/>
      <c r="AP12" s="928"/>
      <c r="AQ12" s="928"/>
      <c r="AR12" s="928"/>
      <c r="AS12" s="928"/>
    </row>
    <row r="13" spans="1:45" ht="21.9" customHeight="1">
      <c r="A13" s="2881"/>
      <c r="B13" s="2883"/>
      <c r="C13" s="2885"/>
      <c r="D13" s="2027"/>
      <c r="E13" s="2028"/>
      <c r="F13" s="2027"/>
      <c r="G13" s="2028"/>
      <c r="H13" s="1423"/>
      <c r="I13" s="1423"/>
      <c r="J13" s="2887"/>
      <c r="K13" s="2887"/>
      <c r="L13" s="2890"/>
      <c r="M13" s="2891"/>
      <c r="N13" s="937"/>
      <c r="O13" s="934"/>
      <c r="P13" s="934"/>
      <c r="Q13" s="934"/>
      <c r="R13" s="934"/>
      <c r="S13" s="934"/>
      <c r="T13" s="930"/>
      <c r="U13" s="930"/>
      <c r="V13" s="930"/>
      <c r="W13" s="930"/>
      <c r="X13" s="930"/>
      <c r="Y13" s="930"/>
      <c r="Z13" s="930"/>
      <c r="AA13" s="926"/>
      <c r="AB13" s="926"/>
      <c r="AC13" s="928"/>
      <c r="AD13" s="928"/>
      <c r="AE13" s="928"/>
      <c r="AF13" s="928"/>
      <c r="AG13" s="928"/>
      <c r="AH13" s="928"/>
      <c r="AI13" s="928"/>
      <c r="AJ13" s="928"/>
      <c r="AK13" s="928"/>
      <c r="AL13" s="928"/>
      <c r="AM13" s="928"/>
      <c r="AN13" s="928"/>
      <c r="AO13" s="928"/>
      <c r="AP13" s="928"/>
      <c r="AQ13" s="928"/>
      <c r="AR13" s="928"/>
      <c r="AS13" s="928"/>
    </row>
    <row r="14" spans="1:45" ht="21.9" customHeight="1">
      <c r="A14" s="2905"/>
      <c r="B14" s="2906"/>
      <c r="C14" s="2907"/>
      <c r="D14" s="2029"/>
      <c r="E14" s="2030"/>
      <c r="F14" s="2029"/>
      <c r="G14" s="2030"/>
      <c r="H14" s="1423"/>
      <c r="I14" s="1423"/>
      <c r="J14" s="2908"/>
      <c r="K14" s="2908"/>
      <c r="L14" s="2903"/>
      <c r="M14" s="2904"/>
      <c r="N14" s="937"/>
      <c r="O14" s="930"/>
      <c r="P14" s="930"/>
      <c r="Q14" s="930"/>
      <c r="R14" s="1887"/>
      <c r="S14" s="936"/>
      <c r="T14" s="930"/>
      <c r="U14" s="930"/>
      <c r="V14" s="930"/>
      <c r="W14" s="930"/>
      <c r="X14" s="930"/>
      <c r="Y14" s="930"/>
      <c r="Z14" s="930"/>
      <c r="AA14" s="926"/>
      <c r="AB14" s="926"/>
      <c r="AC14" s="928"/>
      <c r="AD14" s="928"/>
      <c r="AE14" s="928"/>
      <c r="AF14" s="928"/>
      <c r="AG14" s="928"/>
      <c r="AH14" s="928"/>
      <c r="AI14" s="928"/>
      <c r="AJ14" s="928"/>
      <c r="AK14" s="928"/>
      <c r="AL14" s="928"/>
      <c r="AM14" s="928"/>
      <c r="AN14" s="928"/>
      <c r="AO14" s="928"/>
      <c r="AP14" s="928"/>
      <c r="AQ14" s="928"/>
      <c r="AR14" s="928"/>
      <c r="AS14" s="928"/>
    </row>
    <row r="15" spans="1:45" ht="21.9" customHeight="1">
      <c r="A15" s="2881"/>
      <c r="B15" s="2883"/>
      <c r="C15" s="2885"/>
      <c r="D15" s="2027"/>
      <c r="E15" s="2028"/>
      <c r="F15" s="2027"/>
      <c r="G15" s="2028"/>
      <c r="H15" s="1423"/>
      <c r="I15" s="1423"/>
      <c r="J15" s="2887"/>
      <c r="K15" s="2887"/>
      <c r="L15" s="2890"/>
      <c r="M15" s="2891"/>
      <c r="N15" s="937"/>
      <c r="O15" s="934"/>
      <c r="P15" s="934"/>
      <c r="Q15" s="934"/>
      <c r="R15" s="934"/>
      <c r="S15" s="934"/>
      <c r="T15" s="930"/>
      <c r="U15" s="930"/>
      <c r="V15" s="930"/>
      <c r="W15" s="930"/>
      <c r="X15" s="930"/>
      <c r="Y15" s="930"/>
      <c r="Z15" s="930"/>
      <c r="AA15" s="926"/>
      <c r="AB15" s="926"/>
      <c r="AC15" s="928"/>
      <c r="AD15" s="928"/>
      <c r="AE15" s="928"/>
      <c r="AF15" s="928"/>
      <c r="AG15" s="928"/>
      <c r="AH15" s="928"/>
      <c r="AI15" s="928"/>
      <c r="AJ15" s="928"/>
      <c r="AK15" s="928"/>
      <c r="AL15" s="928"/>
      <c r="AM15" s="928"/>
      <c r="AN15" s="928"/>
      <c r="AO15" s="928"/>
      <c r="AP15" s="928"/>
      <c r="AQ15" s="928"/>
      <c r="AR15" s="928"/>
      <c r="AS15" s="928"/>
    </row>
    <row r="16" spans="1:45" ht="21.9" customHeight="1">
      <c r="A16" s="2905"/>
      <c r="B16" s="2906"/>
      <c r="C16" s="2907"/>
      <c r="D16" s="2029"/>
      <c r="E16" s="2030"/>
      <c r="F16" s="2029"/>
      <c r="G16" s="2030"/>
      <c r="H16" s="1423"/>
      <c r="I16" s="1423"/>
      <c r="J16" s="2908"/>
      <c r="K16" s="2908"/>
      <c r="L16" s="2903"/>
      <c r="M16" s="2904"/>
      <c r="N16" s="937"/>
      <c r="O16" s="930"/>
      <c r="P16" s="930"/>
      <c r="Q16" s="930"/>
      <c r="R16" s="1887"/>
      <c r="S16" s="936"/>
      <c r="T16" s="930"/>
      <c r="U16" s="930"/>
      <c r="V16" s="930"/>
      <c r="W16" s="930"/>
      <c r="X16" s="930"/>
      <c r="Y16" s="930"/>
      <c r="Z16" s="930"/>
      <c r="AA16" s="926"/>
      <c r="AB16" s="926"/>
      <c r="AC16" s="928"/>
      <c r="AD16" s="928"/>
      <c r="AE16" s="928"/>
      <c r="AF16" s="928"/>
      <c r="AG16" s="928"/>
      <c r="AH16" s="928"/>
      <c r="AI16" s="928"/>
      <c r="AJ16" s="928"/>
      <c r="AK16" s="928"/>
      <c r="AL16" s="928"/>
      <c r="AM16" s="928"/>
      <c r="AN16" s="928"/>
      <c r="AO16" s="928"/>
      <c r="AP16" s="928"/>
      <c r="AQ16" s="928"/>
      <c r="AR16" s="928"/>
      <c r="AS16" s="928"/>
    </row>
    <row r="17" spans="1:45" ht="21.9" customHeight="1">
      <c r="A17" s="2881"/>
      <c r="B17" s="2883"/>
      <c r="C17" s="2885"/>
      <c r="D17" s="2027"/>
      <c r="E17" s="2028"/>
      <c r="F17" s="2027"/>
      <c r="G17" s="2028"/>
      <c r="H17" s="1423"/>
      <c r="I17" s="1423"/>
      <c r="J17" s="2887"/>
      <c r="K17" s="2887"/>
      <c r="L17" s="2890"/>
      <c r="M17" s="2891"/>
      <c r="N17" s="937"/>
      <c r="O17" s="934"/>
      <c r="P17" s="934"/>
      <c r="Q17" s="934"/>
      <c r="R17" s="934"/>
      <c r="S17" s="934"/>
      <c r="T17" s="930"/>
      <c r="U17" s="930"/>
      <c r="V17" s="930"/>
      <c r="W17" s="930"/>
      <c r="X17" s="930"/>
      <c r="Y17" s="930"/>
      <c r="Z17" s="930"/>
      <c r="AA17" s="926"/>
      <c r="AB17" s="926"/>
      <c r="AC17" s="928"/>
      <c r="AD17" s="928"/>
      <c r="AE17" s="928"/>
      <c r="AF17" s="928"/>
      <c r="AG17" s="928"/>
      <c r="AH17" s="928"/>
      <c r="AI17" s="928"/>
      <c r="AJ17" s="928"/>
      <c r="AK17" s="928"/>
      <c r="AL17" s="928"/>
      <c r="AM17" s="928"/>
      <c r="AN17" s="928"/>
      <c r="AO17" s="928"/>
      <c r="AP17" s="928"/>
      <c r="AQ17" s="928"/>
      <c r="AR17" s="928"/>
      <c r="AS17" s="928"/>
    </row>
    <row r="18" spans="1:45" ht="21.9" customHeight="1">
      <c r="A18" s="2905"/>
      <c r="B18" s="2906"/>
      <c r="C18" s="2907"/>
      <c r="D18" s="2029"/>
      <c r="E18" s="2030"/>
      <c r="F18" s="2029"/>
      <c r="G18" s="2030"/>
      <c r="H18" s="1423"/>
      <c r="I18" s="1423"/>
      <c r="J18" s="2908"/>
      <c r="K18" s="2908"/>
      <c r="L18" s="2903"/>
      <c r="M18" s="2904"/>
      <c r="N18" s="937"/>
      <c r="O18" s="930"/>
      <c r="P18" s="930"/>
      <c r="Q18" s="930"/>
      <c r="R18" s="1887"/>
      <c r="S18" s="936"/>
      <c r="T18" s="930"/>
      <c r="U18" s="930"/>
      <c r="V18" s="930"/>
      <c r="W18" s="930"/>
      <c r="X18" s="930"/>
      <c r="Y18" s="930"/>
      <c r="Z18" s="930"/>
      <c r="AA18" s="926"/>
      <c r="AB18" s="926"/>
      <c r="AC18" s="928"/>
      <c r="AD18" s="928"/>
      <c r="AE18" s="928"/>
      <c r="AF18" s="928"/>
      <c r="AG18" s="928"/>
      <c r="AH18" s="928"/>
      <c r="AI18" s="928"/>
      <c r="AJ18" s="928"/>
      <c r="AK18" s="928"/>
      <c r="AL18" s="928"/>
      <c r="AM18" s="928"/>
      <c r="AN18" s="928"/>
      <c r="AO18" s="928"/>
      <c r="AP18" s="928"/>
      <c r="AQ18" s="928"/>
      <c r="AR18" s="928"/>
      <c r="AS18" s="928"/>
    </row>
    <row r="19" spans="1:45" ht="21.9" customHeight="1">
      <c r="A19" s="2881"/>
      <c r="B19" s="2883"/>
      <c r="C19" s="2885"/>
      <c r="D19" s="2027"/>
      <c r="E19" s="2028"/>
      <c r="F19" s="2027"/>
      <c r="G19" s="2028"/>
      <c r="H19" s="1423"/>
      <c r="I19" s="1423"/>
      <c r="J19" s="2887"/>
      <c r="K19" s="2887"/>
      <c r="L19" s="2890"/>
      <c r="M19" s="2891"/>
      <c r="N19" s="937"/>
      <c r="O19" s="934"/>
      <c r="P19" s="934"/>
      <c r="Q19" s="934"/>
      <c r="R19" s="934"/>
      <c r="S19" s="934"/>
      <c r="T19" s="930"/>
      <c r="U19" s="930"/>
      <c r="V19" s="930"/>
      <c r="W19" s="930"/>
      <c r="X19" s="930"/>
      <c r="Y19" s="930"/>
      <c r="Z19" s="930"/>
      <c r="AA19" s="926"/>
      <c r="AB19" s="926"/>
      <c r="AC19" s="928"/>
      <c r="AD19" s="928"/>
      <c r="AE19" s="928"/>
      <c r="AF19" s="928"/>
      <c r="AG19" s="928"/>
      <c r="AH19" s="928"/>
      <c r="AI19" s="928"/>
      <c r="AJ19" s="928"/>
      <c r="AK19" s="928"/>
      <c r="AL19" s="928"/>
      <c r="AM19" s="928"/>
      <c r="AN19" s="928"/>
      <c r="AO19" s="928"/>
      <c r="AP19" s="928"/>
      <c r="AQ19" s="928"/>
      <c r="AR19" s="928"/>
      <c r="AS19" s="928"/>
    </row>
    <row r="20" spans="1:45" ht="21.9" customHeight="1">
      <c r="A20" s="2905"/>
      <c r="B20" s="2906"/>
      <c r="C20" s="2907"/>
      <c r="D20" s="2029"/>
      <c r="E20" s="2030"/>
      <c r="F20" s="2029"/>
      <c r="G20" s="2030"/>
      <c r="H20" s="1423"/>
      <c r="I20" s="1423"/>
      <c r="J20" s="2908"/>
      <c r="K20" s="2908"/>
      <c r="L20" s="2903"/>
      <c r="M20" s="2904"/>
      <c r="N20" s="937"/>
      <c r="O20" s="930"/>
      <c r="P20" s="930"/>
      <c r="Q20" s="930"/>
      <c r="R20" s="1887"/>
      <c r="S20" s="936"/>
      <c r="T20" s="930"/>
      <c r="U20" s="930"/>
      <c r="V20" s="930"/>
      <c r="W20" s="930"/>
      <c r="X20" s="930"/>
      <c r="Y20" s="930"/>
      <c r="Z20" s="930"/>
      <c r="AA20" s="926"/>
      <c r="AB20" s="926"/>
      <c r="AC20" s="928"/>
      <c r="AD20" s="928"/>
      <c r="AE20" s="928"/>
      <c r="AF20" s="928"/>
      <c r="AG20" s="928"/>
      <c r="AH20" s="928"/>
      <c r="AI20" s="928"/>
      <c r="AJ20" s="928"/>
      <c r="AK20" s="928"/>
      <c r="AL20" s="928"/>
      <c r="AM20" s="928"/>
      <c r="AN20" s="928"/>
      <c r="AO20" s="928"/>
      <c r="AP20" s="928"/>
      <c r="AQ20" s="928"/>
      <c r="AR20" s="928"/>
      <c r="AS20" s="928"/>
    </row>
    <row r="21" spans="1:45" ht="21.9" customHeight="1">
      <c r="A21" s="2881"/>
      <c r="B21" s="2883"/>
      <c r="C21" s="2885"/>
      <c r="D21" s="2027"/>
      <c r="E21" s="2028"/>
      <c r="F21" s="2027"/>
      <c r="G21" s="2028"/>
      <c r="H21" s="1423"/>
      <c r="I21" s="1423"/>
      <c r="J21" s="2887"/>
      <c r="K21" s="2887"/>
      <c r="L21" s="2890"/>
      <c r="M21" s="2891"/>
      <c r="N21" s="937"/>
      <c r="O21" s="934"/>
      <c r="P21" s="934"/>
      <c r="Q21" s="934"/>
      <c r="R21" s="934"/>
      <c r="S21" s="934"/>
      <c r="T21" s="930"/>
      <c r="U21" s="930"/>
      <c r="V21" s="930"/>
      <c r="W21" s="930"/>
      <c r="X21" s="930"/>
      <c r="Y21" s="930"/>
      <c r="Z21" s="930"/>
      <c r="AA21" s="926"/>
      <c r="AB21" s="926"/>
      <c r="AC21" s="928"/>
      <c r="AD21" s="928"/>
      <c r="AE21" s="928"/>
      <c r="AF21" s="928"/>
      <c r="AG21" s="928"/>
      <c r="AH21" s="928"/>
      <c r="AI21" s="928"/>
      <c r="AJ21" s="928"/>
      <c r="AK21" s="928"/>
      <c r="AL21" s="928"/>
      <c r="AM21" s="928"/>
      <c r="AN21" s="928"/>
      <c r="AO21" s="928"/>
      <c r="AP21" s="928"/>
      <c r="AQ21" s="928"/>
      <c r="AR21" s="928"/>
      <c r="AS21" s="928"/>
    </row>
    <row r="22" spans="1:45" ht="21.9" customHeight="1">
      <c r="A22" s="2905"/>
      <c r="B22" s="2906"/>
      <c r="C22" s="2907"/>
      <c r="D22" s="2029"/>
      <c r="E22" s="2030"/>
      <c r="F22" s="2029"/>
      <c r="G22" s="2030"/>
      <c r="H22" s="1423"/>
      <c r="I22" s="1423"/>
      <c r="J22" s="2908"/>
      <c r="K22" s="2908"/>
      <c r="L22" s="2903"/>
      <c r="M22" s="2904"/>
      <c r="N22" s="937"/>
      <c r="O22" s="930"/>
      <c r="P22" s="930"/>
      <c r="Q22" s="930"/>
      <c r="R22" s="1887"/>
      <c r="S22" s="936"/>
      <c r="T22" s="930"/>
      <c r="U22" s="930"/>
      <c r="V22" s="930"/>
      <c r="W22" s="930"/>
      <c r="X22" s="930"/>
      <c r="Y22" s="930"/>
      <c r="Z22" s="930"/>
      <c r="AA22" s="926"/>
      <c r="AB22" s="926"/>
      <c r="AC22" s="928"/>
      <c r="AD22" s="928"/>
      <c r="AE22" s="928"/>
      <c r="AF22" s="928"/>
      <c r="AG22" s="928"/>
      <c r="AH22" s="928"/>
      <c r="AI22" s="928"/>
      <c r="AJ22" s="928"/>
      <c r="AK22" s="928"/>
      <c r="AL22" s="928"/>
      <c r="AM22" s="928"/>
      <c r="AN22" s="928"/>
      <c r="AO22" s="928"/>
      <c r="AP22" s="928"/>
      <c r="AQ22" s="928"/>
      <c r="AR22" s="928"/>
      <c r="AS22" s="928"/>
    </row>
    <row r="23" spans="1:45" ht="21.9" customHeight="1" thickBot="1">
      <c r="A23" s="2911"/>
      <c r="B23" s="2912"/>
      <c r="C23" s="2913"/>
      <c r="D23" s="2031"/>
      <c r="E23" s="2032"/>
      <c r="F23" s="2031"/>
      <c r="G23" s="2032"/>
      <c r="H23" s="1952"/>
      <c r="I23" s="1952"/>
      <c r="J23" s="2914"/>
      <c r="K23" s="2914"/>
      <c r="L23" s="2909"/>
      <c r="M23" s="2910"/>
      <c r="N23" s="937"/>
      <c r="O23" s="934"/>
      <c r="P23" s="934"/>
      <c r="Q23" s="934"/>
      <c r="R23" s="934"/>
      <c r="S23" s="934"/>
      <c r="T23" s="930"/>
      <c r="U23" s="930"/>
      <c r="V23" s="930"/>
      <c r="W23" s="930"/>
      <c r="X23" s="930"/>
      <c r="Y23" s="930"/>
      <c r="Z23" s="930"/>
      <c r="AA23" s="926"/>
      <c r="AB23" s="926"/>
      <c r="AC23" s="928"/>
      <c r="AD23" s="928"/>
      <c r="AE23" s="928"/>
      <c r="AF23" s="928"/>
      <c r="AG23" s="928"/>
      <c r="AH23" s="928"/>
      <c r="AI23" s="928"/>
      <c r="AJ23" s="928"/>
      <c r="AK23" s="928"/>
      <c r="AL23" s="928"/>
      <c r="AM23" s="928"/>
      <c r="AN23" s="928"/>
      <c r="AO23" s="928"/>
      <c r="AP23" s="928"/>
      <c r="AQ23" s="928"/>
      <c r="AR23" s="928"/>
      <c r="AS23" s="928"/>
    </row>
    <row r="24" spans="1:45" s="942" customFormat="1" ht="6" customHeight="1">
      <c r="A24" s="952"/>
      <c r="B24" s="953"/>
      <c r="C24" s="953"/>
      <c r="D24" s="953"/>
      <c r="E24" s="953"/>
      <c r="F24" s="953"/>
      <c r="G24" s="953"/>
      <c r="H24" s="954"/>
      <c r="I24" s="954"/>
      <c r="J24" s="955"/>
      <c r="K24" s="955"/>
      <c r="L24" s="955"/>
      <c r="M24" s="956"/>
      <c r="N24" s="939"/>
      <c r="O24" s="926"/>
      <c r="P24" s="926"/>
      <c r="Q24" s="926"/>
      <c r="R24" s="930"/>
      <c r="S24" s="926"/>
      <c r="T24" s="926"/>
      <c r="U24" s="926"/>
      <c r="V24" s="930"/>
      <c r="W24" s="926"/>
      <c r="X24" s="926"/>
      <c r="Y24" s="926"/>
      <c r="Z24" s="926"/>
      <c r="AA24" s="940"/>
      <c r="AB24" s="940"/>
      <c r="AC24" s="941"/>
      <c r="AD24" s="941"/>
      <c r="AE24" s="941"/>
      <c r="AF24" s="941"/>
      <c r="AG24" s="941"/>
      <c r="AH24" s="941"/>
      <c r="AI24" s="941"/>
      <c r="AJ24" s="941"/>
      <c r="AK24" s="941"/>
      <c r="AL24" s="941"/>
      <c r="AM24" s="941"/>
      <c r="AN24" s="941"/>
      <c r="AO24" s="941"/>
      <c r="AP24" s="941"/>
      <c r="AQ24" s="941"/>
      <c r="AR24" s="941"/>
      <c r="AS24" s="941"/>
    </row>
    <row r="25" spans="1:45" ht="21.9" customHeight="1" thickBot="1">
      <c r="A25" s="943" t="s">
        <v>1152</v>
      </c>
      <c r="B25" s="2915"/>
      <c r="C25" s="2916"/>
      <c r="D25" s="2916"/>
      <c r="E25" s="2916"/>
      <c r="F25" s="2916"/>
      <c r="G25" s="2916"/>
      <c r="H25" s="2916"/>
      <c r="I25" s="2916"/>
      <c r="J25" s="2916"/>
      <c r="K25" s="2916"/>
      <c r="L25" s="2916"/>
      <c r="M25" s="2917"/>
      <c r="N25" s="938"/>
      <c r="O25" s="926"/>
      <c r="P25" s="944"/>
      <c r="Q25" s="944"/>
      <c r="R25" s="944"/>
      <c r="S25" s="944"/>
      <c r="T25" s="944"/>
      <c r="U25" s="944"/>
      <c r="V25" s="944"/>
      <c r="W25" s="926"/>
      <c r="X25" s="944"/>
      <c r="Y25" s="944"/>
      <c r="Z25" s="944"/>
      <c r="AA25" s="926"/>
      <c r="AB25" s="926"/>
      <c r="AC25" s="928"/>
      <c r="AD25" s="928"/>
      <c r="AE25" s="928"/>
      <c r="AF25" s="928"/>
      <c r="AG25" s="928"/>
      <c r="AH25" s="928"/>
      <c r="AI25" s="928"/>
      <c r="AJ25" s="928"/>
      <c r="AK25" s="928"/>
      <c r="AL25" s="928"/>
      <c r="AM25" s="928"/>
      <c r="AN25" s="928"/>
      <c r="AO25" s="928"/>
      <c r="AP25" s="928"/>
      <c r="AQ25" s="928"/>
      <c r="AR25" s="928"/>
      <c r="AS25" s="928"/>
    </row>
    <row r="26" spans="1:45" s="917" customFormat="1" ht="14.1" customHeight="1">
      <c r="A26" s="945" t="s">
        <v>135</v>
      </c>
      <c r="B26" s="946"/>
      <c r="C26" s="947"/>
      <c r="D26" s="948"/>
      <c r="E26" s="948"/>
      <c r="F26" s="948"/>
      <c r="G26" s="948"/>
      <c r="H26" s="948"/>
      <c r="I26" s="948"/>
      <c r="J26" s="948"/>
      <c r="K26" s="948"/>
      <c r="L26" s="948"/>
      <c r="M26" s="949"/>
      <c r="N26" s="2385"/>
      <c r="O26" s="926"/>
      <c r="P26" s="926"/>
      <c r="Q26" s="926"/>
      <c r="R26" s="930"/>
      <c r="S26" s="926"/>
      <c r="T26" s="926"/>
      <c r="U26" s="926"/>
      <c r="V26" s="930"/>
      <c r="W26" s="926"/>
      <c r="X26" s="926"/>
      <c r="Y26" s="926"/>
      <c r="Z26" s="926"/>
      <c r="AA26" s="950"/>
      <c r="AB26" s="950"/>
    </row>
    <row r="27" spans="1:45" s="917" customFormat="1" ht="21.9" customHeight="1" thickBot="1">
      <c r="A27" s="2918"/>
      <c r="B27" s="2919"/>
      <c r="C27" s="2919"/>
      <c r="D27" s="920"/>
      <c r="E27" s="2920"/>
      <c r="F27" s="2920"/>
      <c r="G27" s="2920"/>
      <c r="H27" s="2920"/>
      <c r="I27" s="918"/>
      <c r="J27" s="2378"/>
      <c r="K27" s="918"/>
      <c r="L27" s="2921"/>
      <c r="M27" s="2922"/>
      <c r="N27" s="951"/>
      <c r="O27" s="930"/>
      <c r="P27" s="926"/>
      <c r="Q27" s="926"/>
      <c r="R27" s="930"/>
      <c r="S27" s="926"/>
      <c r="T27" s="926"/>
      <c r="U27" s="926"/>
      <c r="V27" s="930"/>
      <c r="W27" s="930"/>
      <c r="X27" s="926"/>
      <c r="Y27" s="926"/>
      <c r="Z27" s="926"/>
      <c r="AA27" s="950"/>
      <c r="AB27" s="950"/>
    </row>
    <row r="28" spans="1:45" s="917" customFormat="1" ht="14.1" customHeight="1" thickBot="1">
      <c r="A28" s="2923" t="s">
        <v>1385</v>
      </c>
      <c r="B28" s="2924"/>
      <c r="C28" s="2924"/>
      <c r="D28" s="2380"/>
      <c r="E28" s="2924" t="s">
        <v>137</v>
      </c>
      <c r="F28" s="2924"/>
      <c r="G28" s="2924"/>
      <c r="H28" s="2925"/>
      <c r="I28" s="922"/>
      <c r="J28" s="2379" t="s">
        <v>138</v>
      </c>
      <c r="K28" s="922"/>
      <c r="L28" s="2926" t="s">
        <v>139</v>
      </c>
      <c r="M28" s="2927"/>
      <c r="N28" s="950"/>
      <c r="O28" s="930"/>
      <c r="P28" s="926"/>
      <c r="Q28" s="926"/>
      <c r="R28" s="930"/>
      <c r="S28" s="926"/>
      <c r="T28" s="926"/>
      <c r="U28" s="926"/>
      <c r="V28" s="930"/>
      <c r="W28" s="926"/>
      <c r="X28" s="926"/>
      <c r="Y28" s="926"/>
      <c r="Z28" s="926"/>
      <c r="AA28" s="950"/>
      <c r="AB28" s="950"/>
    </row>
    <row r="29" spans="1:45">
      <c r="K29" s="957"/>
      <c r="L29" s="928"/>
      <c r="M29" s="928"/>
      <c r="N29" s="960"/>
      <c r="O29" s="960"/>
      <c r="P29" s="960"/>
      <c r="Q29" s="960"/>
      <c r="R29" s="960"/>
      <c r="S29" s="960"/>
      <c r="T29" s="960"/>
      <c r="U29" s="960"/>
      <c r="V29" s="960"/>
      <c r="W29" s="960"/>
      <c r="X29" s="960"/>
      <c r="Y29" s="960"/>
      <c r="Z29" s="960"/>
      <c r="AA29" s="960"/>
      <c r="AB29" s="928"/>
      <c r="AC29" s="928"/>
      <c r="AD29" s="928"/>
      <c r="AE29" s="928"/>
      <c r="AF29" s="928"/>
      <c r="AG29" s="928"/>
      <c r="AH29" s="928"/>
      <c r="AI29" s="928"/>
      <c r="AJ29" s="928"/>
      <c r="AK29" s="928"/>
      <c r="AL29" s="928"/>
      <c r="AM29" s="928"/>
      <c r="AN29" s="928"/>
      <c r="AO29" s="928"/>
      <c r="AP29" s="928"/>
      <c r="AQ29" s="928"/>
      <c r="AR29" s="928"/>
      <c r="AS29" s="928"/>
    </row>
    <row r="30" spans="1:45">
      <c r="K30" s="957"/>
      <c r="L30" s="928"/>
      <c r="M30" s="928"/>
      <c r="N30" s="960"/>
      <c r="O30" s="960"/>
      <c r="P30" s="960"/>
      <c r="Q30" s="960"/>
      <c r="R30" s="960"/>
      <c r="S30" s="960"/>
      <c r="T30" s="960"/>
      <c r="U30" s="960"/>
      <c r="V30" s="960"/>
      <c r="W30" s="960"/>
      <c r="X30" s="960"/>
      <c r="Y30" s="960"/>
      <c r="Z30" s="960"/>
      <c r="AA30" s="960"/>
      <c r="AB30" s="928"/>
      <c r="AC30" s="928"/>
      <c r="AD30" s="928"/>
      <c r="AE30" s="928"/>
      <c r="AF30" s="928"/>
      <c r="AG30" s="928"/>
      <c r="AH30" s="928"/>
      <c r="AI30" s="928"/>
      <c r="AJ30" s="928"/>
      <c r="AK30" s="928"/>
      <c r="AL30" s="928"/>
      <c r="AM30" s="928"/>
      <c r="AN30" s="928"/>
      <c r="AO30" s="928"/>
      <c r="AP30" s="928"/>
      <c r="AQ30" s="928"/>
      <c r="AR30" s="928"/>
      <c r="AS30" s="928"/>
    </row>
    <row r="31" spans="1:45">
      <c r="K31" s="957"/>
      <c r="L31" s="928"/>
      <c r="M31" s="928"/>
      <c r="N31" s="960"/>
      <c r="O31" s="960"/>
      <c r="P31" s="960"/>
      <c r="Q31" s="960"/>
      <c r="R31" s="960"/>
      <c r="S31" s="960"/>
      <c r="T31" s="960"/>
      <c r="U31" s="960"/>
      <c r="V31" s="960"/>
      <c r="W31" s="960"/>
      <c r="X31" s="960"/>
      <c r="Y31" s="960"/>
      <c r="Z31" s="960"/>
      <c r="AA31" s="960"/>
      <c r="AB31" s="928"/>
      <c r="AC31" s="928"/>
      <c r="AD31" s="928"/>
      <c r="AE31" s="928"/>
      <c r="AF31" s="928"/>
      <c r="AG31" s="928"/>
      <c r="AH31" s="928"/>
      <c r="AI31" s="928"/>
      <c r="AJ31" s="928"/>
      <c r="AK31" s="928"/>
      <c r="AL31" s="928"/>
      <c r="AM31" s="928"/>
      <c r="AN31" s="928"/>
      <c r="AO31" s="928"/>
      <c r="AP31" s="928"/>
      <c r="AQ31" s="928"/>
      <c r="AR31" s="928"/>
      <c r="AS31" s="928"/>
    </row>
    <row r="32" spans="1:45">
      <c r="K32" s="957"/>
      <c r="L32" s="928"/>
      <c r="M32" s="928"/>
      <c r="N32" s="960"/>
      <c r="O32" s="960"/>
      <c r="P32" s="960"/>
      <c r="Q32" s="960"/>
      <c r="R32" s="960"/>
      <c r="S32" s="960"/>
      <c r="T32" s="960"/>
      <c r="U32" s="960"/>
      <c r="V32" s="960"/>
      <c r="W32" s="960"/>
      <c r="X32" s="960"/>
      <c r="Y32" s="960"/>
      <c r="Z32" s="960"/>
      <c r="AA32" s="960"/>
      <c r="AB32" s="928"/>
      <c r="AC32" s="928"/>
      <c r="AD32" s="928"/>
      <c r="AE32" s="928"/>
      <c r="AF32" s="928"/>
      <c r="AG32" s="928"/>
      <c r="AH32" s="928"/>
      <c r="AI32" s="928"/>
      <c r="AJ32" s="928"/>
      <c r="AK32" s="928"/>
      <c r="AL32" s="928"/>
      <c r="AM32" s="928"/>
      <c r="AN32" s="928"/>
      <c r="AO32" s="928"/>
      <c r="AP32" s="928"/>
      <c r="AQ32" s="928"/>
      <c r="AR32" s="928"/>
      <c r="AS32" s="928"/>
    </row>
    <row r="33" spans="11:45">
      <c r="K33" s="957"/>
      <c r="L33" s="928"/>
      <c r="M33" s="928"/>
      <c r="N33" s="960"/>
      <c r="O33" s="960"/>
      <c r="P33" s="960"/>
      <c r="Q33" s="960"/>
      <c r="R33" s="960"/>
      <c r="S33" s="960"/>
      <c r="T33" s="960"/>
      <c r="U33" s="960"/>
      <c r="V33" s="960"/>
      <c r="W33" s="960"/>
      <c r="X33" s="960"/>
      <c r="Y33" s="960"/>
      <c r="Z33" s="960"/>
      <c r="AA33" s="960"/>
      <c r="AB33" s="928"/>
      <c r="AC33" s="928"/>
      <c r="AD33" s="928"/>
      <c r="AE33" s="928"/>
      <c r="AF33" s="928"/>
      <c r="AG33" s="928"/>
      <c r="AH33" s="928"/>
      <c r="AI33" s="928"/>
      <c r="AJ33" s="928"/>
      <c r="AK33" s="928"/>
      <c r="AL33" s="928"/>
      <c r="AM33" s="928"/>
      <c r="AN33" s="928"/>
      <c r="AO33" s="928"/>
      <c r="AP33" s="928"/>
      <c r="AQ33" s="928"/>
      <c r="AR33" s="928"/>
      <c r="AS33" s="928"/>
    </row>
    <row r="34" spans="11:45">
      <c r="K34" s="957"/>
      <c r="L34" s="928"/>
      <c r="M34" s="928"/>
      <c r="N34" s="960"/>
      <c r="O34" s="960"/>
      <c r="P34" s="960"/>
      <c r="Q34" s="960"/>
      <c r="R34" s="960"/>
      <c r="S34" s="960"/>
      <c r="T34" s="960"/>
      <c r="U34" s="960"/>
      <c r="V34" s="960"/>
      <c r="W34" s="960"/>
      <c r="X34" s="960"/>
      <c r="Y34" s="960"/>
      <c r="Z34" s="960"/>
      <c r="AA34" s="960"/>
      <c r="AB34" s="928"/>
      <c r="AC34" s="928"/>
      <c r="AD34" s="928"/>
      <c r="AE34" s="928"/>
      <c r="AF34" s="928"/>
      <c r="AG34" s="928"/>
      <c r="AH34" s="928"/>
      <c r="AI34" s="928"/>
      <c r="AJ34" s="928"/>
      <c r="AK34" s="928"/>
      <c r="AL34" s="928"/>
      <c r="AM34" s="928"/>
      <c r="AN34" s="928"/>
      <c r="AO34" s="928"/>
      <c r="AP34" s="928"/>
      <c r="AQ34" s="928"/>
      <c r="AR34" s="928"/>
      <c r="AS34" s="928"/>
    </row>
    <row r="35" spans="11:45">
      <c r="K35" s="957"/>
      <c r="L35" s="928"/>
      <c r="M35" s="928"/>
      <c r="N35" s="960"/>
      <c r="O35" s="960"/>
      <c r="P35" s="960"/>
      <c r="Q35" s="960"/>
      <c r="R35" s="960"/>
      <c r="S35" s="960"/>
      <c r="T35" s="960"/>
      <c r="U35" s="960"/>
      <c r="V35" s="960"/>
      <c r="W35" s="960"/>
      <c r="X35" s="960"/>
      <c r="Y35" s="960"/>
      <c r="Z35" s="960"/>
      <c r="AA35" s="960"/>
      <c r="AB35" s="928"/>
      <c r="AC35" s="928"/>
      <c r="AD35" s="928"/>
      <c r="AE35" s="928"/>
      <c r="AF35" s="928"/>
      <c r="AG35" s="928"/>
      <c r="AH35" s="928"/>
      <c r="AI35" s="928"/>
      <c r="AJ35" s="928"/>
      <c r="AK35" s="928"/>
      <c r="AL35" s="928"/>
      <c r="AM35" s="928"/>
      <c r="AN35" s="928"/>
      <c r="AO35" s="928"/>
      <c r="AP35" s="928"/>
      <c r="AQ35" s="928"/>
      <c r="AR35" s="928"/>
      <c r="AS35" s="928"/>
    </row>
    <row r="36" spans="11:45">
      <c r="K36" s="957"/>
      <c r="L36" s="928"/>
      <c r="M36" s="928"/>
      <c r="N36" s="960"/>
      <c r="O36" s="960"/>
      <c r="P36" s="960"/>
      <c r="Q36" s="960"/>
      <c r="R36" s="960"/>
      <c r="S36" s="960"/>
      <c r="T36" s="960"/>
      <c r="U36" s="960"/>
      <c r="V36" s="960"/>
      <c r="W36" s="960"/>
      <c r="X36" s="960"/>
      <c r="Y36" s="960"/>
      <c r="Z36" s="960"/>
      <c r="AA36" s="960"/>
      <c r="AB36" s="928"/>
      <c r="AC36" s="928"/>
      <c r="AD36" s="928"/>
      <c r="AE36" s="928"/>
      <c r="AF36" s="928"/>
      <c r="AG36" s="928"/>
      <c r="AH36" s="928"/>
      <c r="AI36" s="928"/>
      <c r="AJ36" s="928"/>
      <c r="AK36" s="928"/>
      <c r="AL36" s="928"/>
      <c r="AM36" s="928"/>
      <c r="AN36" s="928"/>
      <c r="AO36" s="928"/>
      <c r="AP36" s="928"/>
      <c r="AQ36" s="928"/>
      <c r="AR36" s="928"/>
      <c r="AS36" s="928"/>
    </row>
    <row r="37" spans="11:45">
      <c r="K37" s="957"/>
      <c r="L37" s="928"/>
      <c r="M37" s="928"/>
      <c r="N37" s="960"/>
      <c r="O37" s="960"/>
      <c r="P37" s="960"/>
      <c r="Q37" s="960"/>
      <c r="R37" s="960"/>
      <c r="S37" s="960"/>
      <c r="T37" s="960"/>
      <c r="U37" s="960"/>
      <c r="V37" s="960"/>
      <c r="W37" s="960"/>
      <c r="X37" s="960"/>
      <c r="Y37" s="960"/>
      <c r="Z37" s="960"/>
      <c r="AA37" s="960"/>
      <c r="AB37" s="928"/>
      <c r="AC37" s="928"/>
      <c r="AD37" s="928"/>
      <c r="AE37" s="928"/>
      <c r="AF37" s="928"/>
      <c r="AG37" s="928"/>
      <c r="AH37" s="928"/>
      <c r="AI37" s="928"/>
      <c r="AJ37" s="928"/>
      <c r="AK37" s="928"/>
      <c r="AL37" s="928"/>
      <c r="AM37" s="928"/>
      <c r="AN37" s="928"/>
      <c r="AO37" s="928"/>
      <c r="AP37" s="928"/>
      <c r="AQ37" s="928"/>
      <c r="AR37" s="928"/>
      <c r="AS37" s="928"/>
    </row>
    <row r="38" spans="11:45">
      <c r="K38" s="957"/>
      <c r="L38" s="928"/>
      <c r="M38" s="928"/>
      <c r="N38" s="960"/>
      <c r="O38" s="960"/>
      <c r="P38" s="960"/>
      <c r="Q38" s="960"/>
      <c r="R38" s="960"/>
      <c r="S38" s="960"/>
      <c r="T38" s="960"/>
      <c r="U38" s="960"/>
      <c r="V38" s="960"/>
      <c r="W38" s="960"/>
      <c r="X38" s="960"/>
      <c r="Y38" s="960"/>
      <c r="Z38" s="960"/>
      <c r="AA38" s="960"/>
      <c r="AB38" s="928"/>
      <c r="AC38" s="928"/>
      <c r="AD38" s="928"/>
      <c r="AE38" s="928"/>
      <c r="AF38" s="928"/>
      <c r="AG38" s="928"/>
      <c r="AH38" s="928"/>
      <c r="AI38" s="928"/>
      <c r="AJ38" s="928"/>
      <c r="AK38" s="928"/>
      <c r="AL38" s="928"/>
      <c r="AM38" s="928"/>
      <c r="AN38" s="928"/>
      <c r="AO38" s="928"/>
      <c r="AP38" s="928"/>
      <c r="AQ38" s="928"/>
      <c r="AR38" s="928"/>
      <c r="AS38" s="928"/>
    </row>
    <row r="39" spans="11:45">
      <c r="K39" s="957"/>
      <c r="L39" s="928"/>
      <c r="M39" s="928"/>
      <c r="N39" s="960"/>
      <c r="O39" s="960"/>
      <c r="P39" s="960"/>
      <c r="Q39" s="960"/>
      <c r="R39" s="960"/>
      <c r="S39" s="960"/>
      <c r="T39" s="960"/>
      <c r="U39" s="960"/>
      <c r="V39" s="960"/>
      <c r="W39" s="960"/>
      <c r="X39" s="960"/>
      <c r="Y39" s="960"/>
      <c r="Z39" s="960"/>
      <c r="AA39" s="960"/>
      <c r="AB39" s="928"/>
      <c r="AC39" s="928"/>
      <c r="AD39" s="928"/>
      <c r="AE39" s="928"/>
      <c r="AF39" s="928"/>
      <c r="AG39" s="928"/>
      <c r="AH39" s="928"/>
      <c r="AI39" s="928"/>
      <c r="AJ39" s="928"/>
      <c r="AK39" s="928"/>
      <c r="AL39" s="928"/>
      <c r="AM39" s="928"/>
      <c r="AN39" s="928"/>
      <c r="AO39" s="928"/>
      <c r="AP39" s="928"/>
      <c r="AQ39" s="928"/>
      <c r="AR39" s="928"/>
      <c r="AS39" s="928"/>
    </row>
    <row r="40" spans="11:45">
      <c r="K40" s="957"/>
      <c r="L40" s="928"/>
      <c r="M40" s="928"/>
      <c r="N40" s="960"/>
      <c r="O40" s="960"/>
      <c r="P40" s="960"/>
      <c r="Q40" s="960"/>
      <c r="R40" s="960"/>
      <c r="S40" s="960"/>
      <c r="T40" s="960"/>
      <c r="U40" s="960"/>
      <c r="V40" s="960"/>
      <c r="W40" s="960"/>
      <c r="X40" s="960"/>
      <c r="Y40" s="960"/>
      <c r="Z40" s="960"/>
      <c r="AA40" s="960"/>
      <c r="AB40" s="928"/>
      <c r="AC40" s="928"/>
      <c r="AD40" s="928"/>
      <c r="AE40" s="928"/>
      <c r="AF40" s="928"/>
      <c r="AG40" s="928"/>
      <c r="AH40" s="928"/>
      <c r="AI40" s="928"/>
      <c r="AJ40" s="928"/>
      <c r="AK40" s="928"/>
      <c r="AL40" s="928"/>
      <c r="AM40" s="928"/>
      <c r="AN40" s="928"/>
      <c r="AO40" s="928"/>
      <c r="AP40" s="928"/>
      <c r="AQ40" s="928"/>
      <c r="AR40" s="928"/>
      <c r="AS40" s="928"/>
    </row>
    <row r="41" spans="11:45">
      <c r="K41" s="957"/>
      <c r="L41" s="928"/>
      <c r="M41" s="928"/>
      <c r="N41" s="960"/>
      <c r="O41" s="960"/>
      <c r="P41" s="960"/>
      <c r="Q41" s="960"/>
      <c r="R41" s="960"/>
      <c r="S41" s="960"/>
      <c r="T41" s="960"/>
      <c r="U41" s="960"/>
      <c r="V41" s="960"/>
      <c r="W41" s="960"/>
      <c r="X41" s="960"/>
      <c r="Y41" s="960"/>
      <c r="Z41" s="960"/>
      <c r="AA41" s="960"/>
      <c r="AB41" s="928"/>
      <c r="AC41" s="928"/>
      <c r="AD41" s="928"/>
      <c r="AE41" s="928"/>
      <c r="AF41" s="928"/>
      <c r="AG41" s="928"/>
      <c r="AH41" s="928"/>
      <c r="AI41" s="928"/>
      <c r="AJ41" s="928"/>
      <c r="AK41" s="928"/>
      <c r="AL41" s="928"/>
      <c r="AM41" s="928"/>
      <c r="AN41" s="928"/>
      <c r="AO41" s="928"/>
      <c r="AP41" s="928"/>
      <c r="AQ41" s="928"/>
      <c r="AR41" s="928"/>
      <c r="AS41" s="928"/>
    </row>
    <row r="42" spans="11:45">
      <c r="K42" s="957"/>
      <c r="L42" s="928"/>
      <c r="M42" s="928"/>
      <c r="N42" s="960"/>
      <c r="O42" s="960"/>
      <c r="P42" s="960"/>
      <c r="Q42" s="960"/>
      <c r="R42" s="960"/>
      <c r="S42" s="960"/>
      <c r="T42" s="960"/>
      <c r="U42" s="960"/>
      <c r="V42" s="960"/>
      <c r="W42" s="960"/>
      <c r="X42" s="960"/>
      <c r="Y42" s="960"/>
      <c r="Z42" s="960"/>
      <c r="AA42" s="960"/>
      <c r="AB42" s="928"/>
      <c r="AC42" s="928"/>
      <c r="AD42" s="928"/>
      <c r="AE42" s="928"/>
      <c r="AF42" s="928"/>
      <c r="AG42" s="928"/>
      <c r="AH42" s="928"/>
      <c r="AI42" s="928"/>
      <c r="AJ42" s="928"/>
      <c r="AK42" s="928"/>
      <c r="AL42" s="928"/>
      <c r="AM42" s="928"/>
      <c r="AN42" s="928"/>
      <c r="AO42" s="928"/>
      <c r="AP42" s="928"/>
      <c r="AQ42" s="928"/>
      <c r="AR42" s="928"/>
      <c r="AS42" s="928"/>
    </row>
    <row r="43" spans="11:45">
      <c r="K43" s="957"/>
      <c r="L43" s="928"/>
      <c r="M43" s="928"/>
      <c r="N43" s="960"/>
      <c r="O43" s="960"/>
      <c r="P43" s="960"/>
      <c r="Q43" s="960"/>
      <c r="R43" s="960"/>
      <c r="S43" s="960"/>
      <c r="T43" s="960"/>
      <c r="U43" s="960"/>
      <c r="V43" s="960"/>
      <c r="W43" s="960"/>
      <c r="X43" s="960"/>
      <c r="Y43" s="960"/>
      <c r="Z43" s="960"/>
      <c r="AA43" s="960"/>
      <c r="AB43" s="928"/>
      <c r="AC43" s="928"/>
      <c r="AD43" s="928"/>
      <c r="AE43" s="928"/>
      <c r="AF43" s="928"/>
      <c r="AG43" s="928"/>
      <c r="AH43" s="928"/>
      <c r="AI43" s="928"/>
      <c r="AJ43" s="928"/>
      <c r="AK43" s="928"/>
      <c r="AL43" s="928"/>
      <c r="AM43" s="928"/>
      <c r="AN43" s="928"/>
      <c r="AO43" s="928"/>
      <c r="AP43" s="928"/>
      <c r="AQ43" s="928"/>
      <c r="AR43" s="928"/>
      <c r="AS43" s="928"/>
    </row>
    <row r="44" spans="11:45">
      <c r="K44" s="957"/>
      <c r="L44" s="928"/>
      <c r="M44" s="928"/>
      <c r="N44" s="960"/>
      <c r="O44" s="960"/>
      <c r="P44" s="960"/>
      <c r="Q44" s="960"/>
      <c r="R44" s="960"/>
      <c r="S44" s="960"/>
      <c r="T44" s="960"/>
      <c r="U44" s="960"/>
      <c r="V44" s="960"/>
      <c r="W44" s="960"/>
      <c r="X44" s="960"/>
      <c r="Y44" s="960"/>
      <c r="Z44" s="960"/>
      <c r="AA44" s="960"/>
      <c r="AB44" s="928"/>
      <c r="AC44" s="928"/>
      <c r="AD44" s="928"/>
      <c r="AE44" s="928"/>
      <c r="AF44" s="928"/>
      <c r="AG44" s="928"/>
      <c r="AH44" s="928"/>
      <c r="AI44" s="928"/>
      <c r="AJ44" s="928"/>
      <c r="AK44" s="928"/>
      <c r="AL44" s="928"/>
      <c r="AM44" s="928"/>
      <c r="AN44" s="928"/>
      <c r="AO44" s="928"/>
      <c r="AP44" s="928"/>
      <c r="AQ44" s="928"/>
      <c r="AR44" s="928"/>
      <c r="AS44" s="928"/>
    </row>
    <row r="45" spans="11:45">
      <c r="K45" s="957"/>
      <c r="L45" s="928"/>
      <c r="M45" s="928"/>
      <c r="N45" s="960"/>
      <c r="O45" s="960"/>
      <c r="P45" s="960"/>
      <c r="Q45" s="960"/>
      <c r="R45" s="960"/>
      <c r="S45" s="960"/>
      <c r="T45" s="960"/>
      <c r="U45" s="960"/>
      <c r="V45" s="960"/>
      <c r="W45" s="960"/>
      <c r="X45" s="960"/>
      <c r="Y45" s="960"/>
      <c r="Z45" s="960"/>
      <c r="AA45" s="960"/>
      <c r="AB45" s="928"/>
      <c r="AC45" s="928"/>
      <c r="AD45" s="928"/>
      <c r="AE45" s="928"/>
      <c r="AF45" s="928"/>
      <c r="AG45" s="928"/>
      <c r="AH45" s="928"/>
      <c r="AI45" s="928"/>
      <c r="AJ45" s="928"/>
      <c r="AK45" s="928"/>
      <c r="AL45" s="928"/>
      <c r="AM45" s="928"/>
      <c r="AN45" s="928"/>
      <c r="AO45" s="928"/>
      <c r="AP45" s="928"/>
      <c r="AQ45" s="928"/>
      <c r="AR45" s="928"/>
      <c r="AS45" s="928"/>
    </row>
    <row r="46" spans="11:45">
      <c r="K46" s="957"/>
      <c r="L46" s="928"/>
      <c r="M46" s="928"/>
      <c r="N46" s="960"/>
      <c r="O46" s="960"/>
      <c r="P46" s="960"/>
      <c r="Q46" s="960"/>
      <c r="R46" s="960"/>
      <c r="S46" s="960"/>
      <c r="T46" s="960"/>
      <c r="U46" s="960"/>
      <c r="V46" s="960"/>
      <c r="W46" s="960"/>
      <c r="X46" s="960"/>
      <c r="Y46" s="960"/>
      <c r="Z46" s="960"/>
      <c r="AA46" s="960"/>
      <c r="AB46" s="928"/>
      <c r="AC46" s="928"/>
      <c r="AD46" s="928"/>
      <c r="AE46" s="928"/>
      <c r="AF46" s="928"/>
      <c r="AG46" s="928"/>
      <c r="AH46" s="928"/>
      <c r="AI46" s="928"/>
      <c r="AJ46" s="928"/>
      <c r="AK46" s="928"/>
      <c r="AL46" s="928"/>
      <c r="AM46" s="928"/>
      <c r="AN46" s="928"/>
      <c r="AO46" s="928"/>
      <c r="AP46" s="928"/>
      <c r="AQ46" s="928"/>
      <c r="AR46" s="928"/>
      <c r="AS46" s="928"/>
    </row>
    <row r="47" spans="11:45">
      <c r="K47" s="957"/>
      <c r="L47" s="928"/>
      <c r="M47" s="928"/>
      <c r="N47" s="960"/>
      <c r="O47" s="960"/>
      <c r="P47" s="960"/>
      <c r="Q47" s="960"/>
      <c r="R47" s="960"/>
      <c r="S47" s="960"/>
      <c r="T47" s="960"/>
      <c r="U47" s="960"/>
      <c r="V47" s="960"/>
      <c r="W47" s="960"/>
      <c r="X47" s="960"/>
      <c r="Y47" s="960"/>
      <c r="Z47" s="960"/>
      <c r="AA47" s="960"/>
      <c r="AB47" s="928"/>
      <c r="AC47" s="928"/>
      <c r="AD47" s="928"/>
      <c r="AE47" s="928"/>
      <c r="AF47" s="928"/>
      <c r="AG47" s="928"/>
      <c r="AH47" s="928"/>
      <c r="AI47" s="928"/>
      <c r="AJ47" s="928"/>
      <c r="AK47" s="928"/>
      <c r="AL47" s="928"/>
      <c r="AM47" s="928"/>
      <c r="AN47" s="928"/>
      <c r="AO47" s="928"/>
      <c r="AP47" s="928"/>
      <c r="AQ47" s="928"/>
      <c r="AR47" s="928"/>
      <c r="AS47" s="928"/>
    </row>
    <row r="48" spans="11:45">
      <c r="K48" s="957"/>
      <c r="L48" s="928"/>
      <c r="M48" s="928"/>
      <c r="N48" s="960"/>
      <c r="O48" s="960"/>
      <c r="P48" s="960"/>
      <c r="Q48" s="960"/>
      <c r="R48" s="960"/>
      <c r="S48" s="960"/>
      <c r="T48" s="960"/>
      <c r="U48" s="960"/>
      <c r="V48" s="960"/>
      <c r="W48" s="960"/>
      <c r="X48" s="960"/>
      <c r="Y48" s="960"/>
      <c r="Z48" s="960"/>
      <c r="AA48" s="960"/>
      <c r="AB48" s="928"/>
      <c r="AC48" s="928"/>
      <c r="AD48" s="928"/>
      <c r="AE48" s="928"/>
      <c r="AF48" s="928"/>
      <c r="AG48" s="928"/>
      <c r="AH48" s="928"/>
      <c r="AI48" s="928"/>
      <c r="AJ48" s="928"/>
      <c r="AK48" s="928"/>
      <c r="AL48" s="928"/>
      <c r="AM48" s="928"/>
      <c r="AN48" s="928"/>
      <c r="AO48" s="928"/>
      <c r="AP48" s="928"/>
      <c r="AQ48" s="928"/>
      <c r="AR48" s="928"/>
      <c r="AS48" s="928"/>
    </row>
    <row r="49" spans="11:45">
      <c r="K49" s="957"/>
      <c r="L49" s="928"/>
      <c r="M49" s="928"/>
      <c r="N49" s="960"/>
      <c r="O49" s="960"/>
      <c r="P49" s="960"/>
      <c r="Q49" s="960"/>
      <c r="R49" s="960"/>
      <c r="S49" s="960"/>
      <c r="T49" s="960"/>
      <c r="U49" s="960"/>
      <c r="V49" s="960"/>
      <c r="W49" s="960"/>
      <c r="X49" s="960"/>
      <c r="Y49" s="960"/>
      <c r="Z49" s="960"/>
      <c r="AA49" s="960"/>
      <c r="AB49" s="928"/>
      <c r="AC49" s="928"/>
      <c r="AD49" s="928"/>
      <c r="AE49" s="928"/>
      <c r="AF49" s="928"/>
      <c r="AG49" s="928"/>
      <c r="AH49" s="928"/>
      <c r="AI49" s="928"/>
      <c r="AJ49" s="928"/>
      <c r="AK49" s="928"/>
      <c r="AL49" s="928"/>
      <c r="AM49" s="928"/>
      <c r="AN49" s="928"/>
      <c r="AO49" s="928"/>
      <c r="AP49" s="928"/>
      <c r="AQ49" s="928"/>
      <c r="AR49" s="928"/>
      <c r="AS49" s="928"/>
    </row>
    <row r="50" spans="11:45">
      <c r="K50" s="957"/>
      <c r="L50" s="928"/>
      <c r="M50" s="928"/>
      <c r="N50" s="960"/>
      <c r="O50" s="960"/>
      <c r="P50" s="960"/>
      <c r="Q50" s="960"/>
      <c r="R50" s="960"/>
      <c r="S50" s="960"/>
      <c r="T50" s="960"/>
      <c r="U50" s="960"/>
      <c r="V50" s="960"/>
      <c r="W50" s="960"/>
      <c r="X50" s="960"/>
      <c r="Y50" s="960"/>
      <c r="Z50" s="960"/>
      <c r="AA50" s="960"/>
      <c r="AB50" s="928"/>
      <c r="AC50" s="928"/>
      <c r="AD50" s="928"/>
      <c r="AE50" s="928"/>
      <c r="AF50" s="928"/>
      <c r="AG50" s="928"/>
      <c r="AH50" s="928"/>
      <c r="AI50" s="928"/>
      <c r="AJ50" s="928"/>
      <c r="AK50" s="928"/>
      <c r="AL50" s="928"/>
      <c r="AM50" s="928"/>
      <c r="AN50" s="928"/>
      <c r="AO50" s="928"/>
      <c r="AP50" s="928"/>
      <c r="AQ50" s="928"/>
      <c r="AR50" s="928"/>
      <c r="AS50" s="928"/>
    </row>
    <row r="51" spans="11:45">
      <c r="K51" s="957"/>
      <c r="L51" s="928"/>
      <c r="M51" s="928"/>
      <c r="N51" s="960"/>
      <c r="O51" s="960"/>
      <c r="P51" s="960"/>
      <c r="Q51" s="960"/>
      <c r="R51" s="960"/>
      <c r="S51" s="960"/>
      <c r="T51" s="960"/>
      <c r="U51" s="960"/>
      <c r="V51" s="960"/>
      <c r="W51" s="960"/>
      <c r="X51" s="960"/>
      <c r="Y51" s="960"/>
      <c r="Z51" s="960"/>
      <c r="AA51" s="960"/>
      <c r="AB51" s="928"/>
      <c r="AC51" s="928"/>
      <c r="AD51" s="928"/>
      <c r="AE51" s="928"/>
      <c r="AF51" s="928"/>
      <c r="AG51" s="928"/>
      <c r="AH51" s="928"/>
      <c r="AI51" s="928"/>
      <c r="AJ51" s="928"/>
      <c r="AK51" s="928"/>
      <c r="AL51" s="928"/>
      <c r="AM51" s="928"/>
      <c r="AN51" s="928"/>
      <c r="AO51" s="928"/>
      <c r="AP51" s="928"/>
      <c r="AQ51" s="928"/>
      <c r="AR51" s="928"/>
      <c r="AS51" s="928"/>
    </row>
    <row r="52" spans="11:45">
      <c r="K52" s="957"/>
      <c r="L52" s="928"/>
      <c r="M52" s="928"/>
      <c r="N52" s="960"/>
      <c r="O52" s="960"/>
      <c r="P52" s="960"/>
      <c r="Q52" s="960"/>
      <c r="R52" s="960"/>
      <c r="S52" s="960"/>
      <c r="T52" s="960"/>
      <c r="U52" s="960"/>
      <c r="V52" s="960"/>
      <c r="W52" s="960"/>
      <c r="X52" s="960"/>
      <c r="Y52" s="960"/>
      <c r="Z52" s="960"/>
      <c r="AA52" s="960"/>
      <c r="AB52" s="928"/>
      <c r="AC52" s="928"/>
      <c r="AD52" s="928"/>
      <c r="AE52" s="928"/>
      <c r="AF52" s="928"/>
      <c r="AG52" s="928"/>
      <c r="AH52" s="928"/>
      <c r="AI52" s="928"/>
      <c r="AJ52" s="928"/>
      <c r="AK52" s="928"/>
      <c r="AL52" s="928"/>
      <c r="AM52" s="928"/>
      <c r="AN52" s="928"/>
      <c r="AO52" s="928"/>
      <c r="AP52" s="928"/>
      <c r="AQ52" s="928"/>
      <c r="AR52" s="928"/>
      <c r="AS52" s="928"/>
    </row>
    <row r="53" spans="11:45">
      <c r="K53" s="957"/>
      <c r="L53" s="928"/>
      <c r="M53" s="928"/>
      <c r="N53" s="960"/>
      <c r="O53" s="960"/>
      <c r="P53" s="960"/>
      <c r="Q53" s="960"/>
      <c r="R53" s="960"/>
      <c r="S53" s="960"/>
      <c r="T53" s="960"/>
      <c r="U53" s="960"/>
      <c r="V53" s="960"/>
      <c r="W53" s="960"/>
      <c r="X53" s="960"/>
      <c r="Y53" s="960"/>
      <c r="Z53" s="960"/>
      <c r="AA53" s="960"/>
      <c r="AB53" s="928"/>
      <c r="AC53" s="928"/>
      <c r="AD53" s="928"/>
      <c r="AE53" s="928"/>
      <c r="AF53" s="928"/>
      <c r="AG53" s="928"/>
      <c r="AH53" s="928"/>
      <c r="AI53" s="928"/>
      <c r="AJ53" s="928"/>
      <c r="AK53" s="928"/>
      <c r="AL53" s="928"/>
      <c r="AM53" s="928"/>
      <c r="AN53" s="928"/>
      <c r="AO53" s="928"/>
      <c r="AP53" s="928"/>
      <c r="AQ53" s="928"/>
      <c r="AR53" s="928"/>
      <c r="AS53" s="928"/>
    </row>
    <row r="54" spans="11:45">
      <c r="K54" s="957"/>
      <c r="L54" s="928"/>
      <c r="M54" s="928"/>
      <c r="N54" s="960"/>
      <c r="O54" s="960"/>
      <c r="P54" s="960"/>
      <c r="Q54" s="960"/>
      <c r="R54" s="960"/>
      <c r="S54" s="960"/>
      <c r="T54" s="960"/>
      <c r="U54" s="960"/>
      <c r="V54" s="960"/>
      <c r="W54" s="960"/>
      <c r="X54" s="960"/>
      <c r="Y54" s="960"/>
      <c r="Z54" s="960"/>
      <c r="AA54" s="960"/>
      <c r="AB54" s="928"/>
      <c r="AC54" s="928"/>
      <c r="AD54" s="928"/>
      <c r="AE54" s="928"/>
      <c r="AF54" s="928"/>
      <c r="AG54" s="928"/>
      <c r="AH54" s="928"/>
      <c r="AI54" s="928"/>
      <c r="AJ54" s="928"/>
      <c r="AK54" s="928"/>
      <c r="AL54" s="928"/>
      <c r="AM54" s="928"/>
      <c r="AN54" s="928"/>
      <c r="AO54" s="928"/>
      <c r="AP54" s="928"/>
      <c r="AQ54" s="928"/>
      <c r="AR54" s="928"/>
      <c r="AS54" s="928"/>
    </row>
    <row r="55" spans="11:45">
      <c r="K55" s="957"/>
      <c r="L55" s="928"/>
      <c r="M55" s="928"/>
      <c r="N55" s="960"/>
      <c r="O55" s="960"/>
      <c r="P55" s="960"/>
      <c r="Q55" s="960"/>
      <c r="R55" s="960"/>
      <c r="S55" s="960"/>
      <c r="T55" s="960"/>
      <c r="U55" s="960"/>
      <c r="V55" s="960"/>
      <c r="W55" s="960"/>
      <c r="X55" s="960"/>
      <c r="Y55" s="960"/>
      <c r="Z55" s="960"/>
      <c r="AA55" s="960"/>
      <c r="AB55" s="928"/>
      <c r="AC55" s="928"/>
      <c r="AD55" s="928"/>
      <c r="AE55" s="928"/>
      <c r="AF55" s="928"/>
      <c r="AG55" s="928"/>
      <c r="AH55" s="928"/>
      <c r="AI55" s="928"/>
      <c r="AJ55" s="928"/>
      <c r="AK55" s="928"/>
      <c r="AL55" s="928"/>
      <c r="AM55" s="928"/>
      <c r="AN55" s="928"/>
      <c r="AO55" s="928"/>
      <c r="AP55" s="928"/>
      <c r="AQ55" s="928"/>
      <c r="AR55" s="928"/>
      <c r="AS55" s="928"/>
    </row>
    <row r="56" spans="11:45">
      <c r="K56" s="957"/>
      <c r="L56" s="928"/>
      <c r="M56" s="928"/>
      <c r="N56" s="960"/>
      <c r="O56" s="960"/>
      <c r="P56" s="960"/>
      <c r="Q56" s="960"/>
      <c r="R56" s="960"/>
      <c r="S56" s="960"/>
      <c r="T56" s="960"/>
      <c r="U56" s="960"/>
      <c r="V56" s="960"/>
      <c r="W56" s="960"/>
      <c r="X56" s="960"/>
      <c r="Y56" s="960"/>
      <c r="Z56" s="960"/>
      <c r="AA56" s="960"/>
      <c r="AB56" s="928"/>
      <c r="AC56" s="928"/>
      <c r="AD56" s="928"/>
      <c r="AE56" s="928"/>
      <c r="AF56" s="928"/>
      <c r="AG56" s="928"/>
      <c r="AH56" s="928"/>
      <c r="AI56" s="928"/>
      <c r="AJ56" s="928"/>
      <c r="AK56" s="928"/>
      <c r="AL56" s="928"/>
      <c r="AM56" s="928"/>
      <c r="AN56" s="928"/>
      <c r="AO56" s="928"/>
      <c r="AP56" s="928"/>
      <c r="AQ56" s="928"/>
      <c r="AR56" s="928"/>
      <c r="AS56" s="928"/>
    </row>
    <row r="57" spans="11:45">
      <c r="K57" s="957"/>
      <c r="L57" s="928"/>
      <c r="M57" s="928"/>
      <c r="N57" s="960"/>
      <c r="O57" s="960"/>
      <c r="P57" s="960"/>
      <c r="Q57" s="960"/>
      <c r="R57" s="960"/>
      <c r="S57" s="960"/>
      <c r="T57" s="960"/>
      <c r="U57" s="960"/>
      <c r="V57" s="960"/>
      <c r="W57" s="960"/>
      <c r="X57" s="960"/>
      <c r="Y57" s="960"/>
      <c r="Z57" s="960"/>
      <c r="AA57" s="960"/>
      <c r="AB57" s="928"/>
      <c r="AC57" s="928"/>
      <c r="AD57" s="928"/>
      <c r="AE57" s="928"/>
      <c r="AF57" s="928"/>
      <c r="AG57" s="928"/>
      <c r="AH57" s="928"/>
      <c r="AI57" s="928"/>
      <c r="AJ57" s="928"/>
      <c r="AK57" s="928"/>
      <c r="AL57" s="928"/>
      <c r="AM57" s="928"/>
      <c r="AN57" s="928"/>
      <c r="AO57" s="928"/>
      <c r="AP57" s="928"/>
      <c r="AQ57" s="928"/>
      <c r="AR57" s="928"/>
      <c r="AS57" s="928"/>
    </row>
    <row r="58" spans="11:45">
      <c r="K58" s="957"/>
      <c r="L58" s="928"/>
      <c r="M58" s="928"/>
      <c r="N58" s="960"/>
      <c r="O58" s="960"/>
      <c r="P58" s="960"/>
      <c r="Q58" s="960"/>
      <c r="R58" s="960"/>
      <c r="S58" s="960"/>
      <c r="T58" s="960"/>
      <c r="U58" s="960"/>
      <c r="V58" s="960"/>
      <c r="W58" s="960"/>
      <c r="X58" s="960"/>
      <c r="Y58" s="960"/>
      <c r="Z58" s="960"/>
      <c r="AA58" s="960"/>
      <c r="AB58" s="928"/>
      <c r="AC58" s="928"/>
      <c r="AD58" s="928"/>
      <c r="AE58" s="928"/>
      <c r="AF58" s="928"/>
      <c r="AG58" s="928"/>
      <c r="AH58" s="928"/>
      <c r="AI58" s="928"/>
      <c r="AJ58" s="928"/>
      <c r="AK58" s="928"/>
      <c r="AL58" s="928"/>
      <c r="AM58" s="928"/>
      <c r="AN58" s="928"/>
      <c r="AO58" s="928"/>
      <c r="AP58" s="928"/>
      <c r="AQ58" s="928"/>
      <c r="AR58" s="928"/>
      <c r="AS58" s="928"/>
    </row>
    <row r="59" spans="11:45">
      <c r="K59" s="957"/>
      <c r="L59" s="928"/>
      <c r="M59" s="928"/>
      <c r="N59" s="960"/>
      <c r="O59" s="960"/>
      <c r="P59" s="960"/>
      <c r="Q59" s="960"/>
      <c r="R59" s="960"/>
      <c r="S59" s="960"/>
      <c r="T59" s="960"/>
      <c r="U59" s="960"/>
      <c r="V59" s="960"/>
      <c r="W59" s="960"/>
      <c r="X59" s="960"/>
      <c r="Y59" s="960"/>
      <c r="Z59" s="960"/>
      <c r="AA59" s="960"/>
      <c r="AB59" s="928"/>
      <c r="AC59" s="928"/>
      <c r="AD59" s="928"/>
      <c r="AE59" s="928"/>
      <c r="AF59" s="928"/>
      <c r="AG59" s="928"/>
      <c r="AH59" s="928"/>
      <c r="AI59" s="928"/>
      <c r="AJ59" s="928"/>
      <c r="AK59" s="928"/>
      <c r="AL59" s="928"/>
      <c r="AM59" s="928"/>
      <c r="AN59" s="928"/>
      <c r="AO59" s="928"/>
      <c r="AP59" s="928"/>
      <c r="AQ59" s="928"/>
      <c r="AR59" s="928"/>
      <c r="AS59" s="928"/>
    </row>
    <row r="60" spans="11:45">
      <c r="K60" s="957"/>
      <c r="L60" s="928"/>
      <c r="M60" s="928"/>
      <c r="N60" s="960"/>
      <c r="O60" s="960"/>
      <c r="P60" s="960"/>
      <c r="Q60" s="960"/>
      <c r="R60" s="960"/>
      <c r="S60" s="960"/>
      <c r="T60" s="960"/>
      <c r="U60" s="960"/>
      <c r="V60" s="960"/>
      <c r="W60" s="960"/>
      <c r="X60" s="960"/>
      <c r="Y60" s="960"/>
      <c r="Z60" s="960"/>
      <c r="AA60" s="960"/>
      <c r="AB60" s="928"/>
      <c r="AC60" s="928"/>
      <c r="AD60" s="928"/>
      <c r="AE60" s="928"/>
      <c r="AF60" s="928"/>
      <c r="AG60" s="928"/>
      <c r="AH60" s="928"/>
      <c r="AI60" s="928"/>
      <c r="AJ60" s="928"/>
      <c r="AK60" s="928"/>
      <c r="AL60" s="928"/>
      <c r="AM60" s="928"/>
      <c r="AN60" s="928"/>
      <c r="AO60" s="928"/>
      <c r="AP60" s="928"/>
      <c r="AQ60" s="928"/>
      <c r="AR60" s="928"/>
      <c r="AS60" s="928"/>
    </row>
    <row r="61" spans="11:45">
      <c r="K61" s="957"/>
      <c r="L61" s="928"/>
      <c r="M61" s="928"/>
      <c r="N61" s="960"/>
      <c r="O61" s="960"/>
      <c r="P61" s="960"/>
      <c r="Q61" s="960"/>
      <c r="R61" s="960"/>
      <c r="S61" s="960"/>
      <c r="T61" s="960"/>
      <c r="U61" s="960"/>
      <c r="V61" s="960"/>
      <c r="W61" s="960"/>
      <c r="X61" s="960"/>
      <c r="Y61" s="960"/>
      <c r="Z61" s="960"/>
      <c r="AA61" s="960"/>
      <c r="AB61" s="928"/>
      <c r="AC61" s="928"/>
      <c r="AD61" s="928"/>
      <c r="AE61" s="928"/>
      <c r="AF61" s="928"/>
      <c r="AG61" s="928"/>
      <c r="AH61" s="928"/>
      <c r="AI61" s="928"/>
      <c r="AJ61" s="928"/>
      <c r="AK61" s="928"/>
      <c r="AL61" s="928"/>
      <c r="AM61" s="928"/>
      <c r="AN61" s="928"/>
      <c r="AO61" s="928"/>
      <c r="AP61" s="928"/>
      <c r="AQ61" s="928"/>
      <c r="AR61" s="928"/>
      <c r="AS61" s="928"/>
    </row>
    <row r="62" spans="11:45">
      <c r="K62" s="957"/>
      <c r="L62" s="928"/>
      <c r="M62" s="928"/>
      <c r="N62" s="960"/>
      <c r="O62" s="960"/>
      <c r="P62" s="960"/>
      <c r="Q62" s="960"/>
      <c r="R62" s="960"/>
      <c r="S62" s="960"/>
      <c r="T62" s="960"/>
      <c r="U62" s="960"/>
      <c r="V62" s="960"/>
      <c r="W62" s="960"/>
      <c r="X62" s="960"/>
      <c r="Y62" s="960"/>
      <c r="Z62" s="960"/>
      <c r="AA62" s="960"/>
      <c r="AB62" s="928"/>
      <c r="AC62" s="928"/>
      <c r="AD62" s="928"/>
      <c r="AE62" s="928"/>
      <c r="AF62" s="928"/>
      <c r="AG62" s="928"/>
      <c r="AH62" s="928"/>
      <c r="AI62" s="928"/>
      <c r="AJ62" s="928"/>
      <c r="AK62" s="928"/>
      <c r="AL62" s="928"/>
      <c r="AM62" s="928"/>
      <c r="AN62" s="928"/>
      <c r="AO62" s="928"/>
      <c r="AP62" s="928"/>
      <c r="AQ62" s="928"/>
      <c r="AR62" s="928"/>
      <c r="AS62" s="928"/>
    </row>
    <row r="63" spans="11:45">
      <c r="K63" s="957"/>
      <c r="L63" s="928"/>
      <c r="M63" s="928"/>
      <c r="N63" s="960"/>
      <c r="O63" s="960"/>
      <c r="P63" s="960"/>
      <c r="Q63" s="960"/>
      <c r="R63" s="960"/>
      <c r="S63" s="960"/>
      <c r="T63" s="960"/>
      <c r="U63" s="960"/>
      <c r="V63" s="960"/>
      <c r="W63" s="960"/>
      <c r="X63" s="960"/>
      <c r="Y63" s="960"/>
      <c r="Z63" s="960"/>
      <c r="AA63" s="960"/>
      <c r="AB63" s="928"/>
      <c r="AC63" s="928"/>
      <c r="AD63" s="928"/>
      <c r="AE63" s="928"/>
      <c r="AF63" s="928"/>
      <c r="AG63" s="928"/>
      <c r="AH63" s="928"/>
      <c r="AI63" s="928"/>
      <c r="AJ63" s="928"/>
      <c r="AK63" s="928"/>
      <c r="AL63" s="928"/>
      <c r="AM63" s="928"/>
      <c r="AN63" s="928"/>
      <c r="AO63" s="928"/>
      <c r="AP63" s="928"/>
      <c r="AQ63" s="928"/>
      <c r="AR63" s="928"/>
      <c r="AS63" s="928"/>
    </row>
    <row r="64" spans="11:45">
      <c r="K64" s="957"/>
      <c r="L64" s="928"/>
      <c r="M64" s="928"/>
      <c r="N64" s="960"/>
      <c r="O64" s="960"/>
      <c r="P64" s="960"/>
      <c r="Q64" s="960"/>
      <c r="R64" s="960"/>
      <c r="S64" s="960"/>
      <c r="T64" s="960"/>
      <c r="U64" s="960"/>
      <c r="V64" s="960"/>
      <c r="W64" s="960"/>
      <c r="X64" s="960"/>
      <c r="Y64" s="960"/>
      <c r="Z64" s="960"/>
      <c r="AA64" s="960"/>
      <c r="AB64" s="928"/>
      <c r="AC64" s="928"/>
      <c r="AD64" s="928"/>
      <c r="AE64" s="928"/>
      <c r="AF64" s="928"/>
      <c r="AG64" s="928"/>
      <c r="AH64" s="928"/>
      <c r="AI64" s="928"/>
      <c r="AJ64" s="928"/>
      <c r="AK64" s="928"/>
      <c r="AL64" s="928"/>
      <c r="AM64" s="928"/>
      <c r="AN64" s="928"/>
      <c r="AO64" s="928"/>
      <c r="AP64" s="928"/>
      <c r="AQ64" s="928"/>
      <c r="AR64" s="928"/>
      <c r="AS64" s="928"/>
    </row>
    <row r="65" spans="11:45">
      <c r="K65" s="957"/>
      <c r="L65" s="928"/>
      <c r="M65" s="928"/>
      <c r="N65" s="960"/>
      <c r="O65" s="960"/>
      <c r="P65" s="960"/>
      <c r="Q65" s="960"/>
      <c r="R65" s="960"/>
      <c r="S65" s="960"/>
      <c r="T65" s="960"/>
      <c r="U65" s="960"/>
      <c r="V65" s="960"/>
      <c r="W65" s="960"/>
      <c r="X65" s="960"/>
      <c r="Y65" s="960"/>
      <c r="Z65" s="960"/>
      <c r="AA65" s="960"/>
      <c r="AB65" s="928"/>
      <c r="AC65" s="928"/>
      <c r="AD65" s="928"/>
      <c r="AE65" s="928"/>
      <c r="AF65" s="928"/>
      <c r="AG65" s="928"/>
      <c r="AH65" s="928"/>
      <c r="AI65" s="928"/>
      <c r="AJ65" s="928"/>
      <c r="AK65" s="928"/>
      <c r="AL65" s="928"/>
      <c r="AM65" s="928"/>
      <c r="AN65" s="928"/>
      <c r="AO65" s="928"/>
      <c r="AP65" s="928"/>
      <c r="AQ65" s="928"/>
      <c r="AR65" s="928"/>
      <c r="AS65" s="928"/>
    </row>
    <row r="66" spans="11:45">
      <c r="K66" s="957"/>
      <c r="L66" s="928"/>
      <c r="M66" s="928"/>
      <c r="N66" s="960"/>
      <c r="O66" s="960"/>
      <c r="P66" s="960"/>
      <c r="Q66" s="960"/>
      <c r="R66" s="960"/>
      <c r="S66" s="960"/>
      <c r="T66" s="960"/>
      <c r="U66" s="960"/>
      <c r="V66" s="960"/>
      <c r="W66" s="960"/>
      <c r="X66" s="960"/>
      <c r="Y66" s="960"/>
      <c r="Z66" s="960"/>
      <c r="AA66" s="960"/>
      <c r="AB66" s="928"/>
      <c r="AC66" s="928"/>
      <c r="AD66" s="928"/>
      <c r="AE66" s="928"/>
      <c r="AF66" s="928"/>
      <c r="AG66" s="928"/>
      <c r="AH66" s="928"/>
      <c r="AI66" s="928"/>
      <c r="AJ66" s="928"/>
      <c r="AK66" s="928"/>
      <c r="AL66" s="928"/>
      <c r="AM66" s="928"/>
      <c r="AN66" s="928"/>
      <c r="AO66" s="928"/>
      <c r="AP66" s="928"/>
      <c r="AQ66" s="928"/>
      <c r="AR66" s="928"/>
      <c r="AS66" s="928"/>
    </row>
    <row r="67" spans="11:45">
      <c r="K67" s="957"/>
      <c r="L67" s="928"/>
      <c r="M67" s="928"/>
      <c r="N67" s="960"/>
      <c r="O67" s="960"/>
      <c r="P67" s="960"/>
      <c r="Q67" s="960"/>
      <c r="R67" s="960"/>
      <c r="S67" s="960"/>
      <c r="T67" s="960"/>
      <c r="U67" s="960"/>
      <c r="V67" s="960"/>
      <c r="W67" s="960"/>
      <c r="X67" s="960"/>
      <c r="Y67" s="960"/>
      <c r="Z67" s="960"/>
      <c r="AA67" s="960"/>
      <c r="AB67" s="928"/>
      <c r="AC67" s="928"/>
      <c r="AD67" s="928"/>
      <c r="AE67" s="928"/>
      <c r="AF67" s="928"/>
      <c r="AG67" s="928"/>
      <c r="AH67" s="928"/>
      <c r="AI67" s="928"/>
      <c r="AJ67" s="928"/>
      <c r="AK67" s="928"/>
      <c r="AL67" s="928"/>
      <c r="AM67" s="928"/>
      <c r="AN67" s="928"/>
      <c r="AO67" s="928"/>
      <c r="AP67" s="928"/>
      <c r="AQ67" s="928"/>
      <c r="AR67" s="928"/>
      <c r="AS67" s="928"/>
    </row>
    <row r="68" spans="11:45">
      <c r="K68" s="957"/>
      <c r="L68" s="928"/>
      <c r="M68" s="928"/>
      <c r="N68" s="960"/>
      <c r="O68" s="960"/>
      <c r="P68" s="960"/>
      <c r="Q68" s="960"/>
      <c r="R68" s="960"/>
      <c r="S68" s="960"/>
      <c r="T68" s="960"/>
      <c r="U68" s="960"/>
      <c r="V68" s="960"/>
      <c r="W68" s="960"/>
      <c r="X68" s="960"/>
      <c r="Y68" s="960"/>
      <c r="Z68" s="960"/>
      <c r="AA68" s="960"/>
      <c r="AB68" s="928"/>
      <c r="AC68" s="928"/>
      <c r="AD68" s="928"/>
      <c r="AE68" s="928"/>
      <c r="AF68" s="928"/>
      <c r="AG68" s="928"/>
      <c r="AH68" s="928"/>
      <c r="AI68" s="928"/>
      <c r="AJ68" s="928"/>
      <c r="AK68" s="928"/>
      <c r="AL68" s="928"/>
      <c r="AM68" s="928"/>
      <c r="AN68" s="928"/>
      <c r="AO68" s="928"/>
      <c r="AP68" s="928"/>
      <c r="AQ68" s="928"/>
      <c r="AR68" s="928"/>
      <c r="AS68" s="928"/>
    </row>
    <row r="69" spans="11:45">
      <c r="K69" s="957"/>
      <c r="L69" s="928"/>
      <c r="M69" s="928"/>
      <c r="N69" s="960"/>
      <c r="O69" s="960"/>
      <c r="P69" s="960"/>
      <c r="Q69" s="960"/>
      <c r="R69" s="960"/>
      <c r="S69" s="960"/>
      <c r="T69" s="960"/>
      <c r="U69" s="960"/>
      <c r="V69" s="960"/>
      <c r="W69" s="960"/>
      <c r="X69" s="960"/>
      <c r="Y69" s="960"/>
      <c r="Z69" s="960"/>
      <c r="AA69" s="960"/>
      <c r="AB69" s="928"/>
      <c r="AC69" s="928"/>
      <c r="AD69" s="928"/>
      <c r="AE69" s="928"/>
      <c r="AF69" s="928"/>
      <c r="AG69" s="928"/>
      <c r="AH69" s="928"/>
      <c r="AI69" s="928"/>
      <c r="AJ69" s="928"/>
      <c r="AK69" s="928"/>
      <c r="AL69" s="928"/>
      <c r="AM69" s="928"/>
      <c r="AN69" s="928"/>
      <c r="AO69" s="928"/>
      <c r="AP69" s="928"/>
      <c r="AQ69" s="928"/>
      <c r="AR69" s="928"/>
      <c r="AS69" s="928"/>
    </row>
    <row r="70" spans="11:45">
      <c r="K70" s="957"/>
      <c r="L70" s="928"/>
      <c r="M70" s="928"/>
      <c r="N70" s="960"/>
      <c r="O70" s="960"/>
      <c r="P70" s="960"/>
      <c r="Q70" s="960"/>
      <c r="R70" s="960"/>
      <c r="S70" s="960"/>
      <c r="T70" s="960"/>
      <c r="U70" s="960"/>
      <c r="V70" s="960"/>
      <c r="W70" s="960"/>
      <c r="X70" s="960"/>
      <c r="Y70" s="960"/>
      <c r="Z70" s="960"/>
      <c r="AA70" s="960"/>
      <c r="AB70" s="928"/>
      <c r="AC70" s="928"/>
      <c r="AD70" s="928"/>
      <c r="AE70" s="928"/>
      <c r="AF70" s="928"/>
      <c r="AG70" s="928"/>
      <c r="AH70" s="928"/>
      <c r="AI70" s="928"/>
      <c r="AJ70" s="928"/>
      <c r="AK70" s="928"/>
      <c r="AL70" s="928"/>
      <c r="AM70" s="928"/>
      <c r="AN70" s="928"/>
      <c r="AO70" s="928"/>
      <c r="AP70" s="928"/>
      <c r="AQ70" s="928"/>
      <c r="AR70" s="928"/>
      <c r="AS70" s="928"/>
    </row>
    <row r="71" spans="11:45">
      <c r="K71" s="957"/>
      <c r="L71" s="928"/>
      <c r="M71" s="928"/>
      <c r="N71" s="960"/>
      <c r="O71" s="960"/>
      <c r="P71" s="960"/>
      <c r="Q71" s="960"/>
      <c r="R71" s="960"/>
      <c r="S71" s="960"/>
      <c r="T71" s="960"/>
      <c r="U71" s="960"/>
      <c r="V71" s="960"/>
      <c r="W71" s="960"/>
      <c r="X71" s="960"/>
      <c r="Y71" s="960"/>
      <c r="Z71" s="960"/>
      <c r="AA71" s="960"/>
      <c r="AB71" s="928"/>
      <c r="AC71" s="928"/>
      <c r="AD71" s="928"/>
      <c r="AE71" s="928"/>
      <c r="AF71" s="928"/>
      <c r="AG71" s="928"/>
      <c r="AH71" s="928"/>
      <c r="AI71" s="928"/>
      <c r="AJ71" s="928"/>
      <c r="AK71" s="928"/>
      <c r="AL71" s="928"/>
      <c r="AM71" s="928"/>
      <c r="AN71" s="928"/>
      <c r="AO71" s="928"/>
      <c r="AP71" s="928"/>
      <c r="AQ71" s="928"/>
      <c r="AR71" s="928"/>
      <c r="AS71" s="928"/>
    </row>
    <row r="72" spans="11:45">
      <c r="K72" s="957"/>
      <c r="L72" s="928"/>
      <c r="M72" s="928"/>
      <c r="N72" s="960"/>
      <c r="O72" s="960"/>
      <c r="P72" s="960"/>
      <c r="Q72" s="960"/>
      <c r="R72" s="960"/>
      <c r="S72" s="960"/>
      <c r="T72" s="960"/>
      <c r="U72" s="960"/>
      <c r="V72" s="960"/>
      <c r="W72" s="960"/>
      <c r="X72" s="960"/>
      <c r="Y72" s="960"/>
      <c r="Z72" s="960"/>
      <c r="AA72" s="960"/>
      <c r="AB72" s="928"/>
      <c r="AC72" s="928"/>
      <c r="AD72" s="928"/>
      <c r="AE72" s="928"/>
      <c r="AF72" s="928"/>
      <c r="AG72" s="928"/>
      <c r="AH72" s="928"/>
      <c r="AI72" s="928"/>
      <c r="AJ72" s="928"/>
      <c r="AK72" s="928"/>
      <c r="AL72" s="928"/>
      <c r="AM72" s="928"/>
      <c r="AN72" s="928"/>
      <c r="AO72" s="928"/>
      <c r="AP72" s="928"/>
      <c r="AQ72" s="928"/>
      <c r="AR72" s="928"/>
      <c r="AS72" s="928"/>
    </row>
    <row r="73" spans="11:45">
      <c r="K73" s="957"/>
      <c r="L73" s="928"/>
      <c r="M73" s="928"/>
      <c r="N73" s="960"/>
      <c r="O73" s="960"/>
      <c r="P73" s="960"/>
      <c r="Q73" s="960"/>
      <c r="R73" s="960"/>
      <c r="S73" s="960"/>
      <c r="T73" s="960"/>
      <c r="U73" s="960"/>
      <c r="V73" s="960"/>
      <c r="W73" s="960"/>
      <c r="X73" s="960"/>
      <c r="Y73" s="960"/>
      <c r="Z73" s="960"/>
      <c r="AA73" s="960"/>
      <c r="AB73" s="928"/>
      <c r="AC73" s="928"/>
      <c r="AD73" s="928"/>
      <c r="AE73" s="928"/>
      <c r="AF73" s="928"/>
      <c r="AG73" s="928"/>
      <c r="AH73" s="928"/>
      <c r="AI73" s="928"/>
      <c r="AJ73" s="928"/>
      <c r="AK73" s="928"/>
      <c r="AL73" s="928"/>
      <c r="AM73" s="928"/>
      <c r="AN73" s="928"/>
      <c r="AO73" s="928"/>
      <c r="AP73" s="928"/>
      <c r="AQ73" s="928"/>
      <c r="AR73" s="928"/>
      <c r="AS73" s="928"/>
    </row>
    <row r="74" spans="11:45">
      <c r="K74" s="957"/>
      <c r="L74" s="928"/>
      <c r="M74" s="928"/>
      <c r="N74" s="960"/>
      <c r="O74" s="960"/>
      <c r="P74" s="960"/>
      <c r="Q74" s="960"/>
      <c r="R74" s="960"/>
      <c r="S74" s="960"/>
      <c r="T74" s="960"/>
      <c r="U74" s="960"/>
      <c r="V74" s="960"/>
      <c r="W74" s="960"/>
      <c r="X74" s="960"/>
      <c r="Y74" s="960"/>
      <c r="Z74" s="960"/>
      <c r="AA74" s="960"/>
      <c r="AB74" s="928"/>
      <c r="AC74" s="928"/>
      <c r="AD74" s="928"/>
      <c r="AE74" s="928"/>
      <c r="AF74" s="928"/>
      <c r="AG74" s="928"/>
      <c r="AH74" s="928"/>
      <c r="AI74" s="928"/>
      <c r="AJ74" s="928"/>
      <c r="AK74" s="928"/>
      <c r="AL74" s="928"/>
      <c r="AM74" s="928"/>
      <c r="AN74" s="928"/>
      <c r="AO74" s="928"/>
      <c r="AP74" s="928"/>
      <c r="AQ74" s="928"/>
      <c r="AR74" s="928"/>
      <c r="AS74" s="928"/>
    </row>
    <row r="75" spans="11:45">
      <c r="K75" s="957"/>
      <c r="L75" s="928"/>
      <c r="M75" s="928"/>
      <c r="N75" s="960"/>
      <c r="O75" s="960"/>
      <c r="P75" s="960"/>
      <c r="Q75" s="960"/>
      <c r="R75" s="960"/>
      <c r="S75" s="960"/>
      <c r="T75" s="960"/>
      <c r="U75" s="960"/>
      <c r="V75" s="960"/>
      <c r="W75" s="960"/>
      <c r="X75" s="960"/>
      <c r="Y75" s="960"/>
      <c r="Z75" s="960"/>
      <c r="AA75" s="960"/>
      <c r="AB75" s="928"/>
      <c r="AC75" s="928"/>
      <c r="AD75" s="928"/>
      <c r="AE75" s="928"/>
      <c r="AF75" s="928"/>
      <c r="AG75" s="928"/>
      <c r="AH75" s="928"/>
      <c r="AI75" s="928"/>
      <c r="AJ75" s="928"/>
      <c r="AK75" s="928"/>
      <c r="AL75" s="928"/>
      <c r="AM75" s="928"/>
      <c r="AN75" s="928"/>
      <c r="AO75" s="928"/>
      <c r="AP75" s="928"/>
      <c r="AQ75" s="928"/>
      <c r="AR75" s="928"/>
      <c r="AS75" s="928"/>
    </row>
    <row r="76" spans="11:45">
      <c r="K76" s="957"/>
      <c r="L76" s="928"/>
      <c r="M76" s="928"/>
      <c r="N76" s="960"/>
      <c r="O76" s="960"/>
      <c r="P76" s="960"/>
      <c r="Q76" s="960"/>
      <c r="R76" s="960"/>
      <c r="S76" s="960"/>
      <c r="T76" s="960"/>
      <c r="U76" s="960"/>
      <c r="V76" s="960"/>
      <c r="W76" s="960"/>
      <c r="X76" s="960"/>
      <c r="Y76" s="960"/>
      <c r="Z76" s="960"/>
      <c r="AA76" s="960"/>
      <c r="AB76" s="928"/>
      <c r="AC76" s="928"/>
      <c r="AD76" s="928"/>
      <c r="AE76" s="928"/>
      <c r="AF76" s="928"/>
      <c r="AG76" s="928"/>
      <c r="AH76" s="928"/>
      <c r="AI76" s="928"/>
      <c r="AJ76" s="928"/>
      <c r="AK76" s="928"/>
      <c r="AL76" s="928"/>
      <c r="AM76" s="928"/>
      <c r="AN76" s="928"/>
      <c r="AO76" s="928"/>
      <c r="AP76" s="928"/>
      <c r="AQ76" s="928"/>
      <c r="AR76" s="928"/>
      <c r="AS76" s="928"/>
    </row>
    <row r="77" spans="11:45">
      <c r="K77" s="957"/>
      <c r="L77" s="928"/>
      <c r="M77" s="928"/>
      <c r="N77" s="960"/>
      <c r="O77" s="960"/>
      <c r="P77" s="960"/>
      <c r="Q77" s="960"/>
      <c r="R77" s="960"/>
      <c r="S77" s="960"/>
      <c r="T77" s="960"/>
      <c r="U77" s="960"/>
      <c r="V77" s="960"/>
      <c r="W77" s="960"/>
      <c r="X77" s="960"/>
      <c r="Y77" s="960"/>
      <c r="Z77" s="960"/>
      <c r="AA77" s="960"/>
      <c r="AB77" s="928"/>
      <c r="AC77" s="928"/>
      <c r="AD77" s="928"/>
      <c r="AE77" s="928"/>
      <c r="AF77" s="928"/>
      <c r="AG77" s="928"/>
      <c r="AH77" s="928"/>
      <c r="AI77" s="928"/>
      <c r="AJ77" s="928"/>
      <c r="AK77" s="928"/>
      <c r="AL77" s="928"/>
      <c r="AM77" s="928"/>
      <c r="AN77" s="928"/>
      <c r="AO77" s="928"/>
      <c r="AP77" s="928"/>
      <c r="AQ77" s="928"/>
      <c r="AR77" s="928"/>
      <c r="AS77" s="928"/>
    </row>
    <row r="78" spans="11:45">
      <c r="K78" s="957"/>
      <c r="L78" s="928"/>
      <c r="M78" s="928"/>
      <c r="N78" s="960"/>
      <c r="O78" s="960"/>
      <c r="P78" s="960"/>
      <c r="Q78" s="960"/>
      <c r="R78" s="960"/>
      <c r="S78" s="960"/>
      <c r="T78" s="960"/>
      <c r="U78" s="960"/>
      <c r="V78" s="960"/>
      <c r="W78" s="960"/>
      <c r="X78" s="960"/>
      <c r="Y78" s="960"/>
      <c r="Z78" s="960"/>
      <c r="AA78" s="960"/>
      <c r="AB78" s="928"/>
      <c r="AC78" s="928"/>
      <c r="AD78" s="928"/>
      <c r="AE78" s="928"/>
      <c r="AF78" s="928"/>
      <c r="AG78" s="928"/>
      <c r="AH78" s="928"/>
      <c r="AI78" s="928"/>
      <c r="AJ78" s="928"/>
      <c r="AK78" s="928"/>
      <c r="AL78" s="928"/>
      <c r="AM78" s="928"/>
      <c r="AN78" s="928"/>
      <c r="AO78" s="928"/>
      <c r="AP78" s="928"/>
      <c r="AQ78" s="928"/>
      <c r="AR78" s="928"/>
      <c r="AS78" s="928"/>
    </row>
    <row r="79" spans="11:45">
      <c r="K79" s="957"/>
      <c r="L79" s="928"/>
      <c r="M79" s="928"/>
      <c r="N79" s="960"/>
      <c r="O79" s="960"/>
      <c r="P79" s="960"/>
      <c r="Q79" s="960"/>
      <c r="R79" s="960"/>
      <c r="S79" s="960"/>
      <c r="T79" s="960"/>
      <c r="U79" s="960"/>
      <c r="V79" s="960"/>
      <c r="W79" s="960"/>
      <c r="X79" s="960"/>
      <c r="Y79" s="960"/>
      <c r="Z79" s="960"/>
      <c r="AA79" s="960"/>
      <c r="AB79" s="928"/>
      <c r="AC79" s="928"/>
      <c r="AD79" s="928"/>
      <c r="AE79" s="928"/>
      <c r="AF79" s="928"/>
      <c r="AG79" s="928"/>
      <c r="AH79" s="928"/>
      <c r="AI79" s="928"/>
      <c r="AJ79" s="928"/>
      <c r="AK79" s="928"/>
      <c r="AL79" s="928"/>
      <c r="AM79" s="928"/>
      <c r="AN79" s="928"/>
      <c r="AO79" s="928"/>
      <c r="AP79" s="928"/>
      <c r="AQ79" s="928"/>
      <c r="AR79" s="928"/>
      <c r="AS79" s="928"/>
    </row>
    <row r="80" spans="11:45">
      <c r="K80" s="957"/>
      <c r="L80" s="928"/>
      <c r="M80" s="928"/>
      <c r="N80" s="960"/>
      <c r="O80" s="960"/>
      <c r="P80" s="960"/>
      <c r="Q80" s="960"/>
      <c r="R80" s="960"/>
      <c r="S80" s="960"/>
      <c r="T80" s="960"/>
      <c r="U80" s="960"/>
      <c r="V80" s="960"/>
      <c r="W80" s="960"/>
      <c r="X80" s="960"/>
      <c r="Y80" s="960"/>
      <c r="Z80" s="960"/>
      <c r="AA80" s="960"/>
      <c r="AB80" s="928"/>
      <c r="AC80" s="928"/>
      <c r="AD80" s="928"/>
      <c r="AE80" s="928"/>
      <c r="AF80" s="928"/>
      <c r="AG80" s="928"/>
      <c r="AH80" s="928"/>
      <c r="AI80" s="928"/>
      <c r="AJ80" s="928"/>
      <c r="AK80" s="928"/>
      <c r="AL80" s="928"/>
      <c r="AM80" s="928"/>
      <c r="AN80" s="928"/>
      <c r="AO80" s="928"/>
      <c r="AP80" s="928"/>
      <c r="AQ80" s="928"/>
      <c r="AR80" s="928"/>
      <c r="AS80" s="928"/>
    </row>
    <row r="81" spans="11:45">
      <c r="K81" s="957"/>
      <c r="L81" s="928"/>
      <c r="M81" s="928"/>
      <c r="N81" s="960"/>
      <c r="O81" s="960"/>
      <c r="P81" s="960"/>
      <c r="Q81" s="960"/>
      <c r="R81" s="960"/>
      <c r="S81" s="960"/>
      <c r="T81" s="960"/>
      <c r="U81" s="960"/>
      <c r="V81" s="960"/>
      <c r="W81" s="960"/>
      <c r="X81" s="960"/>
      <c r="Y81" s="960"/>
      <c r="Z81" s="960"/>
      <c r="AA81" s="960"/>
      <c r="AB81" s="928"/>
      <c r="AC81" s="928"/>
      <c r="AD81" s="928"/>
      <c r="AE81" s="928"/>
      <c r="AF81" s="928"/>
      <c r="AG81" s="928"/>
      <c r="AH81" s="928"/>
      <c r="AI81" s="928"/>
      <c r="AJ81" s="928"/>
      <c r="AK81" s="928"/>
      <c r="AL81" s="928"/>
      <c r="AM81" s="928"/>
      <c r="AN81" s="928"/>
      <c r="AO81" s="928"/>
      <c r="AP81" s="928"/>
      <c r="AQ81" s="928"/>
      <c r="AR81" s="928"/>
      <c r="AS81" s="928"/>
    </row>
    <row r="82" spans="11:45">
      <c r="K82" s="957"/>
      <c r="L82" s="928"/>
      <c r="M82" s="928"/>
      <c r="N82" s="960"/>
      <c r="O82" s="960"/>
      <c r="P82" s="960"/>
      <c r="Q82" s="960"/>
      <c r="R82" s="960"/>
      <c r="S82" s="960"/>
      <c r="T82" s="960"/>
      <c r="U82" s="960"/>
      <c r="V82" s="960"/>
      <c r="W82" s="960"/>
      <c r="X82" s="960"/>
      <c r="Y82" s="960"/>
      <c r="Z82" s="960"/>
      <c r="AA82" s="960"/>
      <c r="AB82" s="928"/>
      <c r="AC82" s="928"/>
      <c r="AD82" s="928"/>
      <c r="AE82" s="928"/>
      <c r="AF82" s="928"/>
      <c r="AG82" s="928"/>
      <c r="AH82" s="928"/>
      <c r="AI82" s="928"/>
      <c r="AJ82" s="928"/>
      <c r="AK82" s="928"/>
      <c r="AL82" s="928"/>
      <c r="AM82" s="928"/>
      <c r="AN82" s="928"/>
      <c r="AO82" s="928"/>
      <c r="AP82" s="928"/>
      <c r="AQ82" s="928"/>
      <c r="AR82" s="928"/>
      <c r="AS82" s="928"/>
    </row>
    <row r="83" spans="11:45">
      <c r="K83" s="957"/>
      <c r="L83" s="928"/>
      <c r="M83" s="928"/>
      <c r="N83" s="960"/>
      <c r="O83" s="960"/>
      <c r="P83" s="960"/>
      <c r="Q83" s="960"/>
      <c r="R83" s="960"/>
      <c r="S83" s="960"/>
      <c r="T83" s="960"/>
      <c r="U83" s="960"/>
      <c r="V83" s="960"/>
      <c r="W83" s="960"/>
      <c r="X83" s="960"/>
      <c r="Y83" s="960"/>
      <c r="Z83" s="960"/>
      <c r="AA83" s="960"/>
      <c r="AB83" s="928"/>
      <c r="AC83" s="928"/>
      <c r="AD83" s="928"/>
      <c r="AE83" s="928"/>
      <c r="AF83" s="928"/>
      <c r="AG83" s="928"/>
      <c r="AH83" s="928"/>
      <c r="AI83" s="928"/>
      <c r="AJ83" s="928"/>
      <c r="AK83" s="928"/>
      <c r="AL83" s="928"/>
      <c r="AM83" s="928"/>
      <c r="AN83" s="928"/>
      <c r="AO83" s="928"/>
      <c r="AP83" s="928"/>
      <c r="AQ83" s="928"/>
      <c r="AR83" s="928"/>
      <c r="AS83" s="928"/>
    </row>
    <row r="84" spans="11:45">
      <c r="K84" s="957"/>
      <c r="L84" s="928"/>
      <c r="M84" s="928"/>
      <c r="N84" s="960"/>
      <c r="O84" s="960"/>
      <c r="P84" s="960"/>
      <c r="Q84" s="960"/>
      <c r="R84" s="960"/>
      <c r="S84" s="960"/>
      <c r="T84" s="960"/>
      <c r="U84" s="960"/>
      <c r="V84" s="960"/>
      <c r="W84" s="960"/>
      <c r="X84" s="960"/>
      <c r="Y84" s="960"/>
      <c r="Z84" s="960"/>
      <c r="AA84" s="960"/>
      <c r="AB84" s="928"/>
      <c r="AC84" s="928"/>
      <c r="AD84" s="928"/>
      <c r="AE84" s="928"/>
      <c r="AF84" s="928"/>
      <c r="AG84" s="928"/>
      <c r="AH84" s="928"/>
      <c r="AI84" s="928"/>
      <c r="AJ84" s="928"/>
      <c r="AK84" s="928"/>
      <c r="AL84" s="928"/>
      <c r="AM84" s="928"/>
      <c r="AN84" s="928"/>
      <c r="AO84" s="928"/>
      <c r="AP84" s="928"/>
      <c r="AQ84" s="928"/>
      <c r="AR84" s="928"/>
      <c r="AS84" s="928"/>
    </row>
    <row r="85" spans="11:45">
      <c r="K85" s="957"/>
      <c r="L85" s="928"/>
      <c r="M85" s="928"/>
      <c r="N85" s="960"/>
      <c r="O85" s="960"/>
      <c r="P85" s="960"/>
      <c r="Q85" s="960"/>
      <c r="R85" s="960"/>
      <c r="S85" s="960"/>
      <c r="T85" s="960"/>
      <c r="U85" s="960"/>
      <c r="V85" s="960"/>
      <c r="W85" s="960"/>
      <c r="X85" s="960"/>
      <c r="Y85" s="960"/>
      <c r="Z85" s="960"/>
      <c r="AA85" s="960"/>
      <c r="AB85" s="928"/>
      <c r="AC85" s="928"/>
      <c r="AD85" s="928"/>
      <c r="AE85" s="928"/>
      <c r="AF85" s="928"/>
      <c r="AG85" s="928"/>
      <c r="AH85" s="928"/>
      <c r="AI85" s="928"/>
      <c r="AJ85" s="928"/>
      <c r="AK85" s="928"/>
      <c r="AL85" s="928"/>
      <c r="AM85" s="928"/>
      <c r="AN85" s="928"/>
      <c r="AO85" s="928"/>
      <c r="AP85" s="928"/>
      <c r="AQ85" s="928"/>
      <c r="AR85" s="928"/>
      <c r="AS85" s="928"/>
    </row>
    <row r="86" spans="11:45">
      <c r="K86" s="957"/>
      <c r="L86" s="928"/>
      <c r="M86" s="928"/>
      <c r="N86" s="960"/>
      <c r="O86" s="960"/>
      <c r="P86" s="960"/>
      <c r="Q86" s="960"/>
      <c r="R86" s="960"/>
      <c r="S86" s="960"/>
      <c r="T86" s="960"/>
      <c r="U86" s="960"/>
      <c r="V86" s="960"/>
      <c r="W86" s="960"/>
      <c r="X86" s="960"/>
      <c r="Y86" s="960"/>
      <c r="Z86" s="960"/>
      <c r="AA86" s="960"/>
      <c r="AB86" s="928"/>
      <c r="AC86" s="928"/>
      <c r="AD86" s="928"/>
      <c r="AE86" s="928"/>
      <c r="AF86" s="928"/>
      <c r="AG86" s="928"/>
      <c r="AH86" s="928"/>
      <c r="AI86" s="928"/>
      <c r="AJ86" s="928"/>
      <c r="AK86" s="928"/>
      <c r="AL86" s="928"/>
      <c r="AM86" s="928"/>
      <c r="AN86" s="928"/>
      <c r="AO86" s="928"/>
      <c r="AP86" s="928"/>
      <c r="AQ86" s="928"/>
      <c r="AR86" s="928"/>
      <c r="AS86" s="928"/>
    </row>
    <row r="87" spans="11:45">
      <c r="K87" s="957"/>
      <c r="L87" s="928"/>
      <c r="M87" s="928"/>
      <c r="N87" s="960"/>
      <c r="O87" s="960"/>
      <c r="P87" s="960"/>
      <c r="Q87" s="960"/>
      <c r="R87" s="960"/>
      <c r="S87" s="960"/>
      <c r="T87" s="960"/>
      <c r="U87" s="960"/>
      <c r="V87" s="960"/>
      <c r="W87" s="960"/>
      <c r="X87" s="960"/>
      <c r="Y87" s="960"/>
      <c r="Z87" s="960"/>
      <c r="AA87" s="960"/>
      <c r="AB87" s="928"/>
      <c r="AC87" s="928"/>
      <c r="AD87" s="928"/>
      <c r="AE87" s="928"/>
      <c r="AF87" s="928"/>
      <c r="AG87" s="928"/>
      <c r="AH87" s="928"/>
      <c r="AI87" s="928"/>
      <c r="AJ87" s="928"/>
      <c r="AK87" s="928"/>
      <c r="AL87" s="928"/>
      <c r="AM87" s="928"/>
      <c r="AN87" s="928"/>
      <c r="AO87" s="928"/>
      <c r="AP87" s="928"/>
      <c r="AQ87" s="928"/>
      <c r="AR87" s="928"/>
      <c r="AS87" s="928"/>
    </row>
    <row r="88" spans="11:45">
      <c r="K88" s="957"/>
      <c r="L88" s="928"/>
      <c r="M88" s="928"/>
      <c r="N88" s="960"/>
      <c r="O88" s="960"/>
      <c r="P88" s="960"/>
      <c r="Q88" s="960"/>
      <c r="R88" s="960"/>
      <c r="S88" s="960"/>
      <c r="T88" s="960"/>
      <c r="U88" s="960"/>
      <c r="V88" s="960"/>
      <c r="W88" s="960"/>
      <c r="X88" s="960"/>
      <c r="Y88" s="960"/>
      <c r="Z88" s="960"/>
      <c r="AA88" s="960"/>
      <c r="AB88" s="928"/>
      <c r="AC88" s="928"/>
      <c r="AD88" s="928"/>
      <c r="AE88" s="928"/>
      <c r="AF88" s="928"/>
      <c r="AG88" s="928"/>
      <c r="AH88" s="928"/>
      <c r="AI88" s="928"/>
      <c r="AJ88" s="928"/>
      <c r="AK88" s="928"/>
      <c r="AL88" s="928"/>
      <c r="AM88" s="928"/>
      <c r="AN88" s="928"/>
      <c r="AO88" s="928"/>
      <c r="AP88" s="928"/>
      <c r="AQ88" s="928"/>
      <c r="AR88" s="928"/>
      <c r="AS88" s="928"/>
    </row>
    <row r="89" spans="11:45">
      <c r="K89" s="957"/>
      <c r="L89" s="928"/>
      <c r="M89" s="928"/>
      <c r="N89" s="960"/>
      <c r="O89" s="960"/>
      <c r="P89" s="960"/>
      <c r="Q89" s="960"/>
      <c r="R89" s="960"/>
      <c r="S89" s="960"/>
      <c r="T89" s="960"/>
      <c r="U89" s="960"/>
      <c r="V89" s="960"/>
      <c r="W89" s="960"/>
      <c r="X89" s="960"/>
      <c r="Y89" s="960"/>
      <c r="Z89" s="960"/>
      <c r="AA89" s="960"/>
      <c r="AB89" s="928"/>
      <c r="AC89" s="928"/>
      <c r="AD89" s="928"/>
      <c r="AE89" s="928"/>
      <c r="AF89" s="928"/>
      <c r="AG89" s="928"/>
      <c r="AH89" s="928"/>
      <c r="AI89" s="928"/>
      <c r="AJ89" s="928"/>
      <c r="AK89" s="928"/>
      <c r="AL89" s="928"/>
      <c r="AM89" s="928"/>
      <c r="AN89" s="928"/>
      <c r="AO89" s="928"/>
      <c r="AP89" s="928"/>
      <c r="AQ89" s="928"/>
      <c r="AR89" s="928"/>
      <c r="AS89" s="928"/>
    </row>
    <row r="90" spans="11:45">
      <c r="K90" s="957"/>
      <c r="L90" s="928"/>
      <c r="M90" s="928"/>
      <c r="N90" s="960"/>
      <c r="O90" s="960"/>
      <c r="P90" s="960"/>
      <c r="Q90" s="960"/>
      <c r="R90" s="960"/>
      <c r="S90" s="960"/>
      <c r="T90" s="960"/>
      <c r="U90" s="960"/>
      <c r="V90" s="960"/>
      <c r="W90" s="960"/>
      <c r="X90" s="960"/>
      <c r="Y90" s="960"/>
      <c r="Z90" s="960"/>
      <c r="AA90" s="960"/>
      <c r="AB90" s="928"/>
      <c r="AC90" s="928"/>
      <c r="AD90" s="928"/>
      <c r="AE90" s="928"/>
      <c r="AF90" s="928"/>
      <c r="AG90" s="928"/>
      <c r="AH90" s="928"/>
      <c r="AI90" s="928"/>
      <c r="AJ90" s="928"/>
      <c r="AK90" s="928"/>
      <c r="AL90" s="928"/>
      <c r="AM90" s="928"/>
      <c r="AN90" s="928"/>
      <c r="AO90" s="928"/>
      <c r="AP90" s="928"/>
      <c r="AQ90" s="928"/>
      <c r="AR90" s="928"/>
      <c r="AS90" s="928"/>
    </row>
    <row r="91" spans="11:45">
      <c r="K91" s="957"/>
      <c r="L91" s="928"/>
      <c r="M91" s="928"/>
      <c r="N91" s="960"/>
      <c r="O91" s="960"/>
      <c r="P91" s="960"/>
      <c r="Q91" s="960"/>
      <c r="R91" s="960"/>
      <c r="S91" s="960"/>
      <c r="T91" s="960"/>
      <c r="U91" s="960"/>
      <c r="V91" s="960"/>
      <c r="W91" s="960"/>
      <c r="X91" s="960"/>
      <c r="Y91" s="960"/>
      <c r="Z91" s="960"/>
      <c r="AA91" s="960"/>
      <c r="AB91" s="928"/>
      <c r="AC91" s="928"/>
      <c r="AD91" s="928"/>
      <c r="AE91" s="928"/>
      <c r="AF91" s="928"/>
      <c r="AG91" s="928"/>
      <c r="AH91" s="928"/>
      <c r="AI91" s="928"/>
      <c r="AJ91" s="928"/>
      <c r="AK91" s="928"/>
      <c r="AL91" s="928"/>
      <c r="AM91" s="928"/>
      <c r="AN91" s="928"/>
      <c r="AO91" s="928"/>
      <c r="AP91" s="928"/>
      <c r="AQ91" s="928"/>
      <c r="AR91" s="928"/>
      <c r="AS91" s="928"/>
    </row>
    <row r="92" spans="11:45">
      <c r="K92" s="957"/>
      <c r="L92" s="928"/>
      <c r="M92" s="928"/>
      <c r="N92" s="960"/>
      <c r="O92" s="960"/>
      <c r="P92" s="960"/>
      <c r="Q92" s="960"/>
      <c r="R92" s="960"/>
      <c r="S92" s="960"/>
      <c r="T92" s="960"/>
      <c r="U92" s="960"/>
      <c r="V92" s="960"/>
      <c r="W92" s="960"/>
      <c r="X92" s="960"/>
      <c r="Y92" s="960"/>
      <c r="Z92" s="960"/>
      <c r="AA92" s="960"/>
      <c r="AB92" s="928"/>
      <c r="AC92" s="928"/>
      <c r="AD92" s="928"/>
      <c r="AE92" s="928"/>
      <c r="AF92" s="928"/>
      <c r="AG92" s="928"/>
      <c r="AH92" s="928"/>
      <c r="AI92" s="928"/>
      <c r="AJ92" s="928"/>
      <c r="AK92" s="928"/>
      <c r="AL92" s="928"/>
      <c r="AM92" s="928"/>
      <c r="AN92" s="928"/>
      <c r="AO92" s="928"/>
      <c r="AP92" s="928"/>
      <c r="AQ92" s="928"/>
      <c r="AR92" s="928"/>
      <c r="AS92" s="928"/>
    </row>
    <row r="93" spans="11:45">
      <c r="K93" s="957"/>
      <c r="L93" s="928"/>
      <c r="M93" s="928"/>
      <c r="N93" s="960"/>
      <c r="O93" s="960"/>
      <c r="P93" s="960"/>
      <c r="Q93" s="960"/>
      <c r="R93" s="960"/>
      <c r="S93" s="960"/>
      <c r="T93" s="960"/>
      <c r="U93" s="960"/>
      <c r="V93" s="960"/>
      <c r="W93" s="960"/>
      <c r="X93" s="960"/>
      <c r="Y93" s="960"/>
      <c r="Z93" s="960"/>
      <c r="AA93" s="960"/>
      <c r="AB93" s="928"/>
      <c r="AC93" s="928"/>
      <c r="AD93" s="928"/>
      <c r="AE93" s="928"/>
      <c r="AF93" s="928"/>
      <c r="AG93" s="928"/>
      <c r="AH93" s="928"/>
      <c r="AI93" s="928"/>
      <c r="AJ93" s="928"/>
      <c r="AK93" s="928"/>
      <c r="AL93" s="928"/>
      <c r="AM93" s="928"/>
      <c r="AN93" s="928"/>
      <c r="AO93" s="928"/>
      <c r="AP93" s="928"/>
      <c r="AQ93" s="928"/>
      <c r="AR93" s="928"/>
      <c r="AS93" s="928"/>
    </row>
    <row r="94" spans="11:45">
      <c r="K94" s="957"/>
      <c r="L94" s="928"/>
      <c r="M94" s="928"/>
      <c r="N94" s="960"/>
      <c r="O94" s="960"/>
      <c r="P94" s="960"/>
      <c r="Q94" s="960"/>
      <c r="R94" s="960"/>
      <c r="S94" s="960"/>
      <c r="T94" s="960"/>
      <c r="U94" s="960"/>
      <c r="V94" s="960"/>
      <c r="W94" s="960"/>
      <c r="X94" s="960"/>
      <c r="Y94" s="960"/>
      <c r="Z94" s="960"/>
      <c r="AA94" s="960"/>
      <c r="AB94" s="928"/>
      <c r="AC94" s="928"/>
      <c r="AD94" s="928"/>
      <c r="AE94" s="928"/>
      <c r="AF94" s="928"/>
      <c r="AG94" s="928"/>
      <c r="AH94" s="928"/>
      <c r="AI94" s="928"/>
      <c r="AJ94" s="928"/>
      <c r="AK94" s="928"/>
      <c r="AL94" s="928"/>
      <c r="AM94" s="928"/>
      <c r="AN94" s="928"/>
      <c r="AO94" s="928"/>
      <c r="AP94" s="928"/>
      <c r="AQ94" s="928"/>
      <c r="AR94" s="928"/>
      <c r="AS94" s="928"/>
    </row>
    <row r="95" spans="11:45">
      <c r="K95" s="957"/>
      <c r="L95" s="928"/>
      <c r="M95" s="928"/>
      <c r="N95" s="960"/>
      <c r="O95" s="960"/>
      <c r="P95" s="960"/>
      <c r="Q95" s="960"/>
      <c r="R95" s="960"/>
      <c r="S95" s="960"/>
      <c r="T95" s="960"/>
      <c r="U95" s="960"/>
      <c r="V95" s="960"/>
      <c r="W95" s="960"/>
      <c r="X95" s="960"/>
      <c r="Y95" s="960"/>
      <c r="Z95" s="960"/>
      <c r="AA95" s="960"/>
      <c r="AB95" s="928"/>
      <c r="AC95" s="928"/>
      <c r="AD95" s="928"/>
      <c r="AE95" s="928"/>
      <c r="AF95" s="928"/>
      <c r="AG95" s="928"/>
      <c r="AH95" s="928"/>
      <c r="AI95" s="928"/>
      <c r="AJ95" s="928"/>
      <c r="AK95" s="928"/>
      <c r="AL95" s="928"/>
      <c r="AM95" s="928"/>
      <c r="AN95" s="928"/>
      <c r="AO95" s="928"/>
      <c r="AP95" s="928"/>
      <c r="AQ95" s="928"/>
      <c r="AR95" s="928"/>
      <c r="AS95" s="928"/>
    </row>
    <row r="96" spans="11:45">
      <c r="K96" s="957"/>
      <c r="L96" s="928"/>
      <c r="M96" s="928"/>
      <c r="N96" s="960"/>
      <c r="O96" s="960"/>
      <c r="P96" s="960"/>
      <c r="Q96" s="960"/>
      <c r="R96" s="960"/>
      <c r="S96" s="960"/>
      <c r="T96" s="960"/>
      <c r="U96" s="960"/>
      <c r="V96" s="960"/>
      <c r="W96" s="960"/>
      <c r="X96" s="960"/>
      <c r="Y96" s="960"/>
      <c r="Z96" s="960"/>
      <c r="AA96" s="960"/>
      <c r="AB96" s="928"/>
      <c r="AC96" s="928"/>
      <c r="AD96" s="928"/>
      <c r="AE96" s="928"/>
      <c r="AF96" s="928"/>
      <c r="AG96" s="928"/>
      <c r="AH96" s="928"/>
      <c r="AI96" s="928"/>
      <c r="AJ96" s="928"/>
      <c r="AK96" s="928"/>
      <c r="AL96" s="928"/>
      <c r="AM96" s="928"/>
      <c r="AN96" s="928"/>
      <c r="AO96" s="928"/>
      <c r="AP96" s="928"/>
      <c r="AQ96" s="928"/>
      <c r="AR96" s="928"/>
      <c r="AS96" s="928"/>
    </row>
    <row r="97" spans="11:45">
      <c r="K97" s="957"/>
      <c r="L97" s="928"/>
      <c r="M97" s="928"/>
      <c r="N97" s="960"/>
      <c r="O97" s="960"/>
      <c r="P97" s="960"/>
      <c r="Q97" s="960"/>
      <c r="R97" s="960"/>
      <c r="S97" s="960"/>
      <c r="T97" s="960"/>
      <c r="U97" s="960"/>
      <c r="V97" s="960"/>
      <c r="W97" s="960"/>
      <c r="X97" s="960"/>
      <c r="Y97" s="960"/>
      <c r="Z97" s="960"/>
      <c r="AA97" s="960"/>
      <c r="AB97" s="928"/>
      <c r="AC97" s="928"/>
      <c r="AD97" s="928"/>
      <c r="AE97" s="928"/>
      <c r="AF97" s="928"/>
      <c r="AG97" s="928"/>
      <c r="AH97" s="928"/>
      <c r="AI97" s="928"/>
      <c r="AJ97" s="928"/>
      <c r="AK97" s="928"/>
      <c r="AL97" s="928"/>
      <c r="AM97" s="928"/>
      <c r="AN97" s="928"/>
      <c r="AO97" s="928"/>
      <c r="AP97" s="928"/>
      <c r="AQ97" s="928"/>
      <c r="AR97" s="928"/>
      <c r="AS97" s="928"/>
    </row>
    <row r="98" spans="11:45">
      <c r="K98" s="957"/>
      <c r="L98" s="928"/>
      <c r="M98" s="928"/>
      <c r="N98" s="960"/>
      <c r="O98" s="960"/>
      <c r="P98" s="960"/>
      <c r="Q98" s="960"/>
      <c r="R98" s="960"/>
      <c r="S98" s="960"/>
      <c r="T98" s="960"/>
      <c r="U98" s="960"/>
      <c r="V98" s="960"/>
      <c r="W98" s="960"/>
      <c r="X98" s="960"/>
      <c r="Y98" s="960"/>
      <c r="Z98" s="960"/>
      <c r="AA98" s="960"/>
      <c r="AB98" s="928"/>
      <c r="AC98" s="928"/>
      <c r="AD98" s="928"/>
      <c r="AE98" s="928"/>
      <c r="AF98" s="928"/>
      <c r="AG98" s="928"/>
      <c r="AH98" s="928"/>
      <c r="AI98" s="928"/>
      <c r="AJ98" s="928"/>
      <c r="AK98" s="928"/>
      <c r="AL98" s="928"/>
      <c r="AM98" s="928"/>
      <c r="AN98" s="928"/>
      <c r="AO98" s="928"/>
      <c r="AP98" s="928"/>
      <c r="AQ98" s="928"/>
      <c r="AR98" s="928"/>
      <c r="AS98" s="928"/>
    </row>
    <row r="99" spans="11:45">
      <c r="K99" s="957"/>
      <c r="L99" s="928"/>
      <c r="M99" s="928"/>
      <c r="N99" s="960"/>
      <c r="O99" s="960"/>
      <c r="P99" s="960"/>
      <c r="Q99" s="960"/>
      <c r="R99" s="960"/>
      <c r="S99" s="960"/>
      <c r="T99" s="960"/>
      <c r="U99" s="960"/>
      <c r="V99" s="960"/>
      <c r="W99" s="960"/>
      <c r="X99" s="960"/>
      <c r="Y99" s="960"/>
      <c r="Z99" s="960"/>
      <c r="AA99" s="960"/>
      <c r="AB99" s="928"/>
      <c r="AC99" s="928"/>
      <c r="AD99" s="928"/>
      <c r="AE99" s="928"/>
      <c r="AF99" s="928"/>
      <c r="AG99" s="928"/>
      <c r="AH99" s="928"/>
      <c r="AI99" s="928"/>
      <c r="AJ99" s="928"/>
      <c r="AK99" s="928"/>
      <c r="AL99" s="928"/>
      <c r="AM99" s="928"/>
      <c r="AN99" s="928"/>
      <c r="AO99" s="928"/>
      <c r="AP99" s="928"/>
      <c r="AQ99" s="928"/>
      <c r="AR99" s="928"/>
      <c r="AS99" s="928"/>
    </row>
    <row r="100" spans="11:45">
      <c r="K100" s="957"/>
      <c r="L100" s="928"/>
      <c r="M100" s="928"/>
      <c r="N100" s="960"/>
      <c r="O100" s="960"/>
      <c r="P100" s="960"/>
      <c r="Q100" s="960"/>
      <c r="R100" s="960"/>
      <c r="S100" s="960"/>
      <c r="T100" s="960"/>
      <c r="U100" s="960"/>
      <c r="V100" s="960"/>
      <c r="W100" s="960"/>
      <c r="X100" s="960"/>
      <c r="Y100" s="960"/>
      <c r="Z100" s="960"/>
      <c r="AA100" s="960"/>
      <c r="AB100" s="928"/>
      <c r="AC100" s="928"/>
      <c r="AD100" s="928"/>
      <c r="AE100" s="928"/>
      <c r="AF100" s="928"/>
      <c r="AG100" s="928"/>
      <c r="AH100" s="928"/>
      <c r="AI100" s="928"/>
      <c r="AJ100" s="928"/>
      <c r="AK100" s="928"/>
      <c r="AL100" s="928"/>
      <c r="AM100" s="928"/>
      <c r="AN100" s="928"/>
      <c r="AO100" s="928"/>
      <c r="AP100" s="928"/>
      <c r="AQ100" s="928"/>
      <c r="AR100" s="928"/>
      <c r="AS100" s="928"/>
    </row>
    <row r="101" spans="11:45">
      <c r="K101" s="957"/>
      <c r="L101" s="928"/>
      <c r="M101" s="928"/>
      <c r="N101" s="960"/>
      <c r="O101" s="960"/>
      <c r="P101" s="960"/>
      <c r="Q101" s="960"/>
      <c r="R101" s="960"/>
      <c r="S101" s="960"/>
      <c r="T101" s="960"/>
      <c r="U101" s="960"/>
      <c r="V101" s="960"/>
      <c r="W101" s="960"/>
      <c r="X101" s="960"/>
      <c r="Y101" s="960"/>
      <c r="Z101" s="960"/>
      <c r="AA101" s="960"/>
      <c r="AB101" s="928"/>
      <c r="AC101" s="928"/>
      <c r="AD101" s="928"/>
      <c r="AE101" s="928"/>
      <c r="AF101" s="928"/>
      <c r="AG101" s="928"/>
      <c r="AH101" s="928"/>
      <c r="AI101" s="928"/>
      <c r="AJ101" s="928"/>
      <c r="AK101" s="928"/>
      <c r="AL101" s="928"/>
      <c r="AM101" s="928"/>
      <c r="AN101" s="928"/>
      <c r="AO101" s="928"/>
      <c r="AP101" s="928"/>
      <c r="AQ101" s="928"/>
      <c r="AR101" s="928"/>
      <c r="AS101" s="928"/>
    </row>
    <row r="102" spans="11:45">
      <c r="K102" s="957"/>
      <c r="L102" s="928"/>
      <c r="M102" s="928"/>
      <c r="N102" s="960"/>
      <c r="O102" s="960"/>
      <c r="P102" s="960"/>
      <c r="Q102" s="960"/>
      <c r="R102" s="960"/>
      <c r="S102" s="960"/>
      <c r="T102" s="960"/>
      <c r="U102" s="960"/>
      <c r="V102" s="960"/>
      <c r="W102" s="960"/>
      <c r="X102" s="960"/>
      <c r="Y102" s="960"/>
      <c r="Z102" s="960"/>
      <c r="AA102" s="960"/>
      <c r="AB102" s="928"/>
      <c r="AC102" s="928"/>
      <c r="AD102" s="928"/>
      <c r="AE102" s="928"/>
      <c r="AF102" s="928"/>
      <c r="AG102" s="928"/>
      <c r="AH102" s="928"/>
      <c r="AI102" s="928"/>
      <c r="AJ102" s="928"/>
      <c r="AK102" s="928"/>
      <c r="AL102" s="928"/>
      <c r="AM102" s="928"/>
      <c r="AN102" s="928"/>
      <c r="AO102" s="928"/>
      <c r="AP102" s="928"/>
      <c r="AQ102" s="928"/>
      <c r="AR102" s="928"/>
      <c r="AS102" s="928"/>
    </row>
    <row r="103" spans="11:45">
      <c r="K103" s="957"/>
      <c r="L103" s="928"/>
      <c r="M103" s="928"/>
      <c r="N103" s="960"/>
      <c r="O103" s="960"/>
      <c r="P103" s="960"/>
      <c r="Q103" s="960"/>
      <c r="R103" s="960"/>
      <c r="S103" s="960"/>
      <c r="T103" s="960"/>
      <c r="U103" s="960"/>
      <c r="V103" s="960"/>
      <c r="W103" s="960"/>
      <c r="X103" s="960"/>
      <c r="Y103" s="960"/>
      <c r="Z103" s="960"/>
      <c r="AA103" s="960"/>
      <c r="AB103" s="928"/>
      <c r="AC103" s="928"/>
      <c r="AD103" s="928"/>
      <c r="AE103" s="928"/>
      <c r="AF103" s="928"/>
      <c r="AG103" s="928"/>
      <c r="AH103" s="928"/>
      <c r="AI103" s="928"/>
      <c r="AJ103" s="928"/>
      <c r="AK103" s="928"/>
      <c r="AL103" s="928"/>
      <c r="AM103" s="928"/>
      <c r="AN103" s="928"/>
      <c r="AO103" s="928"/>
      <c r="AP103" s="928"/>
      <c r="AQ103" s="928"/>
      <c r="AR103" s="928"/>
      <c r="AS103" s="928"/>
    </row>
    <row r="104" spans="11:45">
      <c r="K104" s="957"/>
      <c r="L104" s="928"/>
      <c r="M104" s="928"/>
      <c r="N104" s="960"/>
      <c r="O104" s="960"/>
      <c r="P104" s="960"/>
      <c r="Q104" s="960"/>
      <c r="R104" s="960"/>
      <c r="S104" s="960"/>
      <c r="T104" s="960"/>
      <c r="U104" s="960"/>
      <c r="V104" s="960"/>
      <c r="W104" s="960"/>
      <c r="X104" s="960"/>
      <c r="Y104" s="960"/>
      <c r="Z104" s="960"/>
      <c r="AA104" s="960"/>
      <c r="AB104" s="928"/>
      <c r="AC104" s="928"/>
      <c r="AD104" s="928"/>
      <c r="AE104" s="928"/>
      <c r="AF104" s="928"/>
      <c r="AG104" s="928"/>
      <c r="AH104" s="928"/>
      <c r="AI104" s="928"/>
      <c r="AJ104" s="928"/>
      <c r="AK104" s="928"/>
      <c r="AL104" s="928"/>
      <c r="AM104" s="928"/>
      <c r="AN104" s="928"/>
      <c r="AO104" s="928"/>
      <c r="AP104" s="928"/>
      <c r="AQ104" s="928"/>
      <c r="AR104" s="928"/>
      <c r="AS104" s="928"/>
    </row>
    <row r="105" spans="11:45">
      <c r="K105" s="957"/>
      <c r="L105" s="928"/>
      <c r="M105" s="928"/>
      <c r="N105" s="960"/>
      <c r="O105" s="960"/>
      <c r="P105" s="960"/>
      <c r="Q105" s="960"/>
      <c r="R105" s="960"/>
      <c r="S105" s="960"/>
      <c r="T105" s="960"/>
      <c r="U105" s="960"/>
      <c r="V105" s="960"/>
      <c r="W105" s="960"/>
      <c r="X105" s="960"/>
      <c r="Y105" s="960"/>
      <c r="Z105" s="960"/>
      <c r="AA105" s="960"/>
      <c r="AB105" s="928"/>
      <c r="AC105" s="928"/>
      <c r="AD105" s="928"/>
      <c r="AE105" s="928"/>
      <c r="AF105" s="928"/>
      <c r="AG105" s="928"/>
      <c r="AH105" s="928"/>
      <c r="AI105" s="928"/>
      <c r="AJ105" s="928"/>
      <c r="AK105" s="928"/>
      <c r="AL105" s="928"/>
      <c r="AM105" s="928"/>
      <c r="AN105" s="928"/>
      <c r="AO105" s="928"/>
      <c r="AP105" s="928"/>
      <c r="AQ105" s="928"/>
      <c r="AR105" s="928"/>
      <c r="AS105" s="928"/>
    </row>
    <row r="106" spans="11:45">
      <c r="K106" s="957"/>
      <c r="L106" s="928"/>
      <c r="M106" s="928"/>
      <c r="N106" s="960"/>
      <c r="O106" s="960"/>
      <c r="P106" s="960"/>
      <c r="Q106" s="960"/>
      <c r="R106" s="960"/>
      <c r="S106" s="960"/>
      <c r="T106" s="960"/>
      <c r="U106" s="960"/>
      <c r="V106" s="960"/>
      <c r="W106" s="960"/>
      <c r="X106" s="960"/>
      <c r="Y106" s="960"/>
      <c r="Z106" s="960"/>
      <c r="AA106" s="960"/>
      <c r="AB106" s="928"/>
      <c r="AC106" s="928"/>
      <c r="AD106" s="928"/>
      <c r="AE106" s="928"/>
      <c r="AF106" s="928"/>
      <c r="AG106" s="928"/>
      <c r="AH106" s="928"/>
      <c r="AI106" s="928"/>
      <c r="AJ106" s="928"/>
      <c r="AK106" s="928"/>
      <c r="AL106" s="928"/>
      <c r="AM106" s="928"/>
      <c r="AN106" s="928"/>
      <c r="AO106" s="928"/>
      <c r="AP106" s="928"/>
      <c r="AQ106" s="928"/>
      <c r="AR106" s="928"/>
      <c r="AS106" s="928"/>
    </row>
    <row r="107" spans="11:45">
      <c r="K107" s="957"/>
      <c r="L107" s="928"/>
      <c r="M107" s="928"/>
      <c r="N107" s="960"/>
      <c r="O107" s="960"/>
      <c r="P107" s="960"/>
      <c r="Q107" s="960"/>
      <c r="R107" s="960"/>
      <c r="S107" s="960"/>
      <c r="T107" s="960"/>
      <c r="U107" s="960"/>
      <c r="V107" s="960"/>
      <c r="W107" s="960"/>
      <c r="X107" s="960"/>
      <c r="Y107" s="960"/>
      <c r="Z107" s="960"/>
      <c r="AA107" s="960"/>
      <c r="AB107" s="928"/>
      <c r="AC107" s="928"/>
      <c r="AD107" s="928"/>
      <c r="AE107" s="928"/>
      <c r="AF107" s="928"/>
      <c r="AG107" s="928"/>
      <c r="AH107" s="928"/>
      <c r="AI107" s="928"/>
      <c r="AJ107" s="928"/>
      <c r="AK107" s="928"/>
      <c r="AL107" s="928"/>
      <c r="AM107" s="928"/>
      <c r="AN107" s="928"/>
      <c r="AO107" s="928"/>
      <c r="AP107" s="928"/>
      <c r="AQ107" s="928"/>
      <c r="AR107" s="928"/>
      <c r="AS107" s="928"/>
    </row>
    <row r="108" spans="11:45">
      <c r="K108" s="957"/>
      <c r="L108" s="928"/>
      <c r="M108" s="928"/>
      <c r="N108" s="960"/>
      <c r="O108" s="960"/>
      <c r="P108" s="960"/>
      <c r="Q108" s="960"/>
      <c r="R108" s="960"/>
      <c r="S108" s="960"/>
      <c r="T108" s="960"/>
      <c r="U108" s="960"/>
      <c r="V108" s="960"/>
      <c r="W108" s="960"/>
      <c r="X108" s="960"/>
      <c r="Y108" s="960"/>
      <c r="Z108" s="960"/>
      <c r="AA108" s="960"/>
      <c r="AB108" s="928"/>
      <c r="AC108" s="928"/>
      <c r="AD108" s="928"/>
      <c r="AE108" s="928"/>
      <c r="AF108" s="928"/>
      <c r="AG108" s="928"/>
      <c r="AH108" s="928"/>
      <c r="AI108" s="928"/>
      <c r="AJ108" s="928"/>
      <c r="AK108" s="928"/>
      <c r="AL108" s="928"/>
      <c r="AM108" s="928"/>
      <c r="AN108" s="928"/>
      <c r="AO108" s="928"/>
      <c r="AP108" s="928"/>
      <c r="AQ108" s="928"/>
      <c r="AR108" s="928"/>
      <c r="AS108" s="928"/>
    </row>
    <row r="109" spans="11:45">
      <c r="K109" s="957"/>
      <c r="L109" s="928"/>
      <c r="M109" s="928"/>
      <c r="N109" s="960"/>
      <c r="O109" s="960"/>
      <c r="P109" s="960"/>
      <c r="Q109" s="960"/>
      <c r="R109" s="960"/>
      <c r="S109" s="960"/>
      <c r="T109" s="960"/>
      <c r="U109" s="960"/>
      <c r="V109" s="960"/>
      <c r="W109" s="960"/>
      <c r="X109" s="960"/>
      <c r="Y109" s="960"/>
      <c r="Z109" s="960"/>
      <c r="AA109" s="960"/>
      <c r="AB109" s="928"/>
      <c r="AC109" s="928"/>
      <c r="AD109" s="928"/>
      <c r="AE109" s="928"/>
      <c r="AF109" s="928"/>
      <c r="AG109" s="928"/>
      <c r="AH109" s="928"/>
      <c r="AI109" s="928"/>
      <c r="AJ109" s="928"/>
      <c r="AK109" s="928"/>
      <c r="AL109" s="928"/>
      <c r="AM109" s="928"/>
      <c r="AN109" s="928"/>
      <c r="AO109" s="928"/>
      <c r="AP109" s="928"/>
      <c r="AQ109" s="928"/>
      <c r="AR109" s="928"/>
      <c r="AS109" s="928"/>
    </row>
    <row r="110" spans="11:45">
      <c r="K110" s="957"/>
      <c r="L110" s="928"/>
      <c r="M110" s="928"/>
      <c r="N110" s="960"/>
      <c r="O110" s="960"/>
      <c r="P110" s="960"/>
      <c r="Q110" s="960"/>
      <c r="R110" s="960"/>
      <c r="S110" s="960"/>
      <c r="T110" s="960"/>
      <c r="U110" s="960"/>
      <c r="V110" s="960"/>
      <c r="W110" s="960"/>
      <c r="X110" s="960"/>
      <c r="Y110" s="960"/>
      <c r="Z110" s="960"/>
      <c r="AA110" s="960"/>
      <c r="AB110" s="928"/>
      <c r="AC110" s="928"/>
      <c r="AD110" s="928"/>
      <c r="AE110" s="928"/>
      <c r="AF110" s="928"/>
      <c r="AG110" s="928"/>
      <c r="AH110" s="928"/>
      <c r="AI110" s="928"/>
      <c r="AJ110" s="928"/>
      <c r="AK110" s="928"/>
      <c r="AL110" s="928"/>
      <c r="AM110" s="928"/>
      <c r="AN110" s="928"/>
      <c r="AO110" s="928"/>
      <c r="AP110" s="928"/>
      <c r="AQ110" s="928"/>
      <c r="AR110" s="928"/>
      <c r="AS110" s="928"/>
    </row>
    <row r="111" spans="11:45">
      <c r="K111" s="957"/>
      <c r="L111" s="928"/>
      <c r="M111" s="928"/>
      <c r="N111" s="960"/>
      <c r="O111" s="960"/>
      <c r="P111" s="960"/>
      <c r="Q111" s="960"/>
      <c r="R111" s="960"/>
      <c r="S111" s="960"/>
      <c r="T111" s="960"/>
      <c r="U111" s="960"/>
      <c r="V111" s="960"/>
      <c r="W111" s="960"/>
      <c r="X111" s="960"/>
      <c r="Y111" s="960"/>
      <c r="Z111" s="960"/>
      <c r="AA111" s="960"/>
      <c r="AB111" s="928"/>
      <c r="AC111" s="928"/>
      <c r="AD111" s="928"/>
      <c r="AE111" s="928"/>
      <c r="AF111" s="928"/>
      <c r="AG111" s="928"/>
      <c r="AH111" s="928"/>
      <c r="AI111" s="928"/>
      <c r="AJ111" s="928"/>
      <c r="AK111" s="928"/>
      <c r="AL111" s="928"/>
      <c r="AM111" s="928"/>
      <c r="AN111" s="928"/>
      <c r="AO111" s="928"/>
      <c r="AP111" s="928"/>
      <c r="AQ111" s="928"/>
      <c r="AR111" s="928"/>
      <c r="AS111" s="928"/>
    </row>
    <row r="112" spans="11:45">
      <c r="K112" s="957"/>
      <c r="L112" s="928"/>
      <c r="M112" s="928"/>
      <c r="N112" s="960"/>
      <c r="O112" s="960"/>
      <c r="P112" s="960"/>
      <c r="Q112" s="960"/>
      <c r="R112" s="960"/>
      <c r="S112" s="960"/>
      <c r="T112" s="960"/>
      <c r="U112" s="960"/>
      <c r="V112" s="960"/>
      <c r="W112" s="960"/>
      <c r="X112" s="960"/>
      <c r="Y112" s="960"/>
      <c r="Z112" s="960"/>
      <c r="AA112" s="960"/>
      <c r="AB112" s="928"/>
      <c r="AC112" s="928"/>
      <c r="AD112" s="928"/>
      <c r="AE112" s="928"/>
      <c r="AF112" s="928"/>
      <c r="AG112" s="928"/>
      <c r="AH112" s="928"/>
      <c r="AI112" s="928"/>
      <c r="AJ112" s="928"/>
      <c r="AK112" s="928"/>
      <c r="AL112" s="928"/>
      <c r="AM112" s="928"/>
      <c r="AN112" s="928"/>
      <c r="AO112" s="928"/>
      <c r="AP112" s="928"/>
      <c r="AQ112" s="928"/>
      <c r="AR112" s="928"/>
      <c r="AS112" s="928"/>
    </row>
    <row r="113" spans="11:45">
      <c r="K113" s="957"/>
      <c r="L113" s="928"/>
      <c r="M113" s="928"/>
      <c r="N113" s="960"/>
      <c r="O113" s="960"/>
      <c r="P113" s="960"/>
      <c r="Q113" s="960"/>
      <c r="R113" s="960"/>
      <c r="S113" s="960"/>
      <c r="T113" s="960"/>
      <c r="U113" s="960"/>
      <c r="V113" s="960"/>
      <c r="W113" s="960"/>
      <c r="X113" s="960"/>
      <c r="Y113" s="960"/>
      <c r="Z113" s="960"/>
      <c r="AA113" s="960"/>
      <c r="AB113" s="928"/>
      <c r="AC113" s="928"/>
      <c r="AD113" s="928"/>
      <c r="AE113" s="928"/>
      <c r="AF113" s="928"/>
      <c r="AG113" s="928"/>
      <c r="AH113" s="928"/>
      <c r="AI113" s="928"/>
      <c r="AJ113" s="928"/>
      <c r="AK113" s="928"/>
      <c r="AL113" s="928"/>
      <c r="AM113" s="928"/>
      <c r="AN113" s="928"/>
      <c r="AO113" s="928"/>
      <c r="AP113" s="928"/>
      <c r="AQ113" s="928"/>
      <c r="AR113" s="928"/>
      <c r="AS113" s="928"/>
    </row>
    <row r="114" spans="11:45">
      <c r="K114" s="957"/>
      <c r="L114" s="928"/>
      <c r="M114" s="928"/>
      <c r="N114" s="960"/>
      <c r="O114" s="960"/>
      <c r="P114" s="960"/>
      <c r="Q114" s="960"/>
      <c r="R114" s="960"/>
      <c r="S114" s="960"/>
      <c r="T114" s="960"/>
      <c r="U114" s="960"/>
      <c r="V114" s="960"/>
      <c r="W114" s="960"/>
      <c r="X114" s="960"/>
      <c r="Y114" s="960"/>
      <c r="Z114" s="960"/>
      <c r="AA114" s="960"/>
      <c r="AB114" s="928"/>
      <c r="AC114" s="928"/>
      <c r="AD114" s="928"/>
      <c r="AE114" s="928"/>
      <c r="AF114" s="928"/>
      <c r="AG114" s="928"/>
      <c r="AH114" s="928"/>
      <c r="AI114" s="928"/>
      <c r="AJ114" s="928"/>
      <c r="AK114" s="928"/>
      <c r="AL114" s="928"/>
      <c r="AM114" s="928"/>
      <c r="AN114" s="928"/>
      <c r="AO114" s="928"/>
      <c r="AP114" s="928"/>
      <c r="AQ114" s="928"/>
      <c r="AR114" s="928"/>
      <c r="AS114" s="928"/>
    </row>
    <row r="115" spans="11:45">
      <c r="K115" s="957"/>
      <c r="L115" s="928"/>
      <c r="M115" s="928"/>
      <c r="N115" s="960"/>
      <c r="O115" s="960"/>
      <c r="P115" s="960"/>
      <c r="Q115" s="960"/>
      <c r="R115" s="960"/>
      <c r="S115" s="960"/>
      <c r="T115" s="960"/>
      <c r="U115" s="960"/>
      <c r="V115" s="960"/>
      <c r="W115" s="960"/>
      <c r="X115" s="960"/>
      <c r="Y115" s="960"/>
      <c r="Z115" s="960"/>
      <c r="AA115" s="960"/>
      <c r="AB115" s="928"/>
      <c r="AC115" s="928"/>
      <c r="AD115" s="928"/>
      <c r="AE115" s="928"/>
      <c r="AF115" s="928"/>
      <c r="AG115" s="928"/>
      <c r="AH115" s="928"/>
      <c r="AI115" s="928"/>
      <c r="AJ115" s="928"/>
      <c r="AK115" s="928"/>
      <c r="AL115" s="928"/>
      <c r="AM115" s="928"/>
      <c r="AN115" s="928"/>
      <c r="AO115" s="928"/>
      <c r="AP115" s="928"/>
      <c r="AQ115" s="928"/>
      <c r="AR115" s="928"/>
      <c r="AS115" s="928"/>
    </row>
    <row r="116" spans="11:45">
      <c r="K116" s="957"/>
      <c r="L116" s="928"/>
      <c r="M116" s="928"/>
      <c r="N116" s="960"/>
      <c r="O116" s="960"/>
      <c r="P116" s="960"/>
      <c r="Q116" s="960"/>
      <c r="R116" s="960"/>
      <c r="S116" s="960"/>
      <c r="T116" s="960"/>
      <c r="U116" s="960"/>
      <c r="V116" s="960"/>
      <c r="W116" s="960"/>
      <c r="X116" s="960"/>
      <c r="Y116" s="960"/>
      <c r="Z116" s="960"/>
      <c r="AA116" s="960"/>
      <c r="AB116" s="928"/>
      <c r="AC116" s="928"/>
      <c r="AD116" s="928"/>
      <c r="AE116" s="928"/>
      <c r="AF116" s="928"/>
      <c r="AG116" s="928"/>
      <c r="AH116" s="928"/>
      <c r="AI116" s="928"/>
      <c r="AJ116" s="928"/>
      <c r="AK116" s="928"/>
      <c r="AL116" s="928"/>
      <c r="AM116" s="928"/>
      <c r="AN116" s="928"/>
      <c r="AO116" s="928"/>
      <c r="AP116" s="928"/>
      <c r="AQ116" s="928"/>
      <c r="AR116" s="928"/>
      <c r="AS116" s="928"/>
    </row>
    <row r="117" spans="11:45">
      <c r="K117" s="957"/>
      <c r="L117" s="928"/>
      <c r="M117" s="928"/>
      <c r="N117" s="960"/>
      <c r="O117" s="960"/>
      <c r="P117" s="960"/>
      <c r="Q117" s="960"/>
      <c r="R117" s="960"/>
      <c r="S117" s="960"/>
      <c r="T117" s="960"/>
      <c r="U117" s="960"/>
      <c r="V117" s="960"/>
      <c r="W117" s="960"/>
      <c r="X117" s="960"/>
      <c r="Y117" s="960"/>
      <c r="Z117" s="960"/>
      <c r="AA117" s="960"/>
      <c r="AB117" s="928"/>
      <c r="AC117" s="928"/>
      <c r="AD117" s="928"/>
      <c r="AE117" s="928"/>
      <c r="AF117" s="928"/>
      <c r="AG117" s="928"/>
      <c r="AH117" s="928"/>
      <c r="AI117" s="928"/>
      <c r="AJ117" s="928"/>
      <c r="AK117" s="928"/>
      <c r="AL117" s="928"/>
      <c r="AM117" s="928"/>
      <c r="AN117" s="928"/>
      <c r="AO117" s="928"/>
      <c r="AP117" s="928"/>
      <c r="AQ117" s="928"/>
      <c r="AR117" s="928"/>
      <c r="AS117" s="928"/>
    </row>
    <row r="118" spans="11:45">
      <c r="K118" s="957"/>
      <c r="L118" s="928"/>
      <c r="M118" s="928"/>
      <c r="N118" s="960"/>
      <c r="O118" s="960"/>
      <c r="P118" s="960"/>
      <c r="Q118" s="960"/>
      <c r="R118" s="960"/>
      <c r="S118" s="960"/>
      <c r="T118" s="960"/>
      <c r="U118" s="960"/>
      <c r="V118" s="960"/>
      <c r="W118" s="960"/>
      <c r="X118" s="960"/>
      <c r="Y118" s="960"/>
      <c r="Z118" s="960"/>
      <c r="AA118" s="960"/>
      <c r="AB118" s="928"/>
      <c r="AC118" s="928"/>
      <c r="AD118" s="928"/>
      <c r="AE118" s="928"/>
      <c r="AF118" s="928"/>
      <c r="AG118" s="928"/>
      <c r="AH118" s="928"/>
      <c r="AI118" s="928"/>
      <c r="AJ118" s="928"/>
      <c r="AK118" s="928"/>
      <c r="AL118" s="928"/>
      <c r="AM118" s="928"/>
      <c r="AN118" s="928"/>
      <c r="AO118" s="928"/>
      <c r="AP118" s="928"/>
      <c r="AQ118" s="928"/>
      <c r="AR118" s="928"/>
      <c r="AS118" s="928"/>
    </row>
    <row r="119" spans="11:45">
      <c r="K119" s="957"/>
      <c r="L119" s="928"/>
      <c r="M119" s="928"/>
      <c r="N119" s="960"/>
      <c r="O119" s="960"/>
      <c r="P119" s="960"/>
      <c r="Q119" s="960"/>
      <c r="R119" s="960"/>
      <c r="S119" s="960"/>
      <c r="T119" s="960"/>
      <c r="U119" s="960"/>
      <c r="V119" s="960"/>
      <c r="W119" s="960"/>
      <c r="X119" s="960"/>
      <c r="Y119" s="960"/>
      <c r="Z119" s="960"/>
      <c r="AA119" s="960"/>
      <c r="AB119" s="928"/>
      <c r="AC119" s="928"/>
      <c r="AD119" s="928"/>
      <c r="AE119" s="928"/>
      <c r="AF119" s="928"/>
      <c r="AG119" s="928"/>
      <c r="AH119" s="928"/>
      <c r="AI119" s="928"/>
      <c r="AJ119" s="928"/>
      <c r="AK119" s="928"/>
      <c r="AL119" s="928"/>
      <c r="AM119" s="928"/>
      <c r="AN119" s="928"/>
      <c r="AO119" s="928"/>
      <c r="AP119" s="928"/>
      <c r="AQ119" s="928"/>
      <c r="AR119" s="928"/>
      <c r="AS119" s="928"/>
    </row>
    <row r="120" spans="11:45">
      <c r="K120" s="957"/>
      <c r="L120" s="928"/>
      <c r="M120" s="928"/>
      <c r="N120" s="960"/>
      <c r="O120" s="960"/>
      <c r="P120" s="960"/>
      <c r="Q120" s="960"/>
      <c r="R120" s="960"/>
      <c r="S120" s="960"/>
      <c r="T120" s="960"/>
      <c r="U120" s="960"/>
      <c r="V120" s="960"/>
      <c r="W120" s="960"/>
      <c r="X120" s="960"/>
      <c r="Y120" s="960"/>
      <c r="Z120" s="960"/>
      <c r="AA120" s="960"/>
      <c r="AB120" s="928"/>
      <c r="AC120" s="928"/>
      <c r="AD120" s="928"/>
      <c r="AE120" s="928"/>
      <c r="AF120" s="928"/>
      <c r="AG120" s="928"/>
      <c r="AH120" s="928"/>
      <c r="AI120" s="928"/>
      <c r="AJ120" s="928"/>
      <c r="AK120" s="928"/>
      <c r="AL120" s="928"/>
      <c r="AM120" s="928"/>
      <c r="AN120" s="928"/>
      <c r="AO120" s="928"/>
      <c r="AP120" s="928"/>
      <c r="AQ120" s="928"/>
      <c r="AR120" s="928"/>
      <c r="AS120" s="928"/>
    </row>
    <row r="121" spans="11:45">
      <c r="K121" s="957"/>
      <c r="L121" s="928"/>
      <c r="M121" s="928"/>
      <c r="N121" s="960"/>
      <c r="O121" s="960"/>
      <c r="P121" s="960"/>
      <c r="Q121" s="960"/>
      <c r="R121" s="960"/>
      <c r="S121" s="960"/>
      <c r="T121" s="960"/>
      <c r="U121" s="960"/>
      <c r="V121" s="960"/>
      <c r="W121" s="960"/>
      <c r="X121" s="960"/>
      <c r="Y121" s="960"/>
      <c r="Z121" s="960"/>
      <c r="AA121" s="960"/>
      <c r="AB121" s="928"/>
      <c r="AC121" s="928"/>
      <c r="AD121" s="928"/>
      <c r="AE121" s="928"/>
      <c r="AF121" s="928"/>
      <c r="AG121" s="928"/>
      <c r="AH121" s="928"/>
      <c r="AI121" s="928"/>
      <c r="AJ121" s="928"/>
      <c r="AK121" s="928"/>
      <c r="AL121" s="928"/>
      <c r="AM121" s="928"/>
      <c r="AN121" s="928"/>
      <c r="AO121" s="928"/>
      <c r="AP121" s="928"/>
      <c r="AQ121" s="928"/>
      <c r="AR121" s="928"/>
      <c r="AS121" s="928"/>
    </row>
    <row r="122" spans="11:45">
      <c r="K122" s="957"/>
      <c r="L122" s="928"/>
      <c r="M122" s="928"/>
      <c r="N122" s="960"/>
      <c r="O122" s="960"/>
      <c r="P122" s="960"/>
      <c r="Q122" s="960"/>
      <c r="R122" s="960"/>
      <c r="S122" s="960"/>
      <c r="T122" s="960"/>
      <c r="U122" s="960"/>
      <c r="V122" s="960"/>
      <c r="W122" s="960"/>
      <c r="X122" s="960"/>
      <c r="Y122" s="960"/>
      <c r="Z122" s="960"/>
      <c r="AA122" s="960"/>
      <c r="AB122" s="928"/>
      <c r="AC122" s="928"/>
      <c r="AD122" s="928"/>
      <c r="AE122" s="928"/>
      <c r="AF122" s="928"/>
      <c r="AG122" s="928"/>
      <c r="AH122" s="928"/>
      <c r="AI122" s="928"/>
      <c r="AJ122" s="928"/>
      <c r="AK122" s="928"/>
      <c r="AL122" s="928"/>
      <c r="AM122" s="928"/>
      <c r="AN122" s="928"/>
      <c r="AO122" s="928"/>
      <c r="AP122" s="928"/>
      <c r="AQ122" s="928"/>
      <c r="AR122" s="928"/>
      <c r="AS122" s="928"/>
    </row>
    <row r="123" spans="11:45">
      <c r="K123" s="957"/>
      <c r="L123" s="928"/>
      <c r="M123" s="928"/>
      <c r="N123" s="960"/>
      <c r="O123" s="960"/>
      <c r="P123" s="960"/>
      <c r="Q123" s="960"/>
      <c r="R123" s="960"/>
      <c r="S123" s="960"/>
      <c r="T123" s="960"/>
      <c r="U123" s="960"/>
      <c r="V123" s="960"/>
      <c r="W123" s="960"/>
      <c r="X123" s="960"/>
      <c r="Y123" s="960"/>
      <c r="Z123" s="960"/>
      <c r="AA123" s="960"/>
      <c r="AB123" s="928"/>
      <c r="AC123" s="928"/>
      <c r="AD123" s="928"/>
      <c r="AE123" s="928"/>
      <c r="AF123" s="928"/>
      <c r="AG123" s="928"/>
      <c r="AH123" s="928"/>
      <c r="AI123" s="928"/>
      <c r="AJ123" s="928"/>
      <c r="AK123" s="928"/>
      <c r="AL123" s="928"/>
      <c r="AM123" s="928"/>
      <c r="AN123" s="928"/>
      <c r="AO123" s="928"/>
      <c r="AP123" s="928"/>
      <c r="AQ123" s="928"/>
      <c r="AR123" s="928"/>
      <c r="AS123" s="928"/>
    </row>
    <row r="124" spans="11:45">
      <c r="K124" s="957"/>
      <c r="L124" s="928"/>
      <c r="M124" s="928"/>
      <c r="N124" s="960"/>
      <c r="O124" s="960"/>
      <c r="P124" s="960"/>
      <c r="Q124" s="960"/>
      <c r="R124" s="960"/>
      <c r="S124" s="960"/>
      <c r="T124" s="960"/>
      <c r="U124" s="960"/>
      <c r="V124" s="960"/>
      <c r="W124" s="960"/>
      <c r="X124" s="960"/>
      <c r="Y124" s="960"/>
      <c r="Z124" s="960"/>
      <c r="AA124" s="960"/>
      <c r="AB124" s="928"/>
      <c r="AC124" s="928"/>
      <c r="AD124" s="928"/>
      <c r="AE124" s="928"/>
      <c r="AF124" s="928"/>
      <c r="AG124" s="928"/>
      <c r="AH124" s="928"/>
      <c r="AI124" s="928"/>
      <c r="AJ124" s="928"/>
      <c r="AK124" s="928"/>
      <c r="AL124" s="928"/>
      <c r="AM124" s="928"/>
      <c r="AN124" s="928"/>
      <c r="AO124" s="928"/>
      <c r="AP124" s="928"/>
      <c r="AQ124" s="928"/>
      <c r="AR124" s="928"/>
      <c r="AS124" s="928"/>
    </row>
    <row r="125" spans="11:45">
      <c r="K125" s="957"/>
      <c r="L125" s="928"/>
      <c r="M125" s="928"/>
      <c r="N125" s="960"/>
      <c r="O125" s="960"/>
      <c r="P125" s="960"/>
      <c r="Q125" s="960"/>
      <c r="R125" s="960"/>
      <c r="S125" s="960"/>
      <c r="T125" s="960"/>
      <c r="U125" s="960"/>
      <c r="V125" s="960"/>
      <c r="W125" s="960"/>
      <c r="X125" s="960"/>
      <c r="Y125" s="960"/>
      <c r="Z125" s="960"/>
      <c r="AA125" s="960"/>
      <c r="AB125" s="928"/>
      <c r="AC125" s="928"/>
      <c r="AD125" s="928"/>
      <c r="AE125" s="928"/>
      <c r="AF125" s="928"/>
      <c r="AG125" s="928"/>
      <c r="AH125" s="928"/>
      <c r="AI125" s="928"/>
      <c r="AJ125" s="928"/>
      <c r="AK125" s="928"/>
      <c r="AL125" s="928"/>
      <c r="AM125" s="928"/>
      <c r="AN125" s="928"/>
      <c r="AO125" s="928"/>
      <c r="AP125" s="928"/>
      <c r="AQ125" s="928"/>
      <c r="AR125" s="928"/>
      <c r="AS125" s="928"/>
    </row>
    <row r="126" spans="11:45">
      <c r="K126" s="957"/>
      <c r="L126" s="928"/>
      <c r="M126" s="928"/>
      <c r="N126" s="960"/>
      <c r="O126" s="960"/>
      <c r="P126" s="960"/>
      <c r="Q126" s="960"/>
      <c r="R126" s="960"/>
      <c r="S126" s="960"/>
      <c r="T126" s="960"/>
      <c r="U126" s="960"/>
      <c r="V126" s="960"/>
      <c r="W126" s="960"/>
      <c r="X126" s="960"/>
      <c r="Y126" s="960"/>
      <c r="Z126" s="960"/>
      <c r="AA126" s="960"/>
      <c r="AB126" s="928"/>
      <c r="AC126" s="928"/>
      <c r="AD126" s="928"/>
      <c r="AE126" s="928"/>
      <c r="AF126" s="928"/>
      <c r="AG126" s="928"/>
      <c r="AH126" s="928"/>
      <c r="AI126" s="928"/>
      <c r="AJ126" s="928"/>
      <c r="AK126" s="928"/>
      <c r="AL126" s="928"/>
      <c r="AM126" s="928"/>
      <c r="AN126" s="928"/>
      <c r="AO126" s="928"/>
      <c r="AP126" s="928"/>
      <c r="AQ126" s="928"/>
      <c r="AR126" s="928"/>
      <c r="AS126" s="928"/>
    </row>
    <row r="127" spans="11:45">
      <c r="K127" s="957"/>
      <c r="L127" s="928"/>
      <c r="M127" s="928"/>
      <c r="N127" s="960"/>
      <c r="O127" s="960"/>
      <c r="P127" s="960"/>
      <c r="Q127" s="960"/>
      <c r="R127" s="960"/>
      <c r="S127" s="960"/>
      <c r="T127" s="960"/>
      <c r="U127" s="960"/>
      <c r="V127" s="960"/>
      <c r="W127" s="960"/>
      <c r="X127" s="960"/>
      <c r="Y127" s="960"/>
      <c r="Z127" s="960"/>
      <c r="AA127" s="960"/>
      <c r="AB127" s="928"/>
      <c r="AC127" s="928"/>
      <c r="AD127" s="928"/>
      <c r="AE127" s="928"/>
      <c r="AF127" s="928"/>
      <c r="AG127" s="928"/>
      <c r="AH127" s="928"/>
      <c r="AI127" s="928"/>
      <c r="AJ127" s="928"/>
      <c r="AK127" s="928"/>
      <c r="AL127" s="928"/>
      <c r="AM127" s="928"/>
      <c r="AN127" s="928"/>
      <c r="AO127" s="928"/>
      <c r="AP127" s="928"/>
      <c r="AQ127" s="928"/>
      <c r="AR127" s="928"/>
      <c r="AS127" s="928"/>
    </row>
    <row r="128" spans="11:45">
      <c r="K128" s="957"/>
      <c r="L128" s="928"/>
      <c r="M128" s="928"/>
      <c r="N128" s="960"/>
      <c r="O128" s="960"/>
      <c r="P128" s="960"/>
      <c r="Q128" s="960"/>
      <c r="R128" s="960"/>
      <c r="S128" s="960"/>
      <c r="T128" s="960"/>
      <c r="U128" s="960"/>
      <c r="V128" s="960"/>
      <c r="W128" s="960"/>
      <c r="X128" s="960"/>
      <c r="Y128" s="960"/>
      <c r="Z128" s="960"/>
      <c r="AA128" s="960"/>
      <c r="AB128" s="928"/>
      <c r="AC128" s="928"/>
      <c r="AD128" s="928"/>
      <c r="AE128" s="928"/>
      <c r="AF128" s="928"/>
      <c r="AG128" s="928"/>
      <c r="AH128" s="928"/>
      <c r="AI128" s="928"/>
      <c r="AJ128" s="928"/>
      <c r="AK128" s="928"/>
      <c r="AL128" s="928"/>
      <c r="AM128" s="928"/>
      <c r="AN128" s="928"/>
      <c r="AO128" s="928"/>
      <c r="AP128" s="928"/>
      <c r="AQ128" s="928"/>
      <c r="AR128" s="928"/>
      <c r="AS128" s="928"/>
    </row>
    <row r="129" spans="11:45">
      <c r="K129" s="957"/>
      <c r="L129" s="928"/>
      <c r="M129" s="928"/>
      <c r="N129" s="960"/>
      <c r="O129" s="960"/>
      <c r="P129" s="960"/>
      <c r="Q129" s="960"/>
      <c r="R129" s="960"/>
      <c r="S129" s="960"/>
      <c r="T129" s="960"/>
      <c r="U129" s="960"/>
      <c r="V129" s="960"/>
      <c r="W129" s="960"/>
      <c r="X129" s="960"/>
      <c r="Y129" s="960"/>
      <c r="Z129" s="960"/>
      <c r="AA129" s="960"/>
      <c r="AB129" s="928"/>
      <c r="AC129" s="928"/>
      <c r="AD129" s="928"/>
      <c r="AE129" s="928"/>
      <c r="AF129" s="928"/>
      <c r="AG129" s="928"/>
      <c r="AH129" s="928"/>
      <c r="AI129" s="928"/>
      <c r="AJ129" s="928"/>
      <c r="AK129" s="928"/>
      <c r="AL129" s="928"/>
      <c r="AM129" s="928"/>
      <c r="AN129" s="928"/>
      <c r="AO129" s="928"/>
      <c r="AP129" s="928"/>
      <c r="AQ129" s="928"/>
      <c r="AR129" s="928"/>
      <c r="AS129" s="928"/>
    </row>
    <row r="130" spans="11:45">
      <c r="K130" s="957"/>
      <c r="L130" s="928"/>
      <c r="M130" s="928"/>
      <c r="N130" s="960"/>
      <c r="O130" s="960"/>
      <c r="P130" s="960"/>
      <c r="Q130" s="960"/>
      <c r="R130" s="960"/>
      <c r="S130" s="960"/>
      <c r="T130" s="960"/>
      <c r="U130" s="960"/>
      <c r="V130" s="960"/>
      <c r="W130" s="960"/>
      <c r="X130" s="960"/>
      <c r="Y130" s="960"/>
      <c r="Z130" s="960"/>
      <c r="AA130" s="960"/>
      <c r="AB130" s="928"/>
      <c r="AC130" s="928"/>
      <c r="AD130" s="928"/>
      <c r="AE130" s="928"/>
      <c r="AF130" s="928"/>
      <c r="AG130" s="928"/>
      <c r="AH130" s="928"/>
      <c r="AI130" s="928"/>
      <c r="AJ130" s="928"/>
      <c r="AK130" s="928"/>
      <c r="AL130" s="928"/>
      <c r="AM130" s="928"/>
      <c r="AN130" s="928"/>
      <c r="AO130" s="928"/>
      <c r="AP130" s="928"/>
      <c r="AQ130" s="928"/>
      <c r="AR130" s="928"/>
      <c r="AS130" s="928"/>
    </row>
    <row r="131" spans="11:45">
      <c r="K131" s="957"/>
      <c r="L131" s="928"/>
      <c r="M131" s="928"/>
      <c r="N131" s="960"/>
      <c r="O131" s="960"/>
      <c r="P131" s="960"/>
      <c r="Q131" s="960"/>
      <c r="R131" s="960"/>
      <c r="S131" s="960"/>
      <c r="T131" s="960"/>
      <c r="U131" s="960"/>
      <c r="V131" s="960"/>
      <c r="W131" s="960"/>
      <c r="X131" s="960"/>
      <c r="Y131" s="960"/>
      <c r="Z131" s="960"/>
      <c r="AA131" s="960"/>
      <c r="AB131" s="928"/>
      <c r="AC131" s="928"/>
      <c r="AD131" s="928"/>
      <c r="AE131" s="928"/>
      <c r="AF131" s="928"/>
      <c r="AG131" s="928"/>
      <c r="AH131" s="928"/>
      <c r="AI131" s="928"/>
      <c r="AJ131" s="928"/>
      <c r="AK131" s="928"/>
      <c r="AL131" s="928"/>
      <c r="AM131" s="928"/>
      <c r="AN131" s="928"/>
      <c r="AO131" s="928"/>
      <c r="AP131" s="928"/>
      <c r="AQ131" s="928"/>
      <c r="AR131" s="928"/>
      <c r="AS131" s="928"/>
    </row>
    <row r="132" spans="11:45">
      <c r="K132" s="957"/>
      <c r="L132" s="928"/>
      <c r="M132" s="928"/>
      <c r="N132" s="960"/>
      <c r="O132" s="960"/>
      <c r="P132" s="960"/>
      <c r="Q132" s="960"/>
      <c r="R132" s="960"/>
      <c r="S132" s="960"/>
      <c r="T132" s="960"/>
      <c r="U132" s="960"/>
      <c r="V132" s="960"/>
      <c r="W132" s="960"/>
      <c r="X132" s="960"/>
      <c r="Y132" s="960"/>
      <c r="Z132" s="960"/>
      <c r="AA132" s="960"/>
      <c r="AB132" s="928"/>
      <c r="AC132" s="928"/>
      <c r="AD132" s="928"/>
      <c r="AE132" s="928"/>
      <c r="AF132" s="928"/>
      <c r="AG132" s="928"/>
      <c r="AH132" s="928"/>
      <c r="AI132" s="928"/>
      <c r="AJ132" s="928"/>
      <c r="AK132" s="928"/>
      <c r="AL132" s="928"/>
      <c r="AM132" s="928"/>
      <c r="AN132" s="928"/>
      <c r="AO132" s="928"/>
      <c r="AP132" s="928"/>
      <c r="AQ132" s="928"/>
      <c r="AR132" s="928"/>
      <c r="AS132" s="928"/>
    </row>
    <row r="133" spans="11:45">
      <c r="K133" s="957"/>
      <c r="L133" s="928"/>
      <c r="M133" s="928"/>
      <c r="N133" s="960"/>
      <c r="O133" s="960"/>
      <c r="P133" s="960"/>
      <c r="Q133" s="960"/>
      <c r="R133" s="960"/>
      <c r="S133" s="960"/>
      <c r="T133" s="960"/>
      <c r="U133" s="960"/>
      <c r="V133" s="960"/>
      <c r="W133" s="960"/>
      <c r="X133" s="960"/>
      <c r="Y133" s="960"/>
      <c r="Z133" s="960"/>
      <c r="AA133" s="960"/>
      <c r="AB133" s="928"/>
      <c r="AC133" s="928"/>
      <c r="AD133" s="928"/>
      <c r="AE133" s="928"/>
      <c r="AF133" s="928"/>
      <c r="AG133" s="928"/>
      <c r="AH133" s="928"/>
      <c r="AI133" s="928"/>
      <c r="AJ133" s="928"/>
      <c r="AK133" s="928"/>
      <c r="AL133" s="928"/>
      <c r="AM133" s="928"/>
      <c r="AN133" s="928"/>
      <c r="AO133" s="928"/>
      <c r="AP133" s="928"/>
      <c r="AQ133" s="928"/>
      <c r="AR133" s="928"/>
      <c r="AS133" s="928"/>
    </row>
    <row r="134" spans="11:45">
      <c r="K134" s="957"/>
      <c r="L134" s="928"/>
      <c r="M134" s="928"/>
      <c r="N134" s="960"/>
      <c r="O134" s="960"/>
      <c r="P134" s="960"/>
      <c r="Q134" s="960"/>
      <c r="R134" s="960"/>
      <c r="S134" s="960"/>
      <c r="T134" s="960"/>
      <c r="U134" s="960"/>
      <c r="V134" s="960"/>
      <c r="W134" s="960"/>
      <c r="X134" s="960"/>
      <c r="Y134" s="960"/>
      <c r="Z134" s="960"/>
      <c r="AA134" s="960"/>
      <c r="AB134" s="928"/>
      <c r="AC134" s="928"/>
      <c r="AD134" s="928"/>
      <c r="AE134" s="928"/>
      <c r="AF134" s="928"/>
      <c r="AG134" s="928"/>
      <c r="AH134" s="928"/>
      <c r="AI134" s="928"/>
      <c r="AJ134" s="928"/>
      <c r="AK134" s="928"/>
      <c r="AL134" s="928"/>
      <c r="AM134" s="928"/>
      <c r="AN134" s="928"/>
      <c r="AO134" s="928"/>
      <c r="AP134" s="928"/>
      <c r="AQ134" s="928"/>
      <c r="AR134" s="928"/>
      <c r="AS134" s="928"/>
    </row>
    <row r="135" spans="11:45">
      <c r="K135" s="957"/>
      <c r="L135" s="928"/>
      <c r="M135" s="928"/>
      <c r="N135" s="960"/>
      <c r="O135" s="960"/>
      <c r="P135" s="960"/>
      <c r="Q135" s="960"/>
      <c r="R135" s="960"/>
      <c r="S135" s="960"/>
      <c r="T135" s="960"/>
      <c r="U135" s="960"/>
      <c r="V135" s="960"/>
      <c r="W135" s="960"/>
      <c r="X135" s="960"/>
      <c r="Y135" s="960"/>
      <c r="Z135" s="960"/>
      <c r="AA135" s="960"/>
      <c r="AB135" s="928"/>
      <c r="AC135" s="928"/>
      <c r="AD135" s="928"/>
      <c r="AE135" s="928"/>
      <c r="AF135" s="928"/>
      <c r="AG135" s="928"/>
      <c r="AH135" s="928"/>
      <c r="AI135" s="928"/>
      <c r="AJ135" s="928"/>
      <c r="AK135" s="928"/>
      <c r="AL135" s="928"/>
      <c r="AM135" s="928"/>
      <c r="AN135" s="928"/>
      <c r="AO135" s="928"/>
      <c r="AP135" s="928"/>
      <c r="AQ135" s="928"/>
      <c r="AR135" s="928"/>
      <c r="AS135" s="928"/>
    </row>
    <row r="136" spans="11:45">
      <c r="K136" s="957"/>
      <c r="L136" s="928"/>
      <c r="M136" s="928"/>
      <c r="N136" s="960"/>
      <c r="O136" s="960"/>
      <c r="P136" s="960"/>
      <c r="Q136" s="960"/>
      <c r="R136" s="960"/>
      <c r="S136" s="960"/>
      <c r="T136" s="960"/>
      <c r="U136" s="960"/>
      <c r="V136" s="960"/>
      <c r="W136" s="960"/>
      <c r="X136" s="960"/>
      <c r="Y136" s="960"/>
      <c r="Z136" s="960"/>
      <c r="AA136" s="960"/>
      <c r="AB136" s="928"/>
      <c r="AC136" s="928"/>
      <c r="AD136" s="928"/>
      <c r="AE136" s="928"/>
      <c r="AF136" s="928"/>
      <c r="AG136" s="928"/>
      <c r="AH136" s="928"/>
      <c r="AI136" s="928"/>
      <c r="AJ136" s="928"/>
      <c r="AK136" s="928"/>
      <c r="AL136" s="928"/>
      <c r="AM136" s="928"/>
      <c r="AN136" s="928"/>
      <c r="AO136" s="928"/>
      <c r="AP136" s="928"/>
      <c r="AQ136" s="928"/>
      <c r="AR136" s="928"/>
      <c r="AS136" s="928"/>
    </row>
    <row r="137" spans="11:45">
      <c r="K137" s="957"/>
      <c r="L137" s="928"/>
      <c r="M137" s="928"/>
      <c r="N137" s="960"/>
      <c r="O137" s="960"/>
      <c r="P137" s="960"/>
      <c r="Q137" s="960"/>
      <c r="R137" s="960"/>
      <c r="S137" s="960"/>
      <c r="T137" s="960"/>
      <c r="U137" s="960"/>
      <c r="V137" s="960"/>
      <c r="W137" s="960"/>
      <c r="X137" s="960"/>
      <c r="Y137" s="960"/>
      <c r="Z137" s="960"/>
      <c r="AA137" s="960"/>
      <c r="AB137" s="928"/>
      <c r="AC137" s="928"/>
      <c r="AD137" s="928"/>
      <c r="AE137" s="928"/>
      <c r="AF137" s="928"/>
      <c r="AG137" s="928"/>
      <c r="AH137" s="928"/>
      <c r="AI137" s="928"/>
      <c r="AJ137" s="928"/>
      <c r="AK137" s="928"/>
      <c r="AL137" s="928"/>
      <c r="AM137" s="928"/>
      <c r="AN137" s="928"/>
      <c r="AO137" s="928"/>
      <c r="AP137" s="928"/>
      <c r="AQ137" s="928"/>
      <c r="AR137" s="928"/>
      <c r="AS137" s="928"/>
    </row>
    <row r="138" spans="11:45">
      <c r="K138" s="957"/>
      <c r="L138" s="928"/>
      <c r="M138" s="928"/>
      <c r="N138" s="960"/>
      <c r="O138" s="960"/>
      <c r="P138" s="960"/>
      <c r="Q138" s="960"/>
      <c r="R138" s="960"/>
      <c r="S138" s="960"/>
      <c r="T138" s="960"/>
      <c r="U138" s="960"/>
      <c r="V138" s="960"/>
      <c r="W138" s="960"/>
      <c r="X138" s="960"/>
      <c r="Y138" s="960"/>
      <c r="Z138" s="960"/>
      <c r="AA138" s="960"/>
      <c r="AB138" s="928"/>
      <c r="AC138" s="928"/>
      <c r="AD138" s="928"/>
      <c r="AE138" s="928"/>
      <c r="AF138" s="928"/>
      <c r="AG138" s="928"/>
      <c r="AH138" s="928"/>
      <c r="AI138" s="928"/>
      <c r="AJ138" s="928"/>
      <c r="AK138" s="928"/>
      <c r="AL138" s="928"/>
      <c r="AM138" s="928"/>
      <c r="AN138" s="928"/>
      <c r="AO138" s="928"/>
      <c r="AP138" s="928"/>
      <c r="AQ138" s="928"/>
      <c r="AR138" s="928"/>
      <c r="AS138" s="928"/>
    </row>
    <row r="139" spans="11:45">
      <c r="K139" s="957"/>
      <c r="L139" s="928"/>
      <c r="M139" s="928"/>
      <c r="N139" s="960"/>
      <c r="O139" s="960"/>
      <c r="P139" s="960"/>
      <c r="Q139" s="960"/>
      <c r="R139" s="960"/>
      <c r="S139" s="960"/>
      <c r="T139" s="960"/>
      <c r="U139" s="960"/>
      <c r="V139" s="960"/>
      <c r="W139" s="960"/>
      <c r="X139" s="960"/>
      <c r="Y139" s="960"/>
      <c r="Z139" s="960"/>
      <c r="AA139" s="960"/>
      <c r="AB139" s="928"/>
      <c r="AC139" s="928"/>
      <c r="AD139" s="928"/>
      <c r="AE139" s="928"/>
      <c r="AF139" s="928"/>
      <c r="AG139" s="928"/>
      <c r="AH139" s="928"/>
      <c r="AI139" s="928"/>
      <c r="AJ139" s="928"/>
      <c r="AK139" s="928"/>
      <c r="AL139" s="928"/>
      <c r="AM139" s="928"/>
      <c r="AN139" s="928"/>
      <c r="AO139" s="928"/>
      <c r="AP139" s="928"/>
      <c r="AQ139" s="928"/>
      <c r="AR139" s="928"/>
      <c r="AS139" s="928"/>
    </row>
    <row r="140" spans="11:45">
      <c r="K140" s="957"/>
      <c r="L140" s="928"/>
      <c r="M140" s="928"/>
      <c r="N140" s="960"/>
      <c r="O140" s="960"/>
      <c r="P140" s="960"/>
      <c r="Q140" s="960"/>
      <c r="R140" s="960"/>
      <c r="S140" s="960"/>
      <c r="T140" s="960"/>
      <c r="U140" s="960"/>
      <c r="V140" s="960"/>
      <c r="W140" s="960"/>
      <c r="X140" s="960"/>
      <c r="Y140" s="960"/>
      <c r="Z140" s="960"/>
      <c r="AA140" s="960"/>
      <c r="AB140" s="928"/>
      <c r="AC140" s="928"/>
      <c r="AD140" s="928"/>
      <c r="AE140" s="928"/>
      <c r="AF140" s="928"/>
      <c r="AG140" s="928"/>
      <c r="AH140" s="928"/>
      <c r="AI140" s="928"/>
      <c r="AJ140" s="928"/>
      <c r="AK140" s="928"/>
      <c r="AL140" s="928"/>
      <c r="AM140" s="928"/>
      <c r="AN140" s="928"/>
      <c r="AO140" s="928"/>
      <c r="AP140" s="928"/>
      <c r="AQ140" s="928"/>
      <c r="AR140" s="928"/>
      <c r="AS140" s="928"/>
    </row>
    <row r="141" spans="11:45">
      <c r="K141" s="957"/>
      <c r="L141" s="928"/>
      <c r="M141" s="928"/>
      <c r="N141" s="960"/>
      <c r="O141" s="960"/>
      <c r="P141" s="960"/>
      <c r="Q141" s="960"/>
      <c r="R141" s="960"/>
      <c r="S141" s="960"/>
      <c r="T141" s="960"/>
      <c r="U141" s="960"/>
      <c r="V141" s="960"/>
      <c r="W141" s="960"/>
      <c r="X141" s="960"/>
      <c r="Y141" s="960"/>
      <c r="Z141" s="960"/>
      <c r="AA141" s="960"/>
      <c r="AB141" s="928"/>
      <c r="AC141" s="928"/>
      <c r="AD141" s="928"/>
      <c r="AE141" s="928"/>
      <c r="AF141" s="928"/>
      <c r="AG141" s="928"/>
      <c r="AH141" s="928"/>
      <c r="AI141" s="928"/>
      <c r="AJ141" s="928"/>
      <c r="AK141" s="928"/>
      <c r="AL141" s="928"/>
      <c r="AM141" s="928"/>
      <c r="AN141" s="928"/>
      <c r="AO141" s="928"/>
      <c r="AP141" s="928"/>
      <c r="AQ141" s="928"/>
      <c r="AR141" s="928"/>
      <c r="AS141" s="928"/>
    </row>
    <row r="142" spans="11:45">
      <c r="K142" s="957"/>
      <c r="L142" s="928"/>
      <c r="M142" s="928"/>
      <c r="N142" s="960"/>
      <c r="O142" s="960"/>
      <c r="P142" s="960"/>
      <c r="Q142" s="960"/>
      <c r="R142" s="960"/>
      <c r="S142" s="960"/>
      <c r="T142" s="960"/>
      <c r="U142" s="960"/>
      <c r="V142" s="960"/>
      <c r="W142" s="960"/>
      <c r="X142" s="960"/>
      <c r="Y142" s="960"/>
      <c r="Z142" s="960"/>
      <c r="AA142" s="960"/>
      <c r="AB142" s="928"/>
      <c r="AC142" s="928"/>
      <c r="AD142" s="928"/>
      <c r="AE142" s="928"/>
      <c r="AF142" s="928"/>
      <c r="AG142" s="928"/>
      <c r="AH142" s="928"/>
      <c r="AI142" s="928"/>
      <c r="AJ142" s="928"/>
      <c r="AK142" s="928"/>
      <c r="AL142" s="928"/>
      <c r="AM142" s="928"/>
      <c r="AN142" s="928"/>
      <c r="AO142" s="928"/>
      <c r="AP142" s="928"/>
      <c r="AQ142" s="928"/>
      <c r="AR142" s="928"/>
      <c r="AS142" s="928"/>
    </row>
    <row r="143" spans="11:45">
      <c r="K143" s="957"/>
      <c r="L143" s="928"/>
      <c r="M143" s="928"/>
      <c r="N143" s="960"/>
      <c r="O143" s="960"/>
      <c r="P143" s="960"/>
      <c r="Q143" s="960"/>
      <c r="R143" s="960"/>
      <c r="S143" s="960"/>
      <c r="T143" s="960"/>
      <c r="U143" s="960"/>
      <c r="V143" s="960"/>
      <c r="W143" s="960"/>
      <c r="X143" s="960"/>
      <c r="Y143" s="960"/>
      <c r="Z143" s="960"/>
      <c r="AA143" s="960"/>
      <c r="AB143" s="928"/>
      <c r="AC143" s="928"/>
      <c r="AD143" s="928"/>
      <c r="AE143" s="928"/>
      <c r="AF143" s="928"/>
      <c r="AG143" s="928"/>
      <c r="AH143" s="928"/>
      <c r="AI143" s="928"/>
      <c r="AJ143" s="928"/>
      <c r="AK143" s="928"/>
      <c r="AL143" s="928"/>
      <c r="AM143" s="928"/>
      <c r="AN143" s="928"/>
      <c r="AO143" s="928"/>
      <c r="AP143" s="928"/>
      <c r="AQ143" s="928"/>
      <c r="AR143" s="928"/>
      <c r="AS143" s="928"/>
    </row>
    <row r="144" spans="11:45">
      <c r="K144" s="957"/>
      <c r="L144" s="928"/>
      <c r="M144" s="928"/>
      <c r="N144" s="960"/>
      <c r="O144" s="960"/>
      <c r="P144" s="960"/>
      <c r="Q144" s="960"/>
      <c r="R144" s="960"/>
      <c r="S144" s="960"/>
      <c r="T144" s="960"/>
      <c r="U144" s="960"/>
      <c r="V144" s="960"/>
      <c r="W144" s="960"/>
      <c r="X144" s="960"/>
      <c r="Y144" s="960"/>
      <c r="Z144" s="960"/>
      <c r="AA144" s="960"/>
      <c r="AB144" s="928"/>
      <c r="AC144" s="928"/>
      <c r="AD144" s="928"/>
      <c r="AE144" s="928"/>
      <c r="AF144" s="928"/>
      <c r="AG144" s="928"/>
      <c r="AH144" s="928"/>
      <c r="AI144" s="928"/>
      <c r="AJ144" s="928"/>
      <c r="AK144" s="928"/>
      <c r="AL144" s="928"/>
      <c r="AM144" s="928"/>
      <c r="AN144" s="928"/>
      <c r="AO144" s="928"/>
      <c r="AP144" s="928"/>
      <c r="AQ144" s="928"/>
      <c r="AR144" s="928"/>
      <c r="AS144" s="928"/>
    </row>
    <row r="145" spans="11:45">
      <c r="K145" s="957"/>
      <c r="L145" s="928"/>
      <c r="M145" s="928"/>
      <c r="N145" s="960"/>
      <c r="O145" s="960"/>
      <c r="P145" s="960"/>
      <c r="Q145" s="960"/>
      <c r="R145" s="960"/>
      <c r="S145" s="960"/>
      <c r="T145" s="960"/>
      <c r="U145" s="960"/>
      <c r="V145" s="960"/>
      <c r="W145" s="960"/>
      <c r="X145" s="960"/>
      <c r="Y145" s="960"/>
      <c r="Z145" s="960"/>
      <c r="AA145" s="960"/>
      <c r="AB145" s="928"/>
      <c r="AC145" s="928"/>
      <c r="AD145" s="928"/>
      <c r="AE145" s="928"/>
      <c r="AF145" s="928"/>
      <c r="AG145" s="928"/>
      <c r="AH145" s="928"/>
      <c r="AI145" s="928"/>
      <c r="AJ145" s="928"/>
      <c r="AK145" s="928"/>
      <c r="AL145" s="928"/>
      <c r="AM145" s="928"/>
      <c r="AN145" s="928"/>
      <c r="AO145" s="928"/>
      <c r="AP145" s="928"/>
      <c r="AQ145" s="928"/>
      <c r="AR145" s="928"/>
      <c r="AS145" s="928"/>
    </row>
    <row r="146" spans="11:45">
      <c r="K146" s="957"/>
      <c r="L146" s="928"/>
      <c r="M146" s="928"/>
      <c r="N146" s="960"/>
      <c r="O146" s="960"/>
      <c r="P146" s="960"/>
      <c r="Q146" s="960"/>
      <c r="R146" s="960"/>
      <c r="S146" s="960"/>
      <c r="T146" s="960"/>
      <c r="U146" s="960"/>
      <c r="V146" s="960"/>
      <c r="W146" s="960"/>
      <c r="X146" s="960"/>
      <c r="Y146" s="960"/>
      <c r="Z146" s="960"/>
      <c r="AA146" s="960"/>
      <c r="AB146" s="928"/>
      <c r="AC146" s="928"/>
      <c r="AD146" s="928"/>
      <c r="AE146" s="928"/>
      <c r="AF146" s="928"/>
      <c r="AG146" s="928"/>
      <c r="AH146" s="928"/>
      <c r="AI146" s="928"/>
      <c r="AJ146" s="928"/>
      <c r="AK146" s="928"/>
      <c r="AL146" s="928"/>
      <c r="AM146" s="928"/>
      <c r="AN146" s="928"/>
      <c r="AO146" s="928"/>
      <c r="AP146" s="928"/>
      <c r="AQ146" s="928"/>
      <c r="AR146" s="928"/>
      <c r="AS146" s="928"/>
    </row>
    <row r="147" spans="11:45">
      <c r="K147" s="957"/>
      <c r="L147" s="928"/>
      <c r="M147" s="928"/>
      <c r="N147" s="960"/>
      <c r="O147" s="960"/>
      <c r="P147" s="960"/>
      <c r="Q147" s="960"/>
      <c r="R147" s="960"/>
      <c r="S147" s="960"/>
      <c r="T147" s="960"/>
      <c r="U147" s="960"/>
      <c r="V147" s="960"/>
      <c r="W147" s="960"/>
      <c r="X147" s="960"/>
      <c r="Y147" s="960"/>
      <c r="Z147" s="960"/>
      <c r="AA147" s="960"/>
      <c r="AB147" s="928"/>
      <c r="AC147" s="928"/>
      <c r="AD147" s="928"/>
      <c r="AE147" s="928"/>
      <c r="AF147" s="928"/>
      <c r="AG147" s="928"/>
      <c r="AH147" s="928"/>
      <c r="AI147" s="928"/>
      <c r="AJ147" s="928"/>
      <c r="AK147" s="928"/>
      <c r="AL147" s="928"/>
      <c r="AM147" s="928"/>
      <c r="AN147" s="928"/>
      <c r="AO147" s="928"/>
      <c r="AP147" s="928"/>
      <c r="AQ147" s="928"/>
      <c r="AR147" s="928"/>
      <c r="AS147" s="928"/>
    </row>
    <row r="148" spans="11:45">
      <c r="K148" s="957"/>
      <c r="L148" s="928"/>
      <c r="M148" s="928"/>
      <c r="N148" s="960"/>
      <c r="O148" s="960"/>
      <c r="P148" s="960"/>
      <c r="Q148" s="960"/>
      <c r="R148" s="960"/>
      <c r="S148" s="960"/>
      <c r="T148" s="960"/>
      <c r="U148" s="960"/>
      <c r="V148" s="960"/>
      <c r="W148" s="960"/>
      <c r="X148" s="960"/>
      <c r="Y148" s="960"/>
      <c r="Z148" s="960"/>
      <c r="AA148" s="960"/>
      <c r="AB148" s="928"/>
      <c r="AC148" s="928"/>
      <c r="AD148" s="928"/>
      <c r="AE148" s="928"/>
      <c r="AF148" s="928"/>
      <c r="AG148" s="928"/>
      <c r="AH148" s="928"/>
      <c r="AI148" s="928"/>
      <c r="AJ148" s="928"/>
      <c r="AK148" s="928"/>
      <c r="AL148" s="928"/>
      <c r="AM148" s="928"/>
      <c r="AN148" s="928"/>
      <c r="AO148" s="928"/>
      <c r="AP148" s="928"/>
      <c r="AQ148" s="928"/>
      <c r="AR148" s="928"/>
      <c r="AS148" s="928"/>
    </row>
    <row r="149" spans="11:45">
      <c r="K149" s="957"/>
      <c r="L149" s="928"/>
      <c r="M149" s="928"/>
      <c r="N149" s="960"/>
      <c r="O149" s="960"/>
      <c r="P149" s="960"/>
      <c r="Q149" s="960"/>
      <c r="R149" s="960"/>
      <c r="S149" s="960"/>
      <c r="T149" s="960"/>
      <c r="U149" s="960"/>
      <c r="V149" s="960"/>
      <c r="W149" s="960"/>
      <c r="X149" s="960"/>
      <c r="Y149" s="960"/>
      <c r="Z149" s="960"/>
      <c r="AA149" s="960"/>
      <c r="AB149" s="928"/>
      <c r="AC149" s="928"/>
      <c r="AD149" s="928"/>
      <c r="AE149" s="928"/>
      <c r="AF149" s="928"/>
      <c r="AG149" s="928"/>
      <c r="AH149" s="928"/>
      <c r="AI149" s="928"/>
      <c r="AJ149" s="928"/>
      <c r="AK149" s="928"/>
      <c r="AL149" s="928"/>
      <c r="AM149" s="928"/>
      <c r="AN149" s="928"/>
      <c r="AO149" s="928"/>
      <c r="AP149" s="928"/>
      <c r="AQ149" s="928"/>
      <c r="AR149" s="928"/>
      <c r="AS149" s="928"/>
    </row>
    <row r="150" spans="11:45">
      <c r="K150" s="957"/>
      <c r="L150" s="928"/>
      <c r="M150" s="928"/>
      <c r="N150" s="960"/>
      <c r="O150" s="960"/>
      <c r="P150" s="960"/>
      <c r="Q150" s="960"/>
      <c r="R150" s="960"/>
      <c r="S150" s="960"/>
      <c r="T150" s="960"/>
      <c r="U150" s="960"/>
      <c r="V150" s="960"/>
      <c r="W150" s="960"/>
      <c r="X150" s="960"/>
      <c r="Y150" s="960"/>
      <c r="Z150" s="960"/>
      <c r="AA150" s="960"/>
      <c r="AB150" s="928"/>
      <c r="AC150" s="928"/>
      <c r="AD150" s="928"/>
      <c r="AE150" s="928"/>
      <c r="AF150" s="928"/>
      <c r="AG150" s="928"/>
      <c r="AH150" s="928"/>
      <c r="AI150" s="928"/>
      <c r="AJ150" s="928"/>
      <c r="AK150" s="928"/>
      <c r="AL150" s="928"/>
      <c r="AM150" s="928"/>
      <c r="AN150" s="928"/>
      <c r="AO150" s="928"/>
      <c r="AP150" s="928"/>
      <c r="AQ150" s="928"/>
      <c r="AR150" s="928"/>
      <c r="AS150" s="928"/>
    </row>
    <row r="151" spans="11:45">
      <c r="K151" s="957"/>
      <c r="L151" s="928"/>
      <c r="M151" s="928"/>
      <c r="N151" s="960"/>
      <c r="O151" s="960"/>
      <c r="P151" s="960"/>
      <c r="Q151" s="960"/>
      <c r="R151" s="960"/>
      <c r="S151" s="960"/>
      <c r="T151" s="960"/>
      <c r="U151" s="960"/>
      <c r="V151" s="960"/>
      <c r="W151" s="960"/>
      <c r="X151" s="960"/>
      <c r="Y151" s="960"/>
      <c r="Z151" s="960"/>
      <c r="AA151" s="960"/>
      <c r="AB151" s="928"/>
      <c r="AC151" s="928"/>
      <c r="AD151" s="928"/>
      <c r="AE151" s="928"/>
      <c r="AF151" s="928"/>
      <c r="AG151" s="928"/>
      <c r="AH151" s="928"/>
      <c r="AI151" s="928"/>
      <c r="AJ151" s="928"/>
      <c r="AK151" s="928"/>
      <c r="AL151" s="928"/>
      <c r="AM151" s="928"/>
      <c r="AN151" s="928"/>
      <c r="AO151" s="928"/>
      <c r="AP151" s="928"/>
      <c r="AQ151" s="928"/>
      <c r="AR151" s="928"/>
      <c r="AS151" s="928"/>
    </row>
    <row r="152" spans="11:45">
      <c r="K152" s="957"/>
      <c r="L152" s="928"/>
      <c r="M152" s="928"/>
      <c r="N152" s="960"/>
      <c r="O152" s="960"/>
      <c r="P152" s="960"/>
      <c r="Q152" s="960"/>
      <c r="R152" s="960"/>
      <c r="S152" s="960"/>
      <c r="T152" s="960"/>
      <c r="U152" s="960"/>
      <c r="V152" s="960"/>
      <c r="W152" s="960"/>
      <c r="X152" s="960"/>
      <c r="Y152" s="960"/>
      <c r="Z152" s="960"/>
      <c r="AA152" s="960"/>
      <c r="AB152" s="928"/>
      <c r="AC152" s="928"/>
      <c r="AD152" s="928"/>
      <c r="AE152" s="928"/>
      <c r="AF152" s="928"/>
      <c r="AG152" s="928"/>
      <c r="AH152" s="928"/>
      <c r="AI152" s="928"/>
      <c r="AJ152" s="928"/>
      <c r="AK152" s="928"/>
      <c r="AL152" s="928"/>
      <c r="AM152" s="928"/>
      <c r="AN152" s="928"/>
      <c r="AO152" s="928"/>
      <c r="AP152" s="928"/>
      <c r="AQ152" s="928"/>
      <c r="AR152" s="928"/>
      <c r="AS152" s="928"/>
    </row>
    <row r="153" spans="11:45">
      <c r="K153" s="957"/>
      <c r="L153" s="928"/>
      <c r="M153" s="928"/>
      <c r="N153" s="960"/>
      <c r="O153" s="960"/>
      <c r="P153" s="960"/>
      <c r="Q153" s="960"/>
      <c r="R153" s="960"/>
      <c r="S153" s="960"/>
      <c r="T153" s="960"/>
      <c r="U153" s="960"/>
      <c r="V153" s="960"/>
      <c r="W153" s="960"/>
      <c r="X153" s="960"/>
      <c r="Y153" s="960"/>
      <c r="Z153" s="960"/>
      <c r="AA153" s="960"/>
      <c r="AB153" s="928"/>
      <c r="AC153" s="928"/>
      <c r="AD153" s="928"/>
      <c r="AE153" s="928"/>
      <c r="AF153" s="928"/>
      <c r="AG153" s="928"/>
      <c r="AH153" s="928"/>
      <c r="AI153" s="928"/>
      <c r="AJ153" s="928"/>
      <c r="AK153" s="928"/>
      <c r="AL153" s="928"/>
      <c r="AM153" s="928"/>
      <c r="AN153" s="928"/>
      <c r="AO153" s="928"/>
      <c r="AP153" s="928"/>
      <c r="AQ153" s="928"/>
      <c r="AR153" s="928"/>
      <c r="AS153" s="928"/>
    </row>
    <row r="154" spans="11:45">
      <c r="K154" s="957"/>
      <c r="L154" s="928"/>
      <c r="M154" s="928"/>
      <c r="N154" s="960"/>
      <c r="O154" s="960"/>
      <c r="P154" s="960"/>
      <c r="Q154" s="960"/>
      <c r="R154" s="960"/>
      <c r="S154" s="960"/>
      <c r="T154" s="960"/>
      <c r="U154" s="960"/>
      <c r="V154" s="960"/>
      <c r="W154" s="960"/>
      <c r="X154" s="960"/>
      <c r="Y154" s="960"/>
      <c r="Z154" s="960"/>
      <c r="AA154" s="960"/>
      <c r="AB154" s="928"/>
      <c r="AC154" s="928"/>
      <c r="AD154" s="928"/>
      <c r="AE154" s="928"/>
      <c r="AF154" s="928"/>
      <c r="AG154" s="928"/>
      <c r="AH154" s="928"/>
      <c r="AI154" s="928"/>
      <c r="AJ154" s="928"/>
      <c r="AK154" s="928"/>
      <c r="AL154" s="928"/>
      <c r="AM154" s="928"/>
      <c r="AN154" s="928"/>
      <c r="AO154" s="928"/>
      <c r="AP154" s="928"/>
      <c r="AQ154" s="928"/>
      <c r="AR154" s="928"/>
      <c r="AS154" s="928"/>
    </row>
    <row r="155" spans="11:45">
      <c r="K155" s="957"/>
      <c r="L155" s="928"/>
      <c r="M155" s="928"/>
      <c r="N155" s="960"/>
      <c r="O155" s="960"/>
      <c r="P155" s="960"/>
      <c r="Q155" s="960"/>
      <c r="R155" s="960"/>
      <c r="S155" s="960"/>
      <c r="T155" s="960"/>
      <c r="U155" s="960"/>
      <c r="V155" s="960"/>
      <c r="W155" s="960"/>
      <c r="X155" s="960"/>
      <c r="Y155" s="960"/>
      <c r="Z155" s="960"/>
      <c r="AA155" s="960"/>
      <c r="AB155" s="928"/>
      <c r="AC155" s="928"/>
      <c r="AD155" s="928"/>
      <c r="AE155" s="928"/>
      <c r="AF155" s="928"/>
      <c r="AG155" s="928"/>
      <c r="AH155" s="928"/>
      <c r="AI155" s="928"/>
      <c r="AJ155" s="928"/>
      <c r="AK155" s="928"/>
      <c r="AL155" s="928"/>
      <c r="AM155" s="928"/>
      <c r="AN155" s="928"/>
      <c r="AO155" s="928"/>
      <c r="AP155" s="928"/>
      <c r="AQ155" s="928"/>
      <c r="AR155" s="928"/>
      <c r="AS155" s="928"/>
    </row>
    <row r="156" spans="11:45">
      <c r="K156" s="957"/>
      <c r="L156" s="928"/>
      <c r="M156" s="928"/>
      <c r="N156" s="960"/>
      <c r="O156" s="960"/>
      <c r="P156" s="960"/>
      <c r="Q156" s="960"/>
      <c r="R156" s="960"/>
      <c r="S156" s="960"/>
      <c r="T156" s="960"/>
      <c r="U156" s="960"/>
      <c r="V156" s="960"/>
      <c r="W156" s="960"/>
      <c r="X156" s="960"/>
      <c r="Y156" s="960"/>
      <c r="Z156" s="960"/>
      <c r="AA156" s="960"/>
      <c r="AB156" s="928"/>
      <c r="AC156" s="928"/>
      <c r="AD156" s="928"/>
      <c r="AE156" s="928"/>
      <c r="AF156" s="928"/>
      <c r="AG156" s="928"/>
      <c r="AH156" s="928"/>
      <c r="AI156" s="928"/>
      <c r="AJ156" s="928"/>
      <c r="AK156" s="928"/>
      <c r="AL156" s="928"/>
      <c r="AM156" s="928"/>
      <c r="AN156" s="928"/>
      <c r="AO156" s="928"/>
      <c r="AP156" s="928"/>
      <c r="AQ156" s="928"/>
      <c r="AR156" s="928"/>
      <c r="AS156" s="928"/>
    </row>
    <row r="157" spans="11:45">
      <c r="K157" s="957"/>
      <c r="L157" s="928"/>
      <c r="M157" s="928"/>
      <c r="N157" s="960"/>
      <c r="O157" s="960"/>
      <c r="P157" s="960"/>
      <c r="Q157" s="960"/>
      <c r="R157" s="960"/>
      <c r="S157" s="960"/>
      <c r="T157" s="960"/>
      <c r="U157" s="960"/>
      <c r="V157" s="960"/>
      <c r="W157" s="960"/>
      <c r="X157" s="960"/>
      <c r="Y157" s="960"/>
      <c r="Z157" s="960"/>
      <c r="AA157" s="960"/>
      <c r="AB157" s="928"/>
      <c r="AC157" s="928"/>
      <c r="AD157" s="928"/>
      <c r="AE157" s="928"/>
      <c r="AF157" s="928"/>
      <c r="AG157" s="928"/>
      <c r="AH157" s="928"/>
      <c r="AI157" s="928"/>
      <c r="AJ157" s="928"/>
      <c r="AK157" s="928"/>
      <c r="AL157" s="928"/>
      <c r="AM157" s="928"/>
      <c r="AN157" s="928"/>
      <c r="AO157" s="928"/>
      <c r="AP157" s="928"/>
      <c r="AQ157" s="928"/>
      <c r="AR157" s="928"/>
      <c r="AS157" s="928"/>
    </row>
    <row r="158" spans="11:45">
      <c r="K158" s="957"/>
      <c r="L158" s="928"/>
      <c r="M158" s="928"/>
      <c r="N158" s="960"/>
      <c r="O158" s="960"/>
      <c r="P158" s="960"/>
      <c r="Q158" s="960"/>
      <c r="R158" s="960"/>
      <c r="S158" s="960"/>
      <c r="T158" s="960"/>
      <c r="U158" s="960"/>
      <c r="V158" s="960"/>
      <c r="W158" s="960"/>
      <c r="X158" s="960"/>
      <c r="Y158" s="960"/>
      <c r="Z158" s="960"/>
      <c r="AA158" s="960"/>
      <c r="AB158" s="928"/>
      <c r="AC158" s="928"/>
      <c r="AD158" s="928"/>
      <c r="AE158" s="928"/>
      <c r="AF158" s="928"/>
      <c r="AG158" s="928"/>
      <c r="AH158" s="928"/>
      <c r="AI158" s="928"/>
      <c r="AJ158" s="928"/>
      <c r="AK158" s="928"/>
      <c r="AL158" s="928"/>
      <c r="AM158" s="928"/>
      <c r="AN158" s="928"/>
      <c r="AO158" s="928"/>
      <c r="AP158" s="928"/>
      <c r="AQ158" s="928"/>
      <c r="AR158" s="928"/>
      <c r="AS158" s="928"/>
    </row>
    <row r="159" spans="11:45">
      <c r="K159" s="957"/>
      <c r="L159" s="928"/>
      <c r="M159" s="928"/>
      <c r="N159" s="960"/>
      <c r="O159" s="960"/>
      <c r="P159" s="960"/>
      <c r="Q159" s="960"/>
      <c r="R159" s="960"/>
      <c r="S159" s="960"/>
      <c r="T159" s="960"/>
      <c r="U159" s="960"/>
      <c r="V159" s="960"/>
      <c r="W159" s="960"/>
      <c r="X159" s="960"/>
      <c r="Y159" s="960"/>
      <c r="Z159" s="960"/>
      <c r="AA159" s="960"/>
      <c r="AB159" s="928"/>
      <c r="AC159" s="928"/>
      <c r="AD159" s="928"/>
      <c r="AE159" s="928"/>
      <c r="AF159" s="928"/>
      <c r="AG159" s="928"/>
      <c r="AH159" s="928"/>
      <c r="AI159" s="928"/>
      <c r="AJ159" s="928"/>
      <c r="AK159" s="928"/>
      <c r="AL159" s="928"/>
      <c r="AM159" s="928"/>
      <c r="AN159" s="928"/>
      <c r="AO159" s="928"/>
      <c r="AP159" s="928"/>
      <c r="AQ159" s="928"/>
      <c r="AR159" s="928"/>
      <c r="AS159" s="928"/>
    </row>
    <row r="160" spans="11:45">
      <c r="K160" s="957"/>
      <c r="L160" s="928"/>
      <c r="M160" s="928"/>
      <c r="N160" s="960"/>
      <c r="O160" s="960"/>
      <c r="P160" s="960"/>
      <c r="Q160" s="960"/>
      <c r="R160" s="960"/>
      <c r="S160" s="960"/>
      <c r="T160" s="960"/>
      <c r="U160" s="960"/>
      <c r="V160" s="960"/>
      <c r="W160" s="960"/>
      <c r="X160" s="960"/>
      <c r="Y160" s="960"/>
      <c r="Z160" s="960"/>
      <c r="AA160" s="960"/>
      <c r="AB160" s="928"/>
      <c r="AC160" s="928"/>
      <c r="AD160" s="928"/>
      <c r="AE160" s="928"/>
      <c r="AF160" s="928"/>
      <c r="AG160" s="928"/>
      <c r="AH160" s="928"/>
      <c r="AI160" s="928"/>
      <c r="AJ160" s="928"/>
      <c r="AK160" s="928"/>
      <c r="AL160" s="928"/>
      <c r="AM160" s="928"/>
      <c r="AN160" s="928"/>
      <c r="AO160" s="928"/>
      <c r="AP160" s="928"/>
      <c r="AQ160" s="928"/>
      <c r="AR160" s="928"/>
      <c r="AS160" s="928"/>
    </row>
    <row r="161" spans="11:45">
      <c r="K161" s="957"/>
      <c r="L161" s="928"/>
      <c r="M161" s="928"/>
      <c r="N161" s="960"/>
      <c r="O161" s="960"/>
      <c r="P161" s="960"/>
      <c r="Q161" s="960"/>
      <c r="R161" s="960"/>
      <c r="S161" s="960"/>
      <c r="T161" s="960"/>
      <c r="U161" s="960"/>
      <c r="V161" s="960"/>
      <c r="W161" s="960"/>
      <c r="X161" s="960"/>
      <c r="Y161" s="960"/>
      <c r="Z161" s="960"/>
      <c r="AA161" s="960"/>
      <c r="AB161" s="928"/>
      <c r="AC161" s="928"/>
      <c r="AD161" s="928"/>
      <c r="AE161" s="928"/>
      <c r="AF161" s="928"/>
      <c r="AG161" s="928"/>
      <c r="AH161" s="928"/>
      <c r="AI161" s="928"/>
      <c r="AJ161" s="928"/>
      <c r="AK161" s="928"/>
      <c r="AL161" s="928"/>
      <c r="AM161" s="928"/>
      <c r="AN161" s="928"/>
      <c r="AO161" s="928"/>
      <c r="AP161" s="928"/>
      <c r="AQ161" s="928"/>
      <c r="AR161" s="928"/>
      <c r="AS161" s="928"/>
    </row>
    <row r="162" spans="11:45">
      <c r="K162" s="957"/>
      <c r="L162" s="928"/>
      <c r="M162" s="928"/>
      <c r="N162" s="960"/>
      <c r="O162" s="960"/>
      <c r="P162" s="960"/>
      <c r="Q162" s="960"/>
      <c r="R162" s="960"/>
      <c r="S162" s="960"/>
      <c r="T162" s="960"/>
      <c r="U162" s="960"/>
      <c r="V162" s="960"/>
      <c r="W162" s="960"/>
      <c r="X162" s="960"/>
      <c r="Y162" s="960"/>
      <c r="Z162" s="960"/>
      <c r="AA162" s="960"/>
      <c r="AB162" s="928"/>
      <c r="AC162" s="928"/>
      <c r="AD162" s="928"/>
      <c r="AE162" s="928"/>
      <c r="AF162" s="928"/>
      <c r="AG162" s="928"/>
      <c r="AH162" s="928"/>
      <c r="AI162" s="928"/>
      <c r="AJ162" s="928"/>
      <c r="AK162" s="928"/>
      <c r="AL162" s="928"/>
      <c r="AM162" s="928"/>
      <c r="AN162" s="928"/>
      <c r="AO162" s="928"/>
      <c r="AP162" s="928"/>
      <c r="AQ162" s="928"/>
      <c r="AR162" s="928"/>
      <c r="AS162" s="928"/>
    </row>
    <row r="163" spans="11:45">
      <c r="K163" s="957"/>
      <c r="L163" s="928"/>
      <c r="M163" s="928"/>
      <c r="N163" s="960"/>
      <c r="O163" s="960"/>
      <c r="P163" s="960"/>
      <c r="Q163" s="960"/>
      <c r="R163" s="960"/>
      <c r="S163" s="960"/>
      <c r="T163" s="960"/>
      <c r="U163" s="960"/>
      <c r="V163" s="960"/>
      <c r="W163" s="960"/>
      <c r="X163" s="960"/>
      <c r="Y163" s="960"/>
      <c r="Z163" s="960"/>
      <c r="AA163" s="960"/>
      <c r="AB163" s="928"/>
      <c r="AC163" s="928"/>
      <c r="AD163" s="928"/>
      <c r="AE163" s="928"/>
      <c r="AF163" s="928"/>
      <c r="AG163" s="928"/>
      <c r="AH163" s="928"/>
      <c r="AI163" s="928"/>
      <c r="AJ163" s="928"/>
      <c r="AK163" s="928"/>
      <c r="AL163" s="928"/>
      <c r="AM163" s="928"/>
      <c r="AN163" s="928"/>
      <c r="AO163" s="928"/>
      <c r="AP163" s="928"/>
      <c r="AQ163" s="928"/>
      <c r="AR163" s="928"/>
      <c r="AS163" s="928"/>
    </row>
    <row r="164" spans="11:45">
      <c r="K164" s="957"/>
      <c r="L164" s="928"/>
      <c r="M164" s="928"/>
      <c r="N164" s="960"/>
      <c r="O164" s="960"/>
      <c r="P164" s="960"/>
      <c r="Q164" s="960"/>
      <c r="R164" s="960"/>
      <c r="S164" s="960"/>
      <c r="T164" s="960"/>
      <c r="U164" s="960"/>
      <c r="V164" s="960"/>
      <c r="W164" s="960"/>
      <c r="X164" s="960"/>
      <c r="Y164" s="960"/>
      <c r="Z164" s="960"/>
      <c r="AA164" s="960"/>
      <c r="AB164" s="928"/>
      <c r="AC164" s="928"/>
      <c r="AD164" s="928"/>
      <c r="AE164" s="928"/>
      <c r="AF164" s="928"/>
      <c r="AG164" s="928"/>
      <c r="AH164" s="928"/>
      <c r="AI164" s="928"/>
      <c r="AJ164" s="928"/>
      <c r="AK164" s="928"/>
      <c r="AL164" s="928"/>
      <c r="AM164" s="928"/>
      <c r="AN164" s="928"/>
      <c r="AO164" s="928"/>
      <c r="AP164" s="928"/>
      <c r="AQ164" s="928"/>
      <c r="AR164" s="928"/>
      <c r="AS164" s="928"/>
    </row>
    <row r="165" spans="11:45">
      <c r="K165" s="957"/>
      <c r="L165" s="928"/>
      <c r="M165" s="928"/>
      <c r="N165" s="960"/>
      <c r="O165" s="960"/>
      <c r="P165" s="960"/>
      <c r="Q165" s="960"/>
      <c r="R165" s="960"/>
      <c r="S165" s="960"/>
      <c r="T165" s="960"/>
      <c r="U165" s="960"/>
      <c r="V165" s="960"/>
      <c r="W165" s="960"/>
      <c r="X165" s="960"/>
      <c r="Y165" s="960"/>
      <c r="Z165" s="960"/>
      <c r="AA165" s="960"/>
      <c r="AB165" s="928"/>
      <c r="AC165" s="928"/>
      <c r="AD165" s="928"/>
      <c r="AE165" s="928"/>
      <c r="AF165" s="928"/>
      <c r="AG165" s="928"/>
      <c r="AH165" s="928"/>
      <c r="AI165" s="928"/>
      <c r="AJ165" s="928"/>
      <c r="AK165" s="928"/>
      <c r="AL165" s="928"/>
      <c r="AM165" s="928"/>
      <c r="AN165" s="928"/>
      <c r="AO165" s="928"/>
      <c r="AP165" s="928"/>
      <c r="AQ165" s="928"/>
      <c r="AR165" s="928"/>
      <c r="AS165" s="928"/>
    </row>
    <row r="166" spans="11:45">
      <c r="K166" s="957"/>
      <c r="L166" s="928"/>
      <c r="M166" s="928"/>
      <c r="N166" s="960"/>
      <c r="O166" s="960"/>
      <c r="P166" s="960"/>
      <c r="Q166" s="960"/>
      <c r="R166" s="960"/>
      <c r="S166" s="960"/>
      <c r="T166" s="960"/>
      <c r="U166" s="960"/>
      <c r="V166" s="960"/>
      <c r="W166" s="960"/>
      <c r="X166" s="960"/>
      <c r="Y166" s="960"/>
      <c r="Z166" s="960"/>
      <c r="AA166" s="960"/>
      <c r="AB166" s="928"/>
      <c r="AC166" s="928"/>
      <c r="AD166" s="928"/>
      <c r="AE166" s="928"/>
      <c r="AF166" s="928"/>
      <c r="AG166" s="928"/>
      <c r="AH166" s="928"/>
      <c r="AI166" s="928"/>
      <c r="AJ166" s="928"/>
      <c r="AK166" s="928"/>
      <c r="AL166" s="928"/>
      <c r="AM166" s="928"/>
      <c r="AN166" s="928"/>
      <c r="AO166" s="928"/>
      <c r="AP166" s="928"/>
      <c r="AQ166" s="928"/>
      <c r="AR166" s="928"/>
      <c r="AS166" s="928"/>
    </row>
    <row r="167" spans="11:45">
      <c r="K167" s="957"/>
      <c r="L167" s="928"/>
      <c r="M167" s="928"/>
      <c r="N167" s="960"/>
      <c r="O167" s="960"/>
      <c r="P167" s="960"/>
      <c r="Q167" s="960"/>
      <c r="R167" s="960"/>
      <c r="S167" s="960"/>
      <c r="T167" s="960"/>
      <c r="U167" s="960"/>
      <c r="V167" s="960"/>
      <c r="W167" s="960"/>
      <c r="X167" s="960"/>
      <c r="Y167" s="960"/>
      <c r="Z167" s="960"/>
      <c r="AA167" s="960"/>
      <c r="AB167" s="928"/>
      <c r="AC167" s="928"/>
      <c r="AD167" s="928"/>
      <c r="AE167" s="928"/>
      <c r="AF167" s="928"/>
      <c r="AG167" s="928"/>
      <c r="AH167" s="928"/>
      <c r="AI167" s="928"/>
      <c r="AJ167" s="928"/>
      <c r="AK167" s="928"/>
      <c r="AL167" s="928"/>
      <c r="AM167" s="928"/>
      <c r="AN167" s="928"/>
      <c r="AO167" s="928"/>
      <c r="AP167" s="928"/>
      <c r="AQ167" s="928"/>
      <c r="AR167" s="928"/>
      <c r="AS167" s="928"/>
    </row>
    <row r="168" spans="11:45">
      <c r="K168" s="957"/>
      <c r="L168" s="928"/>
      <c r="M168" s="928"/>
      <c r="N168" s="960"/>
      <c r="O168" s="960"/>
      <c r="P168" s="960"/>
      <c r="Q168" s="960"/>
      <c r="R168" s="960"/>
      <c r="S168" s="960"/>
      <c r="T168" s="960"/>
      <c r="U168" s="960"/>
      <c r="V168" s="960"/>
      <c r="W168" s="960"/>
      <c r="X168" s="960"/>
      <c r="Y168" s="960"/>
      <c r="Z168" s="960"/>
      <c r="AA168" s="960"/>
      <c r="AB168" s="928"/>
      <c r="AC168" s="928"/>
      <c r="AD168" s="928"/>
      <c r="AE168" s="928"/>
      <c r="AF168" s="928"/>
      <c r="AG168" s="928"/>
      <c r="AH168" s="928"/>
      <c r="AI168" s="928"/>
      <c r="AJ168" s="928"/>
      <c r="AK168" s="928"/>
      <c r="AL168" s="928"/>
      <c r="AM168" s="928"/>
      <c r="AN168" s="928"/>
      <c r="AO168" s="928"/>
      <c r="AP168" s="928"/>
      <c r="AQ168" s="928"/>
      <c r="AR168" s="928"/>
      <c r="AS168" s="928"/>
    </row>
    <row r="169" spans="11:45">
      <c r="K169" s="957"/>
      <c r="L169" s="928"/>
      <c r="M169" s="928"/>
      <c r="N169" s="960"/>
      <c r="O169" s="960"/>
      <c r="P169" s="960"/>
      <c r="Q169" s="960"/>
      <c r="R169" s="960"/>
      <c r="S169" s="960"/>
      <c r="T169" s="960"/>
      <c r="U169" s="960"/>
      <c r="V169" s="960"/>
      <c r="W169" s="960"/>
      <c r="X169" s="960"/>
      <c r="Y169" s="960"/>
      <c r="Z169" s="960"/>
      <c r="AA169" s="960"/>
      <c r="AB169" s="928"/>
      <c r="AC169" s="928"/>
      <c r="AD169" s="928"/>
      <c r="AE169" s="928"/>
      <c r="AF169" s="928"/>
      <c r="AG169" s="928"/>
      <c r="AH169" s="928"/>
      <c r="AI169" s="928"/>
      <c r="AJ169" s="928"/>
      <c r="AK169" s="928"/>
      <c r="AL169" s="928"/>
      <c r="AM169" s="928"/>
      <c r="AN169" s="928"/>
      <c r="AO169" s="928"/>
      <c r="AP169" s="928"/>
      <c r="AQ169" s="928"/>
      <c r="AR169" s="928"/>
      <c r="AS169" s="928"/>
    </row>
    <row r="170" spans="11:45">
      <c r="K170" s="957"/>
      <c r="L170" s="928"/>
      <c r="M170" s="928"/>
      <c r="N170" s="960"/>
      <c r="O170" s="960"/>
      <c r="P170" s="960"/>
      <c r="Q170" s="960"/>
      <c r="R170" s="960"/>
      <c r="S170" s="960"/>
      <c r="T170" s="960"/>
      <c r="U170" s="960"/>
      <c r="V170" s="960"/>
      <c r="W170" s="960"/>
      <c r="X170" s="960"/>
      <c r="Y170" s="960"/>
      <c r="Z170" s="960"/>
      <c r="AA170" s="960"/>
      <c r="AB170" s="928"/>
      <c r="AC170" s="928"/>
      <c r="AD170" s="928"/>
      <c r="AE170" s="928"/>
      <c r="AF170" s="928"/>
      <c r="AG170" s="928"/>
      <c r="AH170" s="928"/>
      <c r="AI170" s="928"/>
      <c r="AJ170" s="928"/>
      <c r="AK170" s="928"/>
      <c r="AL170" s="928"/>
      <c r="AM170" s="928"/>
      <c r="AN170" s="928"/>
      <c r="AO170" s="928"/>
      <c r="AP170" s="928"/>
      <c r="AQ170" s="928"/>
      <c r="AR170" s="928"/>
      <c r="AS170" s="928"/>
    </row>
    <row r="171" spans="11:45">
      <c r="K171" s="957"/>
      <c r="L171" s="928"/>
      <c r="M171" s="928"/>
      <c r="N171" s="960"/>
      <c r="O171" s="960"/>
      <c r="P171" s="960"/>
      <c r="Q171" s="960"/>
      <c r="R171" s="960"/>
      <c r="S171" s="960"/>
      <c r="T171" s="960"/>
      <c r="U171" s="960"/>
      <c r="V171" s="960"/>
      <c r="W171" s="960"/>
      <c r="X171" s="960"/>
      <c r="Y171" s="960"/>
      <c r="Z171" s="960"/>
      <c r="AA171" s="960"/>
      <c r="AB171" s="928"/>
      <c r="AC171" s="928"/>
      <c r="AD171" s="928"/>
      <c r="AE171" s="928"/>
      <c r="AF171" s="928"/>
      <c r="AG171" s="928"/>
      <c r="AH171" s="928"/>
      <c r="AI171" s="928"/>
      <c r="AJ171" s="928"/>
      <c r="AK171" s="928"/>
      <c r="AL171" s="928"/>
      <c r="AM171" s="928"/>
      <c r="AN171" s="928"/>
      <c r="AO171" s="928"/>
      <c r="AP171" s="928"/>
      <c r="AQ171" s="928"/>
      <c r="AR171" s="928"/>
      <c r="AS171" s="928"/>
    </row>
    <row r="172" spans="11:45">
      <c r="K172" s="957"/>
      <c r="L172" s="928"/>
      <c r="M172" s="928"/>
      <c r="N172" s="960"/>
      <c r="O172" s="960"/>
      <c r="P172" s="960"/>
      <c r="Q172" s="960"/>
      <c r="R172" s="960"/>
      <c r="S172" s="960"/>
      <c r="T172" s="960"/>
      <c r="U172" s="960"/>
      <c r="V172" s="960"/>
      <c r="W172" s="960"/>
      <c r="X172" s="960"/>
      <c r="Y172" s="960"/>
      <c r="Z172" s="960"/>
      <c r="AA172" s="960"/>
      <c r="AB172" s="928"/>
      <c r="AC172" s="928"/>
      <c r="AD172" s="928"/>
      <c r="AE172" s="928"/>
      <c r="AF172" s="928"/>
      <c r="AG172" s="928"/>
      <c r="AH172" s="928"/>
      <c r="AI172" s="928"/>
      <c r="AJ172" s="928"/>
      <c r="AK172" s="928"/>
      <c r="AL172" s="928"/>
      <c r="AM172" s="928"/>
      <c r="AN172" s="928"/>
      <c r="AO172" s="928"/>
      <c r="AP172" s="928"/>
      <c r="AQ172" s="928"/>
      <c r="AR172" s="928"/>
      <c r="AS172" s="928"/>
    </row>
    <row r="173" spans="11:45">
      <c r="K173" s="957"/>
      <c r="L173" s="928"/>
      <c r="M173" s="928"/>
      <c r="N173" s="960"/>
      <c r="O173" s="960"/>
      <c r="P173" s="960"/>
      <c r="Q173" s="960"/>
      <c r="R173" s="960"/>
      <c r="S173" s="960"/>
      <c r="T173" s="960"/>
      <c r="U173" s="960"/>
      <c r="V173" s="960"/>
      <c r="W173" s="960"/>
      <c r="X173" s="960"/>
      <c r="Y173" s="960"/>
      <c r="Z173" s="960"/>
      <c r="AA173" s="960"/>
      <c r="AB173" s="928"/>
      <c r="AC173" s="928"/>
      <c r="AD173" s="928"/>
      <c r="AE173" s="928"/>
      <c r="AF173" s="928"/>
      <c r="AG173" s="928"/>
      <c r="AH173" s="928"/>
      <c r="AI173" s="928"/>
      <c r="AJ173" s="928"/>
      <c r="AK173" s="928"/>
      <c r="AL173" s="928"/>
      <c r="AM173" s="928"/>
      <c r="AN173" s="928"/>
      <c r="AO173" s="928"/>
      <c r="AP173" s="928"/>
      <c r="AQ173" s="928"/>
      <c r="AR173" s="928"/>
      <c r="AS173" s="928"/>
    </row>
    <row r="174" spans="11:45">
      <c r="K174" s="957"/>
      <c r="L174" s="928"/>
      <c r="M174" s="928"/>
      <c r="N174" s="960"/>
      <c r="O174" s="960"/>
      <c r="P174" s="960"/>
      <c r="Q174" s="960"/>
      <c r="R174" s="960"/>
      <c r="S174" s="960"/>
      <c r="T174" s="960"/>
      <c r="U174" s="960"/>
      <c r="V174" s="960"/>
      <c r="W174" s="960"/>
      <c r="X174" s="960"/>
      <c r="Y174" s="960"/>
      <c r="Z174" s="960"/>
      <c r="AA174" s="960"/>
      <c r="AB174" s="928"/>
      <c r="AC174" s="928"/>
      <c r="AD174" s="928"/>
      <c r="AE174" s="928"/>
      <c r="AF174" s="928"/>
      <c r="AG174" s="928"/>
      <c r="AH174" s="928"/>
      <c r="AI174" s="928"/>
      <c r="AJ174" s="928"/>
      <c r="AK174" s="928"/>
      <c r="AL174" s="928"/>
      <c r="AM174" s="928"/>
      <c r="AN174" s="928"/>
      <c r="AO174" s="928"/>
      <c r="AP174" s="928"/>
      <c r="AQ174" s="928"/>
      <c r="AR174" s="928"/>
      <c r="AS174" s="928"/>
    </row>
    <row r="175" spans="11:45">
      <c r="K175" s="957"/>
      <c r="L175" s="928"/>
      <c r="M175" s="928"/>
      <c r="N175" s="960"/>
      <c r="O175" s="960"/>
      <c r="P175" s="960"/>
      <c r="Q175" s="960"/>
      <c r="R175" s="960"/>
      <c r="S175" s="960"/>
      <c r="T175" s="960"/>
      <c r="U175" s="960"/>
      <c r="V175" s="960"/>
      <c r="W175" s="960"/>
      <c r="X175" s="960"/>
      <c r="Y175" s="960"/>
      <c r="Z175" s="960"/>
      <c r="AA175" s="960"/>
      <c r="AB175" s="928"/>
      <c r="AC175" s="928"/>
      <c r="AD175" s="928"/>
      <c r="AE175" s="928"/>
      <c r="AF175" s="928"/>
      <c r="AG175" s="928"/>
      <c r="AH175" s="928"/>
      <c r="AI175" s="928"/>
      <c r="AJ175" s="928"/>
      <c r="AK175" s="928"/>
      <c r="AL175" s="928"/>
      <c r="AM175" s="928"/>
      <c r="AN175" s="928"/>
      <c r="AO175" s="928"/>
      <c r="AP175" s="928"/>
      <c r="AQ175" s="928"/>
      <c r="AR175" s="928"/>
      <c r="AS175" s="928"/>
    </row>
    <row r="176" spans="11:45">
      <c r="K176" s="957"/>
      <c r="L176" s="928"/>
      <c r="M176" s="928"/>
      <c r="N176" s="960"/>
      <c r="O176" s="960"/>
      <c r="P176" s="960"/>
      <c r="Q176" s="960"/>
      <c r="R176" s="960"/>
      <c r="S176" s="960"/>
      <c r="T176" s="960"/>
      <c r="U176" s="960"/>
      <c r="V176" s="960"/>
      <c r="W176" s="960"/>
      <c r="X176" s="960"/>
      <c r="Y176" s="960"/>
      <c r="Z176" s="960"/>
      <c r="AA176" s="960"/>
      <c r="AB176" s="928"/>
      <c r="AC176" s="928"/>
      <c r="AD176" s="928"/>
      <c r="AE176" s="928"/>
      <c r="AF176" s="928"/>
      <c r="AG176" s="928"/>
      <c r="AH176" s="928"/>
      <c r="AI176" s="928"/>
      <c r="AJ176" s="928"/>
      <c r="AK176" s="928"/>
      <c r="AL176" s="928"/>
      <c r="AM176" s="928"/>
      <c r="AN176" s="928"/>
      <c r="AO176" s="928"/>
      <c r="AP176" s="928"/>
      <c r="AQ176" s="928"/>
      <c r="AR176" s="928"/>
      <c r="AS176" s="928"/>
    </row>
    <row r="177" spans="11:45">
      <c r="K177" s="957"/>
      <c r="L177" s="928"/>
      <c r="M177" s="928"/>
      <c r="N177" s="960"/>
      <c r="O177" s="960"/>
      <c r="P177" s="960"/>
      <c r="Q177" s="960"/>
      <c r="R177" s="960"/>
      <c r="S177" s="960"/>
      <c r="T177" s="960"/>
      <c r="U177" s="960"/>
      <c r="V177" s="960"/>
      <c r="W177" s="960"/>
      <c r="X177" s="960"/>
      <c r="Y177" s="960"/>
      <c r="Z177" s="960"/>
      <c r="AA177" s="960"/>
      <c r="AB177" s="928"/>
      <c r="AC177" s="928"/>
      <c r="AD177" s="928"/>
      <c r="AE177" s="928"/>
      <c r="AF177" s="928"/>
      <c r="AG177" s="928"/>
      <c r="AH177" s="928"/>
      <c r="AI177" s="928"/>
      <c r="AJ177" s="928"/>
      <c r="AK177" s="928"/>
      <c r="AL177" s="928"/>
      <c r="AM177" s="928"/>
      <c r="AN177" s="928"/>
      <c r="AO177" s="928"/>
      <c r="AP177" s="928"/>
      <c r="AQ177" s="928"/>
      <c r="AR177" s="928"/>
      <c r="AS177" s="928"/>
    </row>
    <row r="178" spans="11:45">
      <c r="K178" s="957"/>
      <c r="L178" s="928"/>
      <c r="M178" s="928"/>
      <c r="N178" s="960"/>
      <c r="O178" s="960"/>
      <c r="P178" s="960"/>
      <c r="Q178" s="960"/>
      <c r="R178" s="960"/>
      <c r="S178" s="960"/>
      <c r="T178" s="960"/>
      <c r="U178" s="960"/>
      <c r="V178" s="960"/>
      <c r="W178" s="960"/>
      <c r="X178" s="960"/>
      <c r="Y178" s="960"/>
      <c r="Z178" s="960"/>
      <c r="AA178" s="960"/>
      <c r="AB178" s="928"/>
      <c r="AC178" s="928"/>
      <c r="AD178" s="928"/>
      <c r="AE178" s="928"/>
      <c r="AF178" s="928"/>
      <c r="AG178" s="928"/>
      <c r="AH178" s="928"/>
      <c r="AI178" s="928"/>
      <c r="AJ178" s="928"/>
      <c r="AK178" s="928"/>
      <c r="AL178" s="928"/>
      <c r="AM178" s="928"/>
      <c r="AN178" s="928"/>
      <c r="AO178" s="928"/>
      <c r="AP178" s="928"/>
      <c r="AQ178" s="928"/>
      <c r="AR178" s="928"/>
      <c r="AS178" s="928"/>
    </row>
    <row r="179" spans="11:45">
      <c r="K179" s="957"/>
      <c r="L179" s="928"/>
      <c r="M179" s="928"/>
      <c r="N179" s="960"/>
      <c r="O179" s="960"/>
      <c r="P179" s="960"/>
      <c r="Q179" s="960"/>
      <c r="R179" s="960"/>
      <c r="S179" s="960"/>
      <c r="T179" s="960"/>
      <c r="U179" s="960"/>
      <c r="V179" s="960"/>
      <c r="W179" s="960"/>
      <c r="X179" s="960"/>
      <c r="Y179" s="960"/>
      <c r="Z179" s="960"/>
      <c r="AA179" s="960"/>
      <c r="AB179" s="928"/>
      <c r="AC179" s="928"/>
      <c r="AD179" s="928"/>
      <c r="AE179" s="928"/>
      <c r="AF179" s="928"/>
      <c r="AG179" s="928"/>
      <c r="AH179" s="928"/>
      <c r="AI179" s="928"/>
      <c r="AJ179" s="928"/>
      <c r="AK179" s="928"/>
      <c r="AL179" s="928"/>
      <c r="AM179" s="928"/>
      <c r="AN179" s="928"/>
      <c r="AO179" s="928"/>
      <c r="AP179" s="928"/>
      <c r="AQ179" s="928"/>
      <c r="AR179" s="928"/>
      <c r="AS179" s="928"/>
    </row>
    <row r="180" spans="11:45">
      <c r="K180" s="957"/>
      <c r="L180" s="928"/>
      <c r="M180" s="928"/>
      <c r="N180" s="960"/>
      <c r="O180" s="960"/>
      <c r="P180" s="960"/>
      <c r="Q180" s="960"/>
      <c r="R180" s="960"/>
      <c r="S180" s="960"/>
      <c r="T180" s="960"/>
      <c r="U180" s="960"/>
      <c r="V180" s="960"/>
      <c r="W180" s="960"/>
      <c r="X180" s="960"/>
      <c r="Y180" s="960"/>
      <c r="Z180" s="960"/>
      <c r="AA180" s="960"/>
      <c r="AB180" s="928"/>
      <c r="AC180" s="928"/>
      <c r="AD180" s="928"/>
      <c r="AE180" s="928"/>
      <c r="AF180" s="928"/>
      <c r="AG180" s="928"/>
      <c r="AH180" s="928"/>
      <c r="AI180" s="928"/>
      <c r="AJ180" s="928"/>
      <c r="AK180" s="928"/>
      <c r="AL180" s="928"/>
      <c r="AM180" s="928"/>
      <c r="AN180" s="928"/>
      <c r="AO180" s="928"/>
      <c r="AP180" s="928"/>
      <c r="AQ180" s="928"/>
      <c r="AR180" s="928"/>
      <c r="AS180" s="928"/>
    </row>
    <row r="181" spans="11:45">
      <c r="K181" s="957"/>
      <c r="L181" s="928"/>
      <c r="M181" s="928"/>
      <c r="N181" s="960"/>
      <c r="O181" s="960"/>
      <c r="P181" s="960"/>
      <c r="Q181" s="960"/>
      <c r="R181" s="960"/>
      <c r="S181" s="960"/>
      <c r="T181" s="960"/>
      <c r="U181" s="960"/>
      <c r="V181" s="960"/>
      <c r="W181" s="960"/>
      <c r="X181" s="960"/>
      <c r="Y181" s="960"/>
      <c r="Z181" s="960"/>
      <c r="AA181" s="960"/>
      <c r="AB181" s="928"/>
      <c r="AC181" s="928"/>
      <c r="AD181" s="928"/>
      <c r="AE181" s="928"/>
      <c r="AF181" s="928"/>
      <c r="AG181" s="928"/>
      <c r="AH181" s="928"/>
      <c r="AI181" s="928"/>
      <c r="AJ181" s="928"/>
      <c r="AK181" s="928"/>
      <c r="AL181" s="928"/>
      <c r="AM181" s="928"/>
      <c r="AN181" s="928"/>
      <c r="AO181" s="928"/>
      <c r="AP181" s="928"/>
      <c r="AQ181" s="928"/>
      <c r="AR181" s="928"/>
      <c r="AS181" s="928"/>
    </row>
    <row r="182" spans="11:45">
      <c r="K182" s="957"/>
      <c r="L182" s="928"/>
      <c r="M182" s="928"/>
      <c r="N182" s="960"/>
      <c r="O182" s="960"/>
      <c r="P182" s="960"/>
      <c r="Q182" s="960"/>
      <c r="R182" s="960"/>
      <c r="S182" s="960"/>
      <c r="T182" s="960"/>
      <c r="U182" s="960"/>
      <c r="V182" s="960"/>
      <c r="W182" s="960"/>
      <c r="X182" s="960"/>
      <c r="Y182" s="960"/>
      <c r="Z182" s="960"/>
      <c r="AA182" s="960"/>
      <c r="AB182" s="928"/>
      <c r="AC182" s="928"/>
      <c r="AD182" s="928"/>
      <c r="AE182" s="928"/>
      <c r="AF182" s="928"/>
      <c r="AG182" s="928"/>
      <c r="AH182" s="928"/>
      <c r="AI182" s="928"/>
      <c r="AJ182" s="928"/>
      <c r="AK182" s="928"/>
      <c r="AL182" s="928"/>
      <c r="AM182" s="928"/>
      <c r="AN182" s="928"/>
      <c r="AO182" s="928"/>
      <c r="AP182" s="928"/>
      <c r="AQ182" s="928"/>
      <c r="AR182" s="928"/>
      <c r="AS182" s="928"/>
    </row>
    <row r="183" spans="11:45">
      <c r="K183" s="957"/>
      <c r="L183" s="928"/>
      <c r="M183" s="928"/>
      <c r="N183" s="960"/>
      <c r="O183" s="960"/>
      <c r="P183" s="960"/>
      <c r="Q183" s="960"/>
      <c r="R183" s="960"/>
      <c r="S183" s="960"/>
      <c r="T183" s="960"/>
      <c r="U183" s="960"/>
      <c r="V183" s="960"/>
      <c r="W183" s="960"/>
      <c r="X183" s="960"/>
      <c r="Y183" s="960"/>
      <c r="Z183" s="960"/>
      <c r="AA183" s="960"/>
      <c r="AB183" s="928"/>
      <c r="AC183" s="928"/>
      <c r="AD183" s="928"/>
      <c r="AE183" s="928"/>
      <c r="AF183" s="928"/>
      <c r="AG183" s="928"/>
      <c r="AH183" s="928"/>
      <c r="AI183" s="928"/>
      <c r="AJ183" s="928"/>
      <c r="AK183" s="928"/>
      <c r="AL183" s="928"/>
      <c r="AM183" s="928"/>
      <c r="AN183" s="928"/>
      <c r="AO183" s="928"/>
      <c r="AP183" s="928"/>
      <c r="AQ183" s="928"/>
      <c r="AR183" s="928"/>
      <c r="AS183" s="928"/>
    </row>
    <row r="184" spans="11:45">
      <c r="K184" s="957"/>
      <c r="L184" s="928"/>
      <c r="M184" s="928"/>
      <c r="N184" s="960"/>
      <c r="O184" s="960"/>
      <c r="P184" s="960"/>
      <c r="Q184" s="960"/>
      <c r="R184" s="960"/>
      <c r="S184" s="960"/>
      <c r="T184" s="960"/>
      <c r="U184" s="960"/>
      <c r="V184" s="960"/>
      <c r="W184" s="960"/>
      <c r="X184" s="960"/>
      <c r="Y184" s="960"/>
      <c r="Z184" s="960"/>
      <c r="AA184" s="960"/>
      <c r="AB184" s="928"/>
      <c r="AC184" s="928"/>
      <c r="AD184" s="928"/>
      <c r="AE184" s="928"/>
      <c r="AF184" s="928"/>
      <c r="AG184" s="928"/>
      <c r="AH184" s="928"/>
      <c r="AI184" s="928"/>
      <c r="AJ184" s="928"/>
      <c r="AK184" s="928"/>
      <c r="AL184" s="928"/>
      <c r="AM184" s="928"/>
      <c r="AN184" s="928"/>
      <c r="AO184" s="928"/>
      <c r="AP184" s="928"/>
      <c r="AQ184" s="928"/>
      <c r="AR184" s="928"/>
      <c r="AS184" s="928"/>
    </row>
    <row r="185" spans="11:45">
      <c r="K185" s="957"/>
      <c r="L185" s="928"/>
      <c r="M185" s="928"/>
      <c r="N185" s="960"/>
      <c r="O185" s="960"/>
      <c r="P185" s="960"/>
      <c r="Q185" s="960"/>
      <c r="R185" s="960"/>
      <c r="S185" s="960"/>
      <c r="T185" s="960"/>
      <c r="U185" s="960"/>
      <c r="V185" s="960"/>
      <c r="W185" s="960"/>
      <c r="X185" s="960"/>
      <c r="Y185" s="960"/>
      <c r="Z185" s="960"/>
      <c r="AA185" s="960"/>
      <c r="AB185" s="928"/>
      <c r="AC185" s="928"/>
      <c r="AD185" s="928"/>
      <c r="AE185" s="928"/>
      <c r="AF185" s="928"/>
      <c r="AG185" s="928"/>
      <c r="AH185" s="928"/>
      <c r="AI185" s="928"/>
      <c r="AJ185" s="928"/>
      <c r="AK185" s="928"/>
      <c r="AL185" s="928"/>
      <c r="AM185" s="928"/>
      <c r="AN185" s="928"/>
      <c r="AO185" s="928"/>
      <c r="AP185" s="928"/>
      <c r="AQ185" s="928"/>
      <c r="AR185" s="928"/>
      <c r="AS185" s="928"/>
    </row>
    <row r="186" spans="11:45">
      <c r="K186" s="957"/>
      <c r="L186" s="928"/>
      <c r="M186" s="928"/>
      <c r="N186" s="960"/>
      <c r="O186" s="960"/>
      <c r="P186" s="960"/>
      <c r="Q186" s="960"/>
      <c r="R186" s="960"/>
      <c r="S186" s="960"/>
      <c r="T186" s="960"/>
      <c r="U186" s="960"/>
      <c r="V186" s="960"/>
      <c r="W186" s="960"/>
      <c r="X186" s="960"/>
      <c r="Y186" s="960"/>
      <c r="Z186" s="960"/>
      <c r="AA186" s="960"/>
      <c r="AB186" s="928"/>
      <c r="AC186" s="928"/>
      <c r="AD186" s="928"/>
      <c r="AE186" s="928"/>
      <c r="AF186" s="928"/>
      <c r="AG186" s="928"/>
      <c r="AH186" s="928"/>
      <c r="AI186" s="928"/>
      <c r="AJ186" s="928"/>
      <c r="AK186" s="928"/>
      <c r="AL186" s="928"/>
      <c r="AM186" s="928"/>
      <c r="AN186" s="928"/>
      <c r="AO186" s="928"/>
      <c r="AP186" s="928"/>
      <c r="AQ186" s="928"/>
      <c r="AR186" s="928"/>
      <c r="AS186" s="928"/>
    </row>
    <row r="187" spans="11:45">
      <c r="K187" s="957"/>
      <c r="L187" s="928"/>
      <c r="M187" s="928"/>
      <c r="N187" s="960"/>
      <c r="O187" s="960"/>
      <c r="P187" s="960"/>
      <c r="Q187" s="960"/>
      <c r="R187" s="960"/>
      <c r="S187" s="960"/>
      <c r="T187" s="960"/>
      <c r="U187" s="960"/>
      <c r="V187" s="960"/>
      <c r="W187" s="960"/>
      <c r="X187" s="960"/>
      <c r="Y187" s="960"/>
      <c r="Z187" s="960"/>
      <c r="AA187" s="960"/>
      <c r="AB187" s="928"/>
      <c r="AC187" s="928"/>
      <c r="AD187" s="928"/>
      <c r="AE187" s="928"/>
      <c r="AF187" s="928"/>
      <c r="AG187" s="928"/>
      <c r="AH187" s="928"/>
      <c r="AI187" s="928"/>
      <c r="AJ187" s="928"/>
      <c r="AK187" s="928"/>
      <c r="AL187" s="928"/>
      <c r="AM187" s="928"/>
      <c r="AN187" s="928"/>
      <c r="AO187" s="928"/>
      <c r="AP187" s="928"/>
      <c r="AQ187" s="928"/>
      <c r="AR187" s="928"/>
      <c r="AS187" s="928"/>
    </row>
    <row r="188" spans="11:45">
      <c r="K188" s="957"/>
      <c r="L188" s="928"/>
      <c r="M188" s="928"/>
      <c r="N188" s="960"/>
      <c r="O188" s="960"/>
      <c r="P188" s="960"/>
      <c r="Q188" s="960"/>
      <c r="R188" s="960"/>
      <c r="S188" s="960"/>
      <c r="T188" s="960"/>
      <c r="U188" s="960"/>
      <c r="V188" s="960"/>
      <c r="W188" s="960"/>
      <c r="X188" s="960"/>
      <c r="Y188" s="960"/>
      <c r="Z188" s="960"/>
      <c r="AA188" s="960"/>
      <c r="AB188" s="928"/>
      <c r="AC188" s="928"/>
      <c r="AD188" s="928"/>
      <c r="AE188" s="928"/>
      <c r="AF188" s="928"/>
      <c r="AG188" s="928"/>
      <c r="AH188" s="928"/>
      <c r="AI188" s="928"/>
      <c r="AJ188" s="928"/>
      <c r="AK188" s="928"/>
      <c r="AL188" s="928"/>
      <c r="AM188" s="928"/>
      <c r="AN188" s="928"/>
      <c r="AO188" s="928"/>
      <c r="AP188" s="928"/>
      <c r="AQ188" s="928"/>
      <c r="AR188" s="928"/>
      <c r="AS188" s="928"/>
    </row>
    <row r="189" spans="11:45">
      <c r="K189" s="957"/>
      <c r="L189" s="928"/>
      <c r="M189" s="928"/>
      <c r="N189" s="960"/>
      <c r="O189" s="960"/>
      <c r="P189" s="960"/>
      <c r="Q189" s="960"/>
      <c r="R189" s="960"/>
      <c r="S189" s="960"/>
      <c r="T189" s="960"/>
      <c r="U189" s="960"/>
      <c r="V189" s="960"/>
      <c r="W189" s="960"/>
      <c r="X189" s="960"/>
      <c r="Y189" s="960"/>
      <c r="Z189" s="960"/>
      <c r="AA189" s="960"/>
      <c r="AB189" s="928"/>
      <c r="AC189" s="928"/>
      <c r="AD189" s="928"/>
      <c r="AE189" s="928"/>
      <c r="AF189" s="928"/>
      <c r="AG189" s="928"/>
      <c r="AH189" s="928"/>
      <c r="AI189" s="928"/>
      <c r="AJ189" s="928"/>
      <c r="AK189" s="928"/>
      <c r="AL189" s="928"/>
      <c r="AM189" s="928"/>
      <c r="AN189" s="928"/>
      <c r="AO189" s="928"/>
      <c r="AP189" s="928"/>
      <c r="AQ189" s="928"/>
      <c r="AR189" s="928"/>
      <c r="AS189" s="928"/>
    </row>
    <row r="190" spans="11:45">
      <c r="K190" s="957"/>
      <c r="L190" s="928"/>
      <c r="M190" s="928"/>
      <c r="N190" s="960"/>
      <c r="O190" s="960"/>
      <c r="P190" s="960"/>
      <c r="Q190" s="960"/>
      <c r="R190" s="960"/>
      <c r="S190" s="960"/>
      <c r="T190" s="960"/>
      <c r="U190" s="960"/>
      <c r="V190" s="960"/>
      <c r="W190" s="960"/>
      <c r="X190" s="960"/>
      <c r="Y190" s="960"/>
      <c r="Z190" s="960"/>
      <c r="AA190" s="960"/>
      <c r="AB190" s="928"/>
      <c r="AC190" s="928"/>
      <c r="AD190" s="928"/>
      <c r="AE190" s="928"/>
      <c r="AF190" s="928"/>
      <c r="AG190" s="928"/>
      <c r="AH190" s="928"/>
      <c r="AI190" s="928"/>
      <c r="AJ190" s="928"/>
      <c r="AK190" s="928"/>
      <c r="AL190" s="928"/>
      <c r="AM190" s="928"/>
      <c r="AN190" s="928"/>
      <c r="AO190" s="928"/>
      <c r="AP190" s="928"/>
      <c r="AQ190" s="928"/>
      <c r="AR190" s="928"/>
      <c r="AS190" s="928"/>
    </row>
    <row r="191" spans="11:45">
      <c r="K191" s="957"/>
      <c r="L191" s="928"/>
      <c r="M191" s="928"/>
      <c r="N191" s="960"/>
      <c r="O191" s="960"/>
      <c r="P191" s="960"/>
      <c r="Q191" s="960"/>
      <c r="R191" s="960"/>
      <c r="S191" s="960"/>
      <c r="T191" s="960"/>
      <c r="U191" s="960"/>
      <c r="V191" s="960"/>
      <c r="W191" s="960"/>
      <c r="X191" s="960"/>
      <c r="Y191" s="960"/>
      <c r="Z191" s="960"/>
      <c r="AA191" s="960"/>
      <c r="AB191" s="928"/>
      <c r="AC191" s="928"/>
      <c r="AD191" s="928"/>
      <c r="AE191" s="928"/>
      <c r="AF191" s="928"/>
      <c r="AG191" s="928"/>
      <c r="AH191" s="928"/>
      <c r="AI191" s="928"/>
      <c r="AJ191" s="928"/>
      <c r="AK191" s="928"/>
      <c r="AL191" s="928"/>
      <c r="AM191" s="928"/>
      <c r="AN191" s="928"/>
      <c r="AO191" s="928"/>
      <c r="AP191" s="928"/>
      <c r="AQ191" s="928"/>
      <c r="AR191" s="928"/>
      <c r="AS191" s="928"/>
    </row>
    <row r="192" spans="11:45">
      <c r="K192" s="957"/>
      <c r="L192" s="928"/>
      <c r="M192" s="928"/>
      <c r="N192" s="960"/>
      <c r="O192" s="960"/>
      <c r="P192" s="960"/>
      <c r="Q192" s="960"/>
      <c r="R192" s="960"/>
      <c r="S192" s="960"/>
      <c r="T192" s="960"/>
      <c r="U192" s="960"/>
      <c r="V192" s="960"/>
      <c r="W192" s="960"/>
      <c r="X192" s="960"/>
      <c r="Y192" s="960"/>
      <c r="Z192" s="960"/>
      <c r="AA192" s="960"/>
      <c r="AB192" s="928"/>
      <c r="AC192" s="928"/>
      <c r="AD192" s="928"/>
      <c r="AE192" s="928"/>
      <c r="AF192" s="928"/>
      <c r="AG192" s="928"/>
      <c r="AH192" s="928"/>
      <c r="AI192" s="928"/>
      <c r="AJ192" s="928"/>
      <c r="AK192" s="928"/>
      <c r="AL192" s="928"/>
      <c r="AM192" s="928"/>
      <c r="AN192" s="928"/>
      <c r="AO192" s="928"/>
      <c r="AP192" s="928"/>
      <c r="AQ192" s="928"/>
      <c r="AR192" s="928"/>
      <c r="AS192" s="928"/>
    </row>
    <row r="193" spans="11:45">
      <c r="K193" s="957"/>
      <c r="L193" s="928"/>
      <c r="M193" s="928"/>
      <c r="N193" s="960"/>
      <c r="O193" s="960"/>
      <c r="P193" s="960"/>
      <c r="Q193" s="960"/>
      <c r="R193" s="960"/>
      <c r="S193" s="960"/>
      <c r="T193" s="960"/>
      <c r="U193" s="960"/>
      <c r="V193" s="960"/>
      <c r="W193" s="960"/>
      <c r="X193" s="960"/>
      <c r="Y193" s="960"/>
      <c r="Z193" s="960"/>
      <c r="AA193" s="960"/>
      <c r="AB193" s="928"/>
      <c r="AC193" s="928"/>
      <c r="AD193" s="928"/>
      <c r="AE193" s="928"/>
      <c r="AF193" s="928"/>
      <c r="AG193" s="928"/>
      <c r="AH193" s="928"/>
      <c r="AI193" s="928"/>
      <c r="AJ193" s="928"/>
      <c r="AK193" s="928"/>
      <c r="AL193" s="928"/>
      <c r="AM193" s="928"/>
      <c r="AN193" s="928"/>
      <c r="AO193" s="928"/>
      <c r="AP193" s="928"/>
      <c r="AQ193" s="928"/>
      <c r="AR193" s="928"/>
      <c r="AS193" s="928"/>
    </row>
    <row r="194" spans="11:45">
      <c r="K194" s="957"/>
      <c r="L194" s="928"/>
      <c r="M194" s="928"/>
      <c r="N194" s="960"/>
      <c r="O194" s="960"/>
      <c r="P194" s="960"/>
      <c r="Q194" s="960"/>
      <c r="R194" s="960"/>
      <c r="S194" s="960"/>
      <c r="T194" s="960"/>
      <c r="U194" s="960"/>
      <c r="V194" s="960"/>
      <c r="W194" s="960"/>
      <c r="X194" s="960"/>
      <c r="Y194" s="960"/>
      <c r="Z194" s="960"/>
      <c r="AA194" s="960"/>
      <c r="AB194" s="928"/>
      <c r="AC194" s="928"/>
      <c r="AD194" s="928"/>
      <c r="AE194" s="928"/>
      <c r="AF194" s="928"/>
      <c r="AG194" s="928"/>
      <c r="AH194" s="928"/>
      <c r="AI194" s="928"/>
      <c r="AJ194" s="928"/>
      <c r="AK194" s="928"/>
      <c r="AL194" s="928"/>
      <c r="AM194" s="928"/>
      <c r="AN194" s="928"/>
      <c r="AO194" s="928"/>
      <c r="AP194" s="928"/>
      <c r="AQ194" s="928"/>
      <c r="AR194" s="928"/>
      <c r="AS194" s="928"/>
    </row>
    <row r="195" spans="11:45">
      <c r="K195" s="957"/>
      <c r="L195" s="928"/>
      <c r="M195" s="928"/>
      <c r="N195" s="960"/>
      <c r="O195" s="960"/>
      <c r="P195" s="960"/>
      <c r="Q195" s="960"/>
      <c r="R195" s="960"/>
      <c r="S195" s="960"/>
      <c r="T195" s="960"/>
      <c r="U195" s="960"/>
      <c r="V195" s="960"/>
      <c r="W195" s="960"/>
      <c r="X195" s="960"/>
      <c r="Y195" s="960"/>
      <c r="Z195" s="960"/>
      <c r="AA195" s="960"/>
      <c r="AB195" s="928"/>
      <c r="AC195" s="928"/>
      <c r="AD195" s="928"/>
      <c r="AE195" s="928"/>
      <c r="AF195" s="928"/>
      <c r="AG195" s="928"/>
      <c r="AH195" s="928"/>
      <c r="AI195" s="928"/>
      <c r="AJ195" s="928"/>
      <c r="AK195" s="928"/>
      <c r="AL195" s="928"/>
      <c r="AM195" s="928"/>
      <c r="AN195" s="928"/>
      <c r="AO195" s="928"/>
      <c r="AP195" s="928"/>
      <c r="AQ195" s="928"/>
      <c r="AR195" s="928"/>
      <c r="AS195" s="928"/>
    </row>
    <row r="196" spans="11:45">
      <c r="K196" s="957"/>
      <c r="L196" s="928"/>
      <c r="M196" s="928"/>
      <c r="N196" s="960"/>
      <c r="O196" s="960"/>
      <c r="P196" s="960"/>
      <c r="Q196" s="960"/>
      <c r="R196" s="960"/>
      <c r="S196" s="960"/>
      <c r="T196" s="960"/>
      <c r="U196" s="960"/>
      <c r="V196" s="960"/>
      <c r="W196" s="960"/>
      <c r="X196" s="960"/>
      <c r="Y196" s="960"/>
      <c r="Z196" s="960"/>
      <c r="AA196" s="960"/>
      <c r="AB196" s="928"/>
      <c r="AC196" s="928"/>
      <c r="AD196" s="928"/>
      <c r="AE196" s="928"/>
      <c r="AF196" s="928"/>
      <c r="AG196" s="928"/>
      <c r="AH196" s="928"/>
      <c r="AI196" s="928"/>
      <c r="AJ196" s="928"/>
      <c r="AK196" s="928"/>
      <c r="AL196" s="928"/>
      <c r="AM196" s="928"/>
      <c r="AN196" s="928"/>
      <c r="AO196" s="928"/>
      <c r="AP196" s="928"/>
      <c r="AQ196" s="928"/>
      <c r="AR196" s="928"/>
      <c r="AS196" s="928"/>
    </row>
    <row r="197" spans="11:45">
      <c r="K197" s="957"/>
      <c r="L197" s="928"/>
      <c r="M197" s="928"/>
      <c r="N197" s="960"/>
      <c r="O197" s="960"/>
      <c r="P197" s="960"/>
      <c r="Q197" s="960"/>
      <c r="R197" s="960"/>
      <c r="S197" s="960"/>
      <c r="T197" s="960"/>
      <c r="U197" s="960"/>
      <c r="V197" s="960"/>
      <c r="W197" s="960"/>
      <c r="X197" s="960"/>
      <c r="Y197" s="960"/>
      <c r="Z197" s="960"/>
      <c r="AA197" s="960"/>
      <c r="AB197" s="928"/>
      <c r="AC197" s="928"/>
      <c r="AD197" s="928"/>
      <c r="AE197" s="928"/>
      <c r="AF197" s="928"/>
      <c r="AG197" s="928"/>
      <c r="AH197" s="928"/>
      <c r="AI197" s="928"/>
      <c r="AJ197" s="928"/>
      <c r="AK197" s="928"/>
      <c r="AL197" s="928"/>
      <c r="AM197" s="928"/>
      <c r="AN197" s="928"/>
      <c r="AO197" s="928"/>
      <c r="AP197" s="928"/>
      <c r="AQ197" s="928"/>
      <c r="AR197" s="928"/>
      <c r="AS197" s="928"/>
    </row>
    <row r="198" spans="11:45">
      <c r="K198" s="957"/>
      <c r="L198" s="928"/>
      <c r="M198" s="928"/>
      <c r="N198" s="960"/>
      <c r="O198" s="960"/>
      <c r="P198" s="960"/>
      <c r="Q198" s="960"/>
      <c r="R198" s="960"/>
      <c r="S198" s="960"/>
      <c r="T198" s="960"/>
      <c r="U198" s="960"/>
      <c r="V198" s="960"/>
      <c r="W198" s="960"/>
      <c r="X198" s="960"/>
      <c r="Y198" s="960"/>
      <c r="Z198" s="960"/>
      <c r="AA198" s="960"/>
      <c r="AB198" s="928"/>
      <c r="AC198" s="928"/>
      <c r="AD198" s="928"/>
      <c r="AE198" s="928"/>
      <c r="AF198" s="928"/>
      <c r="AG198" s="928"/>
      <c r="AH198" s="928"/>
      <c r="AI198" s="928"/>
      <c r="AJ198" s="928"/>
      <c r="AK198" s="928"/>
      <c r="AL198" s="928"/>
      <c r="AM198" s="928"/>
      <c r="AN198" s="928"/>
      <c r="AO198" s="928"/>
      <c r="AP198" s="928"/>
      <c r="AQ198" s="928"/>
      <c r="AR198" s="928"/>
      <c r="AS198" s="928"/>
    </row>
    <row r="199" spans="11:45">
      <c r="K199" s="957"/>
      <c r="L199" s="928"/>
      <c r="M199" s="928"/>
      <c r="N199" s="960"/>
      <c r="O199" s="960"/>
      <c r="P199" s="960"/>
      <c r="Q199" s="960"/>
      <c r="R199" s="960"/>
      <c r="S199" s="960"/>
      <c r="T199" s="960"/>
      <c r="U199" s="960"/>
      <c r="V199" s="960"/>
      <c r="W199" s="960"/>
      <c r="X199" s="960"/>
      <c r="Y199" s="960"/>
      <c r="Z199" s="960"/>
      <c r="AA199" s="960"/>
      <c r="AB199" s="928"/>
      <c r="AC199" s="928"/>
      <c r="AD199" s="928"/>
      <c r="AE199" s="928"/>
      <c r="AF199" s="928"/>
      <c r="AG199" s="928"/>
      <c r="AH199" s="928"/>
      <c r="AI199" s="928"/>
      <c r="AJ199" s="928"/>
      <c r="AK199" s="928"/>
      <c r="AL199" s="928"/>
      <c r="AM199" s="928"/>
      <c r="AN199" s="928"/>
      <c r="AO199" s="928"/>
      <c r="AP199" s="928"/>
      <c r="AQ199" s="928"/>
      <c r="AR199" s="928"/>
      <c r="AS199" s="928"/>
    </row>
    <row r="200" spans="11:45">
      <c r="K200" s="957"/>
      <c r="L200" s="928"/>
      <c r="M200" s="928"/>
      <c r="N200" s="960"/>
      <c r="O200" s="960"/>
      <c r="P200" s="960"/>
      <c r="Q200" s="960"/>
      <c r="R200" s="960"/>
      <c r="S200" s="960"/>
      <c r="T200" s="960"/>
      <c r="U200" s="960"/>
      <c r="V200" s="960"/>
      <c r="W200" s="960"/>
      <c r="X200" s="960"/>
      <c r="Y200" s="960"/>
      <c r="Z200" s="960"/>
      <c r="AA200" s="960"/>
      <c r="AB200" s="928"/>
      <c r="AC200" s="928"/>
      <c r="AD200" s="928"/>
      <c r="AE200" s="928"/>
      <c r="AF200" s="928"/>
      <c r="AG200" s="928"/>
      <c r="AH200" s="928"/>
      <c r="AI200" s="928"/>
      <c r="AJ200" s="928"/>
      <c r="AK200" s="928"/>
      <c r="AL200" s="928"/>
      <c r="AM200" s="928"/>
      <c r="AN200" s="928"/>
      <c r="AO200" s="928"/>
      <c r="AP200" s="928"/>
      <c r="AQ200" s="928"/>
      <c r="AR200" s="928"/>
      <c r="AS200" s="928"/>
    </row>
    <row r="201" spans="11:45">
      <c r="K201" s="957"/>
      <c r="L201" s="928"/>
      <c r="M201" s="928"/>
      <c r="N201" s="960"/>
      <c r="O201" s="960"/>
      <c r="P201" s="960"/>
      <c r="Q201" s="960"/>
      <c r="R201" s="960"/>
      <c r="S201" s="960"/>
      <c r="T201" s="960"/>
      <c r="U201" s="960"/>
      <c r="V201" s="960"/>
      <c r="W201" s="960"/>
      <c r="X201" s="960"/>
      <c r="Y201" s="960"/>
      <c r="Z201" s="960"/>
      <c r="AA201" s="960"/>
      <c r="AB201" s="928"/>
      <c r="AC201" s="928"/>
      <c r="AD201" s="928"/>
      <c r="AE201" s="928"/>
      <c r="AF201" s="928"/>
      <c r="AG201" s="928"/>
      <c r="AH201" s="928"/>
      <c r="AI201" s="928"/>
      <c r="AJ201" s="928"/>
      <c r="AK201" s="928"/>
      <c r="AL201" s="928"/>
      <c r="AM201" s="928"/>
      <c r="AN201" s="928"/>
      <c r="AO201" s="928"/>
      <c r="AP201" s="928"/>
      <c r="AQ201" s="928"/>
      <c r="AR201" s="928"/>
      <c r="AS201" s="928"/>
    </row>
    <row r="202" spans="11:45">
      <c r="K202" s="957"/>
      <c r="L202" s="928"/>
      <c r="M202" s="928"/>
      <c r="N202" s="960"/>
      <c r="O202" s="960"/>
      <c r="P202" s="960"/>
      <c r="Q202" s="960"/>
      <c r="R202" s="960"/>
      <c r="S202" s="960"/>
      <c r="T202" s="960"/>
      <c r="U202" s="960"/>
      <c r="V202" s="960"/>
      <c r="W202" s="960"/>
      <c r="X202" s="960"/>
      <c r="Y202" s="960"/>
      <c r="Z202" s="960"/>
      <c r="AA202" s="960"/>
      <c r="AB202" s="928"/>
      <c r="AC202" s="928"/>
      <c r="AD202" s="928"/>
      <c r="AE202" s="928"/>
      <c r="AF202" s="928"/>
      <c r="AG202" s="928"/>
      <c r="AH202" s="928"/>
      <c r="AI202" s="928"/>
      <c r="AJ202" s="928"/>
      <c r="AK202" s="928"/>
      <c r="AL202" s="928"/>
      <c r="AM202" s="928"/>
      <c r="AN202" s="928"/>
      <c r="AO202" s="928"/>
      <c r="AP202" s="928"/>
      <c r="AQ202" s="928"/>
      <c r="AR202" s="928"/>
      <c r="AS202" s="928"/>
    </row>
    <row r="203" spans="11:45">
      <c r="K203" s="957"/>
      <c r="L203" s="928"/>
      <c r="M203" s="928"/>
      <c r="N203" s="960"/>
      <c r="O203" s="960"/>
      <c r="P203" s="960"/>
      <c r="Q203" s="960"/>
      <c r="R203" s="960"/>
      <c r="S203" s="960"/>
      <c r="T203" s="960"/>
      <c r="U203" s="960"/>
      <c r="V203" s="960"/>
      <c r="W203" s="960"/>
      <c r="X203" s="960"/>
      <c r="Y203" s="960"/>
      <c r="Z203" s="960"/>
      <c r="AA203" s="960"/>
      <c r="AB203" s="928"/>
      <c r="AC203" s="928"/>
      <c r="AD203" s="928"/>
      <c r="AE203" s="928"/>
      <c r="AF203" s="928"/>
      <c r="AG203" s="928"/>
      <c r="AH203" s="928"/>
      <c r="AI203" s="928"/>
      <c r="AJ203" s="928"/>
      <c r="AK203" s="928"/>
      <c r="AL203" s="928"/>
      <c r="AM203" s="928"/>
      <c r="AN203" s="928"/>
      <c r="AO203" s="928"/>
      <c r="AP203" s="928"/>
      <c r="AQ203" s="928"/>
      <c r="AR203" s="928"/>
      <c r="AS203" s="928"/>
    </row>
    <row r="204" spans="11:45">
      <c r="K204" s="957"/>
      <c r="L204" s="928"/>
      <c r="M204" s="928"/>
      <c r="N204" s="960"/>
      <c r="O204" s="960"/>
      <c r="P204" s="960"/>
      <c r="Q204" s="960"/>
      <c r="R204" s="960"/>
      <c r="S204" s="960"/>
      <c r="T204" s="960"/>
      <c r="U204" s="960"/>
      <c r="V204" s="960"/>
      <c r="W204" s="960"/>
      <c r="X204" s="960"/>
      <c r="Y204" s="960"/>
      <c r="Z204" s="960"/>
      <c r="AA204" s="960"/>
      <c r="AB204" s="928"/>
      <c r="AC204" s="928"/>
      <c r="AD204" s="928"/>
      <c r="AE204" s="928"/>
      <c r="AF204" s="928"/>
      <c r="AG204" s="928"/>
      <c r="AH204" s="928"/>
      <c r="AI204" s="928"/>
      <c r="AJ204" s="928"/>
      <c r="AK204" s="928"/>
      <c r="AL204" s="928"/>
      <c r="AM204" s="928"/>
      <c r="AN204" s="928"/>
      <c r="AO204" s="928"/>
      <c r="AP204" s="928"/>
      <c r="AQ204" s="928"/>
      <c r="AR204" s="928"/>
      <c r="AS204" s="928"/>
    </row>
    <row r="205" spans="11:45">
      <c r="K205" s="957"/>
      <c r="L205" s="928"/>
      <c r="M205" s="928"/>
      <c r="N205" s="960"/>
      <c r="O205" s="960"/>
      <c r="P205" s="960"/>
      <c r="Q205" s="960"/>
      <c r="R205" s="960"/>
      <c r="S205" s="960"/>
      <c r="T205" s="960"/>
      <c r="U205" s="960"/>
      <c r="V205" s="960"/>
      <c r="W205" s="960"/>
      <c r="X205" s="960"/>
      <c r="Y205" s="960"/>
      <c r="Z205" s="960"/>
      <c r="AA205" s="960"/>
      <c r="AB205" s="928"/>
      <c r="AC205" s="928"/>
      <c r="AD205" s="928"/>
      <c r="AE205" s="928"/>
      <c r="AF205" s="928"/>
      <c r="AG205" s="928"/>
      <c r="AH205" s="928"/>
      <c r="AI205" s="928"/>
      <c r="AJ205" s="928"/>
      <c r="AK205" s="928"/>
      <c r="AL205" s="928"/>
      <c r="AM205" s="928"/>
      <c r="AN205" s="928"/>
      <c r="AO205" s="928"/>
      <c r="AP205" s="928"/>
      <c r="AQ205" s="928"/>
      <c r="AR205" s="928"/>
      <c r="AS205" s="928"/>
    </row>
    <row r="206" spans="11:45">
      <c r="K206" s="957"/>
      <c r="L206" s="928"/>
      <c r="M206" s="928"/>
      <c r="N206" s="960"/>
      <c r="O206" s="960"/>
      <c r="P206" s="960"/>
      <c r="Q206" s="960"/>
      <c r="R206" s="960"/>
      <c r="S206" s="960"/>
      <c r="T206" s="960"/>
      <c r="U206" s="960"/>
      <c r="V206" s="960"/>
      <c r="W206" s="960"/>
      <c r="X206" s="960"/>
      <c r="Y206" s="960"/>
      <c r="Z206" s="960"/>
      <c r="AA206" s="960"/>
      <c r="AB206" s="928"/>
      <c r="AC206" s="928"/>
      <c r="AD206" s="928"/>
      <c r="AE206" s="928"/>
      <c r="AF206" s="928"/>
      <c r="AG206" s="928"/>
      <c r="AH206" s="928"/>
      <c r="AI206" s="928"/>
      <c r="AJ206" s="928"/>
      <c r="AK206" s="928"/>
      <c r="AL206" s="928"/>
      <c r="AM206" s="928"/>
      <c r="AN206" s="928"/>
      <c r="AO206" s="928"/>
      <c r="AP206" s="928"/>
      <c r="AQ206" s="928"/>
      <c r="AR206" s="928"/>
      <c r="AS206" s="928"/>
    </row>
    <row r="207" spans="11:45">
      <c r="K207" s="957"/>
      <c r="L207" s="928"/>
      <c r="M207" s="928"/>
      <c r="N207" s="960"/>
      <c r="O207" s="960"/>
      <c r="P207" s="960"/>
      <c r="Q207" s="960"/>
      <c r="R207" s="960"/>
      <c r="S207" s="960"/>
      <c r="T207" s="960"/>
      <c r="U207" s="960"/>
      <c r="V207" s="960"/>
      <c r="W207" s="960"/>
      <c r="X207" s="960"/>
      <c r="Y207" s="960"/>
      <c r="Z207" s="960"/>
      <c r="AA207" s="960"/>
      <c r="AB207" s="928"/>
      <c r="AC207" s="928"/>
      <c r="AD207" s="928"/>
      <c r="AE207" s="928"/>
      <c r="AF207" s="928"/>
      <c r="AG207" s="928"/>
      <c r="AH207" s="928"/>
      <c r="AI207" s="928"/>
      <c r="AJ207" s="928"/>
      <c r="AK207" s="928"/>
      <c r="AL207" s="928"/>
      <c r="AM207" s="928"/>
      <c r="AN207" s="928"/>
      <c r="AO207" s="928"/>
      <c r="AP207" s="928"/>
      <c r="AQ207" s="928"/>
      <c r="AR207" s="928"/>
      <c r="AS207" s="928"/>
    </row>
    <row r="208" spans="11:45">
      <c r="K208" s="957"/>
      <c r="L208" s="928"/>
      <c r="M208" s="928"/>
      <c r="N208" s="960"/>
      <c r="O208" s="960"/>
      <c r="P208" s="960"/>
      <c r="Q208" s="960"/>
      <c r="R208" s="960"/>
      <c r="S208" s="960"/>
      <c r="T208" s="960"/>
      <c r="U208" s="960"/>
      <c r="V208" s="960"/>
      <c r="W208" s="960"/>
      <c r="X208" s="960"/>
      <c r="Y208" s="960"/>
      <c r="Z208" s="960"/>
      <c r="AA208" s="960"/>
      <c r="AB208" s="928"/>
      <c r="AC208" s="928"/>
      <c r="AD208" s="928"/>
      <c r="AE208" s="928"/>
      <c r="AF208" s="928"/>
      <c r="AG208" s="928"/>
      <c r="AH208" s="928"/>
      <c r="AI208" s="928"/>
      <c r="AJ208" s="928"/>
      <c r="AK208" s="928"/>
      <c r="AL208" s="928"/>
      <c r="AM208" s="928"/>
      <c r="AN208" s="928"/>
      <c r="AO208" s="928"/>
      <c r="AP208" s="928"/>
      <c r="AQ208" s="928"/>
      <c r="AR208" s="928"/>
      <c r="AS208" s="928"/>
    </row>
    <row r="209" spans="11:45">
      <c r="K209" s="957"/>
      <c r="L209" s="928"/>
      <c r="M209" s="928"/>
      <c r="N209" s="960"/>
      <c r="O209" s="960"/>
      <c r="P209" s="960"/>
      <c r="Q209" s="960"/>
      <c r="R209" s="960"/>
      <c r="S209" s="960"/>
      <c r="T209" s="960"/>
      <c r="U209" s="960"/>
      <c r="V209" s="960"/>
      <c r="W209" s="960"/>
      <c r="X209" s="960"/>
      <c r="Y209" s="960"/>
      <c r="Z209" s="960"/>
      <c r="AA209" s="960"/>
      <c r="AB209" s="928"/>
      <c r="AC209" s="928"/>
      <c r="AD209" s="928"/>
      <c r="AE209" s="928"/>
      <c r="AF209" s="928"/>
      <c r="AG209" s="928"/>
      <c r="AH209" s="928"/>
      <c r="AI209" s="928"/>
      <c r="AJ209" s="928"/>
      <c r="AK209" s="928"/>
      <c r="AL209" s="928"/>
      <c r="AM209" s="928"/>
      <c r="AN209" s="928"/>
      <c r="AO209" s="928"/>
      <c r="AP209" s="928"/>
      <c r="AQ209" s="928"/>
      <c r="AR209" s="928"/>
      <c r="AS209" s="928"/>
    </row>
    <row r="210" spans="11:45">
      <c r="K210" s="957"/>
      <c r="L210" s="928"/>
      <c r="M210" s="928"/>
      <c r="N210" s="960"/>
      <c r="O210" s="960"/>
      <c r="P210" s="960"/>
      <c r="Q210" s="960"/>
      <c r="R210" s="960"/>
      <c r="S210" s="960"/>
      <c r="T210" s="960"/>
      <c r="U210" s="960"/>
      <c r="V210" s="960"/>
      <c r="W210" s="960"/>
      <c r="X210" s="960"/>
      <c r="Y210" s="960"/>
      <c r="Z210" s="960"/>
      <c r="AA210" s="960"/>
      <c r="AB210" s="928"/>
      <c r="AC210" s="928"/>
      <c r="AD210" s="928"/>
      <c r="AE210" s="928"/>
      <c r="AF210" s="928"/>
      <c r="AG210" s="928"/>
      <c r="AH210" s="928"/>
      <c r="AI210" s="928"/>
      <c r="AJ210" s="928"/>
      <c r="AK210" s="928"/>
      <c r="AL210" s="928"/>
      <c r="AM210" s="928"/>
      <c r="AN210" s="928"/>
      <c r="AO210" s="928"/>
      <c r="AP210" s="928"/>
      <c r="AQ210" s="928"/>
      <c r="AR210" s="928"/>
      <c r="AS210" s="928"/>
    </row>
    <row r="211" spans="11:45">
      <c r="K211" s="957"/>
      <c r="L211" s="928"/>
      <c r="M211" s="928"/>
      <c r="N211" s="960"/>
      <c r="O211" s="960"/>
      <c r="P211" s="960"/>
      <c r="Q211" s="960"/>
      <c r="R211" s="960"/>
      <c r="S211" s="960"/>
      <c r="T211" s="960"/>
      <c r="U211" s="960"/>
      <c r="V211" s="960"/>
      <c r="W211" s="960"/>
      <c r="X211" s="960"/>
      <c r="Y211" s="960"/>
      <c r="Z211" s="960"/>
      <c r="AA211" s="960"/>
      <c r="AB211" s="928"/>
      <c r="AC211" s="928"/>
      <c r="AD211" s="928"/>
      <c r="AE211" s="928"/>
      <c r="AF211" s="928"/>
      <c r="AG211" s="928"/>
      <c r="AH211" s="928"/>
      <c r="AI211" s="928"/>
      <c r="AJ211" s="928"/>
      <c r="AK211" s="928"/>
      <c r="AL211" s="928"/>
      <c r="AM211" s="928"/>
      <c r="AN211" s="928"/>
      <c r="AO211" s="928"/>
      <c r="AP211" s="928"/>
      <c r="AQ211" s="928"/>
      <c r="AR211" s="928"/>
      <c r="AS211" s="928"/>
    </row>
    <row r="212" spans="11:45">
      <c r="K212" s="957"/>
      <c r="L212" s="928"/>
      <c r="M212" s="928"/>
      <c r="N212" s="960"/>
      <c r="O212" s="960"/>
      <c r="P212" s="960"/>
      <c r="Q212" s="960"/>
      <c r="R212" s="960"/>
      <c r="S212" s="960"/>
      <c r="T212" s="960"/>
      <c r="U212" s="960"/>
      <c r="V212" s="960"/>
      <c r="W212" s="960"/>
      <c r="X212" s="960"/>
      <c r="Y212" s="960"/>
      <c r="Z212" s="960"/>
      <c r="AA212" s="960"/>
      <c r="AB212" s="928"/>
      <c r="AC212" s="928"/>
      <c r="AD212" s="928"/>
      <c r="AE212" s="928"/>
      <c r="AF212" s="928"/>
      <c r="AG212" s="928"/>
      <c r="AH212" s="928"/>
      <c r="AI212" s="928"/>
      <c r="AJ212" s="928"/>
      <c r="AK212" s="928"/>
      <c r="AL212" s="928"/>
      <c r="AM212" s="928"/>
      <c r="AN212" s="928"/>
      <c r="AO212" s="928"/>
      <c r="AP212" s="928"/>
      <c r="AQ212" s="928"/>
      <c r="AR212" s="928"/>
      <c r="AS212" s="928"/>
    </row>
    <row r="213" spans="11:45">
      <c r="K213" s="957"/>
      <c r="L213" s="928"/>
      <c r="M213" s="928"/>
      <c r="N213" s="960"/>
      <c r="O213" s="960"/>
      <c r="P213" s="960"/>
      <c r="Q213" s="960"/>
      <c r="R213" s="960"/>
      <c r="S213" s="960"/>
      <c r="T213" s="960"/>
      <c r="U213" s="960"/>
      <c r="V213" s="960"/>
      <c r="W213" s="960"/>
      <c r="X213" s="960"/>
      <c r="Y213" s="960"/>
      <c r="Z213" s="960"/>
      <c r="AA213" s="960"/>
      <c r="AB213" s="928"/>
      <c r="AC213" s="928"/>
      <c r="AD213" s="928"/>
      <c r="AE213" s="928"/>
      <c r="AF213" s="928"/>
      <c r="AG213" s="928"/>
      <c r="AH213" s="928"/>
      <c r="AI213" s="928"/>
      <c r="AJ213" s="928"/>
      <c r="AK213" s="928"/>
      <c r="AL213" s="928"/>
      <c r="AM213" s="928"/>
      <c r="AN213" s="928"/>
      <c r="AO213" s="928"/>
      <c r="AP213" s="928"/>
      <c r="AQ213" s="928"/>
      <c r="AR213" s="928"/>
      <c r="AS213" s="928"/>
    </row>
    <row r="214" spans="11:45">
      <c r="K214" s="957"/>
      <c r="L214" s="928"/>
      <c r="M214" s="928"/>
      <c r="N214" s="960"/>
      <c r="O214" s="960"/>
      <c r="P214" s="960"/>
      <c r="Q214" s="960"/>
      <c r="R214" s="960"/>
      <c r="S214" s="960"/>
      <c r="T214" s="960"/>
      <c r="U214" s="960"/>
      <c r="V214" s="960"/>
      <c r="W214" s="960"/>
      <c r="X214" s="960"/>
      <c r="Y214" s="960"/>
      <c r="Z214" s="960"/>
      <c r="AA214" s="960"/>
      <c r="AB214" s="928"/>
      <c r="AC214" s="928"/>
      <c r="AD214" s="928"/>
      <c r="AE214" s="928"/>
      <c r="AF214" s="928"/>
      <c r="AG214" s="928"/>
      <c r="AH214" s="928"/>
      <c r="AI214" s="928"/>
      <c r="AJ214" s="928"/>
      <c r="AK214" s="928"/>
      <c r="AL214" s="928"/>
      <c r="AM214" s="928"/>
      <c r="AN214" s="928"/>
      <c r="AO214" s="928"/>
      <c r="AP214" s="928"/>
      <c r="AQ214" s="928"/>
      <c r="AR214" s="928"/>
      <c r="AS214" s="928"/>
    </row>
    <row r="215" spans="11:45">
      <c r="K215" s="957"/>
      <c r="L215" s="928"/>
      <c r="M215" s="928"/>
      <c r="N215" s="960"/>
      <c r="O215" s="960"/>
      <c r="P215" s="960"/>
      <c r="Q215" s="960"/>
      <c r="R215" s="960"/>
      <c r="S215" s="960"/>
      <c r="T215" s="960"/>
      <c r="U215" s="960"/>
      <c r="V215" s="960"/>
      <c r="W215" s="960"/>
      <c r="X215" s="960"/>
      <c r="Y215" s="960"/>
      <c r="Z215" s="960"/>
      <c r="AA215" s="960"/>
      <c r="AB215" s="928"/>
      <c r="AC215" s="928"/>
      <c r="AD215" s="928"/>
      <c r="AE215" s="928"/>
      <c r="AF215" s="928"/>
      <c r="AG215" s="928"/>
      <c r="AH215" s="928"/>
      <c r="AI215" s="928"/>
      <c r="AJ215" s="928"/>
      <c r="AK215" s="928"/>
      <c r="AL215" s="928"/>
      <c r="AM215" s="928"/>
      <c r="AN215" s="928"/>
      <c r="AO215" s="928"/>
      <c r="AP215" s="928"/>
      <c r="AQ215" s="928"/>
      <c r="AR215" s="928"/>
      <c r="AS215" s="928"/>
    </row>
    <row r="216" spans="11:45">
      <c r="K216" s="957"/>
      <c r="L216" s="928"/>
      <c r="M216" s="928"/>
      <c r="N216" s="960"/>
      <c r="O216" s="960"/>
      <c r="P216" s="960"/>
      <c r="Q216" s="960"/>
      <c r="R216" s="960"/>
      <c r="S216" s="960"/>
      <c r="T216" s="960"/>
      <c r="U216" s="960"/>
      <c r="V216" s="960"/>
      <c r="W216" s="960"/>
      <c r="X216" s="960"/>
      <c r="Y216" s="960"/>
      <c r="Z216" s="960"/>
      <c r="AA216" s="960"/>
      <c r="AB216" s="928"/>
      <c r="AC216" s="928"/>
      <c r="AD216" s="928"/>
      <c r="AE216" s="928"/>
      <c r="AF216" s="928"/>
      <c r="AG216" s="928"/>
      <c r="AH216" s="928"/>
      <c r="AI216" s="928"/>
      <c r="AJ216" s="928"/>
      <c r="AK216" s="928"/>
      <c r="AL216" s="928"/>
      <c r="AM216" s="928"/>
      <c r="AN216" s="928"/>
      <c r="AO216" s="928"/>
      <c r="AP216" s="928"/>
      <c r="AQ216" s="928"/>
      <c r="AR216" s="928"/>
      <c r="AS216" s="928"/>
    </row>
    <row r="217" spans="11:45">
      <c r="K217" s="957"/>
      <c r="L217" s="928"/>
      <c r="M217" s="928"/>
      <c r="N217" s="960"/>
      <c r="O217" s="960"/>
      <c r="P217" s="960"/>
      <c r="Q217" s="960"/>
      <c r="R217" s="960"/>
      <c r="S217" s="960"/>
      <c r="T217" s="960"/>
      <c r="U217" s="960"/>
      <c r="V217" s="960"/>
      <c r="W217" s="960"/>
      <c r="X217" s="960"/>
      <c r="Y217" s="960"/>
      <c r="Z217" s="960"/>
      <c r="AA217" s="960"/>
      <c r="AB217" s="928"/>
      <c r="AC217" s="928"/>
      <c r="AD217" s="928"/>
      <c r="AE217" s="928"/>
      <c r="AF217" s="928"/>
      <c r="AG217" s="928"/>
      <c r="AH217" s="928"/>
      <c r="AI217" s="928"/>
      <c r="AJ217" s="928"/>
      <c r="AK217" s="928"/>
      <c r="AL217" s="928"/>
      <c r="AM217" s="928"/>
      <c r="AN217" s="928"/>
      <c r="AO217" s="928"/>
      <c r="AP217" s="928"/>
      <c r="AQ217" s="928"/>
      <c r="AR217" s="928"/>
      <c r="AS217" s="928"/>
    </row>
    <row r="218" spans="11:45">
      <c r="K218" s="957"/>
      <c r="L218" s="928"/>
      <c r="M218" s="928"/>
      <c r="N218" s="960"/>
      <c r="O218" s="960"/>
      <c r="P218" s="960"/>
      <c r="Q218" s="960"/>
      <c r="R218" s="960"/>
      <c r="S218" s="960"/>
      <c r="T218" s="960"/>
      <c r="U218" s="960"/>
      <c r="V218" s="960"/>
      <c r="W218" s="960"/>
      <c r="X218" s="960"/>
      <c r="Y218" s="960"/>
      <c r="Z218" s="960"/>
      <c r="AA218" s="960"/>
      <c r="AB218" s="928"/>
      <c r="AC218" s="928"/>
      <c r="AD218" s="928"/>
      <c r="AE218" s="928"/>
      <c r="AF218" s="928"/>
      <c r="AG218" s="928"/>
      <c r="AH218" s="928"/>
      <c r="AI218" s="928"/>
      <c r="AJ218" s="928"/>
      <c r="AK218" s="928"/>
      <c r="AL218" s="928"/>
      <c r="AM218" s="928"/>
      <c r="AN218" s="928"/>
      <c r="AO218" s="928"/>
      <c r="AP218" s="928"/>
      <c r="AQ218" s="928"/>
      <c r="AR218" s="928"/>
      <c r="AS218" s="928"/>
    </row>
    <row r="219" spans="11:45">
      <c r="K219" s="957"/>
      <c r="L219" s="928"/>
      <c r="M219" s="928"/>
      <c r="N219" s="960"/>
      <c r="O219" s="960"/>
      <c r="P219" s="960"/>
      <c r="Q219" s="960"/>
      <c r="R219" s="960"/>
      <c r="S219" s="960"/>
      <c r="T219" s="960"/>
      <c r="U219" s="960"/>
      <c r="V219" s="960"/>
      <c r="W219" s="960"/>
      <c r="X219" s="960"/>
      <c r="Y219" s="960"/>
      <c r="Z219" s="960"/>
      <c r="AA219" s="960"/>
      <c r="AB219" s="928"/>
      <c r="AC219" s="928"/>
      <c r="AD219" s="928"/>
      <c r="AE219" s="928"/>
      <c r="AF219" s="928"/>
      <c r="AG219" s="928"/>
      <c r="AH219" s="928"/>
      <c r="AI219" s="928"/>
      <c r="AJ219" s="928"/>
      <c r="AK219" s="928"/>
      <c r="AL219" s="928"/>
      <c r="AM219" s="928"/>
      <c r="AN219" s="928"/>
      <c r="AO219" s="928"/>
      <c r="AP219" s="928"/>
      <c r="AQ219" s="928"/>
      <c r="AR219" s="928"/>
      <c r="AS219" s="928"/>
    </row>
    <row r="220" spans="11:45">
      <c r="K220" s="957"/>
      <c r="L220" s="928"/>
      <c r="M220" s="928"/>
      <c r="N220" s="960"/>
      <c r="O220" s="960"/>
      <c r="P220" s="960"/>
      <c r="Q220" s="960"/>
      <c r="R220" s="960"/>
      <c r="S220" s="960"/>
      <c r="T220" s="960"/>
      <c r="U220" s="960"/>
      <c r="V220" s="960"/>
      <c r="W220" s="960"/>
      <c r="X220" s="960"/>
      <c r="Y220" s="960"/>
      <c r="Z220" s="960"/>
      <c r="AA220" s="960"/>
      <c r="AB220" s="928"/>
      <c r="AC220" s="928"/>
      <c r="AD220" s="928"/>
      <c r="AE220" s="928"/>
      <c r="AF220" s="928"/>
      <c r="AG220" s="928"/>
      <c r="AH220" s="928"/>
      <c r="AI220" s="928"/>
      <c r="AJ220" s="928"/>
      <c r="AK220" s="928"/>
      <c r="AL220" s="928"/>
      <c r="AM220" s="928"/>
      <c r="AN220" s="928"/>
      <c r="AO220" s="928"/>
      <c r="AP220" s="928"/>
      <c r="AQ220" s="928"/>
      <c r="AR220" s="928"/>
      <c r="AS220" s="928"/>
    </row>
    <row r="221" spans="11:45">
      <c r="K221" s="957"/>
      <c r="L221" s="928"/>
      <c r="M221" s="928"/>
      <c r="N221" s="960"/>
      <c r="O221" s="960"/>
      <c r="P221" s="960"/>
      <c r="Q221" s="960"/>
      <c r="R221" s="960"/>
      <c r="S221" s="960"/>
      <c r="T221" s="960"/>
      <c r="U221" s="960"/>
      <c r="V221" s="960"/>
      <c r="W221" s="960"/>
      <c r="X221" s="960"/>
      <c r="Y221" s="960"/>
      <c r="Z221" s="960"/>
      <c r="AA221" s="960"/>
      <c r="AB221" s="928"/>
      <c r="AC221" s="928"/>
      <c r="AD221" s="928"/>
      <c r="AE221" s="928"/>
      <c r="AF221" s="928"/>
      <c r="AG221" s="928"/>
      <c r="AH221" s="928"/>
      <c r="AI221" s="928"/>
      <c r="AJ221" s="928"/>
      <c r="AK221" s="928"/>
      <c r="AL221" s="928"/>
      <c r="AM221" s="928"/>
      <c r="AN221" s="928"/>
      <c r="AO221" s="928"/>
      <c r="AP221" s="928"/>
      <c r="AQ221" s="928"/>
      <c r="AR221" s="928"/>
      <c r="AS221" s="928"/>
    </row>
    <row r="222" spans="11:45">
      <c r="K222" s="957"/>
      <c r="L222" s="928"/>
      <c r="M222" s="928"/>
      <c r="N222" s="960"/>
      <c r="O222" s="960"/>
      <c r="P222" s="960"/>
      <c r="Q222" s="960"/>
      <c r="R222" s="960"/>
      <c r="S222" s="960"/>
      <c r="T222" s="960"/>
      <c r="U222" s="960"/>
      <c r="V222" s="960"/>
      <c r="W222" s="960"/>
      <c r="X222" s="960"/>
      <c r="Y222" s="960"/>
      <c r="Z222" s="960"/>
      <c r="AA222" s="960"/>
      <c r="AB222" s="928"/>
      <c r="AC222" s="928"/>
      <c r="AD222" s="928"/>
      <c r="AE222" s="928"/>
      <c r="AF222" s="928"/>
      <c r="AG222" s="928"/>
      <c r="AH222" s="928"/>
      <c r="AI222" s="928"/>
      <c r="AJ222" s="928"/>
      <c r="AK222" s="928"/>
      <c r="AL222" s="928"/>
      <c r="AM222" s="928"/>
      <c r="AN222" s="928"/>
      <c r="AO222" s="928"/>
      <c r="AP222" s="928"/>
      <c r="AQ222" s="928"/>
      <c r="AR222" s="928"/>
      <c r="AS222" s="928"/>
    </row>
    <row r="223" spans="11:45">
      <c r="K223" s="957"/>
      <c r="L223" s="928"/>
      <c r="M223" s="928"/>
      <c r="N223" s="960"/>
      <c r="O223" s="960"/>
      <c r="P223" s="960"/>
      <c r="Q223" s="960"/>
      <c r="R223" s="960"/>
      <c r="S223" s="960"/>
      <c r="T223" s="960"/>
      <c r="U223" s="960"/>
      <c r="V223" s="960"/>
      <c r="W223" s="960"/>
      <c r="X223" s="960"/>
      <c r="Y223" s="960"/>
      <c r="Z223" s="960"/>
      <c r="AA223" s="960"/>
      <c r="AB223" s="928"/>
      <c r="AC223" s="928"/>
      <c r="AD223" s="928"/>
      <c r="AE223" s="928"/>
      <c r="AF223" s="928"/>
      <c r="AG223" s="928"/>
      <c r="AH223" s="928"/>
      <c r="AI223" s="928"/>
      <c r="AJ223" s="928"/>
      <c r="AK223" s="928"/>
      <c r="AL223" s="928"/>
      <c r="AM223" s="928"/>
      <c r="AN223" s="928"/>
      <c r="AO223" s="928"/>
      <c r="AP223" s="928"/>
      <c r="AQ223" s="928"/>
      <c r="AR223" s="928"/>
      <c r="AS223" s="928"/>
    </row>
    <row r="224" spans="11:45">
      <c r="K224" s="957"/>
      <c r="L224" s="928"/>
      <c r="M224" s="928"/>
      <c r="N224" s="960"/>
      <c r="O224" s="960"/>
      <c r="P224" s="960"/>
      <c r="Q224" s="960"/>
      <c r="R224" s="960"/>
      <c r="S224" s="960"/>
      <c r="T224" s="960"/>
      <c r="U224" s="960"/>
      <c r="V224" s="960"/>
      <c r="W224" s="960"/>
      <c r="X224" s="960"/>
      <c r="Y224" s="960"/>
      <c r="Z224" s="960"/>
      <c r="AA224" s="960"/>
      <c r="AB224" s="928"/>
      <c r="AC224" s="928"/>
      <c r="AD224" s="928"/>
      <c r="AE224" s="928"/>
      <c r="AF224" s="928"/>
      <c r="AG224" s="928"/>
      <c r="AH224" s="928"/>
      <c r="AI224" s="928"/>
      <c r="AJ224" s="928"/>
      <c r="AK224" s="928"/>
      <c r="AL224" s="928"/>
      <c r="AM224" s="928"/>
      <c r="AN224" s="928"/>
      <c r="AO224" s="928"/>
      <c r="AP224" s="928"/>
      <c r="AQ224" s="928"/>
      <c r="AR224" s="928"/>
      <c r="AS224" s="928"/>
    </row>
    <row r="225" spans="11:45">
      <c r="K225" s="957"/>
      <c r="L225" s="928"/>
      <c r="M225" s="928"/>
      <c r="N225" s="960"/>
      <c r="O225" s="960"/>
      <c r="P225" s="960"/>
      <c r="Q225" s="960"/>
      <c r="R225" s="960"/>
      <c r="S225" s="960"/>
      <c r="T225" s="960"/>
      <c r="U225" s="960"/>
      <c r="V225" s="960"/>
      <c r="W225" s="960"/>
      <c r="X225" s="960"/>
      <c r="Y225" s="960"/>
      <c r="Z225" s="960"/>
      <c r="AA225" s="960"/>
      <c r="AB225" s="928"/>
      <c r="AC225" s="928"/>
      <c r="AD225" s="928"/>
      <c r="AE225" s="928"/>
      <c r="AF225" s="928"/>
      <c r="AG225" s="928"/>
      <c r="AH225" s="928"/>
      <c r="AI225" s="928"/>
      <c r="AJ225" s="928"/>
      <c r="AK225" s="928"/>
      <c r="AL225" s="928"/>
      <c r="AM225" s="928"/>
      <c r="AN225" s="928"/>
      <c r="AO225" s="928"/>
      <c r="AP225" s="928"/>
      <c r="AQ225" s="928"/>
      <c r="AR225" s="928"/>
      <c r="AS225" s="928"/>
    </row>
    <row r="226" spans="11:45">
      <c r="K226" s="957"/>
      <c r="L226" s="928"/>
      <c r="M226" s="928"/>
      <c r="N226" s="960"/>
      <c r="O226" s="960"/>
      <c r="P226" s="960"/>
      <c r="Q226" s="960"/>
      <c r="R226" s="960"/>
      <c r="S226" s="960"/>
      <c r="T226" s="960"/>
      <c r="U226" s="960"/>
      <c r="V226" s="960"/>
      <c r="W226" s="960"/>
      <c r="X226" s="960"/>
      <c r="Y226" s="960"/>
      <c r="Z226" s="960"/>
      <c r="AA226" s="960"/>
      <c r="AB226" s="928"/>
      <c r="AC226" s="928"/>
      <c r="AD226" s="928"/>
      <c r="AE226" s="928"/>
      <c r="AF226" s="928"/>
      <c r="AG226" s="928"/>
      <c r="AH226" s="928"/>
      <c r="AI226" s="928"/>
      <c r="AJ226" s="928"/>
      <c r="AK226" s="928"/>
      <c r="AL226" s="928"/>
      <c r="AM226" s="928"/>
      <c r="AN226" s="928"/>
      <c r="AO226" s="928"/>
      <c r="AP226" s="928"/>
      <c r="AQ226" s="928"/>
      <c r="AR226" s="928"/>
      <c r="AS226" s="928"/>
    </row>
    <row r="227" spans="11:45">
      <c r="K227" s="957"/>
      <c r="L227" s="928"/>
      <c r="M227" s="928"/>
      <c r="N227" s="960"/>
      <c r="O227" s="960"/>
      <c r="P227" s="960"/>
      <c r="Q227" s="960"/>
      <c r="R227" s="960"/>
      <c r="S227" s="960"/>
      <c r="T227" s="960"/>
      <c r="U227" s="960"/>
      <c r="V227" s="960"/>
      <c r="W227" s="960"/>
      <c r="X227" s="960"/>
      <c r="Y227" s="960"/>
      <c r="Z227" s="960"/>
      <c r="AA227" s="960"/>
      <c r="AB227" s="928"/>
      <c r="AC227" s="928"/>
      <c r="AD227" s="928"/>
      <c r="AE227" s="928"/>
      <c r="AF227" s="928"/>
      <c r="AG227" s="928"/>
      <c r="AH227" s="928"/>
      <c r="AI227" s="928"/>
      <c r="AJ227" s="928"/>
      <c r="AK227" s="928"/>
      <c r="AL227" s="928"/>
      <c r="AM227" s="928"/>
      <c r="AN227" s="928"/>
      <c r="AO227" s="928"/>
      <c r="AP227" s="928"/>
      <c r="AQ227" s="928"/>
      <c r="AR227" s="928"/>
      <c r="AS227" s="928"/>
    </row>
    <row r="228" spans="11:45">
      <c r="K228" s="957"/>
      <c r="L228" s="928"/>
      <c r="M228" s="928"/>
      <c r="N228" s="960"/>
      <c r="O228" s="960"/>
      <c r="P228" s="960"/>
      <c r="Q228" s="960"/>
      <c r="R228" s="960"/>
      <c r="S228" s="960"/>
      <c r="T228" s="960"/>
      <c r="U228" s="960"/>
      <c r="V228" s="960"/>
      <c r="W228" s="960"/>
      <c r="X228" s="960"/>
      <c r="Y228" s="960"/>
      <c r="Z228" s="960"/>
      <c r="AA228" s="960"/>
      <c r="AB228" s="928"/>
      <c r="AC228" s="928"/>
      <c r="AD228" s="928"/>
      <c r="AE228" s="928"/>
      <c r="AF228" s="928"/>
      <c r="AG228" s="928"/>
      <c r="AH228" s="928"/>
      <c r="AI228" s="928"/>
      <c r="AJ228" s="928"/>
      <c r="AK228" s="928"/>
      <c r="AL228" s="928"/>
      <c r="AM228" s="928"/>
      <c r="AN228" s="928"/>
      <c r="AO228" s="928"/>
      <c r="AP228" s="928"/>
      <c r="AQ228" s="928"/>
      <c r="AR228" s="928"/>
      <c r="AS228" s="928"/>
    </row>
    <row r="229" spans="11:45">
      <c r="K229" s="957"/>
      <c r="L229" s="928"/>
      <c r="M229" s="928"/>
      <c r="N229" s="960"/>
      <c r="O229" s="960"/>
      <c r="P229" s="960"/>
      <c r="Q229" s="960"/>
      <c r="R229" s="960"/>
      <c r="S229" s="960"/>
      <c r="T229" s="960"/>
      <c r="U229" s="960"/>
      <c r="V229" s="960"/>
      <c r="W229" s="960"/>
      <c r="X229" s="960"/>
      <c r="Y229" s="960"/>
      <c r="Z229" s="960"/>
      <c r="AA229" s="960"/>
      <c r="AB229" s="928"/>
      <c r="AC229" s="928"/>
      <c r="AD229" s="928"/>
      <c r="AE229" s="928"/>
      <c r="AF229" s="928"/>
      <c r="AG229" s="928"/>
      <c r="AH229" s="928"/>
      <c r="AI229" s="928"/>
      <c r="AJ229" s="928"/>
      <c r="AK229" s="928"/>
      <c r="AL229" s="928"/>
      <c r="AM229" s="928"/>
      <c r="AN229" s="928"/>
      <c r="AO229" s="928"/>
      <c r="AP229" s="928"/>
      <c r="AQ229" s="928"/>
      <c r="AR229" s="928"/>
      <c r="AS229" s="928"/>
    </row>
    <row r="230" spans="11:45">
      <c r="K230" s="957"/>
      <c r="L230" s="928"/>
      <c r="M230" s="928"/>
      <c r="N230" s="960"/>
      <c r="O230" s="960"/>
      <c r="P230" s="960"/>
      <c r="Q230" s="960"/>
      <c r="R230" s="960"/>
      <c r="S230" s="960"/>
      <c r="T230" s="960"/>
      <c r="U230" s="960"/>
      <c r="V230" s="960"/>
      <c r="W230" s="960"/>
      <c r="X230" s="960"/>
      <c r="Y230" s="960"/>
      <c r="Z230" s="960"/>
      <c r="AA230" s="960"/>
      <c r="AB230" s="928"/>
      <c r="AC230" s="928"/>
      <c r="AD230" s="928"/>
      <c r="AE230" s="928"/>
      <c r="AF230" s="928"/>
      <c r="AG230" s="928"/>
      <c r="AH230" s="928"/>
      <c r="AI230" s="928"/>
      <c r="AJ230" s="928"/>
      <c r="AK230" s="928"/>
      <c r="AL230" s="928"/>
      <c r="AM230" s="928"/>
      <c r="AN230" s="928"/>
      <c r="AO230" s="928"/>
      <c r="AP230" s="928"/>
      <c r="AQ230" s="928"/>
      <c r="AR230" s="928"/>
      <c r="AS230" s="928"/>
    </row>
    <row r="231" spans="11:45">
      <c r="K231" s="957"/>
      <c r="L231" s="928"/>
      <c r="M231" s="928"/>
      <c r="N231" s="960"/>
      <c r="O231" s="960"/>
      <c r="P231" s="960"/>
      <c r="Q231" s="960"/>
      <c r="R231" s="960"/>
      <c r="S231" s="960"/>
      <c r="T231" s="960"/>
      <c r="U231" s="960"/>
      <c r="V231" s="960"/>
      <c r="W231" s="960"/>
      <c r="X231" s="960"/>
      <c r="Y231" s="960"/>
      <c r="Z231" s="960"/>
      <c r="AA231" s="960"/>
      <c r="AB231" s="928"/>
      <c r="AC231" s="928"/>
      <c r="AD231" s="928"/>
      <c r="AE231" s="928"/>
      <c r="AF231" s="928"/>
      <c r="AG231" s="928"/>
      <c r="AH231" s="928"/>
      <c r="AI231" s="928"/>
      <c r="AJ231" s="928"/>
      <c r="AK231" s="928"/>
      <c r="AL231" s="928"/>
      <c r="AM231" s="928"/>
      <c r="AN231" s="928"/>
      <c r="AO231" s="928"/>
      <c r="AP231" s="928"/>
      <c r="AQ231" s="928"/>
      <c r="AR231" s="928"/>
      <c r="AS231" s="928"/>
    </row>
    <row r="232" spans="11:45">
      <c r="K232" s="957"/>
      <c r="L232" s="928"/>
      <c r="M232" s="928"/>
      <c r="N232" s="960"/>
      <c r="O232" s="960"/>
      <c r="P232" s="960"/>
      <c r="Q232" s="960"/>
      <c r="R232" s="960"/>
      <c r="S232" s="960"/>
      <c r="T232" s="960"/>
      <c r="U232" s="960"/>
      <c r="V232" s="960"/>
      <c r="W232" s="960"/>
      <c r="X232" s="960"/>
      <c r="Y232" s="960"/>
      <c r="Z232" s="960"/>
      <c r="AA232" s="960"/>
      <c r="AB232" s="928"/>
      <c r="AC232" s="928"/>
      <c r="AD232" s="928"/>
      <c r="AE232" s="928"/>
      <c r="AF232" s="928"/>
      <c r="AG232" s="928"/>
      <c r="AH232" s="928"/>
      <c r="AI232" s="928"/>
      <c r="AJ232" s="928"/>
      <c r="AK232" s="928"/>
      <c r="AL232" s="928"/>
      <c r="AM232" s="928"/>
      <c r="AN232" s="928"/>
      <c r="AO232" s="928"/>
      <c r="AP232" s="928"/>
      <c r="AQ232" s="928"/>
      <c r="AR232" s="928"/>
      <c r="AS232" s="928"/>
    </row>
    <row r="233" spans="11:45">
      <c r="K233" s="957"/>
      <c r="L233" s="928"/>
      <c r="M233" s="928"/>
      <c r="N233" s="960"/>
      <c r="O233" s="960"/>
      <c r="P233" s="960"/>
      <c r="Q233" s="960"/>
      <c r="R233" s="960"/>
      <c r="S233" s="960"/>
      <c r="T233" s="960"/>
      <c r="U233" s="960"/>
      <c r="V233" s="960"/>
      <c r="W233" s="960"/>
      <c r="X233" s="960"/>
      <c r="Y233" s="960"/>
      <c r="Z233" s="960"/>
      <c r="AA233" s="960"/>
      <c r="AB233" s="928"/>
      <c r="AC233" s="928"/>
      <c r="AD233" s="928"/>
      <c r="AE233" s="928"/>
      <c r="AF233" s="928"/>
      <c r="AG233" s="928"/>
      <c r="AH233" s="928"/>
      <c r="AI233" s="928"/>
      <c r="AJ233" s="928"/>
      <c r="AK233" s="928"/>
      <c r="AL233" s="928"/>
      <c r="AM233" s="928"/>
      <c r="AN233" s="928"/>
      <c r="AO233" s="928"/>
      <c r="AP233" s="928"/>
      <c r="AQ233" s="928"/>
      <c r="AR233" s="928"/>
      <c r="AS233" s="928"/>
    </row>
    <row r="234" spans="11:45">
      <c r="K234" s="957"/>
      <c r="L234" s="928"/>
      <c r="M234" s="928"/>
      <c r="N234" s="960"/>
      <c r="O234" s="960"/>
      <c r="P234" s="960"/>
      <c r="Q234" s="960"/>
      <c r="R234" s="960"/>
      <c r="S234" s="960"/>
      <c r="T234" s="960"/>
      <c r="U234" s="960"/>
      <c r="V234" s="960"/>
      <c r="W234" s="960"/>
      <c r="X234" s="960"/>
      <c r="Y234" s="960"/>
      <c r="Z234" s="960"/>
      <c r="AA234" s="960"/>
      <c r="AB234" s="928"/>
      <c r="AC234" s="928"/>
      <c r="AD234" s="928"/>
      <c r="AE234" s="928"/>
      <c r="AF234" s="928"/>
      <c r="AG234" s="928"/>
      <c r="AH234" s="928"/>
      <c r="AI234" s="928"/>
      <c r="AJ234" s="928"/>
      <c r="AK234" s="928"/>
      <c r="AL234" s="928"/>
      <c r="AM234" s="928"/>
      <c r="AN234" s="928"/>
      <c r="AO234" s="928"/>
      <c r="AP234" s="928"/>
      <c r="AQ234" s="928"/>
      <c r="AR234" s="928"/>
      <c r="AS234" s="928"/>
    </row>
    <row r="235" spans="11:45">
      <c r="K235" s="957"/>
      <c r="L235" s="928"/>
      <c r="M235" s="928"/>
      <c r="N235" s="960"/>
      <c r="O235" s="960"/>
      <c r="P235" s="960"/>
      <c r="Q235" s="960"/>
      <c r="R235" s="960"/>
      <c r="S235" s="960"/>
      <c r="T235" s="960"/>
      <c r="U235" s="960"/>
      <c r="V235" s="960"/>
      <c r="W235" s="960"/>
      <c r="X235" s="960"/>
      <c r="Y235" s="960"/>
      <c r="Z235" s="960"/>
      <c r="AA235" s="960"/>
      <c r="AB235" s="928"/>
      <c r="AC235" s="928"/>
      <c r="AD235" s="928"/>
      <c r="AE235" s="928"/>
      <c r="AF235" s="928"/>
      <c r="AG235" s="928"/>
      <c r="AH235" s="928"/>
      <c r="AI235" s="928"/>
      <c r="AJ235" s="928"/>
      <c r="AK235" s="928"/>
      <c r="AL235" s="928"/>
      <c r="AM235" s="928"/>
      <c r="AN235" s="928"/>
      <c r="AO235" s="928"/>
      <c r="AP235" s="928"/>
      <c r="AQ235" s="928"/>
      <c r="AR235" s="928"/>
      <c r="AS235" s="928"/>
    </row>
    <row r="236" spans="11:45">
      <c r="K236" s="957"/>
      <c r="L236" s="928"/>
      <c r="M236" s="928"/>
      <c r="N236" s="960"/>
      <c r="O236" s="960"/>
      <c r="P236" s="960"/>
      <c r="Q236" s="960"/>
      <c r="R236" s="960"/>
      <c r="S236" s="960"/>
      <c r="T236" s="960"/>
      <c r="U236" s="960"/>
      <c r="V236" s="960"/>
      <c r="W236" s="960"/>
      <c r="X236" s="960"/>
      <c r="Y236" s="960"/>
      <c r="Z236" s="960"/>
      <c r="AA236" s="960"/>
      <c r="AB236" s="928"/>
      <c r="AC236" s="928"/>
      <c r="AD236" s="928"/>
      <c r="AE236" s="928"/>
      <c r="AF236" s="928"/>
      <c r="AG236" s="928"/>
      <c r="AH236" s="928"/>
      <c r="AI236" s="928"/>
      <c r="AJ236" s="928"/>
      <c r="AK236" s="928"/>
      <c r="AL236" s="928"/>
      <c r="AM236" s="928"/>
      <c r="AN236" s="928"/>
      <c r="AO236" s="928"/>
      <c r="AP236" s="928"/>
      <c r="AQ236" s="928"/>
      <c r="AR236" s="928"/>
      <c r="AS236" s="928"/>
    </row>
    <row r="237" spans="11:45">
      <c r="K237" s="957"/>
      <c r="L237" s="928"/>
      <c r="M237" s="928"/>
      <c r="N237" s="960"/>
      <c r="O237" s="960"/>
      <c r="P237" s="960"/>
      <c r="Q237" s="960"/>
      <c r="R237" s="960"/>
      <c r="S237" s="960"/>
      <c r="T237" s="960"/>
      <c r="U237" s="960"/>
      <c r="V237" s="960"/>
      <c r="W237" s="960"/>
      <c r="X237" s="960"/>
      <c r="Y237" s="960"/>
      <c r="Z237" s="960"/>
      <c r="AA237" s="960"/>
      <c r="AB237" s="928"/>
      <c r="AC237" s="928"/>
      <c r="AD237" s="928"/>
      <c r="AE237" s="928"/>
      <c r="AF237" s="928"/>
      <c r="AG237" s="928"/>
      <c r="AH237" s="928"/>
      <c r="AI237" s="928"/>
      <c r="AJ237" s="928"/>
      <c r="AK237" s="928"/>
      <c r="AL237" s="928"/>
      <c r="AM237" s="928"/>
      <c r="AN237" s="928"/>
      <c r="AO237" s="928"/>
      <c r="AP237" s="928"/>
      <c r="AQ237" s="928"/>
      <c r="AR237" s="928"/>
      <c r="AS237" s="928"/>
    </row>
    <row r="238" spans="11:45">
      <c r="K238" s="957"/>
      <c r="L238" s="928"/>
      <c r="M238" s="928"/>
      <c r="N238" s="960"/>
      <c r="O238" s="960"/>
      <c r="P238" s="960"/>
      <c r="Q238" s="960"/>
      <c r="R238" s="960"/>
      <c r="S238" s="960"/>
      <c r="T238" s="960"/>
      <c r="U238" s="960"/>
      <c r="V238" s="960"/>
      <c r="W238" s="960"/>
      <c r="X238" s="960"/>
      <c r="Y238" s="960"/>
      <c r="Z238" s="960"/>
      <c r="AA238" s="960"/>
      <c r="AB238" s="928"/>
      <c r="AC238" s="928"/>
      <c r="AD238" s="928"/>
      <c r="AE238" s="928"/>
      <c r="AF238" s="928"/>
      <c r="AG238" s="928"/>
      <c r="AH238" s="928"/>
      <c r="AI238" s="928"/>
      <c r="AJ238" s="928"/>
      <c r="AK238" s="928"/>
      <c r="AL238" s="928"/>
      <c r="AM238" s="928"/>
      <c r="AN238" s="928"/>
      <c r="AO238" s="928"/>
      <c r="AP238" s="928"/>
      <c r="AQ238" s="928"/>
      <c r="AR238" s="928"/>
      <c r="AS238" s="928"/>
    </row>
    <row r="239" spans="11:45">
      <c r="K239" s="957"/>
      <c r="L239" s="928"/>
      <c r="M239" s="928"/>
      <c r="N239" s="960"/>
      <c r="O239" s="960"/>
      <c r="P239" s="960"/>
      <c r="Q239" s="960"/>
      <c r="R239" s="960"/>
      <c r="S239" s="960"/>
      <c r="T239" s="960"/>
      <c r="U239" s="960"/>
      <c r="V239" s="960"/>
      <c r="W239" s="960"/>
      <c r="X239" s="960"/>
      <c r="Y239" s="960"/>
      <c r="Z239" s="960"/>
      <c r="AA239" s="960"/>
      <c r="AB239" s="928"/>
      <c r="AC239" s="928"/>
      <c r="AD239" s="928"/>
      <c r="AE239" s="928"/>
      <c r="AF239" s="928"/>
      <c r="AG239" s="928"/>
      <c r="AH239" s="928"/>
      <c r="AI239" s="928"/>
      <c r="AJ239" s="928"/>
      <c r="AK239" s="928"/>
      <c r="AL239" s="928"/>
      <c r="AM239" s="928"/>
      <c r="AN239" s="928"/>
      <c r="AO239" s="928"/>
      <c r="AP239" s="928"/>
      <c r="AQ239" s="928"/>
      <c r="AR239" s="928"/>
      <c r="AS239" s="928"/>
    </row>
    <row r="240" spans="11:45">
      <c r="K240" s="957"/>
      <c r="L240" s="928"/>
      <c r="M240" s="928"/>
      <c r="N240" s="960"/>
      <c r="O240" s="960"/>
      <c r="P240" s="960"/>
      <c r="Q240" s="960"/>
      <c r="R240" s="960"/>
      <c r="S240" s="960"/>
      <c r="T240" s="960"/>
      <c r="U240" s="960"/>
      <c r="V240" s="960"/>
      <c r="W240" s="960"/>
      <c r="X240" s="960"/>
      <c r="Y240" s="960"/>
      <c r="Z240" s="960"/>
      <c r="AA240" s="960"/>
      <c r="AB240" s="928"/>
      <c r="AC240" s="928"/>
      <c r="AD240" s="928"/>
      <c r="AE240" s="928"/>
      <c r="AF240" s="928"/>
      <c r="AG240" s="928"/>
      <c r="AH240" s="928"/>
      <c r="AI240" s="928"/>
      <c r="AJ240" s="928"/>
      <c r="AK240" s="928"/>
      <c r="AL240" s="928"/>
      <c r="AM240" s="928"/>
      <c r="AN240" s="928"/>
      <c r="AO240" s="928"/>
      <c r="AP240" s="928"/>
      <c r="AQ240" s="928"/>
      <c r="AR240" s="928"/>
      <c r="AS240" s="928"/>
    </row>
    <row r="241" spans="11:45">
      <c r="K241" s="957"/>
      <c r="L241" s="928"/>
      <c r="M241" s="928"/>
      <c r="N241" s="960"/>
      <c r="O241" s="960"/>
      <c r="P241" s="960"/>
      <c r="Q241" s="960"/>
      <c r="R241" s="960"/>
      <c r="S241" s="960"/>
      <c r="T241" s="960"/>
      <c r="U241" s="960"/>
      <c r="V241" s="960"/>
      <c r="W241" s="960"/>
      <c r="X241" s="960"/>
      <c r="Y241" s="960"/>
      <c r="Z241" s="960"/>
      <c r="AA241" s="960"/>
      <c r="AB241" s="928"/>
      <c r="AC241" s="928"/>
      <c r="AD241" s="928"/>
      <c r="AE241" s="928"/>
      <c r="AF241" s="928"/>
      <c r="AG241" s="928"/>
      <c r="AH241" s="928"/>
      <c r="AI241" s="928"/>
      <c r="AJ241" s="928"/>
      <c r="AK241" s="928"/>
      <c r="AL241" s="928"/>
      <c r="AM241" s="928"/>
      <c r="AN241" s="928"/>
      <c r="AO241" s="928"/>
      <c r="AP241" s="928"/>
      <c r="AQ241" s="928"/>
      <c r="AR241" s="928"/>
      <c r="AS241" s="928"/>
    </row>
    <row r="242" spans="11:45">
      <c r="K242" s="957"/>
      <c r="L242" s="928"/>
      <c r="M242" s="928"/>
      <c r="N242" s="960"/>
      <c r="O242" s="960"/>
      <c r="P242" s="960"/>
      <c r="Q242" s="960"/>
      <c r="R242" s="960"/>
      <c r="S242" s="960"/>
      <c r="T242" s="960"/>
      <c r="U242" s="960"/>
      <c r="V242" s="960"/>
      <c r="W242" s="960"/>
      <c r="X242" s="960"/>
      <c r="Y242" s="960"/>
      <c r="Z242" s="960"/>
      <c r="AA242" s="960"/>
      <c r="AB242" s="928"/>
      <c r="AC242" s="928"/>
      <c r="AD242" s="928"/>
      <c r="AE242" s="928"/>
      <c r="AF242" s="928"/>
      <c r="AG242" s="928"/>
      <c r="AH242" s="928"/>
      <c r="AI242" s="928"/>
      <c r="AJ242" s="928"/>
      <c r="AK242" s="928"/>
      <c r="AL242" s="928"/>
      <c r="AM242" s="928"/>
      <c r="AN242" s="928"/>
      <c r="AO242" s="928"/>
      <c r="AP242" s="928"/>
      <c r="AQ242" s="928"/>
      <c r="AR242" s="928"/>
      <c r="AS242" s="928"/>
    </row>
    <row r="243" spans="11:45">
      <c r="K243" s="957"/>
      <c r="L243" s="928"/>
      <c r="M243" s="928"/>
      <c r="N243" s="960"/>
      <c r="O243" s="960"/>
      <c r="P243" s="960"/>
      <c r="Q243" s="960"/>
      <c r="R243" s="960"/>
      <c r="S243" s="960"/>
      <c r="T243" s="960"/>
      <c r="U243" s="960"/>
      <c r="V243" s="960"/>
      <c r="W243" s="960"/>
      <c r="X243" s="960"/>
      <c r="Y243" s="960"/>
      <c r="Z243" s="960"/>
      <c r="AA243" s="960"/>
      <c r="AB243" s="928"/>
      <c r="AC243" s="928"/>
      <c r="AD243" s="928"/>
      <c r="AE243" s="928"/>
      <c r="AF243" s="928"/>
      <c r="AG243" s="928"/>
      <c r="AH243" s="928"/>
      <c r="AI243" s="928"/>
      <c r="AJ243" s="928"/>
      <c r="AK243" s="928"/>
      <c r="AL243" s="928"/>
      <c r="AM243" s="928"/>
      <c r="AN243" s="928"/>
      <c r="AO243" s="928"/>
      <c r="AP243" s="928"/>
      <c r="AQ243" s="928"/>
      <c r="AR243" s="928"/>
      <c r="AS243" s="928"/>
    </row>
    <row r="244" spans="11:45">
      <c r="K244" s="957"/>
      <c r="L244" s="928"/>
      <c r="M244" s="928"/>
      <c r="N244" s="960"/>
      <c r="O244" s="960"/>
      <c r="P244" s="960"/>
      <c r="Q244" s="960"/>
      <c r="R244" s="960"/>
      <c r="S244" s="960"/>
      <c r="T244" s="960"/>
      <c r="U244" s="960"/>
      <c r="V244" s="960"/>
      <c r="W244" s="960"/>
      <c r="X244" s="960"/>
      <c r="Y244" s="960"/>
      <c r="Z244" s="960"/>
      <c r="AA244" s="960"/>
      <c r="AB244" s="928"/>
      <c r="AC244" s="928"/>
      <c r="AD244" s="928"/>
      <c r="AE244" s="928"/>
      <c r="AF244" s="928"/>
      <c r="AG244" s="928"/>
      <c r="AH244" s="928"/>
      <c r="AI244" s="928"/>
      <c r="AJ244" s="928"/>
      <c r="AK244" s="928"/>
      <c r="AL244" s="928"/>
      <c r="AM244" s="928"/>
      <c r="AN244" s="928"/>
      <c r="AO244" s="928"/>
      <c r="AP244" s="928"/>
      <c r="AQ244" s="928"/>
      <c r="AR244" s="928"/>
      <c r="AS244" s="928"/>
    </row>
    <row r="245" spans="11:45">
      <c r="K245" s="957"/>
      <c r="L245" s="928"/>
      <c r="M245" s="928"/>
      <c r="N245" s="960"/>
      <c r="O245" s="960"/>
      <c r="P245" s="960"/>
      <c r="Q245" s="960"/>
      <c r="R245" s="960"/>
      <c r="S245" s="960"/>
      <c r="T245" s="960"/>
      <c r="U245" s="960"/>
      <c r="V245" s="960"/>
      <c r="W245" s="960"/>
      <c r="X245" s="960"/>
      <c r="Y245" s="960"/>
      <c r="Z245" s="960"/>
      <c r="AA245" s="960"/>
      <c r="AB245" s="928"/>
      <c r="AC245" s="928"/>
      <c r="AD245" s="928"/>
      <c r="AE245" s="928"/>
      <c r="AF245" s="928"/>
      <c r="AG245" s="928"/>
      <c r="AH245" s="928"/>
      <c r="AI245" s="928"/>
      <c r="AJ245" s="928"/>
      <c r="AK245" s="928"/>
      <c r="AL245" s="928"/>
      <c r="AM245" s="928"/>
      <c r="AN245" s="928"/>
      <c r="AO245" s="928"/>
      <c r="AP245" s="928"/>
      <c r="AQ245" s="928"/>
      <c r="AR245" s="928"/>
      <c r="AS245" s="928"/>
    </row>
    <row r="246" spans="11:45">
      <c r="K246" s="957"/>
      <c r="L246" s="928"/>
      <c r="M246" s="928"/>
      <c r="N246" s="960"/>
      <c r="O246" s="960"/>
      <c r="P246" s="960"/>
      <c r="Q246" s="960"/>
      <c r="R246" s="960"/>
      <c r="S246" s="960"/>
      <c r="T246" s="960"/>
      <c r="U246" s="960"/>
      <c r="V246" s="960"/>
      <c r="W246" s="960"/>
      <c r="X246" s="960"/>
      <c r="Y246" s="960"/>
      <c r="Z246" s="960"/>
      <c r="AA246" s="960"/>
      <c r="AB246" s="928"/>
      <c r="AC246" s="928"/>
      <c r="AD246" s="928"/>
      <c r="AE246" s="928"/>
      <c r="AF246" s="928"/>
      <c r="AG246" s="928"/>
      <c r="AH246" s="928"/>
      <c r="AI246" s="928"/>
      <c r="AJ246" s="928"/>
      <c r="AK246" s="928"/>
      <c r="AL246" s="928"/>
      <c r="AM246" s="928"/>
      <c r="AN246" s="928"/>
      <c r="AO246" s="928"/>
      <c r="AP246" s="928"/>
      <c r="AQ246" s="928"/>
      <c r="AR246" s="928"/>
      <c r="AS246" s="928"/>
    </row>
    <row r="247" spans="11:45">
      <c r="K247" s="957"/>
      <c r="L247" s="928"/>
      <c r="M247" s="928"/>
      <c r="N247" s="960"/>
      <c r="O247" s="960"/>
      <c r="P247" s="960"/>
      <c r="Q247" s="960"/>
      <c r="R247" s="960"/>
      <c r="S247" s="960"/>
      <c r="T247" s="960"/>
      <c r="U247" s="960"/>
      <c r="V247" s="960"/>
      <c r="W247" s="960"/>
      <c r="X247" s="960"/>
      <c r="Y247" s="960"/>
      <c r="Z247" s="960"/>
      <c r="AA247" s="960"/>
      <c r="AB247" s="928"/>
      <c r="AC247" s="928"/>
      <c r="AD247" s="928"/>
      <c r="AE247" s="928"/>
      <c r="AF247" s="928"/>
      <c r="AG247" s="928"/>
      <c r="AH247" s="928"/>
      <c r="AI247" s="928"/>
      <c r="AJ247" s="928"/>
      <c r="AK247" s="928"/>
      <c r="AL247" s="928"/>
      <c r="AM247" s="928"/>
      <c r="AN247" s="928"/>
      <c r="AO247" s="928"/>
      <c r="AP247" s="928"/>
      <c r="AQ247" s="928"/>
      <c r="AR247" s="928"/>
      <c r="AS247" s="928"/>
    </row>
    <row r="248" spans="11:45">
      <c r="K248" s="957"/>
      <c r="L248" s="928"/>
      <c r="M248" s="928"/>
      <c r="N248" s="960"/>
      <c r="O248" s="960"/>
      <c r="P248" s="960"/>
      <c r="Q248" s="960"/>
      <c r="R248" s="960"/>
      <c r="S248" s="960"/>
      <c r="T248" s="960"/>
      <c r="U248" s="960"/>
      <c r="V248" s="960"/>
      <c r="W248" s="960"/>
      <c r="X248" s="960"/>
      <c r="Y248" s="960"/>
      <c r="Z248" s="960"/>
      <c r="AA248" s="960"/>
      <c r="AB248" s="928"/>
      <c r="AC248" s="928"/>
      <c r="AD248" s="928"/>
      <c r="AE248" s="928"/>
      <c r="AF248" s="928"/>
      <c r="AG248" s="928"/>
      <c r="AH248" s="928"/>
      <c r="AI248" s="928"/>
      <c r="AJ248" s="928"/>
      <c r="AK248" s="928"/>
      <c r="AL248" s="928"/>
      <c r="AM248" s="928"/>
      <c r="AN248" s="928"/>
      <c r="AO248" s="928"/>
      <c r="AP248" s="928"/>
      <c r="AQ248" s="928"/>
      <c r="AR248" s="928"/>
      <c r="AS248" s="928"/>
    </row>
    <row r="249" spans="11:45">
      <c r="K249" s="957"/>
      <c r="L249" s="928"/>
      <c r="M249" s="928"/>
      <c r="N249" s="960"/>
      <c r="O249" s="960"/>
      <c r="P249" s="960"/>
      <c r="Q249" s="960"/>
      <c r="R249" s="960"/>
      <c r="S249" s="960"/>
      <c r="T249" s="960"/>
      <c r="U249" s="960"/>
      <c r="V249" s="960"/>
      <c r="W249" s="960"/>
      <c r="X249" s="960"/>
      <c r="Y249" s="960"/>
      <c r="Z249" s="960"/>
      <c r="AA249" s="960"/>
      <c r="AB249" s="928"/>
      <c r="AC249" s="928"/>
      <c r="AD249" s="928"/>
      <c r="AE249" s="928"/>
      <c r="AF249" s="928"/>
      <c r="AG249" s="928"/>
      <c r="AH249" s="928"/>
      <c r="AI249" s="928"/>
      <c r="AJ249" s="928"/>
      <c r="AK249" s="928"/>
      <c r="AL249" s="928"/>
      <c r="AM249" s="928"/>
      <c r="AN249" s="928"/>
      <c r="AO249" s="928"/>
      <c r="AP249" s="928"/>
      <c r="AQ249" s="928"/>
      <c r="AR249" s="928"/>
      <c r="AS249" s="928"/>
    </row>
    <row r="250" spans="11:45">
      <c r="K250" s="957"/>
      <c r="L250" s="928"/>
      <c r="M250" s="928"/>
      <c r="N250" s="960"/>
      <c r="O250" s="960"/>
      <c r="P250" s="960"/>
      <c r="Q250" s="960"/>
      <c r="R250" s="960"/>
      <c r="S250" s="960"/>
      <c r="T250" s="960"/>
      <c r="U250" s="960"/>
      <c r="V250" s="960"/>
      <c r="W250" s="960"/>
      <c r="X250" s="960"/>
      <c r="Y250" s="960"/>
      <c r="Z250" s="960"/>
      <c r="AA250" s="960"/>
      <c r="AB250" s="928"/>
      <c r="AC250" s="928"/>
      <c r="AD250" s="928"/>
      <c r="AE250" s="928"/>
      <c r="AF250" s="928"/>
      <c r="AG250" s="928"/>
      <c r="AH250" s="928"/>
      <c r="AI250" s="928"/>
      <c r="AJ250" s="928"/>
      <c r="AK250" s="928"/>
      <c r="AL250" s="928"/>
      <c r="AM250" s="928"/>
      <c r="AN250" s="928"/>
      <c r="AO250" s="928"/>
      <c r="AP250" s="928"/>
      <c r="AQ250" s="928"/>
      <c r="AR250" s="928"/>
      <c r="AS250" s="928"/>
    </row>
    <row r="251" spans="11:45">
      <c r="K251" s="957"/>
      <c r="L251" s="928"/>
      <c r="M251" s="928"/>
      <c r="N251" s="960"/>
      <c r="O251" s="960"/>
      <c r="P251" s="960"/>
      <c r="Q251" s="960"/>
      <c r="R251" s="960"/>
      <c r="S251" s="960"/>
      <c r="T251" s="960"/>
      <c r="U251" s="960"/>
      <c r="V251" s="960"/>
      <c r="W251" s="960"/>
      <c r="X251" s="960"/>
      <c r="Y251" s="960"/>
      <c r="Z251" s="960"/>
      <c r="AA251" s="960"/>
      <c r="AB251" s="928"/>
      <c r="AC251" s="928"/>
      <c r="AD251" s="928"/>
      <c r="AE251" s="928"/>
      <c r="AF251" s="928"/>
      <c r="AG251" s="928"/>
      <c r="AH251" s="928"/>
      <c r="AI251" s="928"/>
      <c r="AJ251" s="928"/>
      <c r="AK251" s="928"/>
      <c r="AL251" s="928"/>
      <c r="AM251" s="928"/>
      <c r="AN251" s="928"/>
      <c r="AO251" s="928"/>
      <c r="AP251" s="928"/>
      <c r="AQ251" s="928"/>
      <c r="AR251" s="928"/>
      <c r="AS251" s="928"/>
    </row>
    <row r="252" spans="11:45">
      <c r="K252" s="957"/>
      <c r="L252" s="928"/>
      <c r="M252" s="928"/>
      <c r="N252" s="960"/>
      <c r="O252" s="960"/>
      <c r="P252" s="960"/>
      <c r="Q252" s="960"/>
      <c r="R252" s="960"/>
      <c r="S252" s="960"/>
      <c r="T252" s="960"/>
      <c r="U252" s="960"/>
      <c r="V252" s="960"/>
      <c r="W252" s="960"/>
      <c r="X252" s="960"/>
      <c r="Y252" s="960"/>
      <c r="Z252" s="960"/>
      <c r="AA252" s="960"/>
      <c r="AB252" s="928"/>
      <c r="AC252" s="928"/>
      <c r="AD252" s="928"/>
      <c r="AE252" s="928"/>
      <c r="AF252" s="928"/>
      <c r="AG252" s="928"/>
      <c r="AH252" s="928"/>
      <c r="AI252" s="928"/>
      <c r="AJ252" s="928"/>
      <c r="AK252" s="928"/>
      <c r="AL252" s="928"/>
      <c r="AM252" s="928"/>
      <c r="AN252" s="928"/>
      <c r="AO252" s="928"/>
      <c r="AP252" s="928"/>
      <c r="AQ252" s="928"/>
      <c r="AR252" s="928"/>
      <c r="AS252" s="928"/>
    </row>
    <row r="253" spans="11:45">
      <c r="K253" s="957"/>
      <c r="L253" s="928"/>
      <c r="M253" s="928"/>
      <c r="N253" s="960"/>
      <c r="O253" s="960"/>
      <c r="P253" s="960"/>
      <c r="Q253" s="960"/>
      <c r="R253" s="960"/>
      <c r="S253" s="960"/>
      <c r="T253" s="960"/>
      <c r="U253" s="960"/>
      <c r="V253" s="960"/>
      <c r="W253" s="960"/>
      <c r="X253" s="960"/>
      <c r="Y253" s="960"/>
      <c r="Z253" s="960"/>
      <c r="AA253" s="960"/>
      <c r="AB253" s="928"/>
      <c r="AC253" s="928"/>
      <c r="AD253" s="928"/>
      <c r="AE253" s="928"/>
      <c r="AF253" s="928"/>
      <c r="AG253" s="928"/>
      <c r="AH253" s="928"/>
      <c r="AI253" s="928"/>
      <c r="AJ253" s="928"/>
      <c r="AK253" s="928"/>
      <c r="AL253" s="928"/>
      <c r="AM253" s="928"/>
      <c r="AN253" s="928"/>
      <c r="AO253" s="928"/>
      <c r="AP253" s="928"/>
      <c r="AQ253" s="928"/>
      <c r="AR253" s="928"/>
      <c r="AS253" s="928"/>
    </row>
    <row r="254" spans="11:45">
      <c r="K254" s="957"/>
      <c r="L254" s="928"/>
      <c r="M254" s="928"/>
      <c r="N254" s="960"/>
      <c r="O254" s="960"/>
      <c r="P254" s="960"/>
      <c r="Q254" s="960"/>
      <c r="R254" s="960"/>
      <c r="S254" s="960"/>
      <c r="T254" s="960"/>
      <c r="U254" s="960"/>
      <c r="V254" s="960"/>
      <c r="W254" s="960"/>
      <c r="X254" s="960"/>
      <c r="Y254" s="960"/>
      <c r="Z254" s="960"/>
      <c r="AA254" s="960"/>
      <c r="AB254" s="928"/>
      <c r="AC254" s="928"/>
      <c r="AD254" s="928"/>
      <c r="AE254" s="928"/>
      <c r="AF254" s="928"/>
      <c r="AG254" s="928"/>
      <c r="AH254" s="928"/>
      <c r="AI254" s="928"/>
      <c r="AJ254" s="928"/>
      <c r="AK254" s="928"/>
      <c r="AL254" s="928"/>
      <c r="AM254" s="928"/>
      <c r="AN254" s="928"/>
      <c r="AO254" s="928"/>
      <c r="AP254" s="928"/>
      <c r="AQ254" s="928"/>
      <c r="AR254" s="928"/>
      <c r="AS254" s="928"/>
    </row>
    <row r="255" spans="11:45">
      <c r="K255" s="957"/>
      <c r="L255" s="928"/>
      <c r="M255" s="928"/>
      <c r="N255" s="960"/>
      <c r="O255" s="960"/>
      <c r="P255" s="960"/>
      <c r="Q255" s="960"/>
      <c r="R255" s="960"/>
      <c r="S255" s="960"/>
      <c r="T255" s="960"/>
      <c r="U255" s="960"/>
      <c r="V255" s="960"/>
      <c r="W255" s="960"/>
      <c r="X255" s="960"/>
      <c r="Y255" s="960"/>
      <c r="Z255" s="960"/>
      <c r="AA255" s="960"/>
      <c r="AB255" s="928"/>
      <c r="AC255" s="928"/>
      <c r="AD255" s="928"/>
      <c r="AE255" s="928"/>
      <c r="AF255" s="928"/>
      <c r="AG255" s="928"/>
      <c r="AH255" s="928"/>
      <c r="AI255" s="928"/>
      <c r="AJ255" s="928"/>
      <c r="AK255" s="928"/>
      <c r="AL255" s="928"/>
      <c r="AM255" s="928"/>
      <c r="AN255" s="928"/>
      <c r="AO255" s="928"/>
      <c r="AP255" s="928"/>
      <c r="AQ255" s="928"/>
      <c r="AR255" s="928"/>
      <c r="AS255" s="928"/>
    </row>
    <row r="256" spans="11:45">
      <c r="K256" s="957"/>
      <c r="L256" s="928"/>
      <c r="M256" s="928"/>
      <c r="N256" s="960"/>
      <c r="O256" s="960"/>
      <c r="P256" s="960"/>
      <c r="Q256" s="960"/>
      <c r="R256" s="960"/>
      <c r="S256" s="960"/>
      <c r="T256" s="960"/>
      <c r="U256" s="960"/>
      <c r="V256" s="960"/>
      <c r="W256" s="960"/>
      <c r="X256" s="960"/>
      <c r="Y256" s="960"/>
      <c r="Z256" s="960"/>
      <c r="AA256" s="960"/>
      <c r="AB256" s="928"/>
      <c r="AC256" s="928"/>
      <c r="AD256" s="928"/>
      <c r="AE256" s="928"/>
      <c r="AF256" s="928"/>
      <c r="AG256" s="928"/>
      <c r="AH256" s="928"/>
      <c r="AI256" s="928"/>
      <c r="AJ256" s="928"/>
      <c r="AK256" s="928"/>
      <c r="AL256" s="928"/>
      <c r="AM256" s="928"/>
      <c r="AN256" s="928"/>
      <c r="AO256" s="928"/>
      <c r="AP256" s="928"/>
      <c r="AQ256" s="928"/>
      <c r="AR256" s="928"/>
      <c r="AS256" s="928"/>
    </row>
    <row r="257" spans="11:45">
      <c r="K257" s="957"/>
      <c r="L257" s="928"/>
      <c r="M257" s="928"/>
      <c r="N257" s="960"/>
      <c r="O257" s="960"/>
      <c r="P257" s="960"/>
      <c r="Q257" s="960"/>
      <c r="R257" s="960"/>
      <c r="S257" s="960"/>
      <c r="T257" s="960"/>
      <c r="U257" s="960"/>
      <c r="V257" s="960"/>
      <c r="W257" s="960"/>
      <c r="X257" s="960"/>
      <c r="Y257" s="960"/>
      <c r="Z257" s="960"/>
      <c r="AA257" s="960"/>
      <c r="AB257" s="928"/>
      <c r="AC257" s="928"/>
      <c r="AD257" s="928"/>
      <c r="AE257" s="928"/>
      <c r="AF257" s="928"/>
      <c r="AG257" s="928"/>
      <c r="AH257" s="928"/>
      <c r="AI257" s="928"/>
      <c r="AJ257" s="928"/>
      <c r="AK257" s="928"/>
      <c r="AL257" s="928"/>
      <c r="AM257" s="928"/>
      <c r="AN257" s="928"/>
      <c r="AO257" s="928"/>
      <c r="AP257" s="928"/>
      <c r="AQ257" s="928"/>
      <c r="AR257" s="928"/>
      <c r="AS257" s="928"/>
    </row>
    <row r="258" spans="11:45">
      <c r="K258" s="957"/>
      <c r="L258" s="928"/>
      <c r="M258" s="928"/>
      <c r="N258" s="960"/>
      <c r="O258" s="960"/>
      <c r="P258" s="960"/>
      <c r="Q258" s="960"/>
      <c r="R258" s="960"/>
      <c r="S258" s="960"/>
      <c r="T258" s="960"/>
      <c r="U258" s="960"/>
      <c r="V258" s="960"/>
      <c r="W258" s="960"/>
      <c r="X258" s="960"/>
      <c r="Y258" s="960"/>
      <c r="Z258" s="960"/>
      <c r="AA258" s="960"/>
      <c r="AB258" s="928"/>
      <c r="AC258" s="928"/>
      <c r="AD258" s="928"/>
      <c r="AE258" s="928"/>
      <c r="AF258" s="928"/>
      <c r="AG258" s="928"/>
      <c r="AH258" s="928"/>
      <c r="AI258" s="928"/>
      <c r="AJ258" s="928"/>
      <c r="AK258" s="928"/>
      <c r="AL258" s="928"/>
      <c r="AM258" s="928"/>
      <c r="AN258" s="928"/>
      <c r="AO258" s="928"/>
      <c r="AP258" s="928"/>
      <c r="AQ258" s="928"/>
      <c r="AR258" s="928"/>
      <c r="AS258" s="928"/>
    </row>
    <row r="259" spans="11:45">
      <c r="K259" s="957"/>
      <c r="L259" s="928"/>
      <c r="M259" s="928"/>
      <c r="N259" s="960"/>
      <c r="O259" s="960"/>
      <c r="P259" s="960"/>
      <c r="Q259" s="960"/>
      <c r="R259" s="960"/>
      <c r="S259" s="960"/>
      <c r="T259" s="960"/>
      <c r="U259" s="960"/>
      <c r="V259" s="960"/>
      <c r="W259" s="960"/>
      <c r="X259" s="960"/>
      <c r="Y259" s="960"/>
      <c r="Z259" s="960"/>
      <c r="AA259" s="960"/>
      <c r="AB259" s="928"/>
      <c r="AC259" s="928"/>
      <c r="AD259" s="928"/>
      <c r="AE259" s="928"/>
      <c r="AF259" s="928"/>
      <c r="AG259" s="928"/>
      <c r="AH259" s="928"/>
      <c r="AI259" s="928"/>
      <c r="AJ259" s="928"/>
      <c r="AK259" s="928"/>
      <c r="AL259" s="928"/>
      <c r="AM259" s="928"/>
      <c r="AN259" s="928"/>
      <c r="AO259" s="928"/>
      <c r="AP259" s="928"/>
      <c r="AQ259" s="928"/>
      <c r="AR259" s="928"/>
      <c r="AS259" s="928"/>
    </row>
    <row r="260" spans="11:45">
      <c r="K260" s="957"/>
      <c r="L260" s="928"/>
      <c r="M260" s="928"/>
      <c r="N260" s="960"/>
      <c r="O260" s="960"/>
      <c r="P260" s="960"/>
      <c r="Q260" s="960"/>
      <c r="R260" s="960"/>
      <c r="S260" s="960"/>
      <c r="T260" s="960"/>
      <c r="U260" s="960"/>
      <c r="V260" s="960"/>
      <c r="W260" s="960"/>
      <c r="X260" s="960"/>
      <c r="Y260" s="960"/>
      <c r="Z260" s="960"/>
      <c r="AA260" s="960"/>
      <c r="AB260" s="928"/>
      <c r="AC260" s="928"/>
      <c r="AD260" s="928"/>
      <c r="AE260" s="928"/>
      <c r="AF260" s="928"/>
      <c r="AG260" s="928"/>
      <c r="AH260" s="928"/>
      <c r="AI260" s="928"/>
      <c r="AJ260" s="928"/>
      <c r="AK260" s="928"/>
      <c r="AL260" s="928"/>
      <c r="AM260" s="928"/>
      <c r="AN260" s="928"/>
      <c r="AO260" s="928"/>
      <c r="AP260" s="928"/>
      <c r="AQ260" s="928"/>
      <c r="AR260" s="928"/>
      <c r="AS260" s="928"/>
    </row>
    <row r="261" spans="11:45">
      <c r="K261" s="957"/>
      <c r="L261" s="928"/>
      <c r="M261" s="928"/>
      <c r="N261" s="960"/>
      <c r="O261" s="960"/>
      <c r="P261" s="960"/>
      <c r="Q261" s="960"/>
      <c r="R261" s="960"/>
      <c r="S261" s="960"/>
      <c r="T261" s="960"/>
      <c r="U261" s="960"/>
      <c r="V261" s="960"/>
      <c r="W261" s="960"/>
      <c r="X261" s="960"/>
      <c r="Y261" s="960"/>
      <c r="Z261" s="960"/>
      <c r="AA261" s="960"/>
      <c r="AB261" s="928"/>
      <c r="AC261" s="928"/>
      <c r="AD261" s="928"/>
      <c r="AE261" s="928"/>
      <c r="AF261" s="928"/>
      <c r="AG261" s="928"/>
      <c r="AH261" s="928"/>
      <c r="AI261" s="928"/>
      <c r="AJ261" s="928"/>
      <c r="AK261" s="928"/>
      <c r="AL261" s="928"/>
      <c r="AM261" s="928"/>
      <c r="AN261" s="928"/>
      <c r="AO261" s="928"/>
      <c r="AP261" s="928"/>
      <c r="AQ261" s="928"/>
      <c r="AR261" s="928"/>
      <c r="AS261" s="928"/>
    </row>
    <row r="262" spans="11:45">
      <c r="K262" s="957"/>
      <c r="L262" s="928"/>
      <c r="M262" s="928"/>
      <c r="N262" s="960"/>
      <c r="O262" s="960"/>
      <c r="P262" s="960"/>
      <c r="Q262" s="960"/>
      <c r="R262" s="960"/>
      <c r="S262" s="960"/>
      <c r="T262" s="960"/>
      <c r="U262" s="960"/>
      <c r="V262" s="960"/>
      <c r="W262" s="960"/>
      <c r="X262" s="960"/>
      <c r="Y262" s="960"/>
      <c r="Z262" s="960"/>
      <c r="AA262" s="960"/>
      <c r="AB262" s="928"/>
      <c r="AC262" s="928"/>
      <c r="AD262" s="928"/>
      <c r="AE262" s="928"/>
      <c r="AF262" s="928"/>
      <c r="AG262" s="928"/>
      <c r="AH262" s="928"/>
      <c r="AI262" s="928"/>
      <c r="AJ262" s="928"/>
      <c r="AK262" s="928"/>
      <c r="AL262" s="928"/>
      <c r="AM262" s="928"/>
      <c r="AN262" s="928"/>
      <c r="AO262" s="928"/>
      <c r="AP262" s="928"/>
      <c r="AQ262" s="928"/>
      <c r="AR262" s="928"/>
      <c r="AS262" s="928"/>
    </row>
    <row r="263" spans="11:45">
      <c r="K263" s="957"/>
      <c r="L263" s="928"/>
      <c r="M263" s="928"/>
      <c r="N263" s="960"/>
      <c r="O263" s="960"/>
      <c r="P263" s="960"/>
      <c r="Q263" s="960"/>
      <c r="R263" s="960"/>
      <c r="S263" s="960"/>
      <c r="T263" s="960"/>
      <c r="U263" s="960"/>
      <c r="V263" s="960"/>
      <c r="W263" s="960"/>
      <c r="X263" s="960"/>
      <c r="Y263" s="960"/>
      <c r="Z263" s="960"/>
      <c r="AA263" s="960"/>
      <c r="AB263" s="928"/>
      <c r="AC263" s="928"/>
      <c r="AD263" s="928"/>
      <c r="AE263" s="928"/>
      <c r="AF263" s="928"/>
      <c r="AG263" s="928"/>
      <c r="AH263" s="928"/>
      <c r="AI263" s="928"/>
      <c r="AJ263" s="928"/>
      <c r="AK263" s="928"/>
      <c r="AL263" s="928"/>
      <c r="AM263" s="928"/>
      <c r="AN263" s="928"/>
      <c r="AO263" s="928"/>
      <c r="AP263" s="928"/>
      <c r="AQ263" s="928"/>
      <c r="AR263" s="928"/>
      <c r="AS263" s="928"/>
    </row>
    <row r="264" spans="11:45">
      <c r="K264" s="957"/>
      <c r="L264" s="928"/>
      <c r="M264" s="928"/>
      <c r="N264" s="960"/>
      <c r="O264" s="960"/>
      <c r="P264" s="960"/>
      <c r="Q264" s="960"/>
      <c r="R264" s="960"/>
      <c r="S264" s="960"/>
      <c r="T264" s="960"/>
      <c r="U264" s="960"/>
      <c r="V264" s="960"/>
      <c r="W264" s="960"/>
      <c r="X264" s="960"/>
      <c r="Y264" s="960"/>
      <c r="Z264" s="960"/>
      <c r="AA264" s="960"/>
      <c r="AB264" s="928"/>
      <c r="AC264" s="928"/>
      <c r="AD264" s="928"/>
      <c r="AE264" s="928"/>
      <c r="AF264" s="928"/>
      <c r="AG264" s="928"/>
      <c r="AH264" s="928"/>
      <c r="AI264" s="928"/>
      <c r="AJ264" s="928"/>
      <c r="AK264" s="928"/>
      <c r="AL264" s="928"/>
      <c r="AM264" s="928"/>
      <c r="AN264" s="928"/>
      <c r="AO264" s="928"/>
      <c r="AP264" s="928"/>
      <c r="AQ264" s="928"/>
      <c r="AR264" s="928"/>
      <c r="AS264" s="928"/>
    </row>
    <row r="265" spans="11:45">
      <c r="K265" s="957"/>
      <c r="L265" s="928"/>
      <c r="M265" s="928"/>
      <c r="N265" s="960"/>
      <c r="O265" s="960"/>
      <c r="P265" s="960"/>
      <c r="Q265" s="960"/>
      <c r="R265" s="960"/>
      <c r="S265" s="960"/>
      <c r="T265" s="960"/>
      <c r="U265" s="960"/>
      <c r="V265" s="960"/>
      <c r="W265" s="960"/>
      <c r="X265" s="960"/>
      <c r="Y265" s="960"/>
      <c r="Z265" s="960"/>
      <c r="AA265" s="960"/>
      <c r="AB265" s="928"/>
      <c r="AC265" s="928"/>
      <c r="AD265" s="928"/>
      <c r="AE265" s="928"/>
      <c r="AF265" s="928"/>
      <c r="AG265" s="928"/>
      <c r="AH265" s="928"/>
      <c r="AI265" s="928"/>
      <c r="AJ265" s="928"/>
      <c r="AK265" s="928"/>
      <c r="AL265" s="928"/>
      <c r="AM265" s="928"/>
      <c r="AN265" s="928"/>
      <c r="AO265" s="928"/>
      <c r="AP265" s="928"/>
      <c r="AQ265" s="928"/>
      <c r="AR265" s="928"/>
      <c r="AS265" s="928"/>
    </row>
    <row r="266" spans="11:45">
      <c r="K266" s="957"/>
      <c r="L266" s="928"/>
      <c r="M266" s="928"/>
      <c r="N266" s="960"/>
      <c r="O266" s="960"/>
      <c r="P266" s="960"/>
      <c r="Q266" s="960"/>
      <c r="R266" s="960"/>
      <c r="S266" s="960"/>
      <c r="T266" s="960"/>
      <c r="U266" s="960"/>
      <c r="V266" s="960"/>
      <c r="W266" s="960"/>
      <c r="X266" s="960"/>
      <c r="Y266" s="960"/>
      <c r="Z266" s="960"/>
      <c r="AA266" s="960"/>
      <c r="AB266" s="928"/>
      <c r="AC266" s="928"/>
      <c r="AD266" s="928"/>
      <c r="AE266" s="928"/>
      <c r="AF266" s="928"/>
      <c r="AG266" s="928"/>
      <c r="AH266" s="928"/>
      <c r="AI266" s="928"/>
      <c r="AJ266" s="928"/>
      <c r="AK266" s="928"/>
      <c r="AL266" s="928"/>
      <c r="AM266" s="928"/>
      <c r="AN266" s="928"/>
      <c r="AO266" s="928"/>
      <c r="AP266" s="928"/>
      <c r="AQ266" s="928"/>
      <c r="AR266" s="928"/>
      <c r="AS266" s="928"/>
    </row>
    <row r="267" spans="11:45">
      <c r="K267" s="957"/>
      <c r="L267" s="928"/>
      <c r="M267" s="928"/>
      <c r="N267" s="960"/>
      <c r="O267" s="960"/>
      <c r="P267" s="960"/>
      <c r="Q267" s="960"/>
      <c r="R267" s="960"/>
      <c r="S267" s="960"/>
      <c r="T267" s="960"/>
      <c r="U267" s="960"/>
      <c r="V267" s="960"/>
      <c r="W267" s="960"/>
      <c r="X267" s="960"/>
      <c r="Y267" s="960"/>
      <c r="Z267" s="960"/>
      <c r="AA267" s="960"/>
      <c r="AB267" s="928"/>
      <c r="AC267" s="928"/>
      <c r="AD267" s="928"/>
      <c r="AE267" s="928"/>
      <c r="AF267" s="928"/>
      <c r="AG267" s="928"/>
      <c r="AH267" s="928"/>
      <c r="AI267" s="928"/>
      <c r="AJ267" s="928"/>
      <c r="AK267" s="928"/>
      <c r="AL267" s="928"/>
      <c r="AM267" s="928"/>
      <c r="AN267" s="928"/>
      <c r="AO267" s="928"/>
      <c r="AP267" s="928"/>
      <c r="AQ267" s="928"/>
      <c r="AR267" s="928"/>
      <c r="AS267" s="928"/>
    </row>
    <row r="268" spans="11:45">
      <c r="K268" s="957"/>
      <c r="L268" s="928"/>
      <c r="M268" s="928"/>
      <c r="N268" s="960"/>
      <c r="O268" s="960"/>
      <c r="P268" s="960"/>
      <c r="Q268" s="960"/>
      <c r="R268" s="960"/>
      <c r="S268" s="960"/>
      <c r="T268" s="960"/>
      <c r="U268" s="960"/>
      <c r="V268" s="960"/>
      <c r="W268" s="960"/>
      <c r="X268" s="960"/>
      <c r="Y268" s="960"/>
      <c r="Z268" s="960"/>
      <c r="AA268" s="960"/>
      <c r="AB268" s="928"/>
      <c r="AC268" s="928"/>
      <c r="AD268" s="928"/>
      <c r="AE268" s="928"/>
      <c r="AF268" s="928"/>
      <c r="AG268" s="928"/>
      <c r="AH268" s="928"/>
      <c r="AI268" s="928"/>
      <c r="AJ268" s="928"/>
      <c r="AK268" s="928"/>
      <c r="AL268" s="928"/>
      <c r="AM268" s="928"/>
      <c r="AN268" s="928"/>
      <c r="AO268" s="928"/>
      <c r="AP268" s="928"/>
      <c r="AQ268" s="928"/>
      <c r="AR268" s="928"/>
      <c r="AS268" s="928"/>
    </row>
    <row r="269" spans="11:45">
      <c r="K269" s="957"/>
      <c r="L269" s="928"/>
      <c r="M269" s="928"/>
      <c r="N269" s="960"/>
      <c r="O269" s="960"/>
      <c r="P269" s="960"/>
      <c r="Q269" s="960"/>
      <c r="R269" s="960"/>
      <c r="S269" s="960"/>
      <c r="T269" s="960"/>
      <c r="U269" s="960"/>
      <c r="V269" s="960"/>
      <c r="W269" s="960"/>
      <c r="X269" s="960"/>
      <c r="Y269" s="960"/>
      <c r="Z269" s="960"/>
      <c r="AA269" s="960"/>
      <c r="AB269" s="928"/>
      <c r="AC269" s="928"/>
      <c r="AD269" s="928"/>
      <c r="AE269" s="928"/>
      <c r="AF269" s="928"/>
      <c r="AG269" s="928"/>
      <c r="AH269" s="928"/>
      <c r="AI269" s="928"/>
      <c r="AJ269" s="928"/>
      <c r="AK269" s="928"/>
      <c r="AL269" s="928"/>
      <c r="AM269" s="928"/>
      <c r="AN269" s="928"/>
      <c r="AO269" s="928"/>
      <c r="AP269" s="928"/>
      <c r="AQ269" s="928"/>
      <c r="AR269" s="928"/>
      <c r="AS269" s="928"/>
    </row>
    <row r="270" spans="11:45">
      <c r="K270" s="957"/>
      <c r="L270" s="928"/>
      <c r="M270" s="928"/>
      <c r="N270" s="960"/>
      <c r="O270" s="960"/>
      <c r="P270" s="960"/>
      <c r="Q270" s="960"/>
      <c r="R270" s="960"/>
      <c r="S270" s="960"/>
      <c r="T270" s="960"/>
      <c r="U270" s="960"/>
      <c r="V270" s="960"/>
      <c r="W270" s="960"/>
      <c r="X270" s="960"/>
      <c r="Y270" s="960"/>
      <c r="Z270" s="960"/>
      <c r="AA270" s="960"/>
      <c r="AB270" s="928"/>
      <c r="AC270" s="928"/>
      <c r="AD270" s="928"/>
      <c r="AE270" s="928"/>
      <c r="AF270" s="928"/>
      <c r="AG270" s="928"/>
      <c r="AH270" s="928"/>
      <c r="AI270" s="928"/>
      <c r="AJ270" s="928"/>
      <c r="AK270" s="928"/>
      <c r="AL270" s="928"/>
      <c r="AM270" s="928"/>
      <c r="AN270" s="928"/>
      <c r="AO270" s="928"/>
      <c r="AP270" s="928"/>
      <c r="AQ270" s="928"/>
      <c r="AR270" s="928"/>
      <c r="AS270" s="928"/>
    </row>
    <row r="271" spans="11:45">
      <c r="K271" s="957"/>
      <c r="L271" s="928"/>
      <c r="M271" s="928"/>
      <c r="N271" s="960"/>
      <c r="O271" s="960"/>
      <c r="P271" s="960"/>
      <c r="Q271" s="960"/>
      <c r="R271" s="960"/>
      <c r="S271" s="960"/>
      <c r="T271" s="960"/>
      <c r="U271" s="960"/>
      <c r="V271" s="960"/>
      <c r="W271" s="960"/>
      <c r="X271" s="960"/>
      <c r="Y271" s="960"/>
      <c r="Z271" s="960"/>
      <c r="AA271" s="960"/>
      <c r="AB271" s="928"/>
      <c r="AC271" s="928"/>
      <c r="AD271" s="928"/>
      <c r="AE271" s="928"/>
      <c r="AF271" s="928"/>
      <c r="AG271" s="928"/>
      <c r="AH271" s="928"/>
      <c r="AI271" s="928"/>
      <c r="AJ271" s="928"/>
      <c r="AK271" s="928"/>
      <c r="AL271" s="928"/>
      <c r="AM271" s="928"/>
      <c r="AN271" s="928"/>
      <c r="AO271" s="928"/>
      <c r="AP271" s="928"/>
      <c r="AQ271" s="928"/>
      <c r="AR271" s="928"/>
      <c r="AS271" s="928"/>
    </row>
    <row r="272" spans="11:45">
      <c r="K272" s="957"/>
      <c r="L272" s="928"/>
      <c r="M272" s="928"/>
      <c r="N272" s="960"/>
      <c r="O272" s="960"/>
      <c r="P272" s="960"/>
      <c r="Q272" s="960"/>
      <c r="R272" s="960"/>
      <c r="S272" s="960"/>
      <c r="T272" s="960"/>
      <c r="U272" s="960"/>
      <c r="V272" s="960"/>
      <c r="W272" s="960"/>
      <c r="X272" s="960"/>
      <c r="Y272" s="960"/>
      <c r="Z272" s="960"/>
      <c r="AA272" s="960"/>
      <c r="AB272" s="928"/>
      <c r="AC272" s="928"/>
      <c r="AD272" s="928"/>
      <c r="AE272" s="928"/>
      <c r="AF272" s="928"/>
      <c r="AG272" s="928"/>
      <c r="AH272" s="928"/>
      <c r="AI272" s="928"/>
      <c r="AJ272" s="928"/>
      <c r="AK272" s="928"/>
      <c r="AL272" s="928"/>
      <c r="AM272" s="928"/>
      <c r="AN272" s="928"/>
      <c r="AO272" s="928"/>
      <c r="AP272" s="928"/>
      <c r="AQ272" s="928"/>
      <c r="AR272" s="928"/>
      <c r="AS272" s="928"/>
    </row>
    <row r="273" spans="11:45">
      <c r="K273" s="957"/>
      <c r="L273" s="928"/>
      <c r="M273" s="928"/>
      <c r="N273" s="960"/>
      <c r="O273" s="960"/>
      <c r="P273" s="960"/>
      <c r="Q273" s="960"/>
      <c r="R273" s="960"/>
      <c r="S273" s="960"/>
      <c r="T273" s="960"/>
      <c r="U273" s="960"/>
      <c r="V273" s="960"/>
      <c r="W273" s="960"/>
      <c r="X273" s="960"/>
      <c r="Y273" s="960"/>
      <c r="Z273" s="960"/>
      <c r="AA273" s="960"/>
      <c r="AB273" s="928"/>
      <c r="AC273" s="928"/>
      <c r="AD273" s="928"/>
      <c r="AE273" s="928"/>
      <c r="AF273" s="928"/>
      <c r="AG273" s="928"/>
      <c r="AH273" s="928"/>
      <c r="AI273" s="928"/>
      <c r="AJ273" s="928"/>
      <c r="AK273" s="928"/>
      <c r="AL273" s="928"/>
      <c r="AM273" s="928"/>
      <c r="AN273" s="928"/>
      <c r="AO273" s="928"/>
      <c r="AP273" s="928"/>
      <c r="AQ273" s="928"/>
      <c r="AR273" s="928"/>
      <c r="AS273" s="928"/>
    </row>
    <row r="274" spans="11:45">
      <c r="K274" s="957"/>
      <c r="L274" s="928"/>
      <c r="M274" s="928"/>
      <c r="N274" s="960"/>
      <c r="O274" s="960"/>
      <c r="P274" s="960"/>
      <c r="Q274" s="960"/>
      <c r="R274" s="960"/>
      <c r="S274" s="960"/>
      <c r="T274" s="960"/>
      <c r="U274" s="960"/>
      <c r="V274" s="960"/>
      <c r="W274" s="960"/>
      <c r="X274" s="960"/>
      <c r="Y274" s="960"/>
      <c r="Z274" s="960"/>
      <c r="AA274" s="960"/>
      <c r="AB274" s="928"/>
      <c r="AC274" s="928"/>
      <c r="AD274" s="928"/>
      <c r="AE274" s="928"/>
      <c r="AF274" s="928"/>
      <c r="AG274" s="928"/>
      <c r="AH274" s="928"/>
      <c r="AI274" s="928"/>
      <c r="AJ274" s="928"/>
      <c r="AK274" s="928"/>
      <c r="AL274" s="928"/>
      <c r="AM274" s="928"/>
      <c r="AN274" s="928"/>
      <c r="AO274" s="928"/>
      <c r="AP274" s="928"/>
      <c r="AQ274" s="928"/>
      <c r="AR274" s="928"/>
      <c r="AS274" s="928"/>
    </row>
    <row r="275" spans="11:45">
      <c r="K275" s="957"/>
      <c r="L275" s="928"/>
      <c r="M275" s="928"/>
      <c r="N275" s="960"/>
      <c r="O275" s="960"/>
      <c r="P275" s="960"/>
      <c r="Q275" s="960"/>
      <c r="R275" s="960"/>
      <c r="S275" s="960"/>
      <c r="T275" s="960"/>
      <c r="U275" s="960"/>
      <c r="V275" s="960"/>
      <c r="W275" s="960"/>
      <c r="X275" s="960"/>
      <c r="Y275" s="960"/>
      <c r="Z275" s="960"/>
      <c r="AA275" s="960"/>
      <c r="AB275" s="928"/>
      <c r="AC275" s="928"/>
      <c r="AD275" s="928"/>
      <c r="AE275" s="928"/>
      <c r="AF275" s="928"/>
      <c r="AG275" s="928"/>
      <c r="AH275" s="928"/>
      <c r="AI275" s="928"/>
      <c r="AJ275" s="928"/>
      <c r="AK275" s="928"/>
      <c r="AL275" s="928"/>
      <c r="AM275" s="928"/>
      <c r="AN275" s="928"/>
      <c r="AO275" s="928"/>
      <c r="AP275" s="928"/>
      <c r="AQ275" s="928"/>
      <c r="AR275" s="928"/>
      <c r="AS275" s="928"/>
    </row>
    <row r="276" spans="11:45">
      <c r="K276" s="957"/>
      <c r="L276" s="928"/>
      <c r="M276" s="928"/>
      <c r="N276" s="960"/>
      <c r="O276" s="960"/>
      <c r="P276" s="960"/>
      <c r="Q276" s="960"/>
      <c r="R276" s="960"/>
      <c r="S276" s="960"/>
      <c r="T276" s="960"/>
      <c r="U276" s="960"/>
      <c r="V276" s="960"/>
      <c r="W276" s="960"/>
      <c r="X276" s="960"/>
      <c r="Y276" s="960"/>
      <c r="Z276" s="960"/>
      <c r="AA276" s="960"/>
      <c r="AB276" s="928"/>
      <c r="AC276" s="928"/>
      <c r="AD276" s="928"/>
      <c r="AE276" s="928"/>
      <c r="AF276" s="928"/>
      <c r="AG276" s="928"/>
      <c r="AH276" s="928"/>
      <c r="AI276" s="928"/>
      <c r="AJ276" s="928"/>
      <c r="AK276" s="928"/>
      <c r="AL276" s="928"/>
      <c r="AM276" s="928"/>
      <c r="AN276" s="928"/>
      <c r="AO276" s="928"/>
      <c r="AP276" s="928"/>
      <c r="AQ276" s="928"/>
      <c r="AR276" s="928"/>
      <c r="AS276" s="928"/>
    </row>
    <row r="277" spans="11:45">
      <c r="K277" s="957"/>
      <c r="L277" s="928"/>
      <c r="M277" s="928"/>
      <c r="N277" s="960"/>
      <c r="O277" s="960"/>
      <c r="P277" s="960"/>
      <c r="Q277" s="960"/>
      <c r="R277" s="960"/>
      <c r="S277" s="960"/>
      <c r="T277" s="960"/>
      <c r="U277" s="960"/>
      <c r="V277" s="960"/>
      <c r="W277" s="960"/>
      <c r="X277" s="960"/>
      <c r="Y277" s="960"/>
      <c r="Z277" s="960"/>
      <c r="AA277" s="960"/>
      <c r="AB277" s="928"/>
      <c r="AC277" s="928"/>
      <c r="AD277" s="928"/>
      <c r="AE277" s="928"/>
      <c r="AF277" s="928"/>
      <c r="AG277" s="928"/>
      <c r="AH277" s="928"/>
      <c r="AI277" s="928"/>
      <c r="AJ277" s="928"/>
      <c r="AK277" s="928"/>
      <c r="AL277" s="928"/>
      <c r="AM277" s="928"/>
      <c r="AN277" s="928"/>
      <c r="AO277" s="928"/>
      <c r="AP277" s="928"/>
      <c r="AQ277" s="928"/>
      <c r="AR277" s="928"/>
      <c r="AS277" s="928"/>
    </row>
    <row r="278" spans="11:45">
      <c r="K278" s="957"/>
      <c r="L278" s="928"/>
      <c r="M278" s="928"/>
      <c r="N278" s="960"/>
      <c r="O278" s="960"/>
      <c r="P278" s="960"/>
      <c r="Q278" s="960"/>
      <c r="R278" s="960"/>
      <c r="S278" s="960"/>
      <c r="T278" s="960"/>
      <c r="U278" s="960"/>
      <c r="V278" s="960"/>
      <c r="W278" s="960"/>
      <c r="X278" s="960"/>
      <c r="Y278" s="960"/>
      <c r="Z278" s="960"/>
      <c r="AA278" s="960"/>
      <c r="AB278" s="928"/>
      <c r="AC278" s="928"/>
      <c r="AD278" s="928"/>
      <c r="AE278" s="928"/>
      <c r="AF278" s="928"/>
      <c r="AG278" s="928"/>
      <c r="AH278" s="928"/>
      <c r="AI278" s="928"/>
      <c r="AJ278" s="928"/>
      <c r="AK278" s="928"/>
      <c r="AL278" s="928"/>
      <c r="AM278" s="928"/>
      <c r="AN278" s="928"/>
      <c r="AO278" s="928"/>
      <c r="AP278" s="928"/>
      <c r="AQ278" s="928"/>
      <c r="AR278" s="928"/>
      <c r="AS278" s="928"/>
    </row>
    <row r="279" spans="11:45">
      <c r="K279" s="957"/>
      <c r="L279" s="928"/>
      <c r="M279" s="928"/>
      <c r="N279" s="960"/>
      <c r="O279" s="960"/>
      <c r="P279" s="960"/>
      <c r="Q279" s="960"/>
      <c r="R279" s="960"/>
      <c r="S279" s="960"/>
      <c r="T279" s="960"/>
      <c r="U279" s="960"/>
      <c r="V279" s="960"/>
      <c r="W279" s="960"/>
      <c r="X279" s="960"/>
      <c r="Y279" s="960"/>
      <c r="Z279" s="960"/>
      <c r="AA279" s="960"/>
      <c r="AB279" s="928"/>
      <c r="AC279" s="928"/>
      <c r="AD279" s="928"/>
      <c r="AE279" s="928"/>
      <c r="AF279" s="928"/>
      <c r="AG279" s="928"/>
      <c r="AH279" s="928"/>
      <c r="AI279" s="928"/>
      <c r="AJ279" s="928"/>
      <c r="AK279" s="928"/>
      <c r="AL279" s="928"/>
      <c r="AM279" s="928"/>
      <c r="AN279" s="928"/>
      <c r="AO279" s="928"/>
      <c r="AP279" s="928"/>
      <c r="AQ279" s="928"/>
      <c r="AR279" s="928"/>
      <c r="AS279" s="928"/>
    </row>
    <row r="280" spans="11:45">
      <c r="K280" s="957"/>
      <c r="L280" s="928"/>
      <c r="M280" s="928"/>
      <c r="N280" s="960"/>
      <c r="O280" s="960"/>
      <c r="P280" s="960"/>
      <c r="Q280" s="960"/>
      <c r="R280" s="960"/>
      <c r="S280" s="960"/>
      <c r="T280" s="960"/>
      <c r="U280" s="960"/>
      <c r="V280" s="960"/>
      <c r="W280" s="960"/>
      <c r="X280" s="960"/>
      <c r="Y280" s="960"/>
      <c r="Z280" s="960"/>
      <c r="AA280" s="960"/>
      <c r="AB280" s="928"/>
      <c r="AC280" s="928"/>
      <c r="AD280" s="928"/>
      <c r="AE280" s="928"/>
      <c r="AF280" s="928"/>
      <c r="AG280" s="928"/>
      <c r="AH280" s="928"/>
      <c r="AI280" s="928"/>
      <c r="AJ280" s="928"/>
      <c r="AK280" s="928"/>
      <c r="AL280" s="928"/>
      <c r="AM280" s="928"/>
      <c r="AN280" s="928"/>
      <c r="AO280" s="928"/>
      <c r="AP280" s="928"/>
      <c r="AQ280" s="928"/>
      <c r="AR280" s="928"/>
      <c r="AS280" s="928"/>
    </row>
    <row r="281" spans="11:45">
      <c r="K281" s="957"/>
      <c r="L281" s="928"/>
      <c r="M281" s="928"/>
      <c r="N281" s="960"/>
      <c r="O281" s="960"/>
      <c r="P281" s="960"/>
      <c r="Q281" s="960"/>
      <c r="R281" s="960"/>
      <c r="S281" s="960"/>
      <c r="T281" s="960"/>
      <c r="U281" s="960"/>
      <c r="V281" s="960"/>
      <c r="W281" s="960"/>
      <c r="X281" s="960"/>
      <c r="Y281" s="960"/>
      <c r="Z281" s="960"/>
      <c r="AA281" s="960"/>
      <c r="AB281" s="928"/>
      <c r="AC281" s="928"/>
      <c r="AD281" s="928"/>
      <c r="AE281" s="928"/>
      <c r="AF281" s="928"/>
      <c r="AG281" s="928"/>
      <c r="AH281" s="928"/>
      <c r="AI281" s="928"/>
      <c r="AJ281" s="928"/>
      <c r="AK281" s="928"/>
      <c r="AL281" s="928"/>
      <c r="AM281" s="928"/>
      <c r="AN281" s="928"/>
      <c r="AO281" s="928"/>
      <c r="AP281" s="928"/>
      <c r="AQ281" s="928"/>
      <c r="AR281" s="928"/>
      <c r="AS281" s="928"/>
    </row>
    <row r="282" spans="11:45">
      <c r="K282" s="957"/>
      <c r="L282" s="928"/>
      <c r="M282" s="928"/>
      <c r="N282" s="960"/>
      <c r="O282" s="960"/>
      <c r="P282" s="960"/>
      <c r="Q282" s="960"/>
      <c r="R282" s="960"/>
      <c r="S282" s="960"/>
      <c r="T282" s="960"/>
      <c r="U282" s="960"/>
      <c r="V282" s="960"/>
      <c r="W282" s="960"/>
      <c r="X282" s="960"/>
      <c r="Y282" s="960"/>
      <c r="Z282" s="960"/>
      <c r="AA282" s="960"/>
      <c r="AB282" s="928"/>
      <c r="AC282" s="928"/>
      <c r="AD282" s="928"/>
      <c r="AE282" s="928"/>
      <c r="AF282" s="928"/>
      <c r="AG282" s="928"/>
      <c r="AH282" s="928"/>
      <c r="AI282" s="928"/>
      <c r="AJ282" s="928"/>
      <c r="AK282" s="928"/>
      <c r="AL282" s="928"/>
      <c r="AM282" s="928"/>
      <c r="AN282" s="928"/>
      <c r="AO282" s="928"/>
      <c r="AP282" s="928"/>
      <c r="AQ282" s="928"/>
      <c r="AR282" s="928"/>
      <c r="AS282" s="928"/>
    </row>
    <row r="283" spans="11:45">
      <c r="K283" s="957"/>
      <c r="L283" s="928"/>
      <c r="M283" s="928"/>
      <c r="N283" s="960"/>
      <c r="O283" s="960"/>
      <c r="P283" s="960"/>
      <c r="Q283" s="960"/>
      <c r="R283" s="960"/>
      <c r="S283" s="960"/>
      <c r="T283" s="960"/>
      <c r="U283" s="960"/>
      <c r="V283" s="960"/>
      <c r="W283" s="960"/>
      <c r="X283" s="960"/>
      <c r="Y283" s="960"/>
      <c r="Z283" s="960"/>
      <c r="AA283" s="960"/>
      <c r="AB283" s="928"/>
      <c r="AC283" s="928"/>
      <c r="AD283" s="928"/>
      <c r="AE283" s="928"/>
      <c r="AF283" s="928"/>
      <c r="AG283" s="928"/>
      <c r="AH283" s="928"/>
      <c r="AI283" s="928"/>
      <c r="AJ283" s="928"/>
      <c r="AK283" s="928"/>
      <c r="AL283" s="928"/>
      <c r="AM283" s="928"/>
      <c r="AN283" s="928"/>
      <c r="AO283" s="928"/>
      <c r="AP283" s="928"/>
      <c r="AQ283" s="928"/>
      <c r="AR283" s="928"/>
      <c r="AS283" s="928"/>
    </row>
    <row r="284" spans="11:45">
      <c r="K284" s="957"/>
      <c r="L284" s="928"/>
      <c r="M284" s="928"/>
      <c r="N284" s="960"/>
      <c r="O284" s="960"/>
      <c r="P284" s="960"/>
      <c r="Q284" s="960"/>
      <c r="R284" s="960"/>
      <c r="S284" s="960"/>
      <c r="T284" s="960"/>
      <c r="U284" s="960"/>
      <c r="V284" s="960"/>
      <c r="W284" s="960"/>
      <c r="X284" s="960"/>
      <c r="Y284" s="960"/>
      <c r="Z284" s="960"/>
      <c r="AA284" s="960"/>
      <c r="AB284" s="928"/>
      <c r="AC284" s="928"/>
      <c r="AD284" s="928"/>
      <c r="AE284" s="928"/>
      <c r="AF284" s="928"/>
      <c r="AG284" s="928"/>
      <c r="AH284" s="928"/>
      <c r="AI284" s="928"/>
      <c r="AJ284" s="928"/>
      <c r="AK284" s="928"/>
      <c r="AL284" s="928"/>
      <c r="AM284" s="928"/>
      <c r="AN284" s="928"/>
      <c r="AO284" s="928"/>
      <c r="AP284" s="928"/>
      <c r="AQ284" s="928"/>
      <c r="AR284" s="928"/>
      <c r="AS284" s="928"/>
    </row>
    <row r="285" spans="11:45">
      <c r="K285" s="957"/>
      <c r="L285" s="928"/>
      <c r="M285" s="928"/>
      <c r="N285" s="960"/>
      <c r="O285" s="960"/>
      <c r="P285" s="960"/>
      <c r="Q285" s="960"/>
      <c r="R285" s="960"/>
      <c r="S285" s="960"/>
      <c r="T285" s="960"/>
      <c r="U285" s="960"/>
      <c r="V285" s="960"/>
      <c r="W285" s="960"/>
      <c r="X285" s="960"/>
      <c r="Y285" s="960"/>
      <c r="Z285" s="960"/>
      <c r="AA285" s="960"/>
      <c r="AB285" s="928"/>
      <c r="AC285" s="928"/>
      <c r="AD285" s="928"/>
      <c r="AE285" s="928"/>
      <c r="AF285" s="928"/>
      <c r="AG285" s="928"/>
      <c r="AH285" s="928"/>
      <c r="AI285" s="928"/>
      <c r="AJ285" s="928"/>
      <c r="AK285" s="928"/>
      <c r="AL285" s="928"/>
      <c r="AM285" s="928"/>
      <c r="AN285" s="928"/>
      <c r="AO285" s="928"/>
      <c r="AP285" s="928"/>
      <c r="AQ285" s="928"/>
      <c r="AR285" s="928"/>
      <c r="AS285" s="928"/>
    </row>
    <row r="286" spans="11:45">
      <c r="K286" s="957"/>
      <c r="L286" s="928"/>
      <c r="M286" s="928"/>
      <c r="N286" s="960"/>
      <c r="O286" s="960"/>
      <c r="P286" s="960"/>
      <c r="Q286" s="960"/>
      <c r="R286" s="960"/>
      <c r="S286" s="960"/>
      <c r="T286" s="960"/>
      <c r="U286" s="960"/>
      <c r="V286" s="960"/>
      <c r="W286" s="960"/>
      <c r="X286" s="960"/>
      <c r="Y286" s="960"/>
      <c r="Z286" s="960"/>
      <c r="AA286" s="960"/>
      <c r="AB286" s="928"/>
      <c r="AC286" s="928"/>
      <c r="AD286" s="928"/>
      <c r="AE286" s="928"/>
      <c r="AF286" s="928"/>
      <c r="AG286" s="928"/>
      <c r="AH286" s="928"/>
      <c r="AI286" s="928"/>
      <c r="AJ286" s="928"/>
      <c r="AK286" s="928"/>
      <c r="AL286" s="928"/>
      <c r="AM286" s="928"/>
      <c r="AN286" s="928"/>
      <c r="AO286" s="928"/>
      <c r="AP286" s="928"/>
      <c r="AQ286" s="928"/>
      <c r="AR286" s="928"/>
      <c r="AS286" s="928"/>
    </row>
    <row r="287" spans="11:45">
      <c r="K287" s="957"/>
      <c r="L287" s="928"/>
      <c r="M287" s="928"/>
      <c r="N287" s="960"/>
      <c r="O287" s="960"/>
      <c r="P287" s="960"/>
      <c r="Q287" s="960"/>
      <c r="R287" s="960"/>
      <c r="S287" s="960"/>
      <c r="T287" s="960"/>
      <c r="U287" s="960"/>
      <c r="V287" s="960"/>
      <c r="W287" s="960"/>
      <c r="X287" s="960"/>
      <c r="Y287" s="960"/>
      <c r="Z287" s="960"/>
      <c r="AA287" s="960"/>
      <c r="AB287" s="928"/>
      <c r="AC287" s="928"/>
      <c r="AD287" s="928"/>
      <c r="AE287" s="928"/>
      <c r="AF287" s="928"/>
      <c r="AG287" s="928"/>
      <c r="AH287" s="928"/>
      <c r="AI287" s="928"/>
      <c r="AJ287" s="928"/>
      <c r="AK287" s="928"/>
      <c r="AL287" s="928"/>
      <c r="AM287" s="928"/>
      <c r="AN287" s="928"/>
      <c r="AO287" s="928"/>
      <c r="AP287" s="928"/>
      <c r="AQ287" s="928"/>
      <c r="AR287" s="928"/>
      <c r="AS287" s="928"/>
    </row>
    <row r="288" spans="11:45">
      <c r="K288" s="957"/>
      <c r="L288" s="928"/>
      <c r="M288" s="928"/>
      <c r="N288" s="960"/>
      <c r="O288" s="960"/>
      <c r="P288" s="960"/>
      <c r="Q288" s="960"/>
      <c r="R288" s="960"/>
      <c r="S288" s="960"/>
      <c r="T288" s="960"/>
      <c r="U288" s="960"/>
      <c r="V288" s="960"/>
      <c r="W288" s="960"/>
      <c r="X288" s="960"/>
      <c r="Y288" s="960"/>
      <c r="Z288" s="960"/>
      <c r="AA288" s="960"/>
      <c r="AB288" s="928"/>
      <c r="AC288" s="928"/>
      <c r="AD288" s="928"/>
      <c r="AE288" s="928"/>
      <c r="AF288" s="928"/>
      <c r="AG288" s="928"/>
      <c r="AH288" s="928"/>
      <c r="AI288" s="928"/>
      <c r="AJ288" s="928"/>
      <c r="AK288" s="928"/>
      <c r="AL288" s="928"/>
      <c r="AM288" s="928"/>
      <c r="AN288" s="928"/>
      <c r="AO288" s="928"/>
      <c r="AP288" s="928"/>
      <c r="AQ288" s="928"/>
      <c r="AR288" s="928"/>
      <c r="AS288" s="928"/>
    </row>
    <row r="289" spans="11:45">
      <c r="K289" s="957"/>
      <c r="L289" s="928"/>
      <c r="M289" s="928"/>
      <c r="N289" s="960"/>
      <c r="O289" s="960"/>
      <c r="P289" s="960"/>
      <c r="Q289" s="960"/>
      <c r="R289" s="960"/>
      <c r="S289" s="960"/>
      <c r="T289" s="960"/>
      <c r="U289" s="960"/>
      <c r="V289" s="960"/>
      <c r="W289" s="960"/>
      <c r="X289" s="960"/>
      <c r="Y289" s="960"/>
      <c r="Z289" s="960"/>
      <c r="AA289" s="960"/>
      <c r="AB289" s="928"/>
      <c r="AC289" s="928"/>
      <c r="AD289" s="928"/>
      <c r="AE289" s="928"/>
      <c r="AF289" s="928"/>
      <c r="AG289" s="928"/>
      <c r="AH289" s="928"/>
      <c r="AI289" s="928"/>
      <c r="AJ289" s="928"/>
      <c r="AK289" s="928"/>
      <c r="AL289" s="928"/>
      <c r="AM289" s="928"/>
      <c r="AN289" s="928"/>
      <c r="AO289" s="928"/>
      <c r="AP289" s="928"/>
      <c r="AQ289" s="928"/>
      <c r="AR289" s="928"/>
      <c r="AS289" s="928"/>
    </row>
    <row r="290" spans="11:45">
      <c r="K290" s="957"/>
      <c r="L290" s="928"/>
      <c r="M290" s="928"/>
      <c r="N290" s="960"/>
      <c r="O290" s="960"/>
      <c r="P290" s="960"/>
      <c r="Q290" s="960"/>
      <c r="R290" s="960"/>
      <c r="S290" s="960"/>
      <c r="T290" s="960"/>
      <c r="U290" s="960"/>
      <c r="V290" s="960"/>
      <c r="W290" s="960"/>
      <c r="X290" s="960"/>
      <c r="Y290" s="960"/>
      <c r="Z290" s="960"/>
      <c r="AA290" s="960"/>
      <c r="AB290" s="928"/>
      <c r="AC290" s="928"/>
      <c r="AD290" s="928"/>
      <c r="AE290" s="928"/>
      <c r="AF290" s="928"/>
      <c r="AG290" s="928"/>
      <c r="AH290" s="928"/>
      <c r="AI290" s="928"/>
      <c r="AJ290" s="928"/>
      <c r="AK290" s="928"/>
      <c r="AL290" s="928"/>
      <c r="AM290" s="928"/>
      <c r="AN290" s="928"/>
      <c r="AO290" s="928"/>
      <c r="AP290" s="928"/>
      <c r="AQ290" s="928"/>
      <c r="AR290" s="928"/>
      <c r="AS290" s="928"/>
    </row>
    <row r="291" spans="11:45">
      <c r="K291" s="957"/>
      <c r="L291" s="928"/>
      <c r="M291" s="928"/>
      <c r="N291" s="960"/>
      <c r="O291" s="960"/>
      <c r="P291" s="960"/>
      <c r="Q291" s="960"/>
      <c r="R291" s="960"/>
      <c r="S291" s="960"/>
      <c r="T291" s="960"/>
      <c r="U291" s="960"/>
      <c r="V291" s="960"/>
      <c r="W291" s="960"/>
      <c r="X291" s="960"/>
      <c r="Y291" s="960"/>
      <c r="Z291" s="960"/>
      <c r="AA291" s="960"/>
      <c r="AB291" s="928"/>
      <c r="AC291" s="928"/>
      <c r="AD291" s="928"/>
      <c r="AE291" s="928"/>
      <c r="AF291" s="928"/>
      <c r="AG291" s="928"/>
      <c r="AH291" s="928"/>
      <c r="AI291" s="928"/>
      <c r="AJ291" s="928"/>
      <c r="AK291" s="928"/>
      <c r="AL291" s="928"/>
      <c r="AM291" s="928"/>
      <c r="AN291" s="928"/>
      <c r="AO291" s="928"/>
      <c r="AP291" s="928"/>
      <c r="AQ291" s="928"/>
      <c r="AR291" s="928"/>
      <c r="AS291" s="928"/>
    </row>
    <row r="292" spans="11:45">
      <c r="K292" s="957"/>
      <c r="L292" s="928"/>
      <c r="M292" s="928"/>
      <c r="N292" s="960"/>
      <c r="O292" s="960"/>
      <c r="P292" s="960"/>
      <c r="Q292" s="960"/>
      <c r="R292" s="960"/>
      <c r="S292" s="960"/>
      <c r="T292" s="960"/>
      <c r="U292" s="960"/>
      <c r="V292" s="960"/>
      <c r="W292" s="960"/>
      <c r="X292" s="960"/>
      <c r="Y292" s="960"/>
      <c r="Z292" s="960"/>
      <c r="AA292" s="960"/>
      <c r="AB292" s="928"/>
      <c r="AC292" s="928"/>
      <c r="AD292" s="928"/>
      <c r="AE292" s="928"/>
      <c r="AF292" s="928"/>
      <c r="AG292" s="928"/>
      <c r="AH292" s="928"/>
      <c r="AI292" s="928"/>
      <c r="AJ292" s="928"/>
      <c r="AK292" s="928"/>
      <c r="AL292" s="928"/>
      <c r="AM292" s="928"/>
      <c r="AN292" s="928"/>
      <c r="AO292" s="928"/>
      <c r="AP292" s="928"/>
      <c r="AQ292" s="928"/>
      <c r="AR292" s="928"/>
      <c r="AS292" s="928"/>
    </row>
    <row r="293" spans="11:45">
      <c r="K293" s="957"/>
      <c r="L293" s="928"/>
      <c r="M293" s="928"/>
      <c r="N293" s="960"/>
      <c r="O293" s="960"/>
      <c r="P293" s="960"/>
      <c r="Q293" s="960"/>
      <c r="R293" s="960"/>
      <c r="S293" s="960"/>
      <c r="T293" s="960"/>
      <c r="U293" s="960"/>
      <c r="V293" s="960"/>
      <c r="W293" s="960"/>
      <c r="X293" s="960"/>
      <c r="Y293" s="960"/>
      <c r="Z293" s="960"/>
      <c r="AA293" s="960"/>
      <c r="AB293" s="928"/>
      <c r="AC293" s="928"/>
      <c r="AD293" s="928"/>
      <c r="AE293" s="928"/>
      <c r="AF293" s="928"/>
      <c r="AG293" s="928"/>
      <c r="AH293" s="928"/>
      <c r="AI293" s="928"/>
      <c r="AJ293" s="928"/>
      <c r="AK293" s="928"/>
      <c r="AL293" s="928"/>
      <c r="AM293" s="928"/>
      <c r="AN293" s="928"/>
      <c r="AO293" s="928"/>
      <c r="AP293" s="928"/>
      <c r="AQ293" s="928"/>
      <c r="AR293" s="928"/>
      <c r="AS293" s="928"/>
    </row>
    <row r="294" spans="11:45">
      <c r="K294" s="957"/>
      <c r="L294" s="928"/>
      <c r="M294" s="928"/>
      <c r="N294" s="960"/>
      <c r="O294" s="960"/>
      <c r="P294" s="960"/>
      <c r="Q294" s="960"/>
      <c r="R294" s="960"/>
      <c r="S294" s="960"/>
      <c r="T294" s="960"/>
      <c r="U294" s="960"/>
      <c r="V294" s="960"/>
      <c r="W294" s="960"/>
      <c r="X294" s="960"/>
      <c r="Y294" s="960"/>
      <c r="Z294" s="960"/>
      <c r="AA294" s="960"/>
      <c r="AB294" s="928"/>
      <c r="AC294" s="928"/>
      <c r="AD294" s="928"/>
      <c r="AE294" s="928"/>
      <c r="AF294" s="928"/>
      <c r="AG294" s="928"/>
      <c r="AH294" s="928"/>
      <c r="AI294" s="928"/>
      <c r="AJ294" s="928"/>
      <c r="AK294" s="928"/>
      <c r="AL294" s="928"/>
      <c r="AM294" s="928"/>
      <c r="AN294" s="928"/>
      <c r="AO294" s="928"/>
      <c r="AP294" s="928"/>
      <c r="AQ294" s="928"/>
      <c r="AR294" s="928"/>
      <c r="AS294" s="928"/>
    </row>
    <row r="295" spans="11:45">
      <c r="K295" s="957"/>
      <c r="L295" s="928"/>
      <c r="M295" s="928"/>
      <c r="N295" s="960"/>
      <c r="O295" s="960"/>
      <c r="P295" s="960"/>
      <c r="Q295" s="960"/>
      <c r="R295" s="960"/>
      <c r="S295" s="960"/>
      <c r="T295" s="960"/>
      <c r="U295" s="960"/>
      <c r="V295" s="960"/>
      <c r="W295" s="960"/>
      <c r="X295" s="960"/>
      <c r="Y295" s="960"/>
      <c r="Z295" s="960"/>
      <c r="AA295" s="960"/>
      <c r="AB295" s="928"/>
      <c r="AC295" s="928"/>
      <c r="AD295" s="928"/>
      <c r="AE295" s="928"/>
      <c r="AF295" s="928"/>
      <c r="AG295" s="928"/>
      <c r="AH295" s="928"/>
      <c r="AI295" s="928"/>
      <c r="AJ295" s="928"/>
      <c r="AK295" s="928"/>
      <c r="AL295" s="928"/>
      <c r="AM295" s="928"/>
      <c r="AN295" s="928"/>
      <c r="AO295" s="928"/>
      <c r="AP295" s="928"/>
      <c r="AQ295" s="928"/>
      <c r="AR295" s="928"/>
      <c r="AS295" s="928"/>
    </row>
    <row r="296" spans="11:45">
      <c r="K296" s="957"/>
      <c r="L296" s="928"/>
      <c r="M296" s="928"/>
      <c r="N296" s="960"/>
      <c r="O296" s="960"/>
      <c r="P296" s="960"/>
      <c r="Q296" s="960"/>
      <c r="R296" s="960"/>
      <c r="S296" s="960"/>
      <c r="T296" s="960"/>
      <c r="U296" s="960"/>
      <c r="V296" s="960"/>
      <c r="W296" s="960"/>
      <c r="X296" s="960"/>
      <c r="Y296" s="960"/>
      <c r="Z296" s="960"/>
      <c r="AA296" s="960"/>
      <c r="AB296" s="928"/>
      <c r="AC296" s="928"/>
      <c r="AD296" s="928"/>
      <c r="AE296" s="928"/>
      <c r="AF296" s="928"/>
      <c r="AG296" s="928"/>
      <c r="AH296" s="928"/>
      <c r="AI296" s="928"/>
      <c r="AJ296" s="928"/>
      <c r="AK296" s="928"/>
      <c r="AL296" s="928"/>
      <c r="AM296" s="928"/>
      <c r="AN296" s="928"/>
      <c r="AO296" s="928"/>
      <c r="AP296" s="928"/>
      <c r="AQ296" s="928"/>
      <c r="AR296" s="928"/>
      <c r="AS296" s="928"/>
    </row>
    <row r="297" spans="11:45">
      <c r="K297" s="957"/>
      <c r="L297" s="928"/>
      <c r="M297" s="928"/>
      <c r="N297" s="960"/>
      <c r="O297" s="960"/>
      <c r="P297" s="960"/>
      <c r="Q297" s="960"/>
      <c r="R297" s="960"/>
      <c r="S297" s="960"/>
      <c r="T297" s="960"/>
      <c r="U297" s="960"/>
      <c r="V297" s="960"/>
      <c r="W297" s="960"/>
      <c r="X297" s="960"/>
      <c r="Y297" s="960"/>
      <c r="Z297" s="960"/>
      <c r="AA297" s="960"/>
      <c r="AB297" s="928"/>
      <c r="AC297" s="928"/>
      <c r="AD297" s="928"/>
      <c r="AE297" s="928"/>
      <c r="AF297" s="928"/>
      <c r="AG297" s="928"/>
      <c r="AH297" s="928"/>
      <c r="AI297" s="928"/>
      <c r="AJ297" s="928"/>
      <c r="AK297" s="928"/>
      <c r="AL297" s="928"/>
      <c r="AM297" s="928"/>
      <c r="AN297" s="928"/>
      <c r="AO297" s="928"/>
      <c r="AP297" s="928"/>
      <c r="AQ297" s="928"/>
      <c r="AR297" s="928"/>
      <c r="AS297" s="928"/>
    </row>
    <row r="298" spans="11:45">
      <c r="K298" s="957"/>
      <c r="L298" s="928"/>
      <c r="M298" s="928"/>
      <c r="N298" s="960"/>
      <c r="O298" s="960"/>
      <c r="P298" s="960"/>
      <c r="Q298" s="960"/>
      <c r="R298" s="960"/>
      <c r="S298" s="960"/>
      <c r="T298" s="960"/>
      <c r="U298" s="960"/>
      <c r="V298" s="960"/>
      <c r="W298" s="960"/>
      <c r="X298" s="960"/>
      <c r="Y298" s="960"/>
      <c r="Z298" s="960"/>
      <c r="AA298" s="960"/>
      <c r="AB298" s="928"/>
      <c r="AC298" s="928"/>
      <c r="AD298" s="928"/>
      <c r="AE298" s="928"/>
      <c r="AF298" s="928"/>
      <c r="AG298" s="928"/>
      <c r="AH298" s="928"/>
      <c r="AI298" s="928"/>
      <c r="AJ298" s="928"/>
      <c r="AK298" s="928"/>
      <c r="AL298" s="928"/>
      <c r="AM298" s="928"/>
      <c r="AN298" s="928"/>
      <c r="AO298" s="928"/>
      <c r="AP298" s="928"/>
      <c r="AQ298" s="928"/>
      <c r="AR298" s="928"/>
      <c r="AS298" s="928"/>
    </row>
    <row r="299" spans="11:45">
      <c r="K299" s="957"/>
      <c r="L299" s="928"/>
      <c r="M299" s="928"/>
      <c r="N299" s="960"/>
      <c r="O299" s="960"/>
      <c r="P299" s="960"/>
      <c r="Q299" s="960"/>
      <c r="R299" s="960"/>
      <c r="S299" s="960"/>
      <c r="T299" s="960"/>
      <c r="U299" s="960"/>
      <c r="V299" s="960"/>
      <c r="W299" s="960"/>
      <c r="X299" s="960"/>
      <c r="Y299" s="960"/>
      <c r="Z299" s="960"/>
      <c r="AA299" s="960"/>
      <c r="AB299" s="928"/>
      <c r="AC299" s="928"/>
      <c r="AD299" s="928"/>
      <c r="AE299" s="928"/>
      <c r="AF299" s="928"/>
      <c r="AG299" s="928"/>
      <c r="AH299" s="928"/>
      <c r="AI299" s="928"/>
      <c r="AJ299" s="928"/>
      <c r="AK299" s="928"/>
      <c r="AL299" s="928"/>
      <c r="AM299" s="928"/>
      <c r="AN299" s="928"/>
      <c r="AO299" s="928"/>
      <c r="AP299" s="928"/>
      <c r="AQ299" s="928"/>
      <c r="AR299" s="928"/>
      <c r="AS299" s="928"/>
    </row>
    <row r="300" spans="11:45">
      <c r="K300" s="957"/>
      <c r="L300" s="928"/>
      <c r="M300" s="928"/>
      <c r="N300" s="960"/>
      <c r="O300" s="960"/>
      <c r="P300" s="960"/>
      <c r="Q300" s="960"/>
      <c r="R300" s="960"/>
      <c r="S300" s="960"/>
      <c r="T300" s="960"/>
      <c r="U300" s="960"/>
      <c r="V300" s="960"/>
      <c r="W300" s="960"/>
      <c r="X300" s="960"/>
      <c r="Y300" s="960"/>
      <c r="Z300" s="960"/>
      <c r="AA300" s="960"/>
      <c r="AB300" s="928"/>
      <c r="AC300" s="928"/>
      <c r="AD300" s="928"/>
      <c r="AE300" s="928"/>
      <c r="AF300" s="928"/>
      <c r="AG300" s="928"/>
      <c r="AH300" s="928"/>
      <c r="AI300" s="928"/>
      <c r="AJ300" s="928"/>
      <c r="AK300" s="928"/>
      <c r="AL300" s="928"/>
      <c r="AM300" s="928"/>
      <c r="AN300" s="928"/>
      <c r="AO300" s="928"/>
      <c r="AP300" s="928"/>
      <c r="AQ300" s="928"/>
      <c r="AR300" s="928"/>
      <c r="AS300" s="928"/>
    </row>
    <row r="301" spans="11:45">
      <c r="K301" s="957"/>
      <c r="L301" s="928"/>
      <c r="M301" s="928"/>
      <c r="N301" s="960"/>
      <c r="O301" s="960"/>
      <c r="P301" s="960"/>
      <c r="Q301" s="960"/>
      <c r="R301" s="960"/>
      <c r="S301" s="960"/>
      <c r="T301" s="960"/>
      <c r="U301" s="960"/>
      <c r="V301" s="960"/>
      <c r="W301" s="960"/>
      <c r="X301" s="960"/>
      <c r="Y301" s="960"/>
      <c r="Z301" s="960"/>
      <c r="AA301" s="960"/>
      <c r="AB301" s="928"/>
      <c r="AC301" s="928"/>
      <c r="AD301" s="928"/>
      <c r="AE301" s="928"/>
      <c r="AF301" s="928"/>
      <c r="AG301" s="928"/>
      <c r="AH301" s="928"/>
      <c r="AI301" s="928"/>
      <c r="AJ301" s="928"/>
      <c r="AK301" s="928"/>
      <c r="AL301" s="928"/>
      <c r="AM301" s="928"/>
      <c r="AN301" s="928"/>
      <c r="AO301" s="928"/>
      <c r="AP301" s="928"/>
      <c r="AQ301" s="928"/>
      <c r="AR301" s="928"/>
      <c r="AS301" s="928"/>
    </row>
    <row r="302" spans="11:45">
      <c r="K302" s="957"/>
      <c r="L302" s="928"/>
      <c r="M302" s="928"/>
      <c r="N302" s="960"/>
      <c r="O302" s="960"/>
      <c r="P302" s="960"/>
      <c r="Q302" s="960"/>
      <c r="R302" s="960"/>
      <c r="S302" s="960"/>
      <c r="T302" s="960"/>
      <c r="U302" s="960"/>
      <c r="V302" s="960"/>
      <c r="W302" s="960"/>
      <c r="X302" s="960"/>
      <c r="Y302" s="960"/>
      <c r="Z302" s="960"/>
      <c r="AA302" s="960"/>
      <c r="AB302" s="928"/>
      <c r="AC302" s="928"/>
      <c r="AD302" s="928"/>
      <c r="AE302" s="928"/>
      <c r="AF302" s="928"/>
      <c r="AG302" s="928"/>
      <c r="AH302" s="928"/>
      <c r="AI302" s="928"/>
      <c r="AJ302" s="928"/>
      <c r="AK302" s="928"/>
      <c r="AL302" s="928"/>
      <c r="AM302" s="928"/>
      <c r="AN302" s="928"/>
      <c r="AO302" s="928"/>
      <c r="AP302" s="928"/>
      <c r="AQ302" s="928"/>
      <c r="AR302" s="928"/>
      <c r="AS302" s="928"/>
    </row>
    <row r="303" spans="11:45">
      <c r="K303" s="957"/>
      <c r="L303" s="928"/>
      <c r="M303" s="928"/>
      <c r="N303" s="960"/>
      <c r="O303" s="960"/>
      <c r="P303" s="960"/>
      <c r="Q303" s="960"/>
      <c r="R303" s="960"/>
      <c r="S303" s="960"/>
      <c r="T303" s="960"/>
      <c r="U303" s="960"/>
      <c r="V303" s="960"/>
      <c r="W303" s="960"/>
      <c r="X303" s="960"/>
      <c r="Y303" s="960"/>
      <c r="Z303" s="960"/>
      <c r="AA303" s="960"/>
      <c r="AB303" s="928"/>
      <c r="AC303" s="928"/>
      <c r="AD303" s="928"/>
      <c r="AE303" s="928"/>
      <c r="AF303" s="928"/>
      <c r="AG303" s="928"/>
      <c r="AH303" s="928"/>
      <c r="AI303" s="928"/>
      <c r="AJ303" s="928"/>
      <c r="AK303" s="928"/>
      <c r="AL303" s="928"/>
      <c r="AM303" s="928"/>
      <c r="AN303" s="928"/>
      <c r="AO303" s="928"/>
      <c r="AP303" s="928"/>
      <c r="AQ303" s="928"/>
      <c r="AR303" s="928"/>
      <c r="AS303" s="928"/>
    </row>
    <row r="304" spans="11:45">
      <c r="K304" s="957"/>
      <c r="L304" s="928"/>
      <c r="M304" s="928"/>
      <c r="N304" s="960"/>
      <c r="O304" s="960"/>
      <c r="P304" s="960"/>
      <c r="Q304" s="960"/>
      <c r="R304" s="960"/>
      <c r="S304" s="960"/>
      <c r="T304" s="960"/>
      <c r="U304" s="960"/>
      <c r="V304" s="960"/>
      <c r="W304" s="960"/>
      <c r="X304" s="960"/>
      <c r="Y304" s="960"/>
      <c r="Z304" s="960"/>
      <c r="AA304" s="960"/>
      <c r="AB304" s="928"/>
      <c r="AC304" s="928"/>
      <c r="AD304" s="928"/>
      <c r="AE304" s="928"/>
      <c r="AF304" s="928"/>
      <c r="AG304" s="928"/>
      <c r="AH304" s="928"/>
      <c r="AI304" s="928"/>
      <c r="AJ304" s="928"/>
      <c r="AK304" s="928"/>
      <c r="AL304" s="928"/>
      <c r="AM304" s="928"/>
      <c r="AN304" s="928"/>
      <c r="AO304" s="928"/>
      <c r="AP304" s="928"/>
      <c r="AQ304" s="928"/>
      <c r="AR304" s="928"/>
      <c r="AS304" s="928"/>
    </row>
    <row r="305" spans="11:45">
      <c r="K305" s="957"/>
      <c r="L305" s="928"/>
      <c r="M305" s="928"/>
      <c r="N305" s="960"/>
      <c r="O305" s="960"/>
      <c r="P305" s="960"/>
      <c r="Q305" s="960"/>
      <c r="R305" s="960"/>
      <c r="S305" s="960"/>
      <c r="T305" s="960"/>
      <c r="U305" s="960"/>
      <c r="V305" s="960"/>
      <c r="W305" s="960"/>
      <c r="X305" s="960"/>
      <c r="Y305" s="960"/>
      <c r="Z305" s="960"/>
      <c r="AA305" s="960"/>
      <c r="AB305" s="928"/>
      <c r="AC305" s="928"/>
      <c r="AD305" s="928"/>
      <c r="AE305" s="928"/>
      <c r="AF305" s="928"/>
      <c r="AG305" s="928"/>
      <c r="AH305" s="928"/>
      <c r="AI305" s="928"/>
      <c r="AJ305" s="928"/>
      <c r="AK305" s="928"/>
      <c r="AL305" s="928"/>
      <c r="AM305" s="928"/>
      <c r="AN305" s="928"/>
      <c r="AO305" s="928"/>
      <c r="AP305" s="928"/>
      <c r="AQ305" s="928"/>
      <c r="AR305" s="928"/>
      <c r="AS305" s="928"/>
    </row>
    <row r="306" spans="11:45">
      <c r="K306" s="957"/>
      <c r="L306" s="928"/>
      <c r="M306" s="928"/>
      <c r="N306" s="960"/>
      <c r="O306" s="960"/>
      <c r="P306" s="960"/>
      <c r="Q306" s="960"/>
      <c r="R306" s="960"/>
      <c r="S306" s="960"/>
      <c r="T306" s="960"/>
      <c r="U306" s="960"/>
      <c r="V306" s="960"/>
      <c r="W306" s="960"/>
      <c r="X306" s="960"/>
      <c r="Y306" s="960"/>
      <c r="Z306" s="960"/>
      <c r="AA306" s="960"/>
      <c r="AB306" s="928"/>
      <c r="AC306" s="928"/>
      <c r="AD306" s="928"/>
      <c r="AE306" s="928"/>
      <c r="AF306" s="928"/>
      <c r="AG306" s="928"/>
      <c r="AH306" s="928"/>
      <c r="AI306" s="928"/>
      <c r="AJ306" s="928"/>
      <c r="AK306" s="928"/>
      <c r="AL306" s="928"/>
      <c r="AM306" s="928"/>
      <c r="AN306" s="928"/>
      <c r="AO306" s="928"/>
      <c r="AP306" s="928"/>
      <c r="AQ306" s="928"/>
      <c r="AR306" s="928"/>
      <c r="AS306" s="928"/>
    </row>
    <row r="307" spans="11:45">
      <c r="K307" s="957"/>
      <c r="L307" s="928"/>
      <c r="M307" s="928"/>
      <c r="N307" s="960"/>
      <c r="O307" s="960"/>
      <c r="P307" s="960"/>
      <c r="Q307" s="960"/>
      <c r="R307" s="960"/>
      <c r="S307" s="960"/>
      <c r="T307" s="960"/>
      <c r="U307" s="960"/>
      <c r="V307" s="960"/>
      <c r="W307" s="960"/>
      <c r="X307" s="960"/>
      <c r="Y307" s="960"/>
      <c r="Z307" s="960"/>
      <c r="AA307" s="960"/>
      <c r="AB307" s="928"/>
      <c r="AC307" s="928"/>
      <c r="AD307" s="928"/>
      <c r="AE307" s="928"/>
      <c r="AF307" s="928"/>
      <c r="AG307" s="928"/>
      <c r="AH307" s="928"/>
      <c r="AI307" s="928"/>
      <c r="AJ307" s="928"/>
      <c r="AK307" s="928"/>
      <c r="AL307" s="928"/>
      <c r="AM307" s="928"/>
      <c r="AN307" s="928"/>
      <c r="AO307" s="928"/>
      <c r="AP307" s="928"/>
      <c r="AQ307" s="928"/>
      <c r="AR307" s="928"/>
      <c r="AS307" s="928"/>
    </row>
    <row r="308" spans="11:45">
      <c r="K308" s="957"/>
      <c r="L308" s="928"/>
      <c r="M308" s="928"/>
      <c r="N308" s="960"/>
      <c r="O308" s="960"/>
      <c r="P308" s="960"/>
      <c r="Q308" s="960"/>
      <c r="R308" s="960"/>
      <c r="W308" s="960"/>
      <c r="X308" s="960"/>
      <c r="Y308" s="960"/>
      <c r="Z308" s="960"/>
      <c r="AA308" s="960"/>
      <c r="AB308" s="928"/>
      <c r="AC308" s="928"/>
      <c r="AD308" s="928"/>
      <c r="AE308" s="928"/>
      <c r="AF308" s="928"/>
      <c r="AG308" s="928"/>
      <c r="AH308" s="928"/>
      <c r="AI308" s="928"/>
      <c r="AJ308" s="928"/>
      <c r="AK308" s="928"/>
      <c r="AL308" s="928"/>
      <c r="AM308" s="928"/>
      <c r="AN308" s="928"/>
      <c r="AO308" s="928"/>
      <c r="AP308" s="928"/>
      <c r="AQ308" s="928"/>
      <c r="AR308" s="928"/>
      <c r="AS308" s="928"/>
    </row>
    <row r="309" spans="11:45">
      <c r="K309" s="957"/>
      <c r="L309" s="928"/>
      <c r="M309" s="928"/>
      <c r="N309" s="960"/>
      <c r="O309" s="960"/>
      <c r="P309" s="960"/>
      <c r="Q309" s="960"/>
      <c r="R309" s="960"/>
      <c r="W309" s="960"/>
      <c r="X309" s="960"/>
      <c r="Y309" s="960"/>
      <c r="Z309" s="960"/>
      <c r="AA309" s="960"/>
      <c r="AB309" s="928"/>
      <c r="AC309" s="928"/>
      <c r="AD309" s="928"/>
      <c r="AE309" s="928"/>
      <c r="AF309" s="928"/>
      <c r="AG309" s="928"/>
      <c r="AH309" s="928"/>
      <c r="AI309" s="928"/>
      <c r="AJ309" s="928"/>
      <c r="AK309" s="928"/>
      <c r="AL309" s="928"/>
      <c r="AM309" s="928"/>
      <c r="AN309" s="928"/>
      <c r="AO309" s="928"/>
      <c r="AP309" s="928"/>
      <c r="AQ309" s="928"/>
      <c r="AR309" s="928"/>
      <c r="AS309" s="928"/>
    </row>
    <row r="310" spans="11:45">
      <c r="K310" s="957"/>
      <c r="L310" s="928"/>
      <c r="M310" s="928"/>
      <c r="N310" s="960"/>
      <c r="O310" s="960"/>
      <c r="P310" s="960"/>
      <c r="Q310" s="960"/>
      <c r="R310" s="960"/>
      <c r="W310" s="960"/>
      <c r="X310" s="960"/>
      <c r="Y310" s="960"/>
      <c r="Z310" s="960"/>
      <c r="AA310" s="960"/>
      <c r="AB310" s="928"/>
      <c r="AC310" s="928"/>
      <c r="AD310" s="928"/>
      <c r="AE310" s="928"/>
      <c r="AF310" s="928"/>
      <c r="AG310" s="928"/>
      <c r="AH310" s="928"/>
      <c r="AI310" s="928"/>
      <c r="AJ310" s="928"/>
      <c r="AK310" s="928"/>
      <c r="AL310" s="928"/>
      <c r="AM310" s="928"/>
      <c r="AN310" s="928"/>
      <c r="AO310" s="928"/>
      <c r="AP310" s="928"/>
      <c r="AQ310" s="928"/>
      <c r="AR310" s="928"/>
      <c r="AS310" s="928"/>
    </row>
    <row r="311" spans="11:45">
      <c r="K311" s="957"/>
      <c r="L311" s="928"/>
      <c r="M311" s="928"/>
      <c r="N311" s="960"/>
      <c r="O311" s="960"/>
      <c r="P311" s="960"/>
      <c r="Q311" s="960"/>
      <c r="R311" s="960"/>
      <c r="W311" s="960"/>
      <c r="X311" s="960"/>
      <c r="Y311" s="960"/>
      <c r="Z311" s="960"/>
      <c r="AA311" s="960"/>
      <c r="AB311" s="928"/>
      <c r="AC311" s="928"/>
      <c r="AD311" s="928"/>
      <c r="AE311" s="928"/>
      <c r="AF311" s="928"/>
      <c r="AG311" s="928"/>
      <c r="AH311" s="928"/>
      <c r="AI311" s="928"/>
      <c r="AJ311" s="928"/>
      <c r="AK311" s="928"/>
      <c r="AL311" s="928"/>
      <c r="AM311" s="928"/>
      <c r="AN311" s="928"/>
      <c r="AO311" s="928"/>
      <c r="AP311" s="928"/>
      <c r="AQ311" s="928"/>
      <c r="AR311" s="928"/>
      <c r="AS311" s="928"/>
    </row>
  </sheetData>
  <sheetProtection sheet="1" objects="1" scenarios="1"/>
  <mergeCells count="80">
    <mergeCell ref="C1:H1"/>
    <mergeCell ref="J1:K1"/>
    <mergeCell ref="L1:M1"/>
    <mergeCell ref="B2:G2"/>
    <mergeCell ref="H2:I2"/>
    <mergeCell ref="J2:M2"/>
    <mergeCell ref="D4:E4"/>
    <mergeCell ref="I4:J4"/>
    <mergeCell ref="K4:L4"/>
    <mergeCell ref="B5:D5"/>
    <mergeCell ref="E5:G5"/>
    <mergeCell ref="H5:J5"/>
    <mergeCell ref="K5:L5"/>
    <mergeCell ref="A6:C6"/>
    <mergeCell ref="D6:G6"/>
    <mergeCell ref="H6:I6"/>
    <mergeCell ref="K6:M6"/>
    <mergeCell ref="A7:B7"/>
    <mergeCell ref="C7:D7"/>
    <mergeCell ref="E7:H7"/>
    <mergeCell ref="I7:J7"/>
    <mergeCell ref="K7:M7"/>
    <mergeCell ref="I8:I9"/>
    <mergeCell ref="J8:M8"/>
    <mergeCell ref="L9:M9"/>
    <mergeCell ref="A10:A11"/>
    <mergeCell ref="B10:B11"/>
    <mergeCell ref="C10:C11"/>
    <mergeCell ref="J10:J11"/>
    <mergeCell ref="K10:K11"/>
    <mergeCell ref="L10:M11"/>
    <mergeCell ref="A8:A9"/>
    <mergeCell ref="B8:B9"/>
    <mergeCell ref="C8:C9"/>
    <mergeCell ref="D8:E9"/>
    <mergeCell ref="F8:G9"/>
    <mergeCell ref="H8:H9"/>
    <mergeCell ref="L14:M15"/>
    <mergeCell ref="A12:A13"/>
    <mergeCell ref="B12:B13"/>
    <mergeCell ref="C12:C13"/>
    <mergeCell ref="J12:J13"/>
    <mergeCell ref="K12:K13"/>
    <mergeCell ref="L12:M13"/>
    <mergeCell ref="A14:A15"/>
    <mergeCell ref="B14:B15"/>
    <mergeCell ref="C14:C15"/>
    <mergeCell ref="J14:J15"/>
    <mergeCell ref="K14:K15"/>
    <mergeCell ref="L18:M19"/>
    <mergeCell ref="A16:A17"/>
    <mergeCell ref="B16:B17"/>
    <mergeCell ref="C16:C17"/>
    <mergeCell ref="J16:J17"/>
    <mergeCell ref="K16:K17"/>
    <mergeCell ref="L16:M17"/>
    <mergeCell ref="A18:A19"/>
    <mergeCell ref="B18:B19"/>
    <mergeCell ref="C18:C19"/>
    <mergeCell ref="J18:J19"/>
    <mergeCell ref="K18:K19"/>
    <mergeCell ref="L22:M23"/>
    <mergeCell ref="A20:A21"/>
    <mergeCell ref="B20:B21"/>
    <mergeCell ref="C20:C21"/>
    <mergeCell ref="J20:J21"/>
    <mergeCell ref="K20:K21"/>
    <mergeCell ref="L20:M21"/>
    <mergeCell ref="A22:A23"/>
    <mergeCell ref="B22:B23"/>
    <mergeCell ref="C22:C23"/>
    <mergeCell ref="J22:J23"/>
    <mergeCell ref="K22:K23"/>
    <mergeCell ref="B25:M25"/>
    <mergeCell ref="A27:C27"/>
    <mergeCell ref="E27:H27"/>
    <mergeCell ref="L27:M27"/>
    <mergeCell ref="A28:C28"/>
    <mergeCell ref="E28:H28"/>
    <mergeCell ref="L28:M28"/>
  </mergeCells>
  <dataValidations count="11">
    <dataValidation type="list" errorStyle="information" allowBlank="1" showInputMessage="1" showErrorMessage="1" error="Check type before proceeding" sqref="K7:M7">
      <formula1>ObservationType</formula1>
    </dataValidation>
    <dataValidation type="list" errorStyle="information" allowBlank="1" showInputMessage="1" showErrorMessage="1" errorTitle="Slope" error="Check slope value" prompt="Land Slope" sqref="G4">
      <formula1>Slope</formula1>
    </dataValidation>
    <dataValidation type="list" allowBlank="1" sqref="I4">
      <formula1>SlopeShape</formula1>
    </dataValidation>
    <dataValidation type="list" allowBlank="1" sqref="B22 B18 B10 B12 B14 B16 B20">
      <formula1>SoilTexture7080</formula1>
    </dataValidation>
    <dataValidation type="list" allowBlank="1" sqref="C22 C18 C10 C12 C14 C16 C20">
      <formula1>CoarseFragments</formula1>
    </dataValidation>
    <dataValidation type="list" allowBlank="1" sqref="L22 L10 L12 L14 L16 L18 L20">
      <formula1>StructureConsistence</formula1>
    </dataValidation>
    <dataValidation type="list" allowBlank="1" sqref="K22 K18 K10 K12 K14 K16 K20">
      <formula1>StructureGrade</formula1>
    </dataValidation>
    <dataValidation type="list" allowBlank="1" sqref="J22 J18 J10 J12 J14 J16 J20">
      <formula1>StructureShape</formula1>
    </dataValidation>
    <dataValidation type="list" allowBlank="1" sqref="E10:E23 G10:G23">
      <formula1>ValueChroma</formula1>
    </dataValidation>
    <dataValidation type="list" allowBlank="1" sqref="F10:F23 D10:D23">
      <formula1>Hue</formula1>
    </dataValidation>
    <dataValidation type="list" allowBlank="1" showInputMessage="1" showErrorMessage="1" sqref="B24">
      <formula1>#REF!</formula1>
    </dataValidation>
  </dataValidations>
  <printOptions horizontalCentered="1" verticalCentered="1"/>
  <pageMargins left="0.25" right="0.25" top="0.25" bottom="0.25" header="0" footer="0"/>
  <pageSetup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907585" r:id="rId4" name="Check Box 1">
              <controlPr defaultSize="0" autoFill="0" autoLine="0" autoPict="0">
                <anchor moveWithCells="1" sizeWithCells="1">
                  <from>
                    <xdr:col>4</xdr:col>
                    <xdr:colOff>312420</xdr:colOff>
                    <xdr:row>2</xdr:row>
                    <xdr:rowOff>45720</xdr:rowOff>
                  </from>
                  <to>
                    <xdr:col>6</xdr:col>
                    <xdr:colOff>304800</xdr:colOff>
                    <xdr:row>2</xdr:row>
                    <xdr:rowOff>259080</xdr:rowOff>
                  </to>
                </anchor>
              </controlPr>
            </control>
          </mc:Choice>
        </mc:AlternateContent>
        <mc:AlternateContent xmlns:mc="http://schemas.openxmlformats.org/markup-compatibility/2006">
          <mc:Choice Requires="x14">
            <control shapeId="3907586" r:id="rId5" name="Check Box 2">
              <controlPr defaultSize="0" autoFill="0" autoLine="0" autoPict="0">
                <anchor moveWithCells="1" sizeWithCells="1">
                  <from>
                    <xdr:col>5</xdr:col>
                    <xdr:colOff>419100</xdr:colOff>
                    <xdr:row>2</xdr:row>
                    <xdr:rowOff>45720</xdr:rowOff>
                  </from>
                  <to>
                    <xdr:col>7</xdr:col>
                    <xdr:colOff>411480</xdr:colOff>
                    <xdr:row>2</xdr:row>
                    <xdr:rowOff>259080</xdr:rowOff>
                  </to>
                </anchor>
              </controlPr>
            </control>
          </mc:Choice>
        </mc:AlternateContent>
        <mc:AlternateContent xmlns:mc="http://schemas.openxmlformats.org/markup-compatibility/2006">
          <mc:Choice Requires="x14">
            <control shapeId="3907587" r:id="rId6" name="Check Box 3">
              <controlPr defaultSize="0" autoFill="0" autoLine="0" autoPict="0">
                <anchor moveWithCells="1" sizeWithCells="1">
                  <from>
                    <xdr:col>7</xdr:col>
                    <xdr:colOff>182880</xdr:colOff>
                    <xdr:row>2</xdr:row>
                    <xdr:rowOff>45720</xdr:rowOff>
                  </from>
                  <to>
                    <xdr:col>8</xdr:col>
                    <xdr:colOff>220980</xdr:colOff>
                    <xdr:row>2</xdr:row>
                    <xdr:rowOff>259080</xdr:rowOff>
                  </to>
                </anchor>
              </controlPr>
            </control>
          </mc:Choice>
        </mc:AlternateContent>
        <mc:AlternateContent xmlns:mc="http://schemas.openxmlformats.org/markup-compatibility/2006">
          <mc:Choice Requires="x14">
            <control shapeId="3907588" r:id="rId7" name="Check Box 4">
              <controlPr defaultSize="0" autoFill="0" autoLine="0" autoPict="0">
                <anchor moveWithCells="1" sizeWithCells="1">
                  <from>
                    <xdr:col>7</xdr:col>
                    <xdr:colOff>731520</xdr:colOff>
                    <xdr:row>2</xdr:row>
                    <xdr:rowOff>45720</xdr:rowOff>
                  </from>
                  <to>
                    <xdr:col>9</xdr:col>
                    <xdr:colOff>45720</xdr:colOff>
                    <xdr:row>2</xdr:row>
                    <xdr:rowOff>259080</xdr:rowOff>
                  </to>
                </anchor>
              </controlPr>
            </control>
          </mc:Choice>
        </mc:AlternateContent>
        <mc:AlternateContent xmlns:mc="http://schemas.openxmlformats.org/markup-compatibility/2006">
          <mc:Choice Requires="x14">
            <control shapeId="3907589" r:id="rId8" name="Check Box 5">
              <controlPr defaultSize="0" autoFill="0" autoLine="0" autoPict="0">
                <anchor moveWithCells="1" sizeWithCells="1">
                  <from>
                    <xdr:col>8</xdr:col>
                    <xdr:colOff>350520</xdr:colOff>
                    <xdr:row>2</xdr:row>
                    <xdr:rowOff>45720</xdr:rowOff>
                  </from>
                  <to>
                    <xdr:col>9</xdr:col>
                    <xdr:colOff>609600</xdr:colOff>
                    <xdr:row>2</xdr:row>
                    <xdr:rowOff>259080</xdr:rowOff>
                  </to>
                </anchor>
              </controlPr>
            </control>
          </mc:Choice>
        </mc:AlternateContent>
        <mc:AlternateContent xmlns:mc="http://schemas.openxmlformats.org/markup-compatibility/2006">
          <mc:Choice Requires="x14">
            <control shapeId="3907590" r:id="rId9" name="Check Box 6">
              <controlPr defaultSize="0" autoFill="0" autoLine="0" autoPict="0">
                <anchor moveWithCells="1" sizeWithCells="1">
                  <from>
                    <xdr:col>9</xdr:col>
                    <xdr:colOff>388620</xdr:colOff>
                    <xdr:row>2</xdr:row>
                    <xdr:rowOff>45720</xdr:rowOff>
                  </from>
                  <to>
                    <xdr:col>10</xdr:col>
                    <xdr:colOff>617220</xdr:colOff>
                    <xdr:row>2</xdr:row>
                    <xdr:rowOff>259080</xdr:rowOff>
                  </to>
                </anchor>
              </controlPr>
            </control>
          </mc:Choice>
        </mc:AlternateContent>
        <mc:AlternateContent xmlns:mc="http://schemas.openxmlformats.org/markup-compatibility/2006">
          <mc:Choice Requires="x14">
            <control shapeId="3907591" r:id="rId10" name="Check Box 7">
              <controlPr defaultSize="0" autoFill="0" autoLine="0" autoPict="0">
                <anchor moveWithCells="1" sizeWithCells="1">
                  <from>
                    <xdr:col>10</xdr:col>
                    <xdr:colOff>426720</xdr:colOff>
                    <xdr:row>2</xdr:row>
                    <xdr:rowOff>45720</xdr:rowOff>
                  </from>
                  <to>
                    <xdr:col>11</xdr:col>
                    <xdr:colOff>541020</xdr:colOff>
                    <xdr:row>2</xdr:row>
                    <xdr:rowOff>259080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x14:formula1>
            <xm:f>'Drop-Down Lists'!$F$2:$F$34</xm:f>
          </x14:formula1>
          <xm:sqref>I10:I23</xm:sqref>
        </x14:dataValidation>
        <x14:dataValidation type="list" allowBlank="1">
          <x14:formula1>
            <xm:f>'Drop-Down Lists'!$C$13:$C$20</xm:f>
          </x14:formula1>
          <xm:sqref>H10:H23</xm:sqref>
        </x14:dataValidation>
        <x14:dataValidation type="list" allowBlank="1" showInputMessage="1">
          <x14:formula1>
            <xm:f>'Drop-Down Lists'!$D$63:$D$68</xm:f>
          </x14:formula1>
          <xm:sqref>B5:D5</xm:sqref>
        </x14:dataValidation>
        <x14:dataValidation type="list" allowBlank="1">
          <x14:formula1>
            <xm:f>'Drop-Down Lists'!$I$40:$I$44</xm:f>
          </x14:formula1>
          <xm:sqref>D4:E4</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AO321"/>
  <sheetViews>
    <sheetView view="pageBreakPreview" zoomScaleNormal="100" zoomScaleSheetLayoutView="100" workbookViewId="0">
      <selection activeCell="E5" sqref="E5:N5"/>
    </sheetView>
  </sheetViews>
  <sheetFormatPr defaultColWidth="9.109375" defaultRowHeight="14.4"/>
  <cols>
    <col min="1" max="1" width="6.109375" style="2296" customWidth="1"/>
    <col min="2" max="3" width="7.6640625" style="2296" customWidth="1"/>
    <col min="4" max="4" width="1" style="2296" customWidth="1"/>
    <col min="5" max="6" width="6.109375" style="2296" customWidth="1"/>
    <col min="7" max="7" width="7.88671875" style="2296" customWidth="1"/>
    <col min="8" max="8" width="7.6640625" style="2296" customWidth="1"/>
    <col min="9" max="9" width="1.6640625" style="2296" customWidth="1"/>
    <col min="10" max="10" width="9.6640625" style="2296" customWidth="1"/>
    <col min="11" max="11" width="7.6640625" style="2296" customWidth="1"/>
    <col min="12" max="12" width="14.33203125" style="2296" customWidth="1"/>
    <col min="13" max="13" width="12.109375" style="2296" customWidth="1"/>
    <col min="14" max="14" width="1.6640625" style="2296" customWidth="1"/>
    <col min="15" max="15" width="13.44140625" style="2296" customWidth="1"/>
    <col min="16" max="17" width="9.109375" style="2296"/>
    <col min="18" max="18" width="11.44140625" style="2297" customWidth="1"/>
    <col min="19" max="23" width="9.109375" style="2297"/>
    <col min="24" max="16384" width="9.109375" style="2296"/>
  </cols>
  <sheetData>
    <row r="1" spans="1:41">
      <c r="A1" s="2337" t="s">
        <v>1153</v>
      </c>
      <c r="B1" s="2336"/>
      <c r="C1" s="2335"/>
      <c r="D1" s="2334"/>
      <c r="E1" s="2935" t="s">
        <v>2015</v>
      </c>
      <c r="F1" s="2936"/>
      <c r="G1" s="2937"/>
      <c r="J1" s="2938" t="s">
        <v>1163</v>
      </c>
      <c r="K1" s="2939"/>
      <c r="L1" s="2939"/>
      <c r="M1" s="2940"/>
      <c r="Z1" s="2298"/>
      <c r="AA1" s="2298"/>
      <c r="AB1" s="2298"/>
      <c r="AC1" s="2298"/>
      <c r="AD1" s="2298"/>
      <c r="AE1" s="2298"/>
      <c r="AF1" s="2298"/>
      <c r="AG1" s="2298"/>
      <c r="AH1" s="2298"/>
      <c r="AI1" s="2298"/>
      <c r="AJ1" s="2298"/>
      <c r="AK1" s="2298"/>
      <c r="AL1" s="2298"/>
      <c r="AM1" s="2298"/>
      <c r="AN1" s="2298"/>
      <c r="AO1" s="2298"/>
    </row>
    <row r="2" spans="1:41">
      <c r="A2" s="2329" t="s">
        <v>1437</v>
      </c>
      <c r="B2" s="2324" t="s">
        <v>681</v>
      </c>
      <c r="C2" s="2328"/>
      <c r="D2" s="2324"/>
      <c r="E2" s="2333" t="s">
        <v>2014</v>
      </c>
      <c r="F2" s="2941" t="s">
        <v>2013</v>
      </c>
      <c r="G2" s="2942"/>
      <c r="J2" s="2943" t="s">
        <v>1165</v>
      </c>
      <c r="K2" s="2944"/>
      <c r="L2" s="2944"/>
      <c r="M2" s="2945"/>
      <c r="Z2" s="2298"/>
      <c r="AA2" s="2298"/>
      <c r="AB2" s="2298"/>
      <c r="AC2" s="2298"/>
      <c r="AD2" s="2298"/>
      <c r="AE2" s="2298"/>
      <c r="AF2" s="2298"/>
      <c r="AG2" s="2298"/>
      <c r="AH2" s="2298"/>
      <c r="AI2" s="2298"/>
      <c r="AJ2" s="2298"/>
      <c r="AK2" s="2298"/>
      <c r="AL2" s="2298"/>
      <c r="AM2" s="2298"/>
      <c r="AN2" s="2298"/>
      <c r="AO2" s="2298"/>
    </row>
    <row r="3" spans="1:41">
      <c r="A3" s="2329" t="s">
        <v>2012</v>
      </c>
      <c r="B3" s="2324" t="s">
        <v>679</v>
      </c>
      <c r="C3" s="2328"/>
      <c r="D3" s="2324"/>
      <c r="E3" s="2333" t="s">
        <v>2011</v>
      </c>
      <c r="F3" s="2928" t="s">
        <v>2010</v>
      </c>
      <c r="G3" s="2929"/>
      <c r="J3" s="2930" t="s">
        <v>1166</v>
      </c>
      <c r="K3" s="2931"/>
      <c r="L3" s="2931"/>
      <c r="M3" s="2932"/>
      <c r="Z3" s="2298"/>
      <c r="AA3" s="2298"/>
      <c r="AB3" s="2298"/>
      <c r="AC3" s="2298"/>
      <c r="AD3" s="2298"/>
      <c r="AE3" s="2298"/>
      <c r="AF3" s="2298"/>
      <c r="AG3" s="2298"/>
      <c r="AH3" s="2298"/>
      <c r="AI3" s="2298"/>
      <c r="AJ3" s="2298"/>
      <c r="AK3" s="2298"/>
      <c r="AL3" s="2298"/>
      <c r="AM3" s="2298"/>
      <c r="AN3" s="2298"/>
      <c r="AO3" s="2298"/>
    </row>
    <row r="4" spans="1:41">
      <c r="A4" s="2329" t="s">
        <v>2009</v>
      </c>
      <c r="B4" s="2324" t="s">
        <v>680</v>
      </c>
      <c r="C4" s="2328"/>
      <c r="D4" s="2324"/>
      <c r="E4" s="2333" t="s">
        <v>2008</v>
      </c>
      <c r="F4" s="2928" t="s">
        <v>2007</v>
      </c>
      <c r="G4" s="2929"/>
      <c r="J4" s="2930" t="s">
        <v>1167</v>
      </c>
      <c r="K4" s="2931"/>
      <c r="L4" s="2931"/>
      <c r="M4" s="2932"/>
      <c r="Z4" s="2298"/>
      <c r="AA4" s="2298"/>
      <c r="AB4" s="2298"/>
      <c r="AC4" s="2298"/>
      <c r="AD4" s="2298"/>
      <c r="AE4" s="2298"/>
      <c r="AF4" s="2298"/>
      <c r="AG4" s="2298"/>
      <c r="AH4" s="2298"/>
      <c r="AI4" s="2298"/>
      <c r="AJ4" s="2298"/>
      <c r="AK4" s="2298"/>
      <c r="AL4" s="2298"/>
      <c r="AM4" s="2298"/>
      <c r="AN4" s="2298"/>
      <c r="AO4" s="2298"/>
    </row>
    <row r="5" spans="1:41">
      <c r="A5" s="2329" t="s">
        <v>2006</v>
      </c>
      <c r="B5" s="2324" t="s">
        <v>676</v>
      </c>
      <c r="C5" s="2328"/>
      <c r="D5" s="2324"/>
      <c r="E5" s="2332" t="s">
        <v>2005</v>
      </c>
      <c r="F5" s="2933" t="s">
        <v>2004</v>
      </c>
      <c r="G5" s="2934"/>
      <c r="J5" s="2930" t="s">
        <v>1168</v>
      </c>
      <c r="K5" s="2931"/>
      <c r="L5" s="2931"/>
      <c r="M5" s="2932"/>
      <c r="Z5" s="2298"/>
      <c r="AA5" s="2298"/>
      <c r="AB5" s="2298"/>
      <c r="AC5" s="2298"/>
      <c r="AD5" s="2298"/>
      <c r="AE5" s="2298"/>
      <c r="AF5" s="2298"/>
      <c r="AG5" s="2298"/>
      <c r="AH5" s="2298"/>
      <c r="AI5" s="2298"/>
      <c r="AJ5" s="2298"/>
      <c r="AK5" s="2298"/>
      <c r="AL5" s="2298"/>
      <c r="AM5" s="2298"/>
      <c r="AN5" s="2298"/>
      <c r="AO5" s="2298"/>
    </row>
    <row r="6" spans="1:41">
      <c r="A6" s="2329" t="s">
        <v>2003</v>
      </c>
      <c r="B6" s="2324" t="s">
        <v>677</v>
      </c>
      <c r="C6" s="2328"/>
      <c r="D6" s="2324"/>
      <c r="E6" s="2310"/>
      <c r="F6" s="2310"/>
      <c r="J6" s="2930" t="s">
        <v>1169</v>
      </c>
      <c r="K6" s="2931"/>
      <c r="L6" s="2931"/>
      <c r="M6" s="2932"/>
      <c r="X6" s="2298"/>
      <c r="Y6" s="2298"/>
      <c r="Z6" s="2298"/>
      <c r="AA6" s="2298"/>
      <c r="AB6" s="2298"/>
      <c r="AC6" s="2298"/>
      <c r="AD6" s="2298"/>
      <c r="AE6" s="2298"/>
      <c r="AF6" s="2298"/>
      <c r="AG6" s="2298"/>
      <c r="AH6" s="2298"/>
      <c r="AI6" s="2298"/>
      <c r="AJ6" s="2298"/>
      <c r="AK6" s="2298"/>
      <c r="AL6" s="2298"/>
      <c r="AM6" s="2298"/>
      <c r="AN6" s="2298"/>
      <c r="AO6" s="2298"/>
    </row>
    <row r="7" spans="1:41">
      <c r="A7" s="2329" t="s">
        <v>2002</v>
      </c>
      <c r="B7" s="2324" t="s">
        <v>678</v>
      </c>
      <c r="C7" s="2328"/>
      <c r="D7" s="2324"/>
      <c r="E7" s="2310"/>
      <c r="F7" s="2310"/>
      <c r="J7" s="2952" t="s">
        <v>2001</v>
      </c>
      <c r="K7" s="2953"/>
      <c r="L7" s="2953"/>
      <c r="M7" s="2954"/>
      <c r="AA7" s="2298"/>
      <c r="AB7" s="2298"/>
      <c r="AC7" s="2298"/>
      <c r="AD7" s="2298"/>
      <c r="AE7" s="2298"/>
      <c r="AF7" s="2298"/>
      <c r="AG7" s="2298"/>
      <c r="AH7" s="2298"/>
      <c r="AI7" s="2298"/>
      <c r="AJ7" s="2298"/>
      <c r="AK7" s="2298"/>
      <c r="AL7" s="2298"/>
      <c r="AM7" s="2298"/>
      <c r="AN7" s="2298"/>
      <c r="AO7" s="2298"/>
    </row>
    <row r="8" spans="1:41">
      <c r="A8" s="2329" t="s">
        <v>2000</v>
      </c>
      <c r="B8" s="2324" t="s">
        <v>916</v>
      </c>
      <c r="C8" s="2328"/>
      <c r="D8" s="2324"/>
      <c r="E8" s="2310"/>
      <c r="F8" s="2310"/>
      <c r="AA8" s="2298"/>
      <c r="AB8" s="2298"/>
      <c r="AC8" s="2298"/>
      <c r="AD8" s="2298"/>
      <c r="AE8" s="2298"/>
      <c r="AF8" s="2298"/>
      <c r="AG8" s="2298"/>
      <c r="AH8" s="2298"/>
      <c r="AI8" s="2298"/>
      <c r="AJ8" s="2298"/>
      <c r="AK8" s="2298"/>
      <c r="AL8" s="2298"/>
      <c r="AM8" s="2298"/>
      <c r="AN8" s="2298"/>
      <c r="AO8" s="2298"/>
    </row>
    <row r="9" spans="1:41">
      <c r="A9" s="2329" t="s">
        <v>1999</v>
      </c>
      <c r="B9" s="2324" t="s">
        <v>675</v>
      </c>
      <c r="C9" s="2328"/>
      <c r="D9" s="2324"/>
      <c r="G9" s="2305" t="s">
        <v>1154</v>
      </c>
      <c r="H9" s="2331"/>
      <c r="I9" s="2331"/>
      <c r="J9" s="2331"/>
      <c r="K9" s="2330"/>
      <c r="L9" s="968"/>
      <c r="M9" s="2301"/>
      <c r="AC9" s="2298"/>
      <c r="AD9" s="2298"/>
      <c r="AE9" s="2298"/>
      <c r="AF9" s="2298"/>
      <c r="AG9" s="2298"/>
      <c r="AH9" s="2298"/>
      <c r="AI9" s="2298"/>
      <c r="AJ9" s="2298"/>
      <c r="AK9" s="2298"/>
      <c r="AL9" s="2298"/>
      <c r="AM9" s="2298"/>
      <c r="AN9" s="2298"/>
      <c r="AO9" s="2298"/>
    </row>
    <row r="10" spans="1:41">
      <c r="A10" s="2329" t="s">
        <v>1998</v>
      </c>
      <c r="B10" s="2324" t="s">
        <v>674</v>
      </c>
      <c r="C10" s="2328"/>
      <c r="D10" s="2324"/>
      <c r="G10" s="963" t="s">
        <v>1923</v>
      </c>
      <c r="H10" s="2310"/>
      <c r="I10" s="2310"/>
      <c r="J10" s="2310"/>
      <c r="K10" s="2310"/>
      <c r="L10" s="2310"/>
      <c r="M10" s="2312"/>
      <c r="AC10" s="2298"/>
      <c r="AD10" s="2298"/>
      <c r="AE10" s="2298"/>
      <c r="AF10" s="2298"/>
      <c r="AG10" s="2298"/>
      <c r="AH10" s="2298"/>
      <c r="AI10" s="2298"/>
      <c r="AJ10" s="2298"/>
      <c r="AK10" s="2298"/>
      <c r="AL10" s="2298"/>
      <c r="AM10" s="2298"/>
      <c r="AN10" s="2298"/>
      <c r="AO10" s="2298"/>
    </row>
    <row r="11" spans="1:41">
      <c r="A11" s="2329" t="s">
        <v>1997</v>
      </c>
      <c r="B11" s="2324" t="s">
        <v>1996</v>
      </c>
      <c r="C11" s="2328"/>
      <c r="D11" s="2324"/>
      <c r="G11" s="963" t="s">
        <v>1924</v>
      </c>
      <c r="H11" s="2310"/>
      <c r="I11" s="2310"/>
      <c r="J11" s="2310"/>
      <c r="K11" s="2310"/>
      <c r="L11" s="2310"/>
      <c r="M11" s="2312"/>
      <c r="AC11" s="2298"/>
      <c r="AD11" s="2298"/>
      <c r="AE11" s="2298"/>
      <c r="AF11" s="2298"/>
      <c r="AG11" s="2298"/>
      <c r="AH11" s="2298"/>
      <c r="AI11" s="2298"/>
      <c r="AJ11" s="2298"/>
      <c r="AK11" s="2298"/>
      <c r="AL11" s="2298"/>
      <c r="AM11" s="2298"/>
      <c r="AN11" s="2298"/>
      <c r="AO11" s="2298"/>
    </row>
    <row r="12" spans="1:41">
      <c r="A12" s="2329" t="s">
        <v>1995</v>
      </c>
      <c r="B12" s="2324" t="s">
        <v>1994</v>
      </c>
      <c r="C12" s="2328"/>
      <c r="D12" s="2324"/>
      <c r="G12" s="963" t="s">
        <v>1158</v>
      </c>
      <c r="H12" s="2310"/>
      <c r="I12" s="2310"/>
      <c r="J12" s="2310"/>
      <c r="K12" s="2310"/>
      <c r="L12" s="2310"/>
      <c r="M12" s="2312"/>
      <c r="AC12" s="2298"/>
      <c r="AD12" s="2298"/>
      <c r="AE12" s="2298"/>
      <c r="AF12" s="2298"/>
      <c r="AG12" s="2298"/>
      <c r="AH12" s="2298"/>
      <c r="AI12" s="2298"/>
      <c r="AJ12" s="2298"/>
      <c r="AK12" s="2298"/>
      <c r="AL12" s="2298"/>
      <c r="AM12" s="2298"/>
      <c r="AN12" s="2298"/>
      <c r="AO12" s="2298"/>
    </row>
    <row r="13" spans="1:41">
      <c r="A13" s="2327" t="s">
        <v>1993</v>
      </c>
      <c r="B13" s="2323" t="s">
        <v>1992</v>
      </c>
      <c r="C13" s="2326"/>
      <c r="D13" s="2324"/>
      <c r="G13" s="964" t="s">
        <v>1160</v>
      </c>
      <c r="H13" s="965"/>
      <c r="I13" s="965"/>
      <c r="J13" s="965"/>
      <c r="K13" s="965"/>
      <c r="L13" s="965"/>
      <c r="M13" s="2325"/>
      <c r="R13" s="2296"/>
      <c r="U13" s="2296"/>
      <c r="V13" s="2296"/>
      <c r="W13" s="2296"/>
      <c r="AC13" s="2298"/>
      <c r="AD13" s="2298"/>
      <c r="AE13" s="2298"/>
      <c r="AF13" s="2298"/>
      <c r="AG13" s="2298"/>
      <c r="AH13" s="2298"/>
      <c r="AI13" s="2298"/>
      <c r="AJ13" s="2298"/>
      <c r="AK13" s="2298"/>
      <c r="AL13" s="2298"/>
      <c r="AM13" s="2298"/>
      <c r="AN13" s="2298"/>
      <c r="AO13" s="2298"/>
    </row>
    <row r="14" spans="1:41" ht="6" customHeight="1">
      <c r="A14" s="961"/>
      <c r="B14" s="2324"/>
      <c r="C14" s="2324"/>
      <c r="D14" s="2323"/>
      <c r="E14" s="2310"/>
      <c r="F14" s="2310"/>
      <c r="G14" s="2322"/>
      <c r="H14" s="2322"/>
      <c r="U14" s="2296"/>
      <c r="V14" s="2296"/>
      <c r="W14" s="2296"/>
      <c r="X14" s="2298"/>
      <c r="Y14" s="2298"/>
      <c r="Z14" s="2298"/>
      <c r="AA14" s="2298"/>
      <c r="AB14" s="2298"/>
      <c r="AC14" s="2298"/>
      <c r="AD14" s="2298"/>
      <c r="AE14" s="2298"/>
      <c r="AF14" s="2298"/>
      <c r="AG14" s="2298"/>
      <c r="AH14" s="2298"/>
      <c r="AI14" s="2298"/>
      <c r="AJ14" s="2298"/>
      <c r="AK14" s="2298"/>
      <c r="AL14" s="2298"/>
      <c r="AM14" s="2298"/>
      <c r="AN14" s="2298"/>
      <c r="AO14" s="2298"/>
    </row>
    <row r="15" spans="1:41" ht="15" customHeight="1">
      <c r="A15" s="2305" t="s">
        <v>1176</v>
      </c>
      <c r="B15" s="2304"/>
      <c r="C15" s="2303"/>
      <c r="D15" s="2302"/>
      <c r="E15" s="2313"/>
      <c r="F15" s="2313"/>
      <c r="G15" s="968"/>
      <c r="H15" s="968"/>
      <c r="I15" s="968"/>
      <c r="J15" s="968"/>
      <c r="K15" s="968"/>
      <c r="L15" s="968"/>
      <c r="M15" s="958"/>
      <c r="N15" s="2310"/>
      <c r="O15" s="2310"/>
      <c r="P15" s="2310"/>
      <c r="Q15" s="2310"/>
      <c r="U15" s="2296"/>
      <c r="V15" s="2296"/>
      <c r="W15" s="2296"/>
      <c r="X15" s="2298"/>
      <c r="Y15" s="2298"/>
      <c r="Z15" s="2298"/>
      <c r="AA15" s="2298"/>
      <c r="AB15" s="2298"/>
      <c r="AC15" s="2298"/>
      <c r="AD15" s="2298"/>
      <c r="AE15" s="2298"/>
      <c r="AF15" s="2298"/>
      <c r="AG15" s="2298"/>
      <c r="AH15" s="2298"/>
      <c r="AI15" s="2298"/>
      <c r="AJ15" s="2298"/>
      <c r="AK15" s="2298"/>
      <c r="AL15" s="2298"/>
      <c r="AM15" s="2298"/>
      <c r="AN15" s="2298"/>
      <c r="AO15" s="2298"/>
    </row>
    <row r="16" spans="1:41" ht="15" customHeight="1">
      <c r="A16" s="2946" t="s">
        <v>683</v>
      </c>
      <c r="B16" s="2947"/>
      <c r="C16" s="2947"/>
      <c r="D16" s="2300"/>
      <c r="E16" s="2948" t="s">
        <v>1177</v>
      </c>
      <c r="F16" s="2948"/>
      <c r="G16" s="2948"/>
      <c r="H16" s="2948"/>
      <c r="I16" s="2948"/>
      <c r="J16" s="2948"/>
      <c r="K16" s="2948"/>
      <c r="L16" s="2948"/>
      <c r="M16" s="2949"/>
      <c r="N16" s="2316"/>
      <c r="O16" s="2316"/>
      <c r="P16" s="2316"/>
      <c r="Q16" s="2316"/>
      <c r="U16" s="2296"/>
      <c r="V16" s="2321"/>
      <c r="W16" s="2296"/>
      <c r="AD16" s="2298"/>
      <c r="AE16" s="2298"/>
      <c r="AF16" s="2298"/>
      <c r="AG16" s="2298"/>
      <c r="AH16" s="2298"/>
      <c r="AI16" s="2298"/>
      <c r="AJ16" s="2298"/>
      <c r="AK16" s="2298"/>
      <c r="AL16" s="2298"/>
      <c r="AM16" s="2298"/>
      <c r="AN16" s="2298"/>
      <c r="AO16" s="2298"/>
    </row>
    <row r="17" spans="1:41" ht="15" customHeight="1">
      <c r="A17" s="2950"/>
      <c r="B17" s="2951"/>
      <c r="C17" s="2951"/>
      <c r="D17" s="2300"/>
      <c r="E17" s="2948"/>
      <c r="F17" s="2948"/>
      <c r="G17" s="2948"/>
      <c r="H17" s="2948"/>
      <c r="I17" s="2948"/>
      <c r="J17" s="2948"/>
      <c r="K17" s="2948"/>
      <c r="L17" s="2948"/>
      <c r="M17" s="2949"/>
      <c r="T17" s="2296"/>
      <c r="U17" s="2296"/>
      <c r="V17" s="2296"/>
      <c r="W17" s="2296"/>
      <c r="AD17" s="2298"/>
      <c r="AE17" s="2298"/>
      <c r="AF17" s="2298"/>
      <c r="AG17" s="2298"/>
      <c r="AH17" s="2298"/>
      <c r="AI17" s="2298"/>
      <c r="AJ17" s="2298"/>
      <c r="AK17" s="2298"/>
      <c r="AL17" s="2298"/>
      <c r="AM17" s="2298"/>
      <c r="AN17" s="2298"/>
      <c r="AO17" s="2298"/>
    </row>
    <row r="18" spans="1:41" ht="15" customHeight="1">
      <c r="A18" s="2950" t="s">
        <v>1591</v>
      </c>
      <c r="B18" s="2951"/>
      <c r="C18" s="2951"/>
      <c r="D18" s="2300"/>
      <c r="E18" s="2948" t="s">
        <v>1178</v>
      </c>
      <c r="F18" s="2948"/>
      <c r="G18" s="2948"/>
      <c r="H18" s="2948"/>
      <c r="I18" s="2948"/>
      <c r="J18" s="2948"/>
      <c r="K18" s="2948"/>
      <c r="L18" s="2948"/>
      <c r="M18" s="2949"/>
      <c r="T18" s="2296"/>
      <c r="U18" s="2296"/>
      <c r="V18" s="2296"/>
      <c r="W18" s="2296"/>
      <c r="AD18" s="2298"/>
      <c r="AE18" s="2298"/>
      <c r="AF18" s="2298"/>
      <c r="AG18" s="2298"/>
      <c r="AH18" s="2298"/>
      <c r="AI18" s="2298"/>
      <c r="AJ18" s="2298"/>
      <c r="AK18" s="2298"/>
      <c r="AL18" s="2298"/>
      <c r="AM18" s="2298"/>
      <c r="AN18" s="2298"/>
      <c r="AO18" s="2298"/>
    </row>
    <row r="19" spans="1:41" ht="15" customHeight="1">
      <c r="A19" s="2950"/>
      <c r="B19" s="2951"/>
      <c r="C19" s="2951"/>
      <c r="D19" s="2300"/>
      <c r="E19" s="2948"/>
      <c r="F19" s="2948"/>
      <c r="G19" s="2948"/>
      <c r="H19" s="2948"/>
      <c r="I19" s="2948"/>
      <c r="J19" s="2948"/>
      <c r="K19" s="2948"/>
      <c r="L19" s="2948"/>
      <c r="M19" s="2949"/>
      <c r="T19" s="2296"/>
      <c r="U19" s="2296"/>
      <c r="V19" s="2296"/>
      <c r="W19" s="2296"/>
      <c r="AD19" s="2298"/>
      <c r="AE19" s="2298"/>
      <c r="AF19" s="2298"/>
      <c r="AG19" s="2298"/>
      <c r="AH19" s="2298"/>
      <c r="AI19" s="2298"/>
      <c r="AJ19" s="2298"/>
      <c r="AK19" s="2298"/>
      <c r="AL19" s="2298"/>
      <c r="AM19" s="2298"/>
      <c r="AN19" s="2298"/>
      <c r="AO19" s="2298"/>
    </row>
    <row r="20" spans="1:41" ht="15" customHeight="1">
      <c r="A20" s="2950"/>
      <c r="B20" s="2951"/>
      <c r="C20" s="2951"/>
      <c r="D20" s="2300"/>
      <c r="E20" s="2948"/>
      <c r="F20" s="2948"/>
      <c r="G20" s="2948"/>
      <c r="H20" s="2948"/>
      <c r="I20" s="2948"/>
      <c r="J20" s="2948"/>
      <c r="K20" s="2948"/>
      <c r="L20" s="2948"/>
      <c r="M20" s="2949"/>
      <c r="T20" s="2296"/>
      <c r="U20" s="2296"/>
      <c r="V20" s="2296"/>
      <c r="W20" s="2296"/>
      <c r="AD20" s="2298"/>
      <c r="AE20" s="2298"/>
      <c r="AF20" s="2298"/>
      <c r="AG20" s="2298"/>
      <c r="AH20" s="2298"/>
      <c r="AI20" s="2298"/>
      <c r="AJ20" s="2298"/>
      <c r="AK20" s="2298"/>
      <c r="AL20" s="2298"/>
      <c r="AM20" s="2298"/>
      <c r="AN20" s="2298"/>
      <c r="AO20" s="2298"/>
    </row>
    <row r="21" spans="1:41" ht="15" customHeight="1">
      <c r="A21" s="2950" t="s">
        <v>256</v>
      </c>
      <c r="B21" s="2951"/>
      <c r="C21" s="2951"/>
      <c r="D21" s="2300"/>
      <c r="E21" s="2948" t="s">
        <v>1991</v>
      </c>
      <c r="F21" s="2948"/>
      <c r="G21" s="2948"/>
      <c r="H21" s="2948"/>
      <c r="I21" s="2948"/>
      <c r="J21" s="2948"/>
      <c r="K21" s="2948"/>
      <c r="L21" s="2948"/>
      <c r="M21" s="2949"/>
      <c r="T21" s="2296"/>
      <c r="U21" s="2296"/>
      <c r="V21" s="2296"/>
      <c r="W21" s="2296"/>
      <c r="Y21" s="2298"/>
      <c r="Z21" s="2298"/>
      <c r="AA21" s="2298"/>
      <c r="AB21" s="2298"/>
      <c r="AC21" s="2298"/>
      <c r="AD21" s="2298"/>
      <c r="AE21" s="2298"/>
      <c r="AF21" s="2298"/>
      <c r="AG21" s="2298"/>
      <c r="AH21" s="2298"/>
      <c r="AI21" s="2298"/>
      <c r="AJ21" s="2298"/>
      <c r="AK21" s="2298"/>
      <c r="AL21" s="2298"/>
      <c r="AM21" s="2298"/>
      <c r="AN21" s="2298"/>
      <c r="AO21" s="2298"/>
    </row>
    <row r="22" spans="1:41" ht="15" customHeight="1">
      <c r="A22" s="2950"/>
      <c r="B22" s="2951"/>
      <c r="C22" s="2951"/>
      <c r="D22" s="2300"/>
      <c r="E22" s="2948"/>
      <c r="F22" s="2948"/>
      <c r="G22" s="2948"/>
      <c r="H22" s="2948"/>
      <c r="I22" s="2948"/>
      <c r="J22" s="2948"/>
      <c r="K22" s="2948"/>
      <c r="L22" s="2948"/>
      <c r="M22" s="2949"/>
      <c r="N22" s="2320"/>
      <c r="O22" s="2320"/>
      <c r="P22" s="2320"/>
      <c r="Q22" s="2320"/>
      <c r="U22" s="2296"/>
      <c r="V22" s="2296"/>
      <c r="W22" s="2296"/>
      <c r="Y22" s="2298"/>
      <c r="Z22" s="2298"/>
      <c r="AA22" s="2298"/>
      <c r="AB22" s="2298"/>
      <c r="AC22" s="2298"/>
      <c r="AD22" s="2298"/>
      <c r="AE22" s="2298"/>
      <c r="AF22" s="2298"/>
      <c r="AG22" s="2298"/>
      <c r="AH22" s="2298"/>
      <c r="AI22" s="2298"/>
      <c r="AJ22" s="2298"/>
      <c r="AK22" s="2298"/>
      <c r="AL22" s="2298"/>
      <c r="AM22" s="2298"/>
      <c r="AN22" s="2298"/>
      <c r="AO22" s="2298"/>
    </row>
    <row r="23" spans="1:41" ht="15" customHeight="1">
      <c r="A23" s="2950"/>
      <c r="B23" s="2951"/>
      <c r="C23" s="2951"/>
      <c r="D23" s="2300"/>
      <c r="E23" s="2948"/>
      <c r="F23" s="2948"/>
      <c r="G23" s="2948"/>
      <c r="H23" s="2948"/>
      <c r="I23" s="2948"/>
      <c r="J23" s="2948"/>
      <c r="K23" s="2948"/>
      <c r="L23" s="2948"/>
      <c r="M23" s="2949"/>
      <c r="N23" s="2320"/>
      <c r="O23" s="2339" t="s">
        <v>1164</v>
      </c>
      <c r="P23" s="2319"/>
      <c r="Q23" s="2318"/>
      <c r="R23" s="2317"/>
      <c r="U23" s="2296"/>
      <c r="V23" s="2296"/>
      <c r="W23" s="2296"/>
      <c r="Y23" s="2298"/>
      <c r="Z23" s="2298"/>
      <c r="AA23" s="2298"/>
      <c r="AB23" s="2298"/>
      <c r="AC23" s="2298"/>
      <c r="AD23" s="2298"/>
      <c r="AE23" s="2298"/>
      <c r="AF23" s="2298"/>
      <c r="AG23" s="2298"/>
      <c r="AH23" s="2298"/>
      <c r="AI23" s="2298"/>
      <c r="AJ23" s="2298"/>
      <c r="AK23" s="2298"/>
      <c r="AL23" s="2298"/>
      <c r="AM23" s="2298"/>
      <c r="AN23" s="2298"/>
      <c r="AO23" s="2298"/>
    </row>
    <row r="24" spans="1:41" ht="15" customHeight="1">
      <c r="A24" s="2950" t="s">
        <v>684</v>
      </c>
      <c r="B24" s="2951"/>
      <c r="C24" s="2951"/>
      <c r="D24" s="2300"/>
      <c r="E24" s="2948" t="s">
        <v>1990</v>
      </c>
      <c r="F24" s="2948"/>
      <c r="G24" s="2948"/>
      <c r="H24" s="2948"/>
      <c r="I24" s="2948"/>
      <c r="J24" s="2948"/>
      <c r="K24" s="2948"/>
      <c r="L24" s="2948"/>
      <c r="M24" s="2949"/>
      <c r="N24" s="2316"/>
      <c r="O24" s="2957" t="s">
        <v>1989</v>
      </c>
      <c r="P24" s="2958"/>
      <c r="Q24" s="2958"/>
      <c r="R24" s="2959"/>
      <c r="U24" s="2296"/>
      <c r="V24" s="2296"/>
      <c r="W24" s="2296"/>
      <c r="Y24" s="2298"/>
      <c r="Z24" s="2298"/>
      <c r="AA24" s="2298"/>
      <c r="AB24" s="2298"/>
      <c r="AC24" s="2298"/>
      <c r="AD24" s="2298"/>
      <c r="AE24" s="2298"/>
      <c r="AF24" s="2298"/>
      <c r="AG24" s="2298"/>
      <c r="AH24" s="2298"/>
      <c r="AI24" s="2298"/>
      <c r="AJ24" s="2298"/>
      <c r="AK24" s="2298"/>
      <c r="AL24" s="2298"/>
      <c r="AM24" s="2298"/>
      <c r="AN24" s="2298"/>
      <c r="AO24" s="2298"/>
    </row>
    <row r="25" spans="1:41" ht="15" customHeight="1">
      <c r="A25" s="2950"/>
      <c r="B25" s="2951"/>
      <c r="C25" s="2951"/>
      <c r="D25" s="2300"/>
      <c r="E25" s="2948"/>
      <c r="F25" s="2948"/>
      <c r="G25" s="2948"/>
      <c r="H25" s="2948"/>
      <c r="I25" s="2948"/>
      <c r="J25" s="2948"/>
      <c r="K25" s="2948"/>
      <c r="L25" s="2948"/>
      <c r="M25" s="2949"/>
      <c r="N25" s="2316"/>
      <c r="O25" s="2957"/>
      <c r="P25" s="2958"/>
      <c r="Q25" s="2958"/>
      <c r="R25" s="2959"/>
      <c r="X25" s="2298"/>
      <c r="Y25" s="2298"/>
      <c r="Z25" s="2298"/>
      <c r="AA25" s="2298"/>
      <c r="AB25" s="2298"/>
      <c r="AC25" s="2298"/>
      <c r="AD25" s="2298"/>
      <c r="AE25" s="2298"/>
      <c r="AF25" s="2298"/>
      <c r="AG25" s="2298"/>
      <c r="AH25" s="2298"/>
      <c r="AI25" s="2298"/>
      <c r="AJ25" s="2298"/>
      <c r="AK25" s="2298"/>
      <c r="AL25" s="2298"/>
      <c r="AM25" s="2298"/>
      <c r="AN25" s="2298"/>
      <c r="AO25" s="2298"/>
    </row>
    <row r="26" spans="1:41" ht="15" customHeight="1">
      <c r="A26" s="2950"/>
      <c r="B26" s="2951"/>
      <c r="C26" s="2951"/>
      <c r="D26" s="2300"/>
      <c r="E26" s="2948"/>
      <c r="F26" s="2948"/>
      <c r="G26" s="2948"/>
      <c r="H26" s="2948"/>
      <c r="I26" s="2948"/>
      <c r="J26" s="2948"/>
      <c r="K26" s="2948"/>
      <c r="L26" s="2948"/>
      <c r="M26" s="2949"/>
      <c r="N26" s="2316"/>
      <c r="O26" s="2957"/>
      <c r="P26" s="2958"/>
      <c r="Q26" s="2958"/>
      <c r="R26" s="2959"/>
      <c r="X26" s="2298"/>
      <c r="Y26" s="2298"/>
      <c r="Z26" s="2298"/>
      <c r="AA26" s="2298"/>
      <c r="AB26" s="2298"/>
      <c r="AC26" s="2298"/>
      <c r="AD26" s="2298"/>
      <c r="AE26" s="2298"/>
      <c r="AF26" s="2298"/>
      <c r="AG26" s="2298"/>
      <c r="AH26" s="2298"/>
      <c r="AI26" s="2298"/>
      <c r="AJ26" s="2298"/>
      <c r="AK26" s="2298"/>
      <c r="AL26" s="2298"/>
      <c r="AM26" s="2298"/>
      <c r="AN26" s="2298"/>
      <c r="AO26" s="2298"/>
    </row>
    <row r="27" spans="1:41" ht="15" customHeight="1">
      <c r="A27" s="2963" t="s">
        <v>1988</v>
      </c>
      <c r="B27" s="2964"/>
      <c r="C27" s="2964"/>
      <c r="D27" s="2299"/>
      <c r="E27" s="2965" t="s">
        <v>1179</v>
      </c>
      <c r="F27" s="2965"/>
      <c r="G27" s="2965"/>
      <c r="H27" s="2965"/>
      <c r="I27" s="2965"/>
      <c r="J27" s="2965"/>
      <c r="K27" s="2965"/>
      <c r="L27" s="2965"/>
      <c r="M27" s="2966"/>
      <c r="N27" s="2311"/>
      <c r="O27" s="2960"/>
      <c r="P27" s="2961"/>
      <c r="Q27" s="2961"/>
      <c r="R27" s="2962"/>
      <c r="X27" s="2298"/>
      <c r="Y27" s="2298"/>
      <c r="Z27" s="2298"/>
      <c r="AA27" s="2298"/>
      <c r="AB27" s="2298"/>
      <c r="AC27" s="2298"/>
      <c r="AD27" s="2298"/>
      <c r="AE27" s="2298"/>
      <c r="AF27" s="2298"/>
      <c r="AG27" s="2298"/>
      <c r="AH27" s="2298"/>
      <c r="AI27" s="2298"/>
      <c r="AJ27" s="2298"/>
      <c r="AK27" s="2298"/>
      <c r="AL27" s="2298"/>
      <c r="AM27" s="2298"/>
      <c r="AN27" s="2298"/>
      <c r="AO27" s="2298"/>
    </row>
    <row r="28" spans="1:41" ht="6" customHeight="1">
      <c r="A28" s="2315"/>
      <c r="B28" s="2300"/>
      <c r="C28" s="2300"/>
      <c r="D28" s="2300"/>
      <c r="E28" s="2314"/>
      <c r="F28" s="2314"/>
      <c r="G28" s="2314"/>
      <c r="H28" s="2314"/>
      <c r="I28" s="2314"/>
      <c r="J28" s="2314"/>
      <c r="K28" s="2314"/>
      <c r="L28" s="2314"/>
      <c r="M28" s="2314"/>
      <c r="X28" s="2298"/>
      <c r="Y28" s="2298"/>
      <c r="Z28" s="2298"/>
      <c r="AA28" s="2298"/>
      <c r="AB28" s="2298"/>
      <c r="AC28" s="2298"/>
      <c r="AD28" s="2298"/>
      <c r="AE28" s="2298"/>
      <c r="AF28" s="2298"/>
      <c r="AG28" s="2298"/>
      <c r="AH28" s="2298"/>
      <c r="AI28" s="2298"/>
      <c r="AJ28" s="2298"/>
      <c r="AK28" s="2298"/>
      <c r="AL28" s="2298"/>
      <c r="AM28" s="2298"/>
      <c r="AN28" s="2298"/>
      <c r="AO28" s="2298"/>
    </row>
    <row r="29" spans="1:41">
      <c r="A29" s="2305" t="s">
        <v>1170</v>
      </c>
      <c r="B29" s="2304"/>
      <c r="C29" s="2303"/>
      <c r="D29" s="2302"/>
      <c r="E29" s="2313"/>
      <c r="F29" s="2313"/>
      <c r="G29" s="968"/>
      <c r="H29" s="968"/>
      <c r="I29" s="968"/>
      <c r="J29" s="968"/>
      <c r="K29" s="968"/>
      <c r="L29" s="968"/>
      <c r="M29" s="958"/>
      <c r="X29" s="2298"/>
      <c r="Y29" s="2298"/>
      <c r="Z29" s="2298"/>
      <c r="AA29" s="2298"/>
      <c r="AB29" s="2298"/>
      <c r="AC29" s="2298"/>
      <c r="AD29" s="2298"/>
      <c r="AE29" s="2298"/>
      <c r="AF29" s="2298"/>
      <c r="AG29" s="2298"/>
      <c r="AH29" s="2298"/>
      <c r="AI29" s="2298"/>
      <c r="AJ29" s="2298"/>
      <c r="AK29" s="2298"/>
      <c r="AL29" s="2298"/>
      <c r="AM29" s="2298"/>
      <c r="AN29" s="2298"/>
      <c r="AO29" s="2298"/>
    </row>
    <row r="30" spans="1:41">
      <c r="A30" s="2946" t="s">
        <v>689</v>
      </c>
      <c r="B30" s="2947"/>
      <c r="C30" s="2947"/>
      <c r="D30" s="2300"/>
      <c r="E30" s="2931" t="s">
        <v>1175</v>
      </c>
      <c r="F30" s="2931"/>
      <c r="G30" s="2931"/>
      <c r="H30" s="2931"/>
      <c r="I30" s="2931"/>
      <c r="J30" s="2931"/>
      <c r="K30" s="2931"/>
      <c r="M30" s="2312"/>
      <c r="X30" s="2298"/>
      <c r="Y30" s="2298"/>
      <c r="Z30" s="2298"/>
      <c r="AA30" s="2298"/>
      <c r="AB30" s="2298"/>
      <c r="AC30" s="2298"/>
      <c r="AD30" s="2298"/>
      <c r="AE30" s="2298"/>
      <c r="AF30" s="2298"/>
      <c r="AG30" s="2298"/>
      <c r="AH30" s="2298"/>
      <c r="AI30" s="2298"/>
      <c r="AJ30" s="2298"/>
      <c r="AK30" s="2298"/>
      <c r="AL30" s="2298"/>
      <c r="AM30" s="2298"/>
      <c r="AN30" s="2298"/>
      <c r="AO30" s="2298"/>
    </row>
    <row r="31" spans="1:41">
      <c r="A31" s="2950" t="s">
        <v>686</v>
      </c>
      <c r="B31" s="2951"/>
      <c r="C31" s="2951"/>
      <c r="D31" s="2300"/>
      <c r="E31" s="2311" t="s">
        <v>1172</v>
      </c>
      <c r="F31" s="2311"/>
      <c r="G31" s="2311"/>
      <c r="H31" s="2311"/>
      <c r="I31" s="2311"/>
      <c r="J31" s="2311"/>
      <c r="K31" s="2311"/>
      <c r="L31" s="2310"/>
      <c r="M31" s="962"/>
      <c r="X31" s="2298"/>
      <c r="Y31" s="2298"/>
      <c r="Z31" s="2298"/>
      <c r="AA31" s="2298"/>
      <c r="AB31" s="2298"/>
      <c r="AC31" s="2298"/>
      <c r="AD31" s="2298"/>
      <c r="AE31" s="2298"/>
      <c r="AF31" s="2298"/>
      <c r="AG31" s="2298"/>
      <c r="AH31" s="2298"/>
      <c r="AI31" s="2298"/>
      <c r="AJ31" s="2298"/>
      <c r="AK31" s="2298"/>
      <c r="AL31" s="2298"/>
      <c r="AM31" s="2298"/>
      <c r="AN31" s="2298"/>
      <c r="AO31" s="2298"/>
    </row>
    <row r="32" spans="1:41" ht="15" customHeight="1">
      <c r="A32" s="2950" t="s">
        <v>687</v>
      </c>
      <c r="B32" s="2951"/>
      <c r="C32" s="2951"/>
      <c r="D32" s="2300"/>
      <c r="E32" s="2955" t="s">
        <v>1173</v>
      </c>
      <c r="F32" s="2955"/>
      <c r="G32" s="2955"/>
      <c r="H32" s="2955"/>
      <c r="I32" s="2955"/>
      <c r="J32" s="2955"/>
      <c r="K32" s="2955"/>
      <c r="L32" s="2955"/>
      <c r="M32" s="2956"/>
      <c r="X32" s="2298"/>
      <c r="Y32" s="2298"/>
      <c r="Z32" s="2298"/>
      <c r="AA32" s="2298"/>
      <c r="AB32" s="2298"/>
      <c r="AC32" s="2298"/>
      <c r="AD32" s="2298"/>
      <c r="AE32" s="2298"/>
      <c r="AF32" s="2298"/>
      <c r="AG32" s="2298"/>
      <c r="AH32" s="2298"/>
      <c r="AI32" s="2298"/>
      <c r="AJ32" s="2298"/>
      <c r="AK32" s="2298"/>
      <c r="AL32" s="2298"/>
      <c r="AM32" s="2298"/>
      <c r="AN32" s="2298"/>
      <c r="AO32" s="2298"/>
    </row>
    <row r="33" spans="1:41">
      <c r="A33" s="2309"/>
      <c r="B33" s="2308"/>
      <c r="C33" s="2308"/>
      <c r="D33" s="2300"/>
      <c r="E33" s="2955"/>
      <c r="F33" s="2955"/>
      <c r="G33" s="2955"/>
      <c r="H33" s="2955"/>
      <c r="I33" s="2955"/>
      <c r="J33" s="2955"/>
      <c r="K33" s="2955"/>
      <c r="L33" s="2955"/>
      <c r="M33" s="2956"/>
      <c r="X33" s="2298"/>
      <c r="Y33" s="2298"/>
      <c r="Z33" s="2298"/>
      <c r="AA33" s="2298"/>
      <c r="AB33" s="2298"/>
      <c r="AC33" s="2298"/>
      <c r="AD33" s="2298"/>
      <c r="AE33" s="2298"/>
      <c r="AF33" s="2298"/>
      <c r="AG33" s="2298"/>
      <c r="AH33" s="2298"/>
      <c r="AI33" s="2298"/>
      <c r="AJ33" s="2298"/>
      <c r="AK33" s="2298"/>
      <c r="AL33" s="2298"/>
      <c r="AM33" s="2298"/>
      <c r="AN33" s="2298"/>
      <c r="AO33" s="2298"/>
    </row>
    <row r="34" spans="1:41" ht="15" customHeight="1">
      <c r="A34" s="2950" t="s">
        <v>688</v>
      </c>
      <c r="B34" s="2951"/>
      <c r="C34" s="2951"/>
      <c r="D34" s="2300"/>
      <c r="E34" s="2958" t="s">
        <v>1174</v>
      </c>
      <c r="F34" s="2958"/>
      <c r="G34" s="2958"/>
      <c r="H34" s="2958"/>
      <c r="I34" s="2958"/>
      <c r="J34" s="2958"/>
      <c r="K34" s="2958"/>
      <c r="L34" s="2958"/>
      <c r="M34" s="2959"/>
      <c r="AG34" s="2298"/>
      <c r="AH34" s="2298"/>
      <c r="AI34" s="2298"/>
      <c r="AJ34" s="2298"/>
      <c r="AK34" s="2298"/>
      <c r="AL34" s="2298"/>
      <c r="AM34" s="2298"/>
      <c r="AN34" s="2298"/>
      <c r="AO34" s="2298"/>
    </row>
    <row r="35" spans="1:41">
      <c r="A35" s="2950"/>
      <c r="B35" s="2951"/>
      <c r="C35" s="2951"/>
      <c r="D35" s="2300"/>
      <c r="E35" s="2958"/>
      <c r="F35" s="2958"/>
      <c r="G35" s="2958"/>
      <c r="H35" s="2958"/>
      <c r="I35" s="2958"/>
      <c r="J35" s="2958"/>
      <c r="K35" s="2958"/>
      <c r="L35" s="2958"/>
      <c r="M35" s="2959"/>
      <c r="AG35" s="2298"/>
      <c r="AH35" s="2298"/>
      <c r="AI35" s="2298"/>
      <c r="AJ35" s="2298"/>
      <c r="AK35" s="2298"/>
      <c r="AL35" s="2298"/>
      <c r="AM35" s="2298"/>
      <c r="AN35" s="2298"/>
      <c r="AO35" s="2298"/>
    </row>
    <row r="36" spans="1:41">
      <c r="A36" s="2963" t="s">
        <v>685</v>
      </c>
      <c r="B36" s="2964"/>
      <c r="C36" s="2964"/>
      <c r="D36" s="2299"/>
      <c r="E36" s="967" t="s">
        <v>1171</v>
      </c>
      <c r="F36" s="967"/>
      <c r="G36" s="967"/>
      <c r="H36" s="967"/>
      <c r="I36" s="967"/>
      <c r="J36" s="967"/>
      <c r="K36" s="967"/>
      <c r="L36" s="965"/>
      <c r="M36" s="966"/>
      <c r="AE36" s="2298"/>
      <c r="AF36" s="2298"/>
      <c r="AG36" s="2298"/>
      <c r="AH36" s="2298"/>
      <c r="AI36" s="2298"/>
      <c r="AJ36" s="2298"/>
      <c r="AK36" s="2298"/>
      <c r="AL36" s="2298"/>
      <c r="AM36" s="2298"/>
      <c r="AN36" s="2298"/>
      <c r="AO36" s="2298"/>
    </row>
    <row r="37" spans="1:41" ht="6" customHeight="1">
      <c r="A37" s="2307"/>
      <c r="E37" s="2306"/>
      <c r="F37" s="2306"/>
      <c r="G37" s="2306"/>
      <c r="H37" s="2306"/>
      <c r="I37" s="2306"/>
      <c r="J37" s="2306"/>
      <c r="K37" s="2306"/>
      <c r="L37" s="2306"/>
      <c r="M37" s="2306"/>
      <c r="X37" s="2298"/>
      <c r="Y37" s="2298"/>
      <c r="Z37" s="2298"/>
      <c r="AA37" s="2298"/>
      <c r="AB37" s="2298"/>
      <c r="AC37" s="2298"/>
      <c r="AD37" s="2298"/>
      <c r="AE37" s="2298"/>
      <c r="AF37" s="2298"/>
      <c r="AG37" s="2298"/>
      <c r="AH37" s="2298"/>
      <c r="AI37" s="2298"/>
      <c r="AJ37" s="2298"/>
      <c r="AK37" s="2298"/>
      <c r="AL37" s="2298"/>
      <c r="AM37" s="2298"/>
      <c r="AN37" s="2298"/>
      <c r="AO37" s="2298"/>
    </row>
    <row r="38" spans="1:41">
      <c r="A38" s="2305" t="s">
        <v>1155</v>
      </c>
      <c r="B38" s="2304"/>
      <c r="C38" s="2303"/>
      <c r="D38" s="2302"/>
      <c r="E38" s="2302"/>
      <c r="F38" s="2302"/>
      <c r="G38" s="959"/>
      <c r="H38" s="959"/>
      <c r="I38" s="2301"/>
      <c r="X38" s="2298"/>
      <c r="Y38" s="2298"/>
      <c r="Z38" s="2298"/>
      <c r="AA38" s="2298"/>
      <c r="AB38" s="2298"/>
      <c r="AC38" s="2298"/>
      <c r="AD38" s="2298"/>
      <c r="AE38" s="2298"/>
      <c r="AF38" s="2298"/>
      <c r="AG38" s="2298"/>
      <c r="AH38" s="2298"/>
      <c r="AI38" s="2298"/>
      <c r="AJ38" s="2298"/>
      <c r="AK38" s="2298"/>
      <c r="AL38" s="2298"/>
      <c r="AM38" s="2298"/>
      <c r="AN38" s="2298"/>
      <c r="AO38" s="2298"/>
    </row>
    <row r="39" spans="1:41">
      <c r="A39" s="2946" t="s">
        <v>689</v>
      </c>
      <c r="B39" s="2947"/>
      <c r="C39" s="2947"/>
      <c r="D39" s="2300"/>
      <c r="E39" s="2931" t="s">
        <v>1156</v>
      </c>
      <c r="F39" s="2931"/>
      <c r="G39" s="2931"/>
      <c r="H39" s="2931"/>
      <c r="I39" s="2932"/>
      <c r="X39" s="2298"/>
      <c r="Y39" s="2298"/>
      <c r="Z39" s="2298"/>
      <c r="AA39" s="2298"/>
      <c r="AB39" s="2298"/>
      <c r="AC39" s="2298"/>
      <c r="AD39" s="2298"/>
      <c r="AE39" s="2298"/>
      <c r="AF39" s="2298"/>
      <c r="AG39" s="2298"/>
      <c r="AH39" s="2298"/>
      <c r="AI39" s="2298"/>
      <c r="AJ39" s="2298"/>
      <c r="AK39" s="2298"/>
      <c r="AL39" s="2298"/>
      <c r="AM39" s="2298"/>
      <c r="AN39" s="2298"/>
      <c r="AO39" s="2298"/>
    </row>
    <row r="40" spans="1:41">
      <c r="A40" s="2950" t="s">
        <v>690</v>
      </c>
      <c r="B40" s="2951"/>
      <c r="C40" s="2951"/>
      <c r="D40" s="2300"/>
      <c r="E40" s="2931" t="s">
        <v>1157</v>
      </c>
      <c r="F40" s="2931"/>
      <c r="G40" s="2931"/>
      <c r="H40" s="2931"/>
      <c r="I40" s="2932"/>
      <c r="X40" s="2298"/>
      <c r="Y40" s="2298"/>
      <c r="Z40" s="2298"/>
      <c r="AA40" s="2298"/>
      <c r="AB40" s="2298"/>
      <c r="AC40" s="2298"/>
      <c r="AD40" s="2298"/>
      <c r="AE40" s="2298"/>
      <c r="AF40" s="2298"/>
      <c r="AG40" s="2298"/>
      <c r="AH40" s="2298"/>
      <c r="AI40" s="2298"/>
      <c r="AJ40" s="2298"/>
      <c r="AK40" s="2298"/>
      <c r="AL40" s="2298"/>
      <c r="AM40" s="2298"/>
      <c r="AN40" s="2298"/>
      <c r="AO40" s="2298"/>
    </row>
    <row r="41" spans="1:41">
      <c r="A41" s="2950" t="s">
        <v>691</v>
      </c>
      <c r="B41" s="2951"/>
      <c r="C41" s="2951"/>
      <c r="D41" s="2300"/>
      <c r="E41" s="2931" t="s">
        <v>1159</v>
      </c>
      <c r="F41" s="2931"/>
      <c r="G41" s="2931"/>
      <c r="H41" s="2931"/>
      <c r="I41" s="2932"/>
      <c r="X41" s="2298"/>
      <c r="Y41" s="2298"/>
      <c r="Z41" s="2298"/>
      <c r="AA41" s="2298"/>
      <c r="AB41" s="2298"/>
      <c r="AC41" s="2298"/>
      <c r="AD41" s="2298"/>
      <c r="AE41" s="2298"/>
      <c r="AF41" s="2298"/>
      <c r="AG41" s="2298"/>
      <c r="AH41" s="2298"/>
      <c r="AI41" s="2298"/>
      <c r="AJ41" s="2298"/>
      <c r="AK41" s="2298"/>
      <c r="AL41" s="2298"/>
      <c r="AM41" s="2298"/>
      <c r="AN41" s="2298"/>
      <c r="AO41" s="2298"/>
    </row>
    <row r="42" spans="1:41" ht="15" customHeight="1">
      <c r="A42" s="2950" t="s">
        <v>258</v>
      </c>
      <c r="B42" s="2951"/>
      <c r="C42" s="2951"/>
      <c r="D42" s="2300"/>
      <c r="E42" s="2955" t="s">
        <v>1161</v>
      </c>
      <c r="F42" s="2955"/>
      <c r="G42" s="2955"/>
      <c r="H42" s="2955"/>
      <c r="I42" s="2956"/>
      <c r="X42" s="2298"/>
      <c r="Y42" s="2298"/>
      <c r="Z42" s="2298"/>
      <c r="AA42" s="2298"/>
      <c r="AB42" s="2298"/>
      <c r="AC42" s="2298"/>
      <c r="AD42" s="2298"/>
      <c r="AE42" s="2298"/>
      <c r="AF42" s="2298"/>
      <c r="AG42" s="2298"/>
      <c r="AH42" s="2298"/>
      <c r="AI42" s="2298"/>
      <c r="AJ42" s="2298"/>
      <c r="AK42" s="2298"/>
      <c r="AL42" s="2298"/>
      <c r="AM42" s="2298"/>
      <c r="AN42" s="2298"/>
      <c r="AO42" s="2298"/>
    </row>
    <row r="43" spans="1:41" ht="15" customHeight="1">
      <c r="A43" s="2950"/>
      <c r="B43" s="2951"/>
      <c r="C43" s="2951"/>
      <c r="D43" s="2300"/>
      <c r="E43" s="2955"/>
      <c r="F43" s="2955"/>
      <c r="G43" s="2955"/>
      <c r="H43" s="2955"/>
      <c r="I43" s="2956"/>
      <c r="X43" s="2298"/>
      <c r="Y43" s="2298"/>
      <c r="Z43" s="2298"/>
      <c r="AA43" s="2298"/>
      <c r="AB43" s="2298"/>
      <c r="AC43" s="2298"/>
      <c r="AD43" s="2298"/>
      <c r="AE43" s="2298"/>
      <c r="AF43" s="2298"/>
      <c r="AG43" s="2298"/>
      <c r="AH43" s="2298"/>
      <c r="AI43" s="2298"/>
      <c r="AJ43" s="2298"/>
      <c r="AK43" s="2298"/>
      <c r="AL43" s="2298"/>
      <c r="AM43" s="2298"/>
      <c r="AN43" s="2298"/>
      <c r="AO43" s="2298"/>
    </row>
    <row r="44" spans="1:41">
      <c r="A44" s="2963" t="s">
        <v>174</v>
      </c>
      <c r="B44" s="2964"/>
      <c r="C44" s="2964"/>
      <c r="D44" s="2299"/>
      <c r="E44" s="2967" t="s">
        <v>1162</v>
      </c>
      <c r="F44" s="2967"/>
      <c r="G44" s="2967"/>
      <c r="H44" s="2967"/>
      <c r="I44" s="2968"/>
      <c r="X44" s="2298"/>
      <c r="Y44" s="2298"/>
      <c r="Z44" s="2298"/>
      <c r="AA44" s="2298"/>
      <c r="AB44" s="2298"/>
      <c r="AC44" s="2298"/>
      <c r="AD44" s="2298"/>
      <c r="AE44" s="2298"/>
      <c r="AF44" s="2298"/>
      <c r="AG44" s="2298"/>
      <c r="AH44" s="2298"/>
      <c r="AI44" s="2298"/>
      <c r="AJ44" s="2298"/>
      <c r="AK44" s="2298"/>
      <c r="AL44" s="2298"/>
      <c r="AM44" s="2298"/>
      <c r="AN44" s="2298"/>
      <c r="AO44" s="2298"/>
    </row>
    <row r="45" spans="1:41">
      <c r="X45" s="2298"/>
      <c r="Y45" s="2298"/>
      <c r="Z45" s="2298"/>
      <c r="AA45" s="2298"/>
      <c r="AB45" s="2298"/>
      <c r="AC45" s="2298"/>
      <c r="AD45" s="2298"/>
      <c r="AE45" s="2298"/>
      <c r="AF45" s="2298"/>
      <c r="AG45" s="2298"/>
      <c r="AH45" s="2298"/>
      <c r="AI45" s="2298"/>
      <c r="AJ45" s="2298"/>
      <c r="AK45" s="2298"/>
      <c r="AL45" s="2298"/>
      <c r="AM45" s="2298"/>
      <c r="AN45" s="2298"/>
      <c r="AO45" s="2298"/>
    </row>
    <row r="46" spans="1:41">
      <c r="X46" s="2298"/>
      <c r="Y46" s="2298"/>
      <c r="Z46" s="2298"/>
      <c r="AA46" s="2298"/>
      <c r="AB46" s="2298"/>
      <c r="AC46" s="2298"/>
      <c r="AD46" s="2298"/>
      <c r="AE46" s="2298"/>
      <c r="AF46" s="2298"/>
      <c r="AG46" s="2298"/>
      <c r="AH46" s="2298"/>
      <c r="AI46" s="2298"/>
      <c r="AJ46" s="2298"/>
      <c r="AK46" s="2298"/>
      <c r="AL46" s="2298"/>
      <c r="AM46" s="2298"/>
      <c r="AN46" s="2298"/>
      <c r="AO46" s="2298"/>
    </row>
    <row r="47" spans="1:41">
      <c r="P47" s="2298"/>
      <c r="Q47" s="2298"/>
      <c r="X47" s="2298"/>
      <c r="Y47" s="2298"/>
      <c r="Z47" s="2298"/>
      <c r="AA47" s="2298"/>
      <c r="AB47" s="2298"/>
      <c r="AC47" s="2298"/>
      <c r="AD47" s="2298"/>
      <c r="AE47" s="2298"/>
      <c r="AF47" s="2298"/>
      <c r="AG47" s="2298"/>
      <c r="AH47" s="2298"/>
      <c r="AI47" s="2298"/>
      <c r="AJ47" s="2298"/>
      <c r="AK47" s="2298"/>
      <c r="AL47" s="2298"/>
      <c r="AM47" s="2298"/>
      <c r="AN47" s="2298"/>
      <c r="AO47" s="2298"/>
    </row>
    <row r="48" spans="1:41">
      <c r="P48" s="2298"/>
      <c r="Q48" s="2298"/>
      <c r="X48" s="2298"/>
      <c r="Y48" s="2298"/>
      <c r="Z48" s="2298"/>
      <c r="AA48" s="2298"/>
      <c r="AB48" s="2298"/>
      <c r="AC48" s="2298"/>
      <c r="AD48" s="2298"/>
      <c r="AE48" s="2298"/>
      <c r="AF48" s="2298"/>
      <c r="AG48" s="2298"/>
      <c r="AH48" s="2298"/>
      <c r="AI48" s="2298"/>
      <c r="AJ48" s="2298"/>
      <c r="AK48" s="2298"/>
      <c r="AL48" s="2298"/>
      <c r="AM48" s="2298"/>
      <c r="AN48" s="2298"/>
      <c r="AO48" s="2298"/>
    </row>
    <row r="49" spans="16:41">
      <c r="P49" s="2298"/>
      <c r="Q49" s="2298"/>
      <c r="X49" s="2298"/>
      <c r="Y49" s="2298"/>
      <c r="Z49" s="2298"/>
      <c r="AA49" s="2298"/>
      <c r="AB49" s="2298"/>
      <c r="AC49" s="2298"/>
      <c r="AD49" s="2298"/>
      <c r="AE49" s="2298"/>
      <c r="AF49" s="2298"/>
      <c r="AG49" s="2298"/>
      <c r="AH49" s="2298"/>
      <c r="AI49" s="2298"/>
      <c r="AJ49" s="2298"/>
      <c r="AK49" s="2298"/>
      <c r="AL49" s="2298"/>
      <c r="AM49" s="2298"/>
      <c r="AN49" s="2298"/>
      <c r="AO49" s="2298"/>
    </row>
    <row r="50" spans="16:41">
      <c r="P50" s="2298"/>
      <c r="Q50" s="2298"/>
      <c r="X50" s="2298"/>
      <c r="Y50" s="2298"/>
      <c r="Z50" s="2298"/>
      <c r="AA50" s="2298"/>
      <c r="AB50" s="2298"/>
      <c r="AC50" s="2298"/>
      <c r="AD50" s="2298"/>
      <c r="AE50" s="2298"/>
      <c r="AF50" s="2298"/>
      <c r="AG50" s="2298"/>
      <c r="AH50" s="2298"/>
      <c r="AI50" s="2298"/>
      <c r="AJ50" s="2298"/>
      <c r="AK50" s="2298"/>
      <c r="AL50" s="2298"/>
      <c r="AM50" s="2298"/>
      <c r="AN50" s="2298"/>
      <c r="AO50" s="2298"/>
    </row>
    <row r="51" spans="16:41">
      <c r="P51" s="2298"/>
      <c r="Q51" s="2298"/>
      <c r="X51" s="2298"/>
      <c r="Y51" s="2298"/>
      <c r="Z51" s="2298"/>
      <c r="AA51" s="2298"/>
      <c r="AB51" s="2298"/>
      <c r="AC51" s="2298"/>
      <c r="AD51" s="2298"/>
      <c r="AE51" s="2298"/>
      <c r="AF51" s="2298"/>
      <c r="AG51" s="2298"/>
      <c r="AH51" s="2298"/>
      <c r="AI51" s="2298"/>
      <c r="AJ51" s="2298"/>
      <c r="AK51" s="2298"/>
      <c r="AL51" s="2298"/>
      <c r="AM51" s="2298"/>
      <c r="AN51" s="2298"/>
      <c r="AO51" s="2298"/>
    </row>
    <row r="52" spans="16:41">
      <c r="P52" s="2298"/>
      <c r="Q52" s="2298"/>
      <c r="X52" s="2298"/>
      <c r="Y52" s="2298"/>
      <c r="Z52" s="2298"/>
      <c r="AA52" s="2298"/>
      <c r="AB52" s="2298"/>
      <c r="AC52" s="2298"/>
      <c r="AD52" s="2298"/>
      <c r="AE52" s="2298"/>
      <c r="AF52" s="2298"/>
      <c r="AG52" s="2298"/>
      <c r="AH52" s="2298"/>
      <c r="AI52" s="2298"/>
      <c r="AJ52" s="2298"/>
      <c r="AK52" s="2298"/>
      <c r="AL52" s="2298"/>
      <c r="AM52" s="2298"/>
      <c r="AN52" s="2298"/>
      <c r="AO52" s="2298"/>
    </row>
    <row r="53" spans="16:41">
      <c r="P53" s="2298"/>
      <c r="Q53" s="2298"/>
      <c r="X53" s="2298"/>
      <c r="Y53" s="2298"/>
      <c r="Z53" s="2298"/>
      <c r="AA53" s="2298"/>
      <c r="AB53" s="2298"/>
      <c r="AC53" s="2298"/>
      <c r="AD53" s="2298"/>
      <c r="AE53" s="2298"/>
      <c r="AF53" s="2298"/>
      <c r="AG53" s="2298"/>
      <c r="AH53" s="2298"/>
      <c r="AI53" s="2298"/>
      <c r="AJ53" s="2298"/>
      <c r="AK53" s="2298"/>
      <c r="AL53" s="2298"/>
      <c r="AM53" s="2298"/>
      <c r="AN53" s="2298"/>
      <c r="AO53" s="2298"/>
    </row>
    <row r="54" spans="16:41">
      <c r="P54" s="2298"/>
      <c r="Q54" s="2298"/>
      <c r="X54" s="2298"/>
      <c r="Y54" s="2298"/>
      <c r="Z54" s="2298"/>
      <c r="AA54" s="2298"/>
      <c r="AB54" s="2298"/>
      <c r="AC54" s="2298"/>
      <c r="AD54" s="2298"/>
      <c r="AE54" s="2298"/>
      <c r="AF54" s="2298"/>
      <c r="AG54" s="2298"/>
      <c r="AH54" s="2298"/>
      <c r="AI54" s="2298"/>
      <c r="AJ54" s="2298"/>
      <c r="AK54" s="2298"/>
      <c r="AL54" s="2298"/>
      <c r="AM54" s="2298"/>
      <c r="AN54" s="2298"/>
      <c r="AO54" s="2298"/>
    </row>
    <row r="55" spans="16:41">
      <c r="P55" s="2298"/>
      <c r="Q55" s="2298"/>
      <c r="X55" s="2298"/>
      <c r="Y55" s="2298"/>
      <c r="Z55" s="2298"/>
      <c r="AA55" s="2298"/>
      <c r="AB55" s="2298"/>
      <c r="AC55" s="2298"/>
      <c r="AD55" s="2298"/>
      <c r="AE55" s="2298"/>
      <c r="AF55" s="2298"/>
      <c r="AG55" s="2298"/>
      <c r="AH55" s="2298"/>
      <c r="AI55" s="2298"/>
      <c r="AJ55" s="2298"/>
      <c r="AK55" s="2298"/>
      <c r="AL55" s="2298"/>
      <c r="AM55" s="2298"/>
      <c r="AN55" s="2298"/>
      <c r="AO55" s="2298"/>
    </row>
    <row r="56" spans="16:41">
      <c r="P56" s="2298"/>
      <c r="Q56" s="2298"/>
      <c r="X56" s="2298"/>
      <c r="Y56" s="2298"/>
      <c r="Z56" s="2298"/>
      <c r="AA56" s="2298"/>
      <c r="AB56" s="2298"/>
      <c r="AC56" s="2298"/>
      <c r="AD56" s="2298"/>
      <c r="AE56" s="2298"/>
      <c r="AF56" s="2298"/>
      <c r="AG56" s="2298"/>
      <c r="AH56" s="2298"/>
      <c r="AI56" s="2298"/>
      <c r="AJ56" s="2298"/>
      <c r="AK56" s="2298"/>
      <c r="AL56" s="2298"/>
      <c r="AM56" s="2298"/>
      <c r="AN56" s="2298"/>
      <c r="AO56" s="2298"/>
    </row>
    <row r="57" spans="16:41">
      <c r="P57" s="2298"/>
      <c r="Q57" s="2298"/>
      <c r="X57" s="2298"/>
      <c r="Y57" s="2298"/>
      <c r="Z57" s="2298"/>
      <c r="AA57" s="2298"/>
      <c r="AB57" s="2298"/>
      <c r="AC57" s="2298"/>
      <c r="AD57" s="2298"/>
      <c r="AE57" s="2298"/>
      <c r="AF57" s="2298"/>
      <c r="AG57" s="2298"/>
      <c r="AH57" s="2298"/>
      <c r="AI57" s="2298"/>
      <c r="AJ57" s="2298"/>
      <c r="AK57" s="2298"/>
      <c r="AL57" s="2298"/>
      <c r="AM57" s="2298"/>
      <c r="AN57" s="2298"/>
      <c r="AO57" s="2298"/>
    </row>
    <row r="58" spans="16:41">
      <c r="P58" s="2298"/>
      <c r="Q58" s="2298"/>
      <c r="X58" s="2298"/>
      <c r="Y58" s="2298"/>
      <c r="Z58" s="2298"/>
      <c r="AA58" s="2298"/>
      <c r="AB58" s="2298"/>
      <c r="AC58" s="2298"/>
      <c r="AD58" s="2298"/>
      <c r="AE58" s="2298"/>
      <c r="AF58" s="2298"/>
      <c r="AG58" s="2298"/>
      <c r="AH58" s="2298"/>
      <c r="AI58" s="2298"/>
      <c r="AJ58" s="2298"/>
      <c r="AK58" s="2298"/>
      <c r="AL58" s="2298"/>
      <c r="AM58" s="2298"/>
      <c r="AN58" s="2298"/>
      <c r="AO58" s="2298"/>
    </row>
    <row r="59" spans="16:41">
      <c r="P59" s="2298"/>
      <c r="Q59" s="2298"/>
      <c r="X59" s="2298"/>
      <c r="Y59" s="2298"/>
      <c r="Z59" s="2298"/>
      <c r="AA59" s="2298"/>
      <c r="AB59" s="2298"/>
      <c r="AC59" s="2298"/>
      <c r="AD59" s="2298"/>
      <c r="AE59" s="2298"/>
      <c r="AF59" s="2298"/>
      <c r="AG59" s="2298"/>
      <c r="AH59" s="2298"/>
      <c r="AI59" s="2298"/>
      <c r="AJ59" s="2298"/>
      <c r="AK59" s="2298"/>
      <c r="AL59" s="2298"/>
      <c r="AM59" s="2298"/>
      <c r="AN59" s="2298"/>
      <c r="AO59" s="2298"/>
    </row>
    <row r="60" spans="16:41">
      <c r="P60" s="2298"/>
      <c r="Q60" s="2298"/>
      <c r="X60" s="2298"/>
      <c r="Y60" s="2298"/>
      <c r="Z60" s="2298"/>
      <c r="AA60" s="2298"/>
      <c r="AB60" s="2298"/>
      <c r="AC60" s="2298"/>
      <c r="AD60" s="2298"/>
      <c r="AE60" s="2298"/>
      <c r="AF60" s="2298"/>
      <c r="AG60" s="2298"/>
      <c r="AH60" s="2298"/>
      <c r="AI60" s="2298"/>
      <c r="AJ60" s="2298"/>
      <c r="AK60" s="2298"/>
      <c r="AL60" s="2298"/>
      <c r="AM60" s="2298"/>
      <c r="AN60" s="2298"/>
      <c r="AO60" s="2298"/>
    </row>
    <row r="61" spans="16:41">
      <c r="P61" s="2298"/>
      <c r="Q61" s="2298"/>
      <c r="X61" s="2298"/>
      <c r="Y61" s="2298"/>
      <c r="Z61" s="2298"/>
      <c r="AA61" s="2298"/>
      <c r="AB61" s="2298"/>
      <c r="AC61" s="2298"/>
      <c r="AD61" s="2298"/>
      <c r="AE61" s="2298"/>
      <c r="AF61" s="2298"/>
      <c r="AG61" s="2298"/>
      <c r="AH61" s="2298"/>
      <c r="AI61" s="2298"/>
      <c r="AJ61" s="2298"/>
      <c r="AK61" s="2298"/>
      <c r="AL61" s="2298"/>
      <c r="AM61" s="2298"/>
      <c r="AN61" s="2298"/>
      <c r="AO61" s="2298"/>
    </row>
    <row r="62" spans="16:41">
      <c r="P62" s="2298"/>
      <c r="Q62" s="2298"/>
      <c r="X62" s="2298"/>
      <c r="Y62" s="2298"/>
      <c r="Z62" s="2298"/>
      <c r="AA62" s="2298"/>
      <c r="AB62" s="2298"/>
      <c r="AC62" s="2298"/>
      <c r="AD62" s="2298"/>
      <c r="AE62" s="2298"/>
      <c r="AF62" s="2298"/>
      <c r="AG62" s="2298"/>
      <c r="AH62" s="2298"/>
      <c r="AI62" s="2298"/>
      <c r="AJ62" s="2298"/>
      <c r="AK62" s="2298"/>
      <c r="AL62" s="2298"/>
      <c r="AM62" s="2298"/>
      <c r="AN62" s="2298"/>
      <c r="AO62" s="2298"/>
    </row>
    <row r="63" spans="16:41">
      <c r="P63" s="2298"/>
      <c r="Q63" s="2298"/>
      <c r="X63" s="2298"/>
      <c r="Y63" s="2298"/>
      <c r="Z63" s="2298"/>
      <c r="AA63" s="2298"/>
      <c r="AB63" s="2298"/>
      <c r="AC63" s="2298"/>
      <c r="AD63" s="2298"/>
      <c r="AE63" s="2298"/>
      <c r="AF63" s="2298"/>
      <c r="AG63" s="2298"/>
      <c r="AH63" s="2298"/>
      <c r="AI63" s="2298"/>
      <c r="AJ63" s="2298"/>
      <c r="AK63" s="2298"/>
      <c r="AL63" s="2298"/>
      <c r="AM63" s="2298"/>
      <c r="AN63" s="2298"/>
      <c r="AO63" s="2298"/>
    </row>
    <row r="64" spans="16:41">
      <c r="P64" s="2298"/>
      <c r="Q64" s="2298"/>
      <c r="X64" s="2298"/>
      <c r="Y64" s="2298"/>
      <c r="Z64" s="2298"/>
      <c r="AA64" s="2298"/>
      <c r="AB64" s="2298"/>
      <c r="AC64" s="2298"/>
      <c r="AD64" s="2298"/>
      <c r="AE64" s="2298"/>
      <c r="AF64" s="2298"/>
      <c r="AG64" s="2298"/>
      <c r="AH64" s="2298"/>
      <c r="AI64" s="2298"/>
      <c r="AJ64" s="2298"/>
      <c r="AK64" s="2298"/>
      <c r="AL64" s="2298"/>
      <c r="AM64" s="2298"/>
      <c r="AN64" s="2298"/>
      <c r="AO64" s="2298"/>
    </row>
    <row r="65" spans="16:41">
      <c r="P65" s="2298"/>
      <c r="Q65" s="2298"/>
      <c r="X65" s="2298"/>
      <c r="Y65" s="2298"/>
      <c r="Z65" s="2298"/>
      <c r="AA65" s="2298"/>
      <c r="AB65" s="2298"/>
      <c r="AC65" s="2298"/>
      <c r="AD65" s="2298"/>
      <c r="AE65" s="2298"/>
      <c r="AF65" s="2298"/>
      <c r="AG65" s="2298"/>
      <c r="AH65" s="2298"/>
      <c r="AI65" s="2298"/>
      <c r="AJ65" s="2298"/>
      <c r="AK65" s="2298"/>
      <c r="AL65" s="2298"/>
      <c r="AM65" s="2298"/>
      <c r="AN65" s="2298"/>
      <c r="AO65" s="2298"/>
    </row>
    <row r="66" spans="16:41">
      <c r="P66" s="2298"/>
      <c r="Q66" s="2298"/>
      <c r="X66" s="2298"/>
      <c r="Y66" s="2298"/>
      <c r="Z66" s="2298"/>
      <c r="AA66" s="2298"/>
      <c r="AB66" s="2298"/>
      <c r="AC66" s="2298"/>
      <c r="AD66" s="2298"/>
      <c r="AE66" s="2298"/>
      <c r="AF66" s="2298"/>
      <c r="AG66" s="2298"/>
      <c r="AH66" s="2298"/>
      <c r="AI66" s="2298"/>
      <c r="AJ66" s="2298"/>
      <c r="AK66" s="2298"/>
      <c r="AL66" s="2298"/>
      <c r="AM66" s="2298"/>
      <c r="AN66" s="2298"/>
      <c r="AO66" s="2298"/>
    </row>
    <row r="67" spans="16:41">
      <c r="P67" s="2298"/>
      <c r="Q67" s="2298"/>
      <c r="X67" s="2298"/>
      <c r="Y67" s="2298"/>
      <c r="Z67" s="2298"/>
      <c r="AA67" s="2298"/>
      <c r="AB67" s="2298"/>
      <c r="AC67" s="2298"/>
      <c r="AD67" s="2298"/>
      <c r="AE67" s="2298"/>
      <c r="AF67" s="2298"/>
      <c r="AG67" s="2298"/>
      <c r="AH67" s="2298"/>
      <c r="AI67" s="2298"/>
      <c r="AJ67" s="2298"/>
      <c r="AK67" s="2298"/>
      <c r="AL67" s="2298"/>
      <c r="AM67" s="2298"/>
      <c r="AN67" s="2298"/>
      <c r="AO67" s="2298"/>
    </row>
    <row r="68" spans="16:41">
      <c r="P68" s="2298"/>
      <c r="Q68" s="2298"/>
      <c r="X68" s="2298"/>
      <c r="Y68" s="2298"/>
      <c r="Z68" s="2298"/>
      <c r="AA68" s="2298"/>
      <c r="AB68" s="2298"/>
      <c r="AC68" s="2298"/>
      <c r="AD68" s="2298"/>
      <c r="AE68" s="2298"/>
      <c r="AF68" s="2298"/>
      <c r="AG68" s="2298"/>
      <c r="AH68" s="2298"/>
      <c r="AI68" s="2298"/>
      <c r="AJ68" s="2298"/>
      <c r="AK68" s="2298"/>
      <c r="AL68" s="2298"/>
      <c r="AM68" s="2298"/>
      <c r="AN68" s="2298"/>
      <c r="AO68" s="2298"/>
    </row>
    <row r="69" spans="16:41">
      <c r="P69" s="2298"/>
      <c r="Q69" s="2298"/>
      <c r="X69" s="2298"/>
      <c r="Y69" s="2298"/>
      <c r="Z69" s="2298"/>
      <c r="AA69" s="2298"/>
      <c r="AB69" s="2298"/>
      <c r="AC69" s="2298"/>
      <c r="AD69" s="2298"/>
      <c r="AE69" s="2298"/>
      <c r="AF69" s="2298"/>
      <c r="AG69" s="2298"/>
      <c r="AH69" s="2298"/>
      <c r="AI69" s="2298"/>
      <c r="AJ69" s="2298"/>
      <c r="AK69" s="2298"/>
      <c r="AL69" s="2298"/>
      <c r="AM69" s="2298"/>
      <c r="AN69" s="2298"/>
      <c r="AO69" s="2298"/>
    </row>
    <row r="70" spans="16:41">
      <c r="P70" s="2298"/>
      <c r="Q70" s="2298"/>
      <c r="X70" s="2298"/>
      <c r="Y70" s="2298"/>
      <c r="Z70" s="2298"/>
      <c r="AA70" s="2298"/>
      <c r="AB70" s="2298"/>
      <c r="AC70" s="2298"/>
      <c r="AD70" s="2298"/>
      <c r="AE70" s="2298"/>
      <c r="AF70" s="2298"/>
      <c r="AG70" s="2298"/>
      <c r="AH70" s="2298"/>
      <c r="AI70" s="2298"/>
      <c r="AJ70" s="2298"/>
      <c r="AK70" s="2298"/>
      <c r="AL70" s="2298"/>
      <c r="AM70" s="2298"/>
      <c r="AN70" s="2298"/>
      <c r="AO70" s="2298"/>
    </row>
    <row r="71" spans="16:41">
      <c r="P71" s="2298"/>
      <c r="Q71" s="2298"/>
      <c r="X71" s="2298"/>
      <c r="Y71" s="2298"/>
      <c r="Z71" s="2298"/>
      <c r="AA71" s="2298"/>
      <c r="AB71" s="2298"/>
      <c r="AC71" s="2298"/>
      <c r="AD71" s="2298"/>
      <c r="AE71" s="2298"/>
      <c r="AF71" s="2298"/>
      <c r="AG71" s="2298"/>
      <c r="AH71" s="2298"/>
      <c r="AI71" s="2298"/>
      <c r="AJ71" s="2298"/>
      <c r="AK71" s="2298"/>
      <c r="AL71" s="2298"/>
      <c r="AM71" s="2298"/>
      <c r="AN71" s="2298"/>
      <c r="AO71" s="2298"/>
    </row>
    <row r="72" spans="16:41">
      <c r="P72" s="2298"/>
      <c r="Q72" s="2298"/>
      <c r="X72" s="2298"/>
      <c r="Y72" s="2298"/>
      <c r="Z72" s="2298"/>
      <c r="AA72" s="2298"/>
      <c r="AB72" s="2298"/>
      <c r="AC72" s="2298"/>
      <c r="AD72" s="2298"/>
      <c r="AE72" s="2298"/>
      <c r="AF72" s="2298"/>
      <c r="AG72" s="2298"/>
      <c r="AH72" s="2298"/>
      <c r="AI72" s="2298"/>
      <c r="AJ72" s="2298"/>
      <c r="AK72" s="2298"/>
      <c r="AL72" s="2298"/>
      <c r="AM72" s="2298"/>
      <c r="AN72" s="2298"/>
      <c r="AO72" s="2298"/>
    </row>
    <row r="73" spans="16:41">
      <c r="P73" s="2298"/>
      <c r="Q73" s="2298"/>
      <c r="X73" s="2298"/>
      <c r="Y73" s="2298"/>
      <c r="Z73" s="2298"/>
      <c r="AA73" s="2298"/>
      <c r="AB73" s="2298"/>
      <c r="AC73" s="2298"/>
      <c r="AD73" s="2298"/>
      <c r="AE73" s="2298"/>
      <c r="AF73" s="2298"/>
      <c r="AG73" s="2298"/>
      <c r="AH73" s="2298"/>
      <c r="AI73" s="2298"/>
      <c r="AJ73" s="2298"/>
      <c r="AK73" s="2298"/>
      <c r="AL73" s="2298"/>
      <c r="AM73" s="2298"/>
      <c r="AN73" s="2298"/>
      <c r="AO73" s="2298"/>
    </row>
    <row r="74" spans="16:41">
      <c r="P74" s="2298"/>
      <c r="Q74" s="2298"/>
      <c r="X74" s="2298"/>
      <c r="Y74" s="2298"/>
      <c r="Z74" s="2298"/>
      <c r="AA74" s="2298"/>
      <c r="AB74" s="2298"/>
      <c r="AC74" s="2298"/>
      <c r="AD74" s="2298"/>
      <c r="AE74" s="2298"/>
      <c r="AF74" s="2298"/>
      <c r="AG74" s="2298"/>
      <c r="AH74" s="2298"/>
      <c r="AI74" s="2298"/>
      <c r="AJ74" s="2298"/>
      <c r="AK74" s="2298"/>
      <c r="AL74" s="2298"/>
      <c r="AM74" s="2298"/>
      <c r="AN74" s="2298"/>
      <c r="AO74" s="2298"/>
    </row>
    <row r="75" spans="16:41">
      <c r="P75" s="2298"/>
      <c r="Q75" s="2298"/>
      <c r="X75" s="2298"/>
      <c r="Y75" s="2298"/>
      <c r="Z75" s="2298"/>
      <c r="AA75" s="2298"/>
      <c r="AB75" s="2298"/>
      <c r="AC75" s="2298"/>
      <c r="AD75" s="2298"/>
      <c r="AE75" s="2298"/>
      <c r="AF75" s="2298"/>
      <c r="AG75" s="2298"/>
      <c r="AH75" s="2298"/>
      <c r="AI75" s="2298"/>
      <c r="AJ75" s="2298"/>
      <c r="AK75" s="2298"/>
      <c r="AL75" s="2298"/>
      <c r="AM75" s="2298"/>
      <c r="AN75" s="2298"/>
      <c r="AO75" s="2298"/>
    </row>
    <row r="76" spans="16:41">
      <c r="P76" s="2298"/>
      <c r="Q76" s="2298"/>
      <c r="X76" s="2298"/>
      <c r="Y76" s="2298"/>
      <c r="Z76" s="2298"/>
      <c r="AA76" s="2298"/>
      <c r="AB76" s="2298"/>
      <c r="AC76" s="2298"/>
      <c r="AD76" s="2298"/>
      <c r="AE76" s="2298"/>
      <c r="AF76" s="2298"/>
      <c r="AG76" s="2298"/>
      <c r="AH76" s="2298"/>
      <c r="AI76" s="2298"/>
      <c r="AJ76" s="2298"/>
      <c r="AK76" s="2298"/>
      <c r="AL76" s="2298"/>
      <c r="AM76" s="2298"/>
      <c r="AN76" s="2298"/>
      <c r="AO76" s="2298"/>
    </row>
    <row r="77" spans="16:41">
      <c r="P77" s="2298"/>
      <c r="Q77" s="2298"/>
      <c r="X77" s="2298"/>
      <c r="Y77" s="2298"/>
      <c r="Z77" s="2298"/>
      <c r="AA77" s="2298"/>
      <c r="AB77" s="2298"/>
      <c r="AC77" s="2298"/>
      <c r="AD77" s="2298"/>
      <c r="AE77" s="2298"/>
      <c r="AF77" s="2298"/>
      <c r="AG77" s="2298"/>
      <c r="AH77" s="2298"/>
      <c r="AI77" s="2298"/>
      <c r="AJ77" s="2298"/>
      <c r="AK77" s="2298"/>
      <c r="AL77" s="2298"/>
      <c r="AM77" s="2298"/>
      <c r="AN77" s="2298"/>
      <c r="AO77" s="2298"/>
    </row>
    <row r="78" spans="16:41">
      <c r="P78" s="2298"/>
      <c r="Q78" s="2298"/>
      <c r="X78" s="2298"/>
      <c r="Y78" s="2298"/>
      <c r="Z78" s="2298"/>
      <c r="AA78" s="2298"/>
      <c r="AB78" s="2298"/>
      <c r="AC78" s="2298"/>
      <c r="AD78" s="2298"/>
      <c r="AE78" s="2298"/>
      <c r="AF78" s="2298"/>
      <c r="AG78" s="2298"/>
      <c r="AH78" s="2298"/>
      <c r="AI78" s="2298"/>
      <c r="AJ78" s="2298"/>
      <c r="AK78" s="2298"/>
      <c r="AL78" s="2298"/>
      <c r="AM78" s="2298"/>
      <c r="AN78" s="2298"/>
      <c r="AO78" s="2298"/>
    </row>
    <row r="79" spans="16:41">
      <c r="P79" s="2298"/>
      <c r="Q79" s="2298"/>
      <c r="X79" s="2298"/>
      <c r="Y79" s="2298"/>
      <c r="Z79" s="2298"/>
      <c r="AA79" s="2298"/>
      <c r="AB79" s="2298"/>
      <c r="AC79" s="2298"/>
      <c r="AD79" s="2298"/>
      <c r="AE79" s="2298"/>
      <c r="AF79" s="2298"/>
      <c r="AG79" s="2298"/>
      <c r="AH79" s="2298"/>
      <c r="AI79" s="2298"/>
      <c r="AJ79" s="2298"/>
      <c r="AK79" s="2298"/>
      <c r="AL79" s="2298"/>
      <c r="AM79" s="2298"/>
      <c r="AN79" s="2298"/>
      <c r="AO79" s="2298"/>
    </row>
    <row r="80" spans="16:41">
      <c r="P80" s="2298"/>
      <c r="Q80" s="2298"/>
      <c r="X80" s="2298"/>
      <c r="Y80" s="2298"/>
      <c r="Z80" s="2298"/>
      <c r="AA80" s="2298"/>
      <c r="AB80" s="2298"/>
      <c r="AC80" s="2298"/>
      <c r="AD80" s="2298"/>
      <c r="AE80" s="2298"/>
      <c r="AF80" s="2298"/>
      <c r="AG80" s="2298"/>
      <c r="AH80" s="2298"/>
      <c r="AI80" s="2298"/>
      <c r="AJ80" s="2298"/>
      <c r="AK80" s="2298"/>
      <c r="AL80" s="2298"/>
      <c r="AM80" s="2298"/>
      <c r="AN80" s="2298"/>
      <c r="AO80" s="2298"/>
    </row>
    <row r="81" spans="16:41">
      <c r="P81" s="2298"/>
      <c r="Q81" s="2298"/>
      <c r="X81" s="2298"/>
      <c r="Y81" s="2298"/>
      <c r="Z81" s="2298"/>
      <c r="AA81" s="2298"/>
      <c r="AB81" s="2298"/>
      <c r="AC81" s="2298"/>
      <c r="AD81" s="2298"/>
      <c r="AE81" s="2298"/>
      <c r="AF81" s="2298"/>
      <c r="AG81" s="2298"/>
      <c r="AH81" s="2298"/>
      <c r="AI81" s="2298"/>
      <c r="AJ81" s="2298"/>
      <c r="AK81" s="2298"/>
      <c r="AL81" s="2298"/>
      <c r="AM81" s="2298"/>
      <c r="AN81" s="2298"/>
      <c r="AO81" s="2298"/>
    </row>
    <row r="82" spans="16:41">
      <c r="P82" s="2298"/>
      <c r="Q82" s="2298"/>
      <c r="X82" s="2298"/>
      <c r="Y82" s="2298"/>
      <c r="Z82" s="2298"/>
      <c r="AA82" s="2298"/>
      <c r="AB82" s="2298"/>
      <c r="AC82" s="2298"/>
      <c r="AD82" s="2298"/>
      <c r="AE82" s="2298"/>
      <c r="AF82" s="2298"/>
      <c r="AG82" s="2298"/>
      <c r="AH82" s="2298"/>
      <c r="AI82" s="2298"/>
      <c r="AJ82" s="2298"/>
      <c r="AK82" s="2298"/>
      <c r="AL82" s="2298"/>
      <c r="AM82" s="2298"/>
      <c r="AN82" s="2298"/>
      <c r="AO82" s="2298"/>
    </row>
    <row r="83" spans="16:41">
      <c r="P83" s="2298"/>
      <c r="Q83" s="2298"/>
      <c r="X83" s="2298"/>
      <c r="Y83" s="2298"/>
      <c r="Z83" s="2298"/>
      <c r="AA83" s="2298"/>
      <c r="AB83" s="2298"/>
      <c r="AC83" s="2298"/>
      <c r="AD83" s="2298"/>
      <c r="AE83" s="2298"/>
      <c r="AF83" s="2298"/>
      <c r="AG83" s="2298"/>
      <c r="AH83" s="2298"/>
      <c r="AI83" s="2298"/>
      <c r="AJ83" s="2298"/>
      <c r="AK83" s="2298"/>
      <c r="AL83" s="2298"/>
      <c r="AM83" s="2298"/>
      <c r="AN83" s="2298"/>
      <c r="AO83" s="2298"/>
    </row>
    <row r="84" spans="16:41">
      <c r="P84" s="2298"/>
      <c r="Q84" s="2298"/>
      <c r="X84" s="2298"/>
      <c r="Y84" s="2298"/>
      <c r="Z84" s="2298"/>
      <c r="AA84" s="2298"/>
      <c r="AB84" s="2298"/>
      <c r="AC84" s="2298"/>
      <c r="AD84" s="2298"/>
      <c r="AE84" s="2298"/>
      <c r="AF84" s="2298"/>
      <c r="AG84" s="2298"/>
      <c r="AH84" s="2298"/>
      <c r="AI84" s="2298"/>
      <c r="AJ84" s="2298"/>
      <c r="AK84" s="2298"/>
      <c r="AL84" s="2298"/>
      <c r="AM84" s="2298"/>
      <c r="AN84" s="2298"/>
      <c r="AO84" s="2298"/>
    </row>
    <row r="85" spans="16:41">
      <c r="P85" s="2298"/>
      <c r="Q85" s="2298"/>
      <c r="X85" s="2298"/>
      <c r="Y85" s="2298"/>
      <c r="Z85" s="2298"/>
      <c r="AA85" s="2298"/>
      <c r="AB85" s="2298"/>
      <c r="AC85" s="2298"/>
      <c r="AD85" s="2298"/>
      <c r="AE85" s="2298"/>
      <c r="AF85" s="2298"/>
      <c r="AG85" s="2298"/>
      <c r="AH85" s="2298"/>
      <c r="AI85" s="2298"/>
      <c r="AJ85" s="2298"/>
      <c r="AK85" s="2298"/>
      <c r="AL85" s="2298"/>
      <c r="AM85" s="2298"/>
      <c r="AN85" s="2298"/>
      <c r="AO85" s="2298"/>
    </row>
    <row r="86" spans="16:41">
      <c r="P86" s="2298"/>
      <c r="Q86" s="2298"/>
      <c r="X86" s="2298"/>
      <c r="Y86" s="2298"/>
      <c r="Z86" s="2298"/>
      <c r="AA86" s="2298"/>
      <c r="AB86" s="2298"/>
      <c r="AC86" s="2298"/>
      <c r="AD86" s="2298"/>
      <c r="AE86" s="2298"/>
      <c r="AF86" s="2298"/>
      <c r="AG86" s="2298"/>
      <c r="AH86" s="2298"/>
      <c r="AI86" s="2298"/>
      <c r="AJ86" s="2298"/>
      <c r="AK86" s="2298"/>
      <c r="AL86" s="2298"/>
      <c r="AM86" s="2298"/>
      <c r="AN86" s="2298"/>
      <c r="AO86" s="2298"/>
    </row>
    <row r="87" spans="16:41">
      <c r="P87" s="2298"/>
      <c r="Q87" s="2298"/>
      <c r="X87" s="2298"/>
      <c r="Y87" s="2298"/>
      <c r="Z87" s="2298"/>
      <c r="AA87" s="2298"/>
      <c r="AB87" s="2298"/>
      <c r="AC87" s="2298"/>
      <c r="AD87" s="2298"/>
      <c r="AE87" s="2298"/>
      <c r="AF87" s="2298"/>
      <c r="AG87" s="2298"/>
      <c r="AH87" s="2298"/>
      <c r="AI87" s="2298"/>
      <c r="AJ87" s="2298"/>
      <c r="AK87" s="2298"/>
      <c r="AL87" s="2298"/>
      <c r="AM87" s="2298"/>
      <c r="AN87" s="2298"/>
      <c r="AO87" s="2298"/>
    </row>
    <row r="88" spans="16:41">
      <c r="P88" s="2298"/>
      <c r="Q88" s="2298"/>
      <c r="X88" s="2298"/>
      <c r="Y88" s="2298"/>
      <c r="Z88" s="2298"/>
      <c r="AA88" s="2298"/>
      <c r="AB88" s="2298"/>
      <c r="AC88" s="2298"/>
      <c r="AD88" s="2298"/>
      <c r="AE88" s="2298"/>
      <c r="AF88" s="2298"/>
      <c r="AG88" s="2298"/>
      <c r="AH88" s="2298"/>
      <c r="AI88" s="2298"/>
      <c r="AJ88" s="2298"/>
      <c r="AK88" s="2298"/>
      <c r="AL88" s="2298"/>
      <c r="AM88" s="2298"/>
      <c r="AN88" s="2298"/>
      <c r="AO88" s="2298"/>
    </row>
    <row r="89" spans="16:41">
      <c r="P89" s="2298"/>
      <c r="Q89" s="2298"/>
      <c r="X89" s="2298"/>
      <c r="Y89" s="2298"/>
      <c r="Z89" s="2298"/>
      <c r="AA89" s="2298"/>
      <c r="AB89" s="2298"/>
      <c r="AC89" s="2298"/>
      <c r="AD89" s="2298"/>
      <c r="AE89" s="2298"/>
      <c r="AF89" s="2298"/>
      <c r="AG89" s="2298"/>
      <c r="AH89" s="2298"/>
      <c r="AI89" s="2298"/>
      <c r="AJ89" s="2298"/>
      <c r="AK89" s="2298"/>
      <c r="AL89" s="2298"/>
      <c r="AM89" s="2298"/>
      <c r="AN89" s="2298"/>
      <c r="AO89" s="2298"/>
    </row>
    <row r="90" spans="16:41">
      <c r="P90" s="2298"/>
      <c r="Q90" s="2298"/>
      <c r="X90" s="2298"/>
      <c r="Y90" s="2298"/>
      <c r="Z90" s="2298"/>
      <c r="AA90" s="2298"/>
      <c r="AB90" s="2298"/>
      <c r="AC90" s="2298"/>
      <c r="AD90" s="2298"/>
      <c r="AE90" s="2298"/>
      <c r="AF90" s="2298"/>
      <c r="AG90" s="2298"/>
      <c r="AH90" s="2298"/>
      <c r="AI90" s="2298"/>
      <c r="AJ90" s="2298"/>
      <c r="AK90" s="2298"/>
      <c r="AL90" s="2298"/>
      <c r="AM90" s="2298"/>
      <c r="AN90" s="2298"/>
      <c r="AO90" s="2298"/>
    </row>
    <row r="91" spans="16:41">
      <c r="P91" s="2298"/>
      <c r="Q91" s="2298"/>
      <c r="X91" s="2298"/>
      <c r="Y91" s="2298"/>
      <c r="Z91" s="2298"/>
      <c r="AA91" s="2298"/>
      <c r="AB91" s="2298"/>
      <c r="AC91" s="2298"/>
      <c r="AD91" s="2298"/>
      <c r="AE91" s="2298"/>
      <c r="AF91" s="2298"/>
      <c r="AG91" s="2298"/>
      <c r="AH91" s="2298"/>
      <c r="AI91" s="2298"/>
      <c r="AJ91" s="2298"/>
      <c r="AK91" s="2298"/>
      <c r="AL91" s="2298"/>
      <c r="AM91" s="2298"/>
      <c r="AN91" s="2298"/>
      <c r="AO91" s="2298"/>
    </row>
    <row r="92" spans="16:41">
      <c r="P92" s="2298"/>
      <c r="Q92" s="2298"/>
      <c r="X92" s="2298"/>
      <c r="Y92" s="2298"/>
      <c r="Z92" s="2298"/>
      <c r="AA92" s="2298"/>
      <c r="AB92" s="2298"/>
      <c r="AC92" s="2298"/>
      <c r="AD92" s="2298"/>
      <c r="AE92" s="2298"/>
      <c r="AF92" s="2298"/>
      <c r="AG92" s="2298"/>
      <c r="AH92" s="2298"/>
      <c r="AI92" s="2298"/>
      <c r="AJ92" s="2298"/>
      <c r="AK92" s="2298"/>
      <c r="AL92" s="2298"/>
      <c r="AM92" s="2298"/>
      <c r="AN92" s="2298"/>
      <c r="AO92" s="2298"/>
    </row>
    <row r="93" spans="16:41">
      <c r="P93" s="2298"/>
      <c r="Q93" s="2298"/>
      <c r="X93" s="2298"/>
      <c r="Y93" s="2298"/>
      <c r="Z93" s="2298"/>
      <c r="AA93" s="2298"/>
      <c r="AB93" s="2298"/>
      <c r="AC93" s="2298"/>
      <c r="AD93" s="2298"/>
      <c r="AE93" s="2298"/>
      <c r="AF93" s="2298"/>
      <c r="AG93" s="2298"/>
      <c r="AH93" s="2298"/>
      <c r="AI93" s="2298"/>
      <c r="AJ93" s="2298"/>
      <c r="AK93" s="2298"/>
      <c r="AL93" s="2298"/>
      <c r="AM93" s="2298"/>
      <c r="AN93" s="2298"/>
      <c r="AO93" s="2298"/>
    </row>
    <row r="94" spans="16:41">
      <c r="P94" s="2298"/>
      <c r="Q94" s="2298"/>
      <c r="X94" s="2298"/>
      <c r="Y94" s="2298"/>
      <c r="Z94" s="2298"/>
      <c r="AA94" s="2298"/>
      <c r="AB94" s="2298"/>
      <c r="AC94" s="2298"/>
      <c r="AD94" s="2298"/>
      <c r="AE94" s="2298"/>
      <c r="AF94" s="2298"/>
      <c r="AG94" s="2298"/>
      <c r="AH94" s="2298"/>
      <c r="AI94" s="2298"/>
      <c r="AJ94" s="2298"/>
      <c r="AK94" s="2298"/>
      <c r="AL94" s="2298"/>
      <c r="AM94" s="2298"/>
      <c r="AN94" s="2298"/>
      <c r="AO94" s="2298"/>
    </row>
    <row r="95" spans="16:41">
      <c r="P95" s="2298"/>
      <c r="Q95" s="2298"/>
      <c r="X95" s="2298"/>
      <c r="Y95" s="2298"/>
      <c r="Z95" s="2298"/>
      <c r="AA95" s="2298"/>
      <c r="AB95" s="2298"/>
      <c r="AC95" s="2298"/>
      <c r="AD95" s="2298"/>
      <c r="AE95" s="2298"/>
      <c r="AF95" s="2298"/>
      <c r="AG95" s="2298"/>
      <c r="AH95" s="2298"/>
      <c r="AI95" s="2298"/>
      <c r="AJ95" s="2298"/>
      <c r="AK95" s="2298"/>
      <c r="AL95" s="2298"/>
      <c r="AM95" s="2298"/>
      <c r="AN95" s="2298"/>
      <c r="AO95" s="2298"/>
    </row>
    <row r="96" spans="16:41">
      <c r="P96" s="2298"/>
      <c r="Q96" s="2298"/>
      <c r="X96" s="2298"/>
      <c r="Y96" s="2298"/>
      <c r="Z96" s="2298"/>
      <c r="AA96" s="2298"/>
      <c r="AB96" s="2298"/>
      <c r="AC96" s="2298"/>
      <c r="AD96" s="2298"/>
      <c r="AE96" s="2298"/>
      <c r="AF96" s="2298"/>
      <c r="AG96" s="2298"/>
      <c r="AH96" s="2298"/>
      <c r="AI96" s="2298"/>
      <c r="AJ96" s="2298"/>
      <c r="AK96" s="2298"/>
      <c r="AL96" s="2298"/>
      <c r="AM96" s="2298"/>
      <c r="AN96" s="2298"/>
      <c r="AO96" s="2298"/>
    </row>
    <row r="97" spans="16:41">
      <c r="P97" s="2298"/>
      <c r="Q97" s="2298"/>
      <c r="X97" s="2298"/>
      <c r="Y97" s="2298"/>
      <c r="Z97" s="2298"/>
      <c r="AA97" s="2298"/>
      <c r="AB97" s="2298"/>
      <c r="AC97" s="2298"/>
      <c r="AD97" s="2298"/>
      <c r="AE97" s="2298"/>
      <c r="AF97" s="2298"/>
      <c r="AG97" s="2298"/>
      <c r="AH97" s="2298"/>
      <c r="AI97" s="2298"/>
      <c r="AJ97" s="2298"/>
      <c r="AK97" s="2298"/>
      <c r="AL97" s="2298"/>
      <c r="AM97" s="2298"/>
      <c r="AN97" s="2298"/>
      <c r="AO97" s="2298"/>
    </row>
    <row r="98" spans="16:41">
      <c r="P98" s="2298"/>
      <c r="Q98" s="2298"/>
      <c r="X98" s="2298"/>
      <c r="Y98" s="2298"/>
      <c r="Z98" s="2298"/>
      <c r="AA98" s="2298"/>
      <c r="AB98" s="2298"/>
      <c r="AC98" s="2298"/>
      <c r="AD98" s="2298"/>
      <c r="AE98" s="2298"/>
      <c r="AF98" s="2298"/>
      <c r="AG98" s="2298"/>
      <c r="AH98" s="2298"/>
      <c r="AI98" s="2298"/>
      <c r="AJ98" s="2298"/>
      <c r="AK98" s="2298"/>
      <c r="AL98" s="2298"/>
      <c r="AM98" s="2298"/>
      <c r="AN98" s="2298"/>
      <c r="AO98" s="2298"/>
    </row>
    <row r="99" spans="16:41">
      <c r="P99" s="2298"/>
      <c r="Q99" s="2298"/>
      <c r="X99" s="2298"/>
      <c r="Y99" s="2298"/>
      <c r="Z99" s="2298"/>
      <c r="AA99" s="2298"/>
      <c r="AB99" s="2298"/>
      <c r="AC99" s="2298"/>
      <c r="AD99" s="2298"/>
      <c r="AE99" s="2298"/>
      <c r="AF99" s="2298"/>
      <c r="AG99" s="2298"/>
      <c r="AH99" s="2298"/>
      <c r="AI99" s="2298"/>
      <c r="AJ99" s="2298"/>
      <c r="AK99" s="2298"/>
      <c r="AL99" s="2298"/>
      <c r="AM99" s="2298"/>
      <c r="AN99" s="2298"/>
      <c r="AO99" s="2298"/>
    </row>
    <row r="100" spans="16:41">
      <c r="P100" s="2298"/>
      <c r="Q100" s="2298"/>
      <c r="X100" s="2298"/>
      <c r="Y100" s="2298"/>
      <c r="Z100" s="2298"/>
      <c r="AA100" s="2298"/>
      <c r="AB100" s="2298"/>
      <c r="AC100" s="2298"/>
      <c r="AD100" s="2298"/>
      <c r="AE100" s="2298"/>
      <c r="AF100" s="2298"/>
      <c r="AG100" s="2298"/>
      <c r="AH100" s="2298"/>
      <c r="AI100" s="2298"/>
      <c r="AJ100" s="2298"/>
      <c r="AK100" s="2298"/>
      <c r="AL100" s="2298"/>
      <c r="AM100" s="2298"/>
      <c r="AN100" s="2298"/>
      <c r="AO100" s="2298"/>
    </row>
    <row r="101" spans="16:41">
      <c r="P101" s="2298"/>
      <c r="Q101" s="2298"/>
      <c r="X101" s="2298"/>
      <c r="Y101" s="2298"/>
      <c r="Z101" s="2298"/>
      <c r="AA101" s="2298"/>
      <c r="AB101" s="2298"/>
      <c r="AC101" s="2298"/>
      <c r="AD101" s="2298"/>
      <c r="AE101" s="2298"/>
      <c r="AF101" s="2298"/>
      <c r="AG101" s="2298"/>
      <c r="AH101" s="2298"/>
      <c r="AI101" s="2298"/>
      <c r="AJ101" s="2298"/>
      <c r="AK101" s="2298"/>
      <c r="AL101" s="2298"/>
      <c r="AM101" s="2298"/>
      <c r="AN101" s="2298"/>
      <c r="AO101" s="2298"/>
    </row>
    <row r="102" spans="16:41">
      <c r="P102" s="2298"/>
      <c r="Q102" s="2298"/>
      <c r="X102" s="2298"/>
      <c r="Y102" s="2298"/>
      <c r="Z102" s="2298"/>
      <c r="AA102" s="2298"/>
      <c r="AB102" s="2298"/>
      <c r="AC102" s="2298"/>
      <c r="AD102" s="2298"/>
      <c r="AE102" s="2298"/>
      <c r="AF102" s="2298"/>
      <c r="AG102" s="2298"/>
      <c r="AH102" s="2298"/>
      <c r="AI102" s="2298"/>
      <c r="AJ102" s="2298"/>
      <c r="AK102" s="2298"/>
      <c r="AL102" s="2298"/>
      <c r="AM102" s="2298"/>
      <c r="AN102" s="2298"/>
      <c r="AO102" s="2298"/>
    </row>
    <row r="103" spans="16:41">
      <c r="P103" s="2298"/>
      <c r="Q103" s="2298"/>
      <c r="X103" s="2298"/>
      <c r="Y103" s="2298"/>
      <c r="Z103" s="2298"/>
      <c r="AA103" s="2298"/>
      <c r="AB103" s="2298"/>
      <c r="AC103" s="2298"/>
      <c r="AD103" s="2298"/>
      <c r="AE103" s="2298"/>
      <c r="AF103" s="2298"/>
      <c r="AG103" s="2298"/>
      <c r="AH103" s="2298"/>
      <c r="AI103" s="2298"/>
      <c r="AJ103" s="2298"/>
      <c r="AK103" s="2298"/>
      <c r="AL103" s="2298"/>
      <c r="AM103" s="2298"/>
      <c r="AN103" s="2298"/>
      <c r="AO103" s="2298"/>
    </row>
    <row r="104" spans="16:41">
      <c r="P104" s="2298"/>
      <c r="Q104" s="2298"/>
      <c r="X104" s="2298"/>
      <c r="Y104" s="2298"/>
      <c r="Z104" s="2298"/>
      <c r="AA104" s="2298"/>
      <c r="AB104" s="2298"/>
      <c r="AC104" s="2298"/>
      <c r="AD104" s="2298"/>
      <c r="AE104" s="2298"/>
      <c r="AF104" s="2298"/>
      <c r="AG104" s="2298"/>
      <c r="AH104" s="2298"/>
      <c r="AI104" s="2298"/>
      <c r="AJ104" s="2298"/>
      <c r="AK104" s="2298"/>
      <c r="AL104" s="2298"/>
      <c r="AM104" s="2298"/>
      <c r="AN104" s="2298"/>
      <c r="AO104" s="2298"/>
    </row>
    <row r="105" spans="16:41">
      <c r="P105" s="2298"/>
      <c r="Q105" s="2298"/>
      <c r="X105" s="2298"/>
      <c r="Y105" s="2298"/>
      <c r="Z105" s="2298"/>
      <c r="AA105" s="2298"/>
      <c r="AB105" s="2298"/>
      <c r="AC105" s="2298"/>
      <c r="AD105" s="2298"/>
      <c r="AE105" s="2298"/>
      <c r="AF105" s="2298"/>
      <c r="AG105" s="2298"/>
      <c r="AH105" s="2298"/>
      <c r="AI105" s="2298"/>
      <c r="AJ105" s="2298"/>
      <c r="AK105" s="2298"/>
      <c r="AL105" s="2298"/>
      <c r="AM105" s="2298"/>
      <c r="AN105" s="2298"/>
      <c r="AO105" s="2298"/>
    </row>
    <row r="106" spans="16:41">
      <c r="P106" s="2298"/>
      <c r="Q106" s="2298"/>
      <c r="X106" s="2298"/>
      <c r="Y106" s="2298"/>
      <c r="Z106" s="2298"/>
      <c r="AA106" s="2298"/>
      <c r="AB106" s="2298"/>
      <c r="AC106" s="2298"/>
      <c r="AD106" s="2298"/>
      <c r="AE106" s="2298"/>
      <c r="AF106" s="2298"/>
      <c r="AG106" s="2298"/>
      <c r="AH106" s="2298"/>
      <c r="AI106" s="2298"/>
      <c r="AJ106" s="2298"/>
      <c r="AK106" s="2298"/>
      <c r="AL106" s="2298"/>
      <c r="AM106" s="2298"/>
      <c r="AN106" s="2298"/>
      <c r="AO106" s="2298"/>
    </row>
    <row r="107" spans="16:41">
      <c r="P107" s="2298"/>
      <c r="Q107" s="2298"/>
      <c r="X107" s="2298"/>
      <c r="Y107" s="2298"/>
      <c r="Z107" s="2298"/>
      <c r="AA107" s="2298"/>
      <c r="AB107" s="2298"/>
      <c r="AC107" s="2298"/>
      <c r="AD107" s="2298"/>
      <c r="AE107" s="2298"/>
      <c r="AF107" s="2298"/>
      <c r="AG107" s="2298"/>
      <c r="AH107" s="2298"/>
      <c r="AI107" s="2298"/>
      <c r="AJ107" s="2298"/>
      <c r="AK107" s="2298"/>
      <c r="AL107" s="2298"/>
      <c r="AM107" s="2298"/>
      <c r="AN107" s="2298"/>
      <c r="AO107" s="2298"/>
    </row>
    <row r="108" spans="16:41">
      <c r="P108" s="2298"/>
      <c r="Q108" s="2298"/>
      <c r="X108" s="2298"/>
      <c r="Y108" s="2298"/>
      <c r="Z108" s="2298"/>
      <c r="AA108" s="2298"/>
      <c r="AB108" s="2298"/>
      <c r="AC108" s="2298"/>
      <c r="AD108" s="2298"/>
      <c r="AE108" s="2298"/>
      <c r="AF108" s="2298"/>
      <c r="AG108" s="2298"/>
      <c r="AH108" s="2298"/>
      <c r="AI108" s="2298"/>
      <c r="AJ108" s="2298"/>
      <c r="AK108" s="2298"/>
      <c r="AL108" s="2298"/>
      <c r="AM108" s="2298"/>
      <c r="AN108" s="2298"/>
      <c r="AO108" s="2298"/>
    </row>
    <row r="109" spans="16:41">
      <c r="P109" s="2298"/>
      <c r="Q109" s="2298"/>
      <c r="X109" s="2298"/>
      <c r="Y109" s="2298"/>
      <c r="Z109" s="2298"/>
      <c r="AA109" s="2298"/>
      <c r="AB109" s="2298"/>
      <c r="AC109" s="2298"/>
      <c r="AD109" s="2298"/>
      <c r="AE109" s="2298"/>
      <c r="AF109" s="2298"/>
      <c r="AG109" s="2298"/>
      <c r="AH109" s="2298"/>
      <c r="AI109" s="2298"/>
      <c r="AJ109" s="2298"/>
      <c r="AK109" s="2298"/>
      <c r="AL109" s="2298"/>
      <c r="AM109" s="2298"/>
      <c r="AN109" s="2298"/>
      <c r="AO109" s="2298"/>
    </row>
    <row r="110" spans="16:41">
      <c r="P110" s="2298"/>
      <c r="Q110" s="2298"/>
      <c r="X110" s="2298"/>
      <c r="Y110" s="2298"/>
      <c r="Z110" s="2298"/>
      <c r="AA110" s="2298"/>
      <c r="AB110" s="2298"/>
      <c r="AC110" s="2298"/>
      <c r="AD110" s="2298"/>
      <c r="AE110" s="2298"/>
      <c r="AF110" s="2298"/>
      <c r="AG110" s="2298"/>
      <c r="AH110" s="2298"/>
      <c r="AI110" s="2298"/>
      <c r="AJ110" s="2298"/>
      <c r="AK110" s="2298"/>
      <c r="AL110" s="2298"/>
      <c r="AM110" s="2298"/>
      <c r="AN110" s="2298"/>
      <c r="AO110" s="2298"/>
    </row>
    <row r="111" spans="16:41">
      <c r="P111" s="2298"/>
      <c r="Q111" s="2298"/>
      <c r="X111" s="2298"/>
      <c r="Y111" s="2298"/>
      <c r="Z111" s="2298"/>
      <c r="AA111" s="2298"/>
      <c r="AB111" s="2298"/>
      <c r="AC111" s="2298"/>
      <c r="AD111" s="2298"/>
      <c r="AE111" s="2298"/>
      <c r="AF111" s="2298"/>
      <c r="AG111" s="2298"/>
      <c r="AH111" s="2298"/>
      <c r="AI111" s="2298"/>
      <c r="AJ111" s="2298"/>
      <c r="AK111" s="2298"/>
      <c r="AL111" s="2298"/>
      <c r="AM111" s="2298"/>
      <c r="AN111" s="2298"/>
      <c r="AO111" s="2298"/>
    </row>
    <row r="112" spans="16:41">
      <c r="P112" s="2298"/>
      <c r="Q112" s="2298"/>
      <c r="X112" s="2298"/>
      <c r="Y112" s="2298"/>
      <c r="Z112" s="2298"/>
      <c r="AA112" s="2298"/>
      <c r="AB112" s="2298"/>
      <c r="AC112" s="2298"/>
      <c r="AD112" s="2298"/>
      <c r="AE112" s="2298"/>
      <c r="AF112" s="2298"/>
      <c r="AG112" s="2298"/>
      <c r="AH112" s="2298"/>
      <c r="AI112" s="2298"/>
      <c r="AJ112" s="2298"/>
      <c r="AK112" s="2298"/>
      <c r="AL112" s="2298"/>
      <c r="AM112" s="2298"/>
      <c r="AN112" s="2298"/>
      <c r="AO112" s="2298"/>
    </row>
    <row r="113" spans="16:41">
      <c r="P113" s="2298"/>
      <c r="Q113" s="2298"/>
      <c r="X113" s="2298"/>
      <c r="Y113" s="2298"/>
      <c r="Z113" s="2298"/>
      <c r="AA113" s="2298"/>
      <c r="AB113" s="2298"/>
      <c r="AC113" s="2298"/>
      <c r="AD113" s="2298"/>
      <c r="AE113" s="2298"/>
      <c r="AF113" s="2298"/>
      <c r="AG113" s="2298"/>
      <c r="AH113" s="2298"/>
      <c r="AI113" s="2298"/>
      <c r="AJ113" s="2298"/>
      <c r="AK113" s="2298"/>
      <c r="AL113" s="2298"/>
      <c r="AM113" s="2298"/>
      <c r="AN113" s="2298"/>
      <c r="AO113" s="2298"/>
    </row>
    <row r="114" spans="16:41">
      <c r="P114" s="2298"/>
      <c r="Q114" s="2298"/>
      <c r="X114" s="2298"/>
      <c r="Y114" s="2298"/>
      <c r="Z114" s="2298"/>
      <c r="AA114" s="2298"/>
      <c r="AB114" s="2298"/>
      <c r="AC114" s="2298"/>
      <c r="AD114" s="2298"/>
      <c r="AE114" s="2298"/>
      <c r="AF114" s="2298"/>
      <c r="AG114" s="2298"/>
      <c r="AH114" s="2298"/>
      <c r="AI114" s="2298"/>
      <c r="AJ114" s="2298"/>
      <c r="AK114" s="2298"/>
      <c r="AL114" s="2298"/>
      <c r="AM114" s="2298"/>
      <c r="AN114" s="2298"/>
      <c r="AO114" s="2298"/>
    </row>
    <row r="115" spans="16:41">
      <c r="P115" s="2298"/>
      <c r="Q115" s="2298"/>
      <c r="X115" s="2298"/>
      <c r="Y115" s="2298"/>
      <c r="Z115" s="2298"/>
      <c r="AA115" s="2298"/>
      <c r="AB115" s="2298"/>
      <c r="AC115" s="2298"/>
      <c r="AD115" s="2298"/>
      <c r="AE115" s="2298"/>
      <c r="AF115" s="2298"/>
      <c r="AG115" s="2298"/>
      <c r="AH115" s="2298"/>
      <c r="AI115" s="2298"/>
      <c r="AJ115" s="2298"/>
      <c r="AK115" s="2298"/>
      <c r="AL115" s="2298"/>
      <c r="AM115" s="2298"/>
      <c r="AN115" s="2298"/>
      <c r="AO115" s="2298"/>
    </row>
    <row r="116" spans="16:41">
      <c r="P116" s="2298"/>
      <c r="Q116" s="2298"/>
      <c r="X116" s="2298"/>
      <c r="Y116" s="2298"/>
      <c r="Z116" s="2298"/>
      <c r="AA116" s="2298"/>
      <c r="AB116" s="2298"/>
      <c r="AC116" s="2298"/>
      <c r="AD116" s="2298"/>
      <c r="AE116" s="2298"/>
      <c r="AF116" s="2298"/>
      <c r="AG116" s="2298"/>
      <c r="AH116" s="2298"/>
      <c r="AI116" s="2298"/>
      <c r="AJ116" s="2298"/>
      <c r="AK116" s="2298"/>
      <c r="AL116" s="2298"/>
      <c r="AM116" s="2298"/>
      <c r="AN116" s="2298"/>
      <c r="AO116" s="2298"/>
    </row>
    <row r="117" spans="16:41">
      <c r="P117" s="2298"/>
      <c r="Q117" s="2298"/>
      <c r="X117" s="2298"/>
      <c r="Y117" s="2298"/>
      <c r="Z117" s="2298"/>
      <c r="AA117" s="2298"/>
      <c r="AB117" s="2298"/>
      <c r="AC117" s="2298"/>
      <c r="AD117" s="2298"/>
      <c r="AE117" s="2298"/>
      <c r="AF117" s="2298"/>
      <c r="AG117" s="2298"/>
      <c r="AH117" s="2298"/>
      <c r="AI117" s="2298"/>
      <c r="AJ117" s="2298"/>
      <c r="AK117" s="2298"/>
      <c r="AL117" s="2298"/>
      <c r="AM117" s="2298"/>
      <c r="AN117" s="2298"/>
      <c r="AO117" s="2298"/>
    </row>
    <row r="118" spans="16:41">
      <c r="P118" s="2298"/>
      <c r="Q118" s="2298"/>
      <c r="X118" s="2298"/>
      <c r="Y118" s="2298"/>
      <c r="Z118" s="2298"/>
      <c r="AA118" s="2298"/>
      <c r="AB118" s="2298"/>
      <c r="AC118" s="2298"/>
      <c r="AD118" s="2298"/>
      <c r="AE118" s="2298"/>
      <c r="AF118" s="2298"/>
      <c r="AG118" s="2298"/>
      <c r="AH118" s="2298"/>
      <c r="AI118" s="2298"/>
      <c r="AJ118" s="2298"/>
      <c r="AK118" s="2298"/>
      <c r="AL118" s="2298"/>
      <c r="AM118" s="2298"/>
      <c r="AN118" s="2298"/>
      <c r="AO118" s="2298"/>
    </row>
    <row r="119" spans="16:41">
      <c r="P119" s="2298"/>
      <c r="Q119" s="2298"/>
      <c r="X119" s="2298"/>
      <c r="Y119" s="2298"/>
      <c r="Z119" s="2298"/>
      <c r="AA119" s="2298"/>
      <c r="AB119" s="2298"/>
      <c r="AC119" s="2298"/>
      <c r="AD119" s="2298"/>
      <c r="AE119" s="2298"/>
      <c r="AF119" s="2298"/>
      <c r="AG119" s="2298"/>
      <c r="AH119" s="2298"/>
      <c r="AI119" s="2298"/>
      <c r="AJ119" s="2298"/>
      <c r="AK119" s="2298"/>
      <c r="AL119" s="2298"/>
      <c r="AM119" s="2298"/>
      <c r="AN119" s="2298"/>
      <c r="AO119" s="2298"/>
    </row>
    <row r="120" spans="16:41">
      <c r="P120" s="2298"/>
      <c r="Q120" s="2298"/>
      <c r="X120" s="2298"/>
      <c r="Y120" s="2298"/>
      <c r="Z120" s="2298"/>
      <c r="AA120" s="2298"/>
      <c r="AB120" s="2298"/>
      <c r="AC120" s="2298"/>
      <c r="AD120" s="2298"/>
      <c r="AE120" s="2298"/>
      <c r="AF120" s="2298"/>
      <c r="AG120" s="2298"/>
      <c r="AH120" s="2298"/>
      <c r="AI120" s="2298"/>
      <c r="AJ120" s="2298"/>
      <c r="AK120" s="2298"/>
      <c r="AL120" s="2298"/>
      <c r="AM120" s="2298"/>
      <c r="AN120" s="2298"/>
      <c r="AO120" s="2298"/>
    </row>
    <row r="121" spans="16:41">
      <c r="P121" s="2298"/>
      <c r="Q121" s="2298"/>
      <c r="X121" s="2298"/>
      <c r="Y121" s="2298"/>
      <c r="Z121" s="2298"/>
      <c r="AA121" s="2298"/>
      <c r="AB121" s="2298"/>
      <c r="AC121" s="2298"/>
      <c r="AD121" s="2298"/>
      <c r="AE121" s="2298"/>
      <c r="AF121" s="2298"/>
      <c r="AG121" s="2298"/>
      <c r="AH121" s="2298"/>
      <c r="AI121" s="2298"/>
      <c r="AJ121" s="2298"/>
      <c r="AK121" s="2298"/>
      <c r="AL121" s="2298"/>
      <c r="AM121" s="2298"/>
      <c r="AN121" s="2298"/>
      <c r="AO121" s="2298"/>
    </row>
    <row r="122" spans="16:41">
      <c r="P122" s="2298"/>
      <c r="Q122" s="2298"/>
      <c r="X122" s="2298"/>
      <c r="Y122" s="2298"/>
      <c r="Z122" s="2298"/>
      <c r="AA122" s="2298"/>
      <c r="AB122" s="2298"/>
      <c r="AC122" s="2298"/>
      <c r="AD122" s="2298"/>
      <c r="AE122" s="2298"/>
      <c r="AF122" s="2298"/>
      <c r="AG122" s="2298"/>
      <c r="AH122" s="2298"/>
      <c r="AI122" s="2298"/>
      <c r="AJ122" s="2298"/>
      <c r="AK122" s="2298"/>
      <c r="AL122" s="2298"/>
      <c r="AM122" s="2298"/>
      <c r="AN122" s="2298"/>
      <c r="AO122" s="2298"/>
    </row>
    <row r="123" spans="16:41">
      <c r="P123" s="2298"/>
      <c r="Q123" s="2298"/>
      <c r="X123" s="2298"/>
      <c r="Y123" s="2298"/>
      <c r="Z123" s="2298"/>
      <c r="AA123" s="2298"/>
      <c r="AB123" s="2298"/>
      <c r="AC123" s="2298"/>
      <c r="AD123" s="2298"/>
      <c r="AE123" s="2298"/>
      <c r="AF123" s="2298"/>
      <c r="AG123" s="2298"/>
      <c r="AH123" s="2298"/>
      <c r="AI123" s="2298"/>
      <c r="AJ123" s="2298"/>
      <c r="AK123" s="2298"/>
      <c r="AL123" s="2298"/>
      <c r="AM123" s="2298"/>
      <c r="AN123" s="2298"/>
      <c r="AO123" s="2298"/>
    </row>
    <row r="124" spans="16:41">
      <c r="P124" s="2298"/>
      <c r="Q124" s="2298"/>
      <c r="X124" s="2298"/>
      <c r="Y124" s="2298"/>
      <c r="Z124" s="2298"/>
      <c r="AA124" s="2298"/>
      <c r="AB124" s="2298"/>
      <c r="AC124" s="2298"/>
      <c r="AD124" s="2298"/>
      <c r="AE124" s="2298"/>
      <c r="AF124" s="2298"/>
      <c r="AG124" s="2298"/>
      <c r="AH124" s="2298"/>
      <c r="AI124" s="2298"/>
      <c r="AJ124" s="2298"/>
      <c r="AK124" s="2298"/>
      <c r="AL124" s="2298"/>
      <c r="AM124" s="2298"/>
      <c r="AN124" s="2298"/>
      <c r="AO124" s="2298"/>
    </row>
    <row r="125" spans="16:41">
      <c r="P125" s="2298"/>
      <c r="Q125" s="2298"/>
      <c r="X125" s="2298"/>
      <c r="Y125" s="2298"/>
      <c r="Z125" s="2298"/>
      <c r="AA125" s="2298"/>
      <c r="AB125" s="2298"/>
      <c r="AC125" s="2298"/>
      <c r="AD125" s="2298"/>
      <c r="AE125" s="2298"/>
      <c r="AF125" s="2298"/>
      <c r="AG125" s="2298"/>
      <c r="AH125" s="2298"/>
      <c r="AI125" s="2298"/>
      <c r="AJ125" s="2298"/>
      <c r="AK125" s="2298"/>
      <c r="AL125" s="2298"/>
      <c r="AM125" s="2298"/>
      <c r="AN125" s="2298"/>
      <c r="AO125" s="2298"/>
    </row>
    <row r="126" spans="16:41">
      <c r="P126" s="2298"/>
      <c r="Q126" s="2298"/>
      <c r="X126" s="2298"/>
      <c r="Y126" s="2298"/>
      <c r="Z126" s="2298"/>
      <c r="AA126" s="2298"/>
      <c r="AB126" s="2298"/>
      <c r="AC126" s="2298"/>
      <c r="AD126" s="2298"/>
      <c r="AE126" s="2298"/>
      <c r="AF126" s="2298"/>
      <c r="AG126" s="2298"/>
      <c r="AH126" s="2298"/>
      <c r="AI126" s="2298"/>
      <c r="AJ126" s="2298"/>
      <c r="AK126" s="2298"/>
      <c r="AL126" s="2298"/>
      <c r="AM126" s="2298"/>
      <c r="AN126" s="2298"/>
      <c r="AO126" s="2298"/>
    </row>
    <row r="127" spans="16:41">
      <c r="P127" s="2298"/>
      <c r="Q127" s="2298"/>
      <c r="X127" s="2298"/>
      <c r="Y127" s="2298"/>
      <c r="Z127" s="2298"/>
      <c r="AA127" s="2298"/>
      <c r="AB127" s="2298"/>
      <c r="AC127" s="2298"/>
      <c r="AD127" s="2298"/>
      <c r="AE127" s="2298"/>
      <c r="AF127" s="2298"/>
      <c r="AG127" s="2298"/>
      <c r="AH127" s="2298"/>
      <c r="AI127" s="2298"/>
      <c r="AJ127" s="2298"/>
      <c r="AK127" s="2298"/>
      <c r="AL127" s="2298"/>
      <c r="AM127" s="2298"/>
      <c r="AN127" s="2298"/>
      <c r="AO127" s="2298"/>
    </row>
    <row r="128" spans="16:41">
      <c r="P128" s="2298"/>
      <c r="Q128" s="2298"/>
      <c r="X128" s="2298"/>
      <c r="Y128" s="2298"/>
      <c r="Z128" s="2298"/>
      <c r="AA128" s="2298"/>
      <c r="AB128" s="2298"/>
      <c r="AC128" s="2298"/>
      <c r="AD128" s="2298"/>
      <c r="AE128" s="2298"/>
      <c r="AF128" s="2298"/>
      <c r="AG128" s="2298"/>
      <c r="AH128" s="2298"/>
      <c r="AI128" s="2298"/>
      <c r="AJ128" s="2298"/>
      <c r="AK128" s="2298"/>
      <c r="AL128" s="2298"/>
      <c r="AM128" s="2298"/>
      <c r="AN128" s="2298"/>
      <c r="AO128" s="2298"/>
    </row>
    <row r="129" spans="16:41">
      <c r="P129" s="2298"/>
      <c r="Q129" s="2298"/>
      <c r="X129" s="2298"/>
      <c r="Y129" s="2298"/>
      <c r="Z129" s="2298"/>
      <c r="AA129" s="2298"/>
      <c r="AB129" s="2298"/>
      <c r="AC129" s="2298"/>
      <c r="AD129" s="2298"/>
      <c r="AE129" s="2298"/>
      <c r="AF129" s="2298"/>
      <c r="AG129" s="2298"/>
      <c r="AH129" s="2298"/>
      <c r="AI129" s="2298"/>
      <c r="AJ129" s="2298"/>
      <c r="AK129" s="2298"/>
      <c r="AL129" s="2298"/>
      <c r="AM129" s="2298"/>
      <c r="AN129" s="2298"/>
      <c r="AO129" s="2298"/>
    </row>
    <row r="130" spans="16:41">
      <c r="P130" s="2298"/>
      <c r="Q130" s="2298"/>
      <c r="X130" s="2298"/>
      <c r="Y130" s="2298"/>
      <c r="Z130" s="2298"/>
      <c r="AA130" s="2298"/>
      <c r="AB130" s="2298"/>
      <c r="AC130" s="2298"/>
      <c r="AD130" s="2298"/>
      <c r="AE130" s="2298"/>
      <c r="AF130" s="2298"/>
      <c r="AG130" s="2298"/>
      <c r="AH130" s="2298"/>
      <c r="AI130" s="2298"/>
      <c r="AJ130" s="2298"/>
      <c r="AK130" s="2298"/>
      <c r="AL130" s="2298"/>
      <c r="AM130" s="2298"/>
      <c r="AN130" s="2298"/>
      <c r="AO130" s="2298"/>
    </row>
    <row r="131" spans="16:41">
      <c r="P131" s="2298"/>
      <c r="Q131" s="2298"/>
      <c r="X131" s="2298"/>
      <c r="Y131" s="2298"/>
      <c r="Z131" s="2298"/>
      <c r="AA131" s="2298"/>
      <c r="AB131" s="2298"/>
      <c r="AC131" s="2298"/>
      <c r="AD131" s="2298"/>
      <c r="AE131" s="2298"/>
      <c r="AF131" s="2298"/>
      <c r="AG131" s="2298"/>
      <c r="AH131" s="2298"/>
      <c r="AI131" s="2298"/>
      <c r="AJ131" s="2298"/>
      <c r="AK131" s="2298"/>
      <c r="AL131" s="2298"/>
      <c r="AM131" s="2298"/>
      <c r="AN131" s="2298"/>
      <c r="AO131" s="2298"/>
    </row>
    <row r="132" spans="16:41">
      <c r="P132" s="2298"/>
      <c r="Q132" s="2298"/>
      <c r="X132" s="2298"/>
      <c r="Y132" s="2298"/>
      <c r="Z132" s="2298"/>
      <c r="AA132" s="2298"/>
      <c r="AB132" s="2298"/>
      <c r="AC132" s="2298"/>
      <c r="AD132" s="2298"/>
      <c r="AE132" s="2298"/>
      <c r="AF132" s="2298"/>
      <c r="AG132" s="2298"/>
      <c r="AH132" s="2298"/>
      <c r="AI132" s="2298"/>
      <c r="AJ132" s="2298"/>
      <c r="AK132" s="2298"/>
      <c r="AL132" s="2298"/>
      <c r="AM132" s="2298"/>
      <c r="AN132" s="2298"/>
      <c r="AO132" s="2298"/>
    </row>
    <row r="133" spans="16:41">
      <c r="P133" s="2298"/>
      <c r="Q133" s="2298"/>
      <c r="X133" s="2298"/>
      <c r="Y133" s="2298"/>
      <c r="Z133" s="2298"/>
      <c r="AA133" s="2298"/>
      <c r="AB133" s="2298"/>
      <c r="AC133" s="2298"/>
      <c r="AD133" s="2298"/>
      <c r="AE133" s="2298"/>
      <c r="AF133" s="2298"/>
      <c r="AG133" s="2298"/>
      <c r="AH133" s="2298"/>
      <c r="AI133" s="2298"/>
      <c r="AJ133" s="2298"/>
      <c r="AK133" s="2298"/>
      <c r="AL133" s="2298"/>
      <c r="AM133" s="2298"/>
      <c r="AN133" s="2298"/>
      <c r="AO133" s="2298"/>
    </row>
    <row r="134" spans="16:41">
      <c r="P134" s="2298"/>
      <c r="Q134" s="2298"/>
      <c r="X134" s="2298"/>
      <c r="Y134" s="2298"/>
      <c r="Z134" s="2298"/>
      <c r="AA134" s="2298"/>
      <c r="AB134" s="2298"/>
      <c r="AC134" s="2298"/>
      <c r="AD134" s="2298"/>
      <c r="AE134" s="2298"/>
      <c r="AF134" s="2298"/>
      <c r="AG134" s="2298"/>
      <c r="AH134" s="2298"/>
      <c r="AI134" s="2298"/>
      <c r="AJ134" s="2298"/>
      <c r="AK134" s="2298"/>
      <c r="AL134" s="2298"/>
      <c r="AM134" s="2298"/>
      <c r="AN134" s="2298"/>
      <c r="AO134" s="2298"/>
    </row>
    <row r="135" spans="16:41">
      <c r="P135" s="2298"/>
      <c r="Q135" s="2298"/>
      <c r="X135" s="2298"/>
      <c r="Y135" s="2298"/>
      <c r="Z135" s="2298"/>
      <c r="AA135" s="2298"/>
      <c r="AB135" s="2298"/>
      <c r="AC135" s="2298"/>
      <c r="AD135" s="2298"/>
      <c r="AE135" s="2298"/>
      <c r="AF135" s="2298"/>
      <c r="AG135" s="2298"/>
      <c r="AH135" s="2298"/>
      <c r="AI135" s="2298"/>
      <c r="AJ135" s="2298"/>
      <c r="AK135" s="2298"/>
      <c r="AL135" s="2298"/>
      <c r="AM135" s="2298"/>
      <c r="AN135" s="2298"/>
      <c r="AO135" s="2298"/>
    </row>
    <row r="136" spans="16:41">
      <c r="P136" s="2298"/>
      <c r="Q136" s="2298"/>
      <c r="X136" s="2298"/>
      <c r="Y136" s="2298"/>
      <c r="Z136" s="2298"/>
      <c r="AA136" s="2298"/>
      <c r="AB136" s="2298"/>
      <c r="AC136" s="2298"/>
      <c r="AD136" s="2298"/>
      <c r="AE136" s="2298"/>
      <c r="AF136" s="2298"/>
      <c r="AG136" s="2298"/>
      <c r="AH136" s="2298"/>
      <c r="AI136" s="2298"/>
      <c r="AJ136" s="2298"/>
      <c r="AK136" s="2298"/>
      <c r="AL136" s="2298"/>
      <c r="AM136" s="2298"/>
      <c r="AN136" s="2298"/>
      <c r="AO136" s="2298"/>
    </row>
    <row r="137" spans="16:41">
      <c r="P137" s="2298"/>
      <c r="Q137" s="2298"/>
      <c r="X137" s="2298"/>
      <c r="Y137" s="2298"/>
      <c r="Z137" s="2298"/>
      <c r="AA137" s="2298"/>
      <c r="AB137" s="2298"/>
      <c r="AC137" s="2298"/>
      <c r="AD137" s="2298"/>
      <c r="AE137" s="2298"/>
      <c r="AF137" s="2298"/>
      <c r="AG137" s="2298"/>
      <c r="AH137" s="2298"/>
      <c r="AI137" s="2298"/>
      <c r="AJ137" s="2298"/>
      <c r="AK137" s="2298"/>
      <c r="AL137" s="2298"/>
      <c r="AM137" s="2298"/>
      <c r="AN137" s="2298"/>
      <c r="AO137" s="2298"/>
    </row>
    <row r="138" spans="16:41">
      <c r="P138" s="2298"/>
      <c r="Q138" s="2298"/>
      <c r="X138" s="2298"/>
      <c r="Y138" s="2298"/>
      <c r="Z138" s="2298"/>
      <c r="AA138" s="2298"/>
      <c r="AB138" s="2298"/>
      <c r="AC138" s="2298"/>
      <c r="AD138" s="2298"/>
      <c r="AE138" s="2298"/>
      <c r="AF138" s="2298"/>
      <c r="AG138" s="2298"/>
      <c r="AH138" s="2298"/>
      <c r="AI138" s="2298"/>
      <c r="AJ138" s="2298"/>
      <c r="AK138" s="2298"/>
      <c r="AL138" s="2298"/>
      <c r="AM138" s="2298"/>
      <c r="AN138" s="2298"/>
      <c r="AO138" s="2298"/>
    </row>
    <row r="139" spans="16:41">
      <c r="P139" s="2298"/>
      <c r="Q139" s="2298"/>
      <c r="X139" s="2298"/>
      <c r="Y139" s="2298"/>
      <c r="Z139" s="2298"/>
      <c r="AA139" s="2298"/>
      <c r="AB139" s="2298"/>
      <c r="AC139" s="2298"/>
      <c r="AD139" s="2298"/>
      <c r="AE139" s="2298"/>
      <c r="AF139" s="2298"/>
      <c r="AG139" s="2298"/>
      <c r="AH139" s="2298"/>
      <c r="AI139" s="2298"/>
      <c r="AJ139" s="2298"/>
      <c r="AK139" s="2298"/>
      <c r="AL139" s="2298"/>
      <c r="AM139" s="2298"/>
      <c r="AN139" s="2298"/>
      <c r="AO139" s="2298"/>
    </row>
    <row r="140" spans="16:41">
      <c r="P140" s="2298"/>
      <c r="Q140" s="2298"/>
      <c r="X140" s="2298"/>
      <c r="Y140" s="2298"/>
      <c r="Z140" s="2298"/>
      <c r="AA140" s="2298"/>
      <c r="AB140" s="2298"/>
      <c r="AC140" s="2298"/>
      <c r="AD140" s="2298"/>
      <c r="AE140" s="2298"/>
      <c r="AF140" s="2298"/>
      <c r="AG140" s="2298"/>
      <c r="AH140" s="2298"/>
      <c r="AI140" s="2298"/>
      <c r="AJ140" s="2298"/>
      <c r="AK140" s="2298"/>
      <c r="AL140" s="2298"/>
      <c r="AM140" s="2298"/>
      <c r="AN140" s="2298"/>
      <c r="AO140" s="2298"/>
    </row>
    <row r="141" spans="16:41">
      <c r="P141" s="2298"/>
      <c r="Q141" s="2298"/>
      <c r="X141" s="2298"/>
      <c r="Y141" s="2298"/>
      <c r="Z141" s="2298"/>
      <c r="AA141" s="2298"/>
      <c r="AB141" s="2298"/>
      <c r="AC141" s="2298"/>
      <c r="AD141" s="2298"/>
      <c r="AE141" s="2298"/>
      <c r="AF141" s="2298"/>
      <c r="AG141" s="2298"/>
      <c r="AH141" s="2298"/>
      <c r="AI141" s="2298"/>
      <c r="AJ141" s="2298"/>
      <c r="AK141" s="2298"/>
      <c r="AL141" s="2298"/>
      <c r="AM141" s="2298"/>
      <c r="AN141" s="2298"/>
      <c r="AO141" s="2298"/>
    </row>
    <row r="142" spans="16:41">
      <c r="P142" s="2298"/>
      <c r="Q142" s="2298"/>
      <c r="X142" s="2298"/>
      <c r="Y142" s="2298"/>
      <c r="Z142" s="2298"/>
      <c r="AA142" s="2298"/>
      <c r="AB142" s="2298"/>
      <c r="AC142" s="2298"/>
      <c r="AD142" s="2298"/>
      <c r="AE142" s="2298"/>
      <c r="AF142" s="2298"/>
      <c r="AG142" s="2298"/>
      <c r="AH142" s="2298"/>
      <c r="AI142" s="2298"/>
      <c r="AJ142" s="2298"/>
      <c r="AK142" s="2298"/>
      <c r="AL142" s="2298"/>
      <c r="AM142" s="2298"/>
      <c r="AN142" s="2298"/>
      <c r="AO142" s="2298"/>
    </row>
    <row r="143" spans="16:41">
      <c r="P143" s="2298"/>
      <c r="Q143" s="2298"/>
      <c r="X143" s="2298"/>
      <c r="Y143" s="2298"/>
      <c r="Z143" s="2298"/>
      <c r="AA143" s="2298"/>
      <c r="AB143" s="2298"/>
      <c r="AC143" s="2298"/>
      <c r="AD143" s="2298"/>
      <c r="AE143" s="2298"/>
      <c r="AF143" s="2298"/>
      <c r="AG143" s="2298"/>
      <c r="AH143" s="2298"/>
      <c r="AI143" s="2298"/>
      <c r="AJ143" s="2298"/>
      <c r="AK143" s="2298"/>
      <c r="AL143" s="2298"/>
      <c r="AM143" s="2298"/>
      <c r="AN143" s="2298"/>
      <c r="AO143" s="2298"/>
    </row>
    <row r="144" spans="16:41">
      <c r="P144" s="2298"/>
      <c r="Q144" s="2298"/>
      <c r="X144" s="2298"/>
      <c r="Y144" s="2298"/>
      <c r="Z144" s="2298"/>
      <c r="AA144" s="2298"/>
      <c r="AB144" s="2298"/>
      <c r="AC144" s="2298"/>
      <c r="AD144" s="2298"/>
      <c r="AE144" s="2298"/>
      <c r="AF144" s="2298"/>
      <c r="AG144" s="2298"/>
      <c r="AH144" s="2298"/>
      <c r="AI144" s="2298"/>
      <c r="AJ144" s="2298"/>
      <c r="AK144" s="2298"/>
      <c r="AL144" s="2298"/>
      <c r="AM144" s="2298"/>
      <c r="AN144" s="2298"/>
      <c r="AO144" s="2298"/>
    </row>
    <row r="145" spans="16:41">
      <c r="P145" s="2298"/>
      <c r="Q145" s="2298"/>
      <c r="X145" s="2298"/>
      <c r="Y145" s="2298"/>
      <c r="Z145" s="2298"/>
      <c r="AA145" s="2298"/>
      <c r="AB145" s="2298"/>
      <c r="AC145" s="2298"/>
      <c r="AD145" s="2298"/>
      <c r="AE145" s="2298"/>
      <c r="AF145" s="2298"/>
      <c r="AG145" s="2298"/>
      <c r="AH145" s="2298"/>
      <c r="AI145" s="2298"/>
      <c r="AJ145" s="2298"/>
      <c r="AK145" s="2298"/>
      <c r="AL145" s="2298"/>
      <c r="AM145" s="2298"/>
      <c r="AN145" s="2298"/>
      <c r="AO145" s="2298"/>
    </row>
    <row r="146" spans="16:41">
      <c r="P146" s="2298"/>
      <c r="Q146" s="2298"/>
      <c r="X146" s="2298"/>
      <c r="Y146" s="2298"/>
      <c r="Z146" s="2298"/>
      <c r="AA146" s="2298"/>
      <c r="AB146" s="2298"/>
      <c r="AC146" s="2298"/>
      <c r="AD146" s="2298"/>
      <c r="AE146" s="2298"/>
      <c r="AF146" s="2298"/>
      <c r="AG146" s="2298"/>
      <c r="AH146" s="2298"/>
      <c r="AI146" s="2298"/>
      <c r="AJ146" s="2298"/>
      <c r="AK146" s="2298"/>
      <c r="AL146" s="2298"/>
      <c r="AM146" s="2298"/>
      <c r="AN146" s="2298"/>
      <c r="AO146" s="2298"/>
    </row>
    <row r="147" spans="16:41">
      <c r="P147" s="2298"/>
      <c r="Q147" s="2298"/>
      <c r="X147" s="2298"/>
      <c r="Y147" s="2298"/>
      <c r="Z147" s="2298"/>
      <c r="AA147" s="2298"/>
      <c r="AB147" s="2298"/>
      <c r="AC147" s="2298"/>
      <c r="AD147" s="2298"/>
      <c r="AE147" s="2298"/>
      <c r="AF147" s="2298"/>
      <c r="AG147" s="2298"/>
      <c r="AH147" s="2298"/>
      <c r="AI147" s="2298"/>
      <c r="AJ147" s="2298"/>
      <c r="AK147" s="2298"/>
      <c r="AL147" s="2298"/>
      <c r="AM147" s="2298"/>
      <c r="AN147" s="2298"/>
      <c r="AO147" s="2298"/>
    </row>
    <row r="148" spans="16:41">
      <c r="P148" s="2298"/>
      <c r="Q148" s="2298"/>
      <c r="X148" s="2298"/>
      <c r="Y148" s="2298"/>
      <c r="Z148" s="2298"/>
      <c r="AA148" s="2298"/>
      <c r="AB148" s="2298"/>
      <c r="AC148" s="2298"/>
      <c r="AD148" s="2298"/>
      <c r="AE148" s="2298"/>
      <c r="AF148" s="2298"/>
      <c r="AG148" s="2298"/>
      <c r="AH148" s="2298"/>
      <c r="AI148" s="2298"/>
      <c r="AJ148" s="2298"/>
      <c r="AK148" s="2298"/>
      <c r="AL148" s="2298"/>
      <c r="AM148" s="2298"/>
      <c r="AN148" s="2298"/>
      <c r="AO148" s="2298"/>
    </row>
    <row r="149" spans="16:41">
      <c r="P149" s="2298"/>
      <c r="Q149" s="2298"/>
      <c r="X149" s="2298"/>
      <c r="Y149" s="2298"/>
      <c r="Z149" s="2298"/>
      <c r="AA149" s="2298"/>
      <c r="AB149" s="2298"/>
      <c r="AC149" s="2298"/>
      <c r="AD149" s="2298"/>
      <c r="AE149" s="2298"/>
      <c r="AF149" s="2298"/>
      <c r="AG149" s="2298"/>
      <c r="AH149" s="2298"/>
      <c r="AI149" s="2298"/>
      <c r="AJ149" s="2298"/>
      <c r="AK149" s="2298"/>
      <c r="AL149" s="2298"/>
      <c r="AM149" s="2298"/>
      <c r="AN149" s="2298"/>
      <c r="AO149" s="2298"/>
    </row>
    <row r="150" spans="16:41">
      <c r="P150" s="2298"/>
      <c r="Q150" s="2298"/>
      <c r="X150" s="2298"/>
      <c r="Y150" s="2298"/>
      <c r="Z150" s="2298"/>
      <c r="AA150" s="2298"/>
      <c r="AB150" s="2298"/>
      <c r="AC150" s="2298"/>
      <c r="AD150" s="2298"/>
      <c r="AE150" s="2298"/>
      <c r="AF150" s="2298"/>
      <c r="AG150" s="2298"/>
      <c r="AH150" s="2298"/>
      <c r="AI150" s="2298"/>
      <c r="AJ150" s="2298"/>
      <c r="AK150" s="2298"/>
      <c r="AL150" s="2298"/>
      <c r="AM150" s="2298"/>
      <c r="AN150" s="2298"/>
      <c r="AO150" s="2298"/>
    </row>
    <row r="151" spans="16:41">
      <c r="P151" s="2298"/>
      <c r="Q151" s="2298"/>
      <c r="X151" s="2298"/>
      <c r="Y151" s="2298"/>
      <c r="Z151" s="2298"/>
      <c r="AA151" s="2298"/>
      <c r="AB151" s="2298"/>
      <c r="AC151" s="2298"/>
      <c r="AD151" s="2298"/>
      <c r="AE151" s="2298"/>
      <c r="AF151" s="2298"/>
      <c r="AG151" s="2298"/>
      <c r="AH151" s="2298"/>
      <c r="AI151" s="2298"/>
      <c r="AJ151" s="2298"/>
      <c r="AK151" s="2298"/>
      <c r="AL151" s="2298"/>
      <c r="AM151" s="2298"/>
      <c r="AN151" s="2298"/>
      <c r="AO151" s="2298"/>
    </row>
    <row r="152" spans="16:41">
      <c r="P152" s="2298"/>
      <c r="Q152" s="2298"/>
      <c r="X152" s="2298"/>
      <c r="Y152" s="2298"/>
      <c r="Z152" s="2298"/>
      <c r="AA152" s="2298"/>
      <c r="AB152" s="2298"/>
      <c r="AC152" s="2298"/>
      <c r="AD152" s="2298"/>
      <c r="AE152" s="2298"/>
      <c r="AF152" s="2298"/>
      <c r="AG152" s="2298"/>
      <c r="AH152" s="2298"/>
      <c r="AI152" s="2298"/>
      <c r="AJ152" s="2298"/>
      <c r="AK152" s="2298"/>
      <c r="AL152" s="2298"/>
      <c r="AM152" s="2298"/>
      <c r="AN152" s="2298"/>
      <c r="AO152" s="2298"/>
    </row>
    <row r="153" spans="16:41">
      <c r="P153" s="2298"/>
      <c r="Q153" s="2298"/>
      <c r="X153" s="2298"/>
      <c r="Y153" s="2298"/>
      <c r="Z153" s="2298"/>
      <c r="AA153" s="2298"/>
      <c r="AB153" s="2298"/>
      <c r="AC153" s="2298"/>
      <c r="AD153" s="2298"/>
      <c r="AE153" s="2298"/>
      <c r="AF153" s="2298"/>
      <c r="AG153" s="2298"/>
      <c r="AH153" s="2298"/>
      <c r="AI153" s="2298"/>
      <c r="AJ153" s="2298"/>
      <c r="AK153" s="2298"/>
      <c r="AL153" s="2298"/>
      <c r="AM153" s="2298"/>
      <c r="AN153" s="2298"/>
      <c r="AO153" s="2298"/>
    </row>
    <row r="154" spans="16:41">
      <c r="P154" s="2298"/>
      <c r="Q154" s="2298"/>
      <c r="X154" s="2298"/>
      <c r="Y154" s="2298"/>
      <c r="Z154" s="2298"/>
      <c r="AA154" s="2298"/>
      <c r="AB154" s="2298"/>
      <c r="AC154" s="2298"/>
      <c r="AD154" s="2298"/>
      <c r="AE154" s="2298"/>
      <c r="AF154" s="2298"/>
      <c r="AG154" s="2298"/>
      <c r="AH154" s="2298"/>
      <c r="AI154" s="2298"/>
      <c r="AJ154" s="2298"/>
      <c r="AK154" s="2298"/>
      <c r="AL154" s="2298"/>
      <c r="AM154" s="2298"/>
      <c r="AN154" s="2298"/>
      <c r="AO154" s="2298"/>
    </row>
    <row r="155" spans="16:41">
      <c r="P155" s="2298"/>
      <c r="Q155" s="2298"/>
      <c r="X155" s="2298"/>
      <c r="Y155" s="2298"/>
      <c r="Z155" s="2298"/>
      <c r="AA155" s="2298"/>
      <c r="AB155" s="2298"/>
      <c r="AC155" s="2298"/>
      <c r="AD155" s="2298"/>
      <c r="AE155" s="2298"/>
      <c r="AF155" s="2298"/>
      <c r="AG155" s="2298"/>
      <c r="AH155" s="2298"/>
      <c r="AI155" s="2298"/>
      <c r="AJ155" s="2298"/>
      <c r="AK155" s="2298"/>
      <c r="AL155" s="2298"/>
      <c r="AM155" s="2298"/>
      <c r="AN155" s="2298"/>
      <c r="AO155" s="2298"/>
    </row>
    <row r="156" spans="16:41">
      <c r="P156" s="2298"/>
      <c r="Q156" s="2298"/>
      <c r="X156" s="2298"/>
      <c r="Y156" s="2298"/>
      <c r="Z156" s="2298"/>
      <c r="AA156" s="2298"/>
      <c r="AB156" s="2298"/>
      <c r="AC156" s="2298"/>
      <c r="AD156" s="2298"/>
      <c r="AE156" s="2298"/>
      <c r="AF156" s="2298"/>
      <c r="AG156" s="2298"/>
      <c r="AH156" s="2298"/>
      <c r="AI156" s="2298"/>
      <c r="AJ156" s="2298"/>
      <c r="AK156" s="2298"/>
      <c r="AL156" s="2298"/>
      <c r="AM156" s="2298"/>
      <c r="AN156" s="2298"/>
      <c r="AO156" s="2298"/>
    </row>
    <row r="157" spans="16:41">
      <c r="P157" s="2298"/>
      <c r="Q157" s="2298"/>
      <c r="X157" s="2298"/>
      <c r="Y157" s="2298"/>
      <c r="Z157" s="2298"/>
      <c r="AA157" s="2298"/>
      <c r="AB157" s="2298"/>
      <c r="AC157" s="2298"/>
      <c r="AD157" s="2298"/>
      <c r="AE157" s="2298"/>
      <c r="AF157" s="2298"/>
      <c r="AG157" s="2298"/>
      <c r="AH157" s="2298"/>
      <c r="AI157" s="2298"/>
      <c r="AJ157" s="2298"/>
      <c r="AK157" s="2298"/>
      <c r="AL157" s="2298"/>
      <c r="AM157" s="2298"/>
      <c r="AN157" s="2298"/>
      <c r="AO157" s="2298"/>
    </row>
    <row r="158" spans="16:41">
      <c r="P158" s="2298"/>
      <c r="Q158" s="2298"/>
      <c r="X158" s="2298"/>
      <c r="Y158" s="2298"/>
      <c r="Z158" s="2298"/>
      <c r="AA158" s="2298"/>
      <c r="AB158" s="2298"/>
      <c r="AC158" s="2298"/>
      <c r="AD158" s="2298"/>
      <c r="AE158" s="2298"/>
      <c r="AF158" s="2298"/>
      <c r="AG158" s="2298"/>
      <c r="AH158" s="2298"/>
      <c r="AI158" s="2298"/>
      <c r="AJ158" s="2298"/>
      <c r="AK158" s="2298"/>
      <c r="AL158" s="2298"/>
      <c r="AM158" s="2298"/>
      <c r="AN158" s="2298"/>
      <c r="AO158" s="2298"/>
    </row>
    <row r="159" spans="16:41">
      <c r="P159" s="2298"/>
      <c r="Q159" s="2298"/>
      <c r="X159" s="2298"/>
      <c r="Y159" s="2298"/>
      <c r="Z159" s="2298"/>
      <c r="AA159" s="2298"/>
      <c r="AB159" s="2298"/>
      <c r="AC159" s="2298"/>
      <c r="AD159" s="2298"/>
      <c r="AE159" s="2298"/>
      <c r="AF159" s="2298"/>
      <c r="AG159" s="2298"/>
      <c r="AH159" s="2298"/>
      <c r="AI159" s="2298"/>
      <c r="AJ159" s="2298"/>
      <c r="AK159" s="2298"/>
      <c r="AL159" s="2298"/>
      <c r="AM159" s="2298"/>
      <c r="AN159" s="2298"/>
      <c r="AO159" s="2298"/>
    </row>
    <row r="160" spans="16:41">
      <c r="P160" s="2298"/>
      <c r="Q160" s="2298"/>
      <c r="X160" s="2298"/>
      <c r="Y160" s="2298"/>
      <c r="Z160" s="2298"/>
      <c r="AA160" s="2298"/>
      <c r="AB160" s="2298"/>
      <c r="AC160" s="2298"/>
      <c r="AD160" s="2298"/>
      <c r="AE160" s="2298"/>
      <c r="AF160" s="2298"/>
      <c r="AG160" s="2298"/>
      <c r="AH160" s="2298"/>
      <c r="AI160" s="2298"/>
      <c r="AJ160" s="2298"/>
      <c r="AK160" s="2298"/>
      <c r="AL160" s="2298"/>
      <c r="AM160" s="2298"/>
      <c r="AN160" s="2298"/>
      <c r="AO160" s="2298"/>
    </row>
    <row r="161" spans="16:41">
      <c r="P161" s="2298"/>
      <c r="Q161" s="2298"/>
      <c r="X161" s="2298"/>
      <c r="Y161" s="2298"/>
      <c r="Z161" s="2298"/>
      <c r="AA161" s="2298"/>
      <c r="AB161" s="2298"/>
      <c r="AC161" s="2298"/>
      <c r="AD161" s="2298"/>
      <c r="AE161" s="2298"/>
      <c r="AF161" s="2298"/>
      <c r="AG161" s="2298"/>
      <c r="AH161" s="2298"/>
      <c r="AI161" s="2298"/>
      <c r="AJ161" s="2298"/>
      <c r="AK161" s="2298"/>
      <c r="AL161" s="2298"/>
      <c r="AM161" s="2298"/>
      <c r="AN161" s="2298"/>
      <c r="AO161" s="2298"/>
    </row>
    <row r="162" spans="16:41">
      <c r="P162" s="2298"/>
      <c r="Q162" s="2298"/>
      <c r="X162" s="2298"/>
      <c r="Y162" s="2298"/>
      <c r="Z162" s="2298"/>
      <c r="AA162" s="2298"/>
      <c r="AB162" s="2298"/>
      <c r="AC162" s="2298"/>
      <c r="AD162" s="2298"/>
      <c r="AE162" s="2298"/>
      <c r="AF162" s="2298"/>
      <c r="AG162" s="2298"/>
      <c r="AH162" s="2298"/>
      <c r="AI162" s="2298"/>
      <c r="AJ162" s="2298"/>
      <c r="AK162" s="2298"/>
      <c r="AL162" s="2298"/>
      <c r="AM162" s="2298"/>
      <c r="AN162" s="2298"/>
      <c r="AO162" s="2298"/>
    </row>
    <row r="163" spans="16:41">
      <c r="P163" s="2298"/>
      <c r="Q163" s="2298"/>
      <c r="X163" s="2298"/>
      <c r="Y163" s="2298"/>
      <c r="Z163" s="2298"/>
      <c r="AA163" s="2298"/>
      <c r="AB163" s="2298"/>
      <c r="AC163" s="2298"/>
      <c r="AD163" s="2298"/>
      <c r="AE163" s="2298"/>
      <c r="AF163" s="2298"/>
      <c r="AG163" s="2298"/>
      <c r="AH163" s="2298"/>
      <c r="AI163" s="2298"/>
      <c r="AJ163" s="2298"/>
      <c r="AK163" s="2298"/>
      <c r="AL163" s="2298"/>
      <c r="AM163" s="2298"/>
      <c r="AN163" s="2298"/>
      <c r="AO163" s="2298"/>
    </row>
    <row r="164" spans="16:41">
      <c r="P164" s="2298"/>
      <c r="Q164" s="2298"/>
      <c r="X164" s="2298"/>
      <c r="Y164" s="2298"/>
      <c r="Z164" s="2298"/>
      <c r="AA164" s="2298"/>
      <c r="AB164" s="2298"/>
      <c r="AC164" s="2298"/>
      <c r="AD164" s="2298"/>
      <c r="AE164" s="2298"/>
      <c r="AF164" s="2298"/>
      <c r="AG164" s="2298"/>
      <c r="AH164" s="2298"/>
      <c r="AI164" s="2298"/>
      <c r="AJ164" s="2298"/>
      <c r="AK164" s="2298"/>
      <c r="AL164" s="2298"/>
      <c r="AM164" s="2298"/>
      <c r="AN164" s="2298"/>
      <c r="AO164" s="2298"/>
    </row>
    <row r="165" spans="16:41">
      <c r="P165" s="2298"/>
      <c r="Q165" s="2298"/>
      <c r="X165" s="2298"/>
      <c r="Y165" s="2298"/>
      <c r="Z165" s="2298"/>
      <c r="AA165" s="2298"/>
      <c r="AB165" s="2298"/>
      <c r="AC165" s="2298"/>
      <c r="AD165" s="2298"/>
      <c r="AE165" s="2298"/>
      <c r="AF165" s="2298"/>
      <c r="AG165" s="2298"/>
      <c r="AH165" s="2298"/>
      <c r="AI165" s="2298"/>
      <c r="AJ165" s="2298"/>
      <c r="AK165" s="2298"/>
      <c r="AL165" s="2298"/>
      <c r="AM165" s="2298"/>
      <c r="AN165" s="2298"/>
      <c r="AO165" s="2298"/>
    </row>
    <row r="166" spans="16:41">
      <c r="P166" s="2298"/>
      <c r="Q166" s="2298"/>
      <c r="X166" s="2298"/>
      <c r="Y166" s="2298"/>
      <c r="Z166" s="2298"/>
      <c r="AA166" s="2298"/>
      <c r="AB166" s="2298"/>
      <c r="AC166" s="2298"/>
      <c r="AD166" s="2298"/>
      <c r="AE166" s="2298"/>
      <c r="AF166" s="2298"/>
      <c r="AG166" s="2298"/>
      <c r="AH166" s="2298"/>
      <c r="AI166" s="2298"/>
      <c r="AJ166" s="2298"/>
      <c r="AK166" s="2298"/>
      <c r="AL166" s="2298"/>
      <c r="AM166" s="2298"/>
      <c r="AN166" s="2298"/>
      <c r="AO166" s="2298"/>
    </row>
    <row r="167" spans="16:41">
      <c r="P167" s="2298"/>
      <c r="Q167" s="2298"/>
      <c r="X167" s="2298"/>
      <c r="Y167" s="2298"/>
      <c r="Z167" s="2298"/>
      <c r="AA167" s="2298"/>
      <c r="AB167" s="2298"/>
      <c r="AC167" s="2298"/>
      <c r="AD167" s="2298"/>
      <c r="AE167" s="2298"/>
      <c r="AF167" s="2298"/>
      <c r="AG167" s="2298"/>
      <c r="AH167" s="2298"/>
      <c r="AI167" s="2298"/>
      <c r="AJ167" s="2298"/>
      <c r="AK167" s="2298"/>
      <c r="AL167" s="2298"/>
      <c r="AM167" s="2298"/>
      <c r="AN167" s="2298"/>
      <c r="AO167" s="2298"/>
    </row>
    <row r="168" spans="16:41">
      <c r="P168" s="2298"/>
      <c r="Q168" s="2298"/>
      <c r="X168" s="2298"/>
      <c r="Y168" s="2298"/>
      <c r="Z168" s="2298"/>
      <c r="AA168" s="2298"/>
      <c r="AB168" s="2298"/>
      <c r="AC168" s="2298"/>
      <c r="AD168" s="2298"/>
      <c r="AE168" s="2298"/>
      <c r="AF168" s="2298"/>
      <c r="AG168" s="2298"/>
      <c r="AH168" s="2298"/>
      <c r="AI168" s="2298"/>
      <c r="AJ168" s="2298"/>
      <c r="AK168" s="2298"/>
      <c r="AL168" s="2298"/>
      <c r="AM168" s="2298"/>
      <c r="AN168" s="2298"/>
      <c r="AO168" s="2298"/>
    </row>
    <row r="169" spans="16:41">
      <c r="P169" s="2298"/>
      <c r="Q169" s="2298"/>
      <c r="X169" s="2298"/>
      <c r="Y169" s="2298"/>
      <c r="Z169" s="2298"/>
      <c r="AA169" s="2298"/>
      <c r="AB169" s="2298"/>
      <c r="AC169" s="2298"/>
      <c r="AD169" s="2298"/>
      <c r="AE169" s="2298"/>
      <c r="AF169" s="2298"/>
      <c r="AG169" s="2298"/>
      <c r="AH169" s="2298"/>
      <c r="AI169" s="2298"/>
      <c r="AJ169" s="2298"/>
      <c r="AK169" s="2298"/>
      <c r="AL169" s="2298"/>
      <c r="AM169" s="2298"/>
      <c r="AN169" s="2298"/>
      <c r="AO169" s="2298"/>
    </row>
    <row r="170" spans="16:41">
      <c r="P170" s="2298"/>
      <c r="Q170" s="2298"/>
      <c r="X170" s="2298"/>
      <c r="Y170" s="2298"/>
      <c r="Z170" s="2298"/>
      <c r="AA170" s="2298"/>
      <c r="AB170" s="2298"/>
      <c r="AC170" s="2298"/>
      <c r="AD170" s="2298"/>
      <c r="AE170" s="2298"/>
      <c r="AF170" s="2298"/>
      <c r="AG170" s="2298"/>
      <c r="AH170" s="2298"/>
      <c r="AI170" s="2298"/>
      <c r="AJ170" s="2298"/>
      <c r="AK170" s="2298"/>
      <c r="AL170" s="2298"/>
      <c r="AM170" s="2298"/>
      <c r="AN170" s="2298"/>
      <c r="AO170" s="2298"/>
    </row>
    <row r="171" spans="16:41">
      <c r="P171" s="2298"/>
      <c r="Q171" s="2298"/>
      <c r="X171" s="2298"/>
      <c r="Y171" s="2298"/>
      <c r="Z171" s="2298"/>
      <c r="AA171" s="2298"/>
      <c r="AB171" s="2298"/>
      <c r="AC171" s="2298"/>
      <c r="AD171" s="2298"/>
      <c r="AE171" s="2298"/>
      <c r="AF171" s="2298"/>
      <c r="AG171" s="2298"/>
      <c r="AH171" s="2298"/>
      <c r="AI171" s="2298"/>
      <c r="AJ171" s="2298"/>
      <c r="AK171" s="2298"/>
      <c r="AL171" s="2298"/>
      <c r="AM171" s="2298"/>
      <c r="AN171" s="2298"/>
      <c r="AO171" s="2298"/>
    </row>
    <row r="172" spans="16:41">
      <c r="P172" s="2298"/>
      <c r="Q172" s="2298"/>
      <c r="X172" s="2298"/>
      <c r="Y172" s="2298"/>
      <c r="Z172" s="2298"/>
      <c r="AA172" s="2298"/>
      <c r="AB172" s="2298"/>
      <c r="AC172" s="2298"/>
      <c r="AD172" s="2298"/>
      <c r="AE172" s="2298"/>
      <c r="AF172" s="2298"/>
      <c r="AG172" s="2298"/>
      <c r="AH172" s="2298"/>
      <c r="AI172" s="2298"/>
      <c r="AJ172" s="2298"/>
      <c r="AK172" s="2298"/>
      <c r="AL172" s="2298"/>
      <c r="AM172" s="2298"/>
      <c r="AN172" s="2298"/>
      <c r="AO172" s="2298"/>
    </row>
    <row r="173" spans="16:41">
      <c r="P173" s="2298"/>
      <c r="Q173" s="2298"/>
      <c r="X173" s="2298"/>
      <c r="Y173" s="2298"/>
      <c r="Z173" s="2298"/>
      <c r="AA173" s="2298"/>
      <c r="AB173" s="2298"/>
      <c r="AC173" s="2298"/>
      <c r="AD173" s="2298"/>
      <c r="AE173" s="2298"/>
      <c r="AF173" s="2298"/>
      <c r="AG173" s="2298"/>
      <c r="AH173" s="2298"/>
      <c r="AI173" s="2298"/>
      <c r="AJ173" s="2298"/>
      <c r="AK173" s="2298"/>
      <c r="AL173" s="2298"/>
      <c r="AM173" s="2298"/>
      <c r="AN173" s="2298"/>
      <c r="AO173" s="2298"/>
    </row>
    <row r="174" spans="16:41">
      <c r="P174" s="2298"/>
      <c r="Q174" s="2298"/>
      <c r="X174" s="2298"/>
      <c r="Y174" s="2298"/>
      <c r="Z174" s="2298"/>
      <c r="AA174" s="2298"/>
      <c r="AB174" s="2298"/>
      <c r="AC174" s="2298"/>
      <c r="AD174" s="2298"/>
      <c r="AE174" s="2298"/>
      <c r="AF174" s="2298"/>
      <c r="AG174" s="2298"/>
      <c r="AH174" s="2298"/>
      <c r="AI174" s="2298"/>
      <c r="AJ174" s="2298"/>
      <c r="AK174" s="2298"/>
      <c r="AL174" s="2298"/>
      <c r="AM174" s="2298"/>
      <c r="AN174" s="2298"/>
      <c r="AO174" s="2298"/>
    </row>
    <row r="175" spans="16:41">
      <c r="P175" s="2298"/>
      <c r="Q175" s="2298"/>
      <c r="X175" s="2298"/>
      <c r="Y175" s="2298"/>
      <c r="Z175" s="2298"/>
      <c r="AA175" s="2298"/>
      <c r="AB175" s="2298"/>
      <c r="AC175" s="2298"/>
      <c r="AD175" s="2298"/>
      <c r="AE175" s="2298"/>
      <c r="AF175" s="2298"/>
      <c r="AG175" s="2298"/>
      <c r="AH175" s="2298"/>
      <c r="AI175" s="2298"/>
      <c r="AJ175" s="2298"/>
      <c r="AK175" s="2298"/>
      <c r="AL175" s="2298"/>
      <c r="AM175" s="2298"/>
      <c r="AN175" s="2298"/>
      <c r="AO175" s="2298"/>
    </row>
    <row r="176" spans="16:41">
      <c r="P176" s="2298"/>
      <c r="Q176" s="2298"/>
      <c r="X176" s="2298"/>
      <c r="Y176" s="2298"/>
      <c r="Z176" s="2298"/>
      <c r="AA176" s="2298"/>
      <c r="AB176" s="2298"/>
      <c r="AC176" s="2298"/>
      <c r="AD176" s="2298"/>
      <c r="AE176" s="2298"/>
      <c r="AF176" s="2298"/>
      <c r="AG176" s="2298"/>
      <c r="AH176" s="2298"/>
      <c r="AI176" s="2298"/>
      <c r="AJ176" s="2298"/>
      <c r="AK176" s="2298"/>
      <c r="AL176" s="2298"/>
      <c r="AM176" s="2298"/>
      <c r="AN176" s="2298"/>
      <c r="AO176" s="2298"/>
    </row>
    <row r="177" spans="16:41">
      <c r="P177" s="2298"/>
      <c r="Q177" s="2298"/>
      <c r="X177" s="2298"/>
      <c r="Y177" s="2298"/>
      <c r="Z177" s="2298"/>
      <c r="AA177" s="2298"/>
      <c r="AB177" s="2298"/>
      <c r="AC177" s="2298"/>
      <c r="AD177" s="2298"/>
      <c r="AE177" s="2298"/>
      <c r="AF177" s="2298"/>
      <c r="AG177" s="2298"/>
      <c r="AH177" s="2298"/>
      <c r="AI177" s="2298"/>
      <c r="AJ177" s="2298"/>
      <c r="AK177" s="2298"/>
      <c r="AL177" s="2298"/>
      <c r="AM177" s="2298"/>
      <c r="AN177" s="2298"/>
      <c r="AO177" s="2298"/>
    </row>
    <row r="178" spans="16:41">
      <c r="P178" s="2298"/>
      <c r="Q178" s="2298"/>
      <c r="X178" s="2298"/>
      <c r="Y178" s="2298"/>
      <c r="Z178" s="2298"/>
      <c r="AA178" s="2298"/>
      <c r="AB178" s="2298"/>
      <c r="AC178" s="2298"/>
      <c r="AD178" s="2298"/>
      <c r="AE178" s="2298"/>
      <c r="AF178" s="2298"/>
      <c r="AG178" s="2298"/>
      <c r="AH178" s="2298"/>
      <c r="AI178" s="2298"/>
      <c r="AJ178" s="2298"/>
      <c r="AK178" s="2298"/>
      <c r="AL178" s="2298"/>
      <c r="AM178" s="2298"/>
      <c r="AN178" s="2298"/>
      <c r="AO178" s="2298"/>
    </row>
    <row r="179" spans="16:41">
      <c r="P179" s="2298"/>
      <c r="Q179" s="2298"/>
      <c r="X179" s="2298"/>
      <c r="Y179" s="2298"/>
      <c r="Z179" s="2298"/>
      <c r="AA179" s="2298"/>
      <c r="AB179" s="2298"/>
      <c r="AC179" s="2298"/>
      <c r="AD179" s="2298"/>
      <c r="AE179" s="2298"/>
      <c r="AF179" s="2298"/>
      <c r="AG179" s="2298"/>
      <c r="AH179" s="2298"/>
      <c r="AI179" s="2298"/>
      <c r="AJ179" s="2298"/>
      <c r="AK179" s="2298"/>
      <c r="AL179" s="2298"/>
      <c r="AM179" s="2298"/>
      <c r="AN179" s="2298"/>
      <c r="AO179" s="2298"/>
    </row>
    <row r="180" spans="16:41">
      <c r="P180" s="2298"/>
      <c r="Q180" s="2298"/>
      <c r="X180" s="2298"/>
      <c r="Y180" s="2298"/>
      <c r="Z180" s="2298"/>
      <c r="AA180" s="2298"/>
      <c r="AB180" s="2298"/>
      <c r="AC180" s="2298"/>
      <c r="AD180" s="2298"/>
      <c r="AE180" s="2298"/>
      <c r="AF180" s="2298"/>
      <c r="AG180" s="2298"/>
      <c r="AH180" s="2298"/>
      <c r="AI180" s="2298"/>
      <c r="AJ180" s="2298"/>
      <c r="AK180" s="2298"/>
      <c r="AL180" s="2298"/>
      <c r="AM180" s="2298"/>
      <c r="AN180" s="2298"/>
      <c r="AO180" s="2298"/>
    </row>
    <row r="181" spans="16:41">
      <c r="P181" s="2298"/>
      <c r="Q181" s="2298"/>
      <c r="X181" s="2298"/>
      <c r="Y181" s="2298"/>
      <c r="Z181" s="2298"/>
      <c r="AA181" s="2298"/>
      <c r="AB181" s="2298"/>
      <c r="AC181" s="2298"/>
      <c r="AD181" s="2298"/>
      <c r="AE181" s="2298"/>
      <c r="AF181" s="2298"/>
      <c r="AG181" s="2298"/>
      <c r="AH181" s="2298"/>
      <c r="AI181" s="2298"/>
      <c r="AJ181" s="2298"/>
      <c r="AK181" s="2298"/>
      <c r="AL181" s="2298"/>
      <c r="AM181" s="2298"/>
      <c r="AN181" s="2298"/>
      <c r="AO181" s="2298"/>
    </row>
    <row r="182" spans="16:41">
      <c r="P182" s="2298"/>
      <c r="Q182" s="2298"/>
      <c r="X182" s="2298"/>
      <c r="Y182" s="2298"/>
      <c r="Z182" s="2298"/>
      <c r="AA182" s="2298"/>
      <c r="AB182" s="2298"/>
      <c r="AC182" s="2298"/>
      <c r="AD182" s="2298"/>
      <c r="AE182" s="2298"/>
      <c r="AF182" s="2298"/>
      <c r="AG182" s="2298"/>
      <c r="AH182" s="2298"/>
      <c r="AI182" s="2298"/>
      <c r="AJ182" s="2298"/>
      <c r="AK182" s="2298"/>
      <c r="AL182" s="2298"/>
      <c r="AM182" s="2298"/>
      <c r="AN182" s="2298"/>
      <c r="AO182" s="2298"/>
    </row>
    <row r="183" spans="16:41">
      <c r="P183" s="2298"/>
      <c r="Q183" s="2298"/>
      <c r="X183" s="2298"/>
      <c r="Y183" s="2298"/>
      <c r="Z183" s="2298"/>
      <c r="AA183" s="2298"/>
      <c r="AB183" s="2298"/>
      <c r="AC183" s="2298"/>
      <c r="AD183" s="2298"/>
      <c r="AE183" s="2298"/>
      <c r="AF183" s="2298"/>
      <c r="AG183" s="2298"/>
      <c r="AH183" s="2298"/>
      <c r="AI183" s="2298"/>
      <c r="AJ183" s="2298"/>
      <c r="AK183" s="2298"/>
      <c r="AL183" s="2298"/>
      <c r="AM183" s="2298"/>
      <c r="AN183" s="2298"/>
      <c r="AO183" s="2298"/>
    </row>
    <row r="184" spans="16:41">
      <c r="P184" s="2298"/>
      <c r="Q184" s="2298"/>
      <c r="X184" s="2298"/>
      <c r="Y184" s="2298"/>
      <c r="Z184" s="2298"/>
      <c r="AA184" s="2298"/>
      <c r="AB184" s="2298"/>
      <c r="AC184" s="2298"/>
      <c r="AD184" s="2298"/>
      <c r="AE184" s="2298"/>
      <c r="AF184" s="2298"/>
      <c r="AG184" s="2298"/>
      <c r="AH184" s="2298"/>
      <c r="AI184" s="2298"/>
      <c r="AJ184" s="2298"/>
      <c r="AK184" s="2298"/>
      <c r="AL184" s="2298"/>
      <c r="AM184" s="2298"/>
      <c r="AN184" s="2298"/>
      <c r="AO184" s="2298"/>
    </row>
    <row r="185" spans="16:41">
      <c r="P185" s="2298"/>
      <c r="Q185" s="2298"/>
      <c r="X185" s="2298"/>
      <c r="Y185" s="2298"/>
      <c r="Z185" s="2298"/>
      <c r="AA185" s="2298"/>
      <c r="AB185" s="2298"/>
      <c r="AC185" s="2298"/>
      <c r="AD185" s="2298"/>
      <c r="AE185" s="2298"/>
      <c r="AF185" s="2298"/>
      <c r="AG185" s="2298"/>
      <c r="AH185" s="2298"/>
      <c r="AI185" s="2298"/>
      <c r="AJ185" s="2298"/>
      <c r="AK185" s="2298"/>
      <c r="AL185" s="2298"/>
      <c r="AM185" s="2298"/>
      <c r="AN185" s="2298"/>
      <c r="AO185" s="2298"/>
    </row>
    <row r="186" spans="16:41">
      <c r="P186" s="2298"/>
      <c r="Q186" s="2298"/>
      <c r="X186" s="2298"/>
      <c r="Y186" s="2298"/>
      <c r="Z186" s="2298"/>
      <c r="AA186" s="2298"/>
      <c r="AB186" s="2298"/>
      <c r="AC186" s="2298"/>
      <c r="AD186" s="2298"/>
      <c r="AE186" s="2298"/>
      <c r="AF186" s="2298"/>
      <c r="AG186" s="2298"/>
      <c r="AH186" s="2298"/>
      <c r="AI186" s="2298"/>
      <c r="AJ186" s="2298"/>
      <c r="AK186" s="2298"/>
      <c r="AL186" s="2298"/>
      <c r="AM186" s="2298"/>
      <c r="AN186" s="2298"/>
      <c r="AO186" s="2298"/>
    </row>
    <row r="187" spans="16:41">
      <c r="P187" s="2298"/>
      <c r="Q187" s="2298"/>
      <c r="X187" s="2298"/>
      <c r="Y187" s="2298"/>
      <c r="Z187" s="2298"/>
      <c r="AA187" s="2298"/>
      <c r="AB187" s="2298"/>
      <c r="AC187" s="2298"/>
      <c r="AD187" s="2298"/>
      <c r="AE187" s="2298"/>
      <c r="AF187" s="2298"/>
      <c r="AG187" s="2298"/>
      <c r="AH187" s="2298"/>
      <c r="AI187" s="2298"/>
      <c r="AJ187" s="2298"/>
      <c r="AK187" s="2298"/>
      <c r="AL187" s="2298"/>
      <c r="AM187" s="2298"/>
      <c r="AN187" s="2298"/>
      <c r="AO187" s="2298"/>
    </row>
    <row r="188" spans="16:41">
      <c r="P188" s="2298"/>
      <c r="Q188" s="2298"/>
      <c r="X188" s="2298"/>
      <c r="Y188" s="2298"/>
      <c r="Z188" s="2298"/>
      <c r="AA188" s="2298"/>
      <c r="AB188" s="2298"/>
      <c r="AC188" s="2298"/>
      <c r="AD188" s="2298"/>
      <c r="AE188" s="2298"/>
      <c r="AF188" s="2298"/>
      <c r="AG188" s="2298"/>
      <c r="AH188" s="2298"/>
      <c r="AI188" s="2298"/>
      <c r="AJ188" s="2298"/>
      <c r="AK188" s="2298"/>
      <c r="AL188" s="2298"/>
      <c r="AM188" s="2298"/>
      <c r="AN188" s="2298"/>
      <c r="AO188" s="2298"/>
    </row>
    <row r="189" spans="16:41">
      <c r="P189" s="2298"/>
      <c r="Q189" s="2298"/>
      <c r="X189" s="2298"/>
      <c r="Y189" s="2298"/>
      <c r="Z189" s="2298"/>
      <c r="AA189" s="2298"/>
      <c r="AB189" s="2298"/>
      <c r="AC189" s="2298"/>
      <c r="AD189" s="2298"/>
      <c r="AE189" s="2298"/>
      <c r="AF189" s="2298"/>
      <c r="AG189" s="2298"/>
      <c r="AH189" s="2298"/>
      <c r="AI189" s="2298"/>
      <c r="AJ189" s="2298"/>
      <c r="AK189" s="2298"/>
      <c r="AL189" s="2298"/>
      <c r="AM189" s="2298"/>
      <c r="AN189" s="2298"/>
      <c r="AO189" s="2298"/>
    </row>
    <row r="190" spans="16:41">
      <c r="P190" s="2298"/>
      <c r="Q190" s="2298"/>
      <c r="X190" s="2298"/>
      <c r="Y190" s="2298"/>
      <c r="Z190" s="2298"/>
      <c r="AA190" s="2298"/>
      <c r="AB190" s="2298"/>
      <c r="AC190" s="2298"/>
      <c r="AD190" s="2298"/>
      <c r="AE190" s="2298"/>
      <c r="AF190" s="2298"/>
      <c r="AG190" s="2298"/>
      <c r="AH190" s="2298"/>
      <c r="AI190" s="2298"/>
      <c r="AJ190" s="2298"/>
      <c r="AK190" s="2298"/>
      <c r="AL190" s="2298"/>
      <c r="AM190" s="2298"/>
      <c r="AN190" s="2298"/>
      <c r="AO190" s="2298"/>
    </row>
    <row r="191" spans="16:41">
      <c r="P191" s="2298"/>
      <c r="Q191" s="2298"/>
      <c r="X191" s="2298"/>
      <c r="Y191" s="2298"/>
      <c r="Z191" s="2298"/>
      <c r="AA191" s="2298"/>
      <c r="AB191" s="2298"/>
      <c r="AC191" s="2298"/>
      <c r="AD191" s="2298"/>
      <c r="AE191" s="2298"/>
      <c r="AF191" s="2298"/>
      <c r="AG191" s="2298"/>
      <c r="AH191" s="2298"/>
      <c r="AI191" s="2298"/>
      <c r="AJ191" s="2298"/>
      <c r="AK191" s="2298"/>
      <c r="AL191" s="2298"/>
      <c r="AM191" s="2298"/>
      <c r="AN191" s="2298"/>
      <c r="AO191" s="2298"/>
    </row>
    <row r="192" spans="16:41">
      <c r="P192" s="2298"/>
      <c r="Q192" s="2298"/>
      <c r="X192" s="2298"/>
      <c r="Y192" s="2298"/>
      <c r="Z192" s="2298"/>
      <c r="AA192" s="2298"/>
      <c r="AB192" s="2298"/>
      <c r="AC192" s="2298"/>
      <c r="AD192" s="2298"/>
      <c r="AE192" s="2298"/>
      <c r="AF192" s="2298"/>
      <c r="AG192" s="2298"/>
      <c r="AH192" s="2298"/>
      <c r="AI192" s="2298"/>
      <c r="AJ192" s="2298"/>
      <c r="AK192" s="2298"/>
      <c r="AL192" s="2298"/>
      <c r="AM192" s="2298"/>
      <c r="AN192" s="2298"/>
      <c r="AO192" s="2298"/>
    </row>
    <row r="193" spans="16:41">
      <c r="P193" s="2298"/>
      <c r="Q193" s="2298"/>
      <c r="X193" s="2298"/>
      <c r="Y193" s="2298"/>
      <c r="Z193" s="2298"/>
      <c r="AA193" s="2298"/>
      <c r="AB193" s="2298"/>
      <c r="AC193" s="2298"/>
      <c r="AD193" s="2298"/>
      <c r="AE193" s="2298"/>
      <c r="AF193" s="2298"/>
      <c r="AG193" s="2298"/>
      <c r="AH193" s="2298"/>
      <c r="AI193" s="2298"/>
      <c r="AJ193" s="2298"/>
      <c r="AK193" s="2298"/>
      <c r="AL193" s="2298"/>
      <c r="AM193" s="2298"/>
      <c r="AN193" s="2298"/>
      <c r="AO193" s="2298"/>
    </row>
    <row r="194" spans="16:41">
      <c r="P194" s="2298"/>
      <c r="Q194" s="2298"/>
      <c r="X194" s="2298"/>
      <c r="Y194" s="2298"/>
      <c r="Z194" s="2298"/>
      <c r="AA194" s="2298"/>
      <c r="AB194" s="2298"/>
      <c r="AC194" s="2298"/>
      <c r="AD194" s="2298"/>
      <c r="AE194" s="2298"/>
      <c r="AF194" s="2298"/>
      <c r="AG194" s="2298"/>
      <c r="AH194" s="2298"/>
      <c r="AI194" s="2298"/>
      <c r="AJ194" s="2298"/>
      <c r="AK194" s="2298"/>
      <c r="AL194" s="2298"/>
      <c r="AM194" s="2298"/>
      <c r="AN194" s="2298"/>
      <c r="AO194" s="2298"/>
    </row>
    <row r="195" spans="16:41">
      <c r="P195" s="2298"/>
      <c r="Q195" s="2298"/>
      <c r="X195" s="2298"/>
      <c r="Y195" s="2298"/>
      <c r="Z195" s="2298"/>
      <c r="AA195" s="2298"/>
      <c r="AB195" s="2298"/>
      <c r="AC195" s="2298"/>
      <c r="AD195" s="2298"/>
      <c r="AE195" s="2298"/>
      <c r="AF195" s="2298"/>
      <c r="AG195" s="2298"/>
      <c r="AH195" s="2298"/>
      <c r="AI195" s="2298"/>
      <c r="AJ195" s="2298"/>
      <c r="AK195" s="2298"/>
      <c r="AL195" s="2298"/>
      <c r="AM195" s="2298"/>
      <c r="AN195" s="2298"/>
      <c r="AO195" s="2298"/>
    </row>
    <row r="196" spans="16:41">
      <c r="P196" s="2298"/>
      <c r="Q196" s="2298"/>
      <c r="X196" s="2298"/>
      <c r="Y196" s="2298"/>
      <c r="Z196" s="2298"/>
      <c r="AA196" s="2298"/>
      <c r="AB196" s="2298"/>
      <c r="AC196" s="2298"/>
      <c r="AD196" s="2298"/>
      <c r="AE196" s="2298"/>
      <c r="AF196" s="2298"/>
      <c r="AG196" s="2298"/>
      <c r="AH196" s="2298"/>
      <c r="AI196" s="2298"/>
      <c r="AJ196" s="2298"/>
      <c r="AK196" s="2298"/>
      <c r="AL196" s="2298"/>
      <c r="AM196" s="2298"/>
      <c r="AN196" s="2298"/>
      <c r="AO196" s="2298"/>
    </row>
    <row r="197" spans="16:41">
      <c r="P197" s="2298"/>
      <c r="Q197" s="2298"/>
      <c r="X197" s="2298"/>
      <c r="Y197" s="2298"/>
      <c r="Z197" s="2298"/>
      <c r="AA197" s="2298"/>
      <c r="AB197" s="2298"/>
      <c r="AC197" s="2298"/>
      <c r="AD197" s="2298"/>
      <c r="AE197" s="2298"/>
      <c r="AF197" s="2298"/>
      <c r="AG197" s="2298"/>
      <c r="AH197" s="2298"/>
      <c r="AI197" s="2298"/>
      <c r="AJ197" s="2298"/>
      <c r="AK197" s="2298"/>
      <c r="AL197" s="2298"/>
      <c r="AM197" s="2298"/>
      <c r="AN197" s="2298"/>
      <c r="AO197" s="2298"/>
    </row>
    <row r="198" spans="16:41">
      <c r="P198" s="2298"/>
      <c r="Q198" s="2298"/>
      <c r="X198" s="2298"/>
      <c r="Y198" s="2298"/>
      <c r="Z198" s="2298"/>
      <c r="AA198" s="2298"/>
      <c r="AB198" s="2298"/>
      <c r="AC198" s="2298"/>
      <c r="AD198" s="2298"/>
      <c r="AE198" s="2298"/>
      <c r="AF198" s="2298"/>
      <c r="AG198" s="2298"/>
      <c r="AH198" s="2298"/>
      <c r="AI198" s="2298"/>
      <c r="AJ198" s="2298"/>
      <c r="AK198" s="2298"/>
      <c r="AL198" s="2298"/>
      <c r="AM198" s="2298"/>
      <c r="AN198" s="2298"/>
      <c r="AO198" s="2298"/>
    </row>
    <row r="199" spans="16:41">
      <c r="P199" s="2298"/>
      <c r="Q199" s="2298"/>
      <c r="X199" s="2298"/>
      <c r="Y199" s="2298"/>
      <c r="Z199" s="2298"/>
      <c r="AA199" s="2298"/>
      <c r="AB199" s="2298"/>
      <c r="AC199" s="2298"/>
      <c r="AD199" s="2298"/>
      <c r="AE199" s="2298"/>
      <c r="AF199" s="2298"/>
      <c r="AG199" s="2298"/>
      <c r="AH199" s="2298"/>
      <c r="AI199" s="2298"/>
      <c r="AJ199" s="2298"/>
      <c r="AK199" s="2298"/>
      <c r="AL199" s="2298"/>
      <c r="AM199" s="2298"/>
      <c r="AN199" s="2298"/>
      <c r="AO199" s="2298"/>
    </row>
    <row r="200" spans="16:41">
      <c r="P200" s="2298"/>
      <c r="Q200" s="2298"/>
      <c r="X200" s="2298"/>
      <c r="Y200" s="2298"/>
      <c r="Z200" s="2298"/>
      <c r="AA200" s="2298"/>
      <c r="AB200" s="2298"/>
      <c r="AC200" s="2298"/>
      <c r="AD200" s="2298"/>
      <c r="AE200" s="2298"/>
      <c r="AF200" s="2298"/>
      <c r="AG200" s="2298"/>
      <c r="AH200" s="2298"/>
      <c r="AI200" s="2298"/>
      <c r="AJ200" s="2298"/>
      <c r="AK200" s="2298"/>
      <c r="AL200" s="2298"/>
      <c r="AM200" s="2298"/>
      <c r="AN200" s="2298"/>
      <c r="AO200" s="2298"/>
    </row>
    <row r="201" spans="16:41">
      <c r="P201" s="2298"/>
      <c r="Q201" s="2298"/>
      <c r="X201" s="2298"/>
      <c r="Y201" s="2298"/>
      <c r="Z201" s="2298"/>
      <c r="AA201" s="2298"/>
      <c r="AB201" s="2298"/>
      <c r="AC201" s="2298"/>
      <c r="AD201" s="2298"/>
      <c r="AE201" s="2298"/>
      <c r="AF201" s="2298"/>
      <c r="AG201" s="2298"/>
      <c r="AH201" s="2298"/>
      <c r="AI201" s="2298"/>
      <c r="AJ201" s="2298"/>
      <c r="AK201" s="2298"/>
      <c r="AL201" s="2298"/>
      <c r="AM201" s="2298"/>
      <c r="AN201" s="2298"/>
      <c r="AO201" s="2298"/>
    </row>
    <row r="202" spans="16:41">
      <c r="P202" s="2298"/>
      <c r="Q202" s="2298"/>
      <c r="X202" s="2298"/>
      <c r="Y202" s="2298"/>
      <c r="Z202" s="2298"/>
      <c r="AA202" s="2298"/>
      <c r="AB202" s="2298"/>
      <c r="AC202" s="2298"/>
      <c r="AD202" s="2298"/>
      <c r="AE202" s="2298"/>
      <c r="AF202" s="2298"/>
      <c r="AG202" s="2298"/>
      <c r="AH202" s="2298"/>
      <c r="AI202" s="2298"/>
      <c r="AJ202" s="2298"/>
      <c r="AK202" s="2298"/>
      <c r="AL202" s="2298"/>
      <c r="AM202" s="2298"/>
      <c r="AN202" s="2298"/>
      <c r="AO202" s="2298"/>
    </row>
    <row r="203" spans="16:41">
      <c r="P203" s="2298"/>
      <c r="Q203" s="2298"/>
      <c r="X203" s="2298"/>
      <c r="Y203" s="2298"/>
      <c r="Z203" s="2298"/>
      <c r="AA203" s="2298"/>
      <c r="AB203" s="2298"/>
      <c r="AC203" s="2298"/>
      <c r="AD203" s="2298"/>
      <c r="AE203" s="2298"/>
      <c r="AF203" s="2298"/>
      <c r="AG203" s="2298"/>
      <c r="AH203" s="2298"/>
      <c r="AI203" s="2298"/>
      <c r="AJ203" s="2298"/>
      <c r="AK203" s="2298"/>
      <c r="AL203" s="2298"/>
      <c r="AM203" s="2298"/>
      <c r="AN203" s="2298"/>
      <c r="AO203" s="2298"/>
    </row>
    <row r="204" spans="16:41">
      <c r="P204" s="2298"/>
      <c r="Q204" s="2298"/>
      <c r="X204" s="2298"/>
      <c r="Y204" s="2298"/>
      <c r="Z204" s="2298"/>
      <c r="AA204" s="2298"/>
      <c r="AB204" s="2298"/>
      <c r="AC204" s="2298"/>
      <c r="AD204" s="2298"/>
      <c r="AE204" s="2298"/>
      <c r="AF204" s="2298"/>
      <c r="AG204" s="2298"/>
      <c r="AH204" s="2298"/>
      <c r="AI204" s="2298"/>
      <c r="AJ204" s="2298"/>
      <c r="AK204" s="2298"/>
      <c r="AL204" s="2298"/>
      <c r="AM204" s="2298"/>
      <c r="AN204" s="2298"/>
      <c r="AO204" s="2298"/>
    </row>
    <row r="205" spans="16:41">
      <c r="P205" s="2298"/>
      <c r="Q205" s="2298"/>
      <c r="X205" s="2298"/>
      <c r="Y205" s="2298"/>
      <c r="Z205" s="2298"/>
      <c r="AA205" s="2298"/>
      <c r="AB205" s="2298"/>
      <c r="AC205" s="2298"/>
      <c r="AD205" s="2298"/>
      <c r="AE205" s="2298"/>
      <c r="AF205" s="2298"/>
      <c r="AG205" s="2298"/>
      <c r="AH205" s="2298"/>
      <c r="AI205" s="2298"/>
      <c r="AJ205" s="2298"/>
      <c r="AK205" s="2298"/>
      <c r="AL205" s="2298"/>
      <c r="AM205" s="2298"/>
      <c r="AN205" s="2298"/>
      <c r="AO205" s="2298"/>
    </row>
    <row r="206" spans="16:41">
      <c r="P206" s="2298"/>
      <c r="Q206" s="2298"/>
      <c r="X206" s="2298"/>
      <c r="Y206" s="2298"/>
      <c r="Z206" s="2298"/>
      <c r="AA206" s="2298"/>
      <c r="AB206" s="2298"/>
      <c r="AC206" s="2298"/>
      <c r="AD206" s="2298"/>
      <c r="AE206" s="2298"/>
      <c r="AF206" s="2298"/>
      <c r="AG206" s="2298"/>
      <c r="AH206" s="2298"/>
      <c r="AI206" s="2298"/>
      <c r="AJ206" s="2298"/>
      <c r="AK206" s="2298"/>
      <c r="AL206" s="2298"/>
      <c r="AM206" s="2298"/>
      <c r="AN206" s="2298"/>
      <c r="AO206" s="2298"/>
    </row>
    <row r="207" spans="16:41">
      <c r="P207" s="2298"/>
      <c r="Q207" s="2298"/>
      <c r="X207" s="2298"/>
      <c r="Y207" s="2298"/>
      <c r="Z207" s="2298"/>
      <c r="AA207" s="2298"/>
      <c r="AB207" s="2298"/>
      <c r="AC207" s="2298"/>
      <c r="AD207" s="2298"/>
      <c r="AE207" s="2298"/>
      <c r="AF207" s="2298"/>
      <c r="AG207" s="2298"/>
      <c r="AH207" s="2298"/>
      <c r="AI207" s="2298"/>
      <c r="AJ207" s="2298"/>
      <c r="AK207" s="2298"/>
      <c r="AL207" s="2298"/>
      <c r="AM207" s="2298"/>
      <c r="AN207" s="2298"/>
      <c r="AO207" s="2298"/>
    </row>
    <row r="208" spans="16:41">
      <c r="P208" s="2298"/>
      <c r="Q208" s="2298"/>
      <c r="X208" s="2298"/>
      <c r="Y208" s="2298"/>
      <c r="Z208" s="2298"/>
      <c r="AA208" s="2298"/>
      <c r="AB208" s="2298"/>
      <c r="AC208" s="2298"/>
      <c r="AD208" s="2298"/>
      <c r="AE208" s="2298"/>
      <c r="AF208" s="2298"/>
      <c r="AG208" s="2298"/>
      <c r="AH208" s="2298"/>
      <c r="AI208" s="2298"/>
      <c r="AJ208" s="2298"/>
      <c r="AK208" s="2298"/>
      <c r="AL208" s="2298"/>
      <c r="AM208" s="2298"/>
      <c r="AN208" s="2298"/>
      <c r="AO208" s="2298"/>
    </row>
    <row r="209" spans="16:41">
      <c r="P209" s="2298"/>
      <c r="Q209" s="2298"/>
      <c r="X209" s="2298"/>
      <c r="Y209" s="2298"/>
      <c r="Z209" s="2298"/>
      <c r="AA209" s="2298"/>
      <c r="AB209" s="2298"/>
      <c r="AC209" s="2298"/>
      <c r="AD209" s="2298"/>
      <c r="AE209" s="2298"/>
      <c r="AF209" s="2298"/>
      <c r="AG209" s="2298"/>
      <c r="AH209" s="2298"/>
      <c r="AI209" s="2298"/>
      <c r="AJ209" s="2298"/>
      <c r="AK209" s="2298"/>
      <c r="AL209" s="2298"/>
      <c r="AM209" s="2298"/>
      <c r="AN209" s="2298"/>
      <c r="AO209" s="2298"/>
    </row>
    <row r="210" spans="16:41">
      <c r="P210" s="2298"/>
      <c r="Q210" s="2298"/>
      <c r="X210" s="2298"/>
      <c r="Y210" s="2298"/>
      <c r="Z210" s="2298"/>
      <c r="AA210" s="2298"/>
      <c r="AB210" s="2298"/>
      <c r="AC210" s="2298"/>
      <c r="AD210" s="2298"/>
      <c r="AE210" s="2298"/>
      <c r="AF210" s="2298"/>
      <c r="AG210" s="2298"/>
      <c r="AH210" s="2298"/>
      <c r="AI210" s="2298"/>
      <c r="AJ210" s="2298"/>
      <c r="AK210" s="2298"/>
      <c r="AL210" s="2298"/>
      <c r="AM210" s="2298"/>
      <c r="AN210" s="2298"/>
      <c r="AO210" s="2298"/>
    </row>
    <row r="211" spans="16:41">
      <c r="P211" s="2298"/>
      <c r="Q211" s="2298"/>
      <c r="X211" s="2298"/>
      <c r="Y211" s="2298"/>
      <c r="Z211" s="2298"/>
      <c r="AA211" s="2298"/>
      <c r="AB211" s="2298"/>
      <c r="AC211" s="2298"/>
      <c r="AD211" s="2298"/>
      <c r="AE211" s="2298"/>
      <c r="AF211" s="2298"/>
      <c r="AG211" s="2298"/>
      <c r="AH211" s="2298"/>
      <c r="AI211" s="2298"/>
      <c r="AJ211" s="2298"/>
      <c r="AK211" s="2298"/>
      <c r="AL211" s="2298"/>
      <c r="AM211" s="2298"/>
      <c r="AN211" s="2298"/>
      <c r="AO211" s="2298"/>
    </row>
    <row r="212" spans="16:41">
      <c r="P212" s="2298"/>
      <c r="Q212" s="2298"/>
      <c r="X212" s="2298"/>
      <c r="Y212" s="2298"/>
      <c r="Z212" s="2298"/>
      <c r="AA212" s="2298"/>
      <c r="AB212" s="2298"/>
      <c r="AC212" s="2298"/>
      <c r="AD212" s="2298"/>
      <c r="AE212" s="2298"/>
      <c r="AF212" s="2298"/>
      <c r="AG212" s="2298"/>
      <c r="AH212" s="2298"/>
      <c r="AI212" s="2298"/>
      <c r="AJ212" s="2298"/>
      <c r="AK212" s="2298"/>
      <c r="AL212" s="2298"/>
      <c r="AM212" s="2298"/>
      <c r="AN212" s="2298"/>
      <c r="AO212" s="2298"/>
    </row>
    <row r="213" spans="16:41">
      <c r="P213" s="2298"/>
      <c r="Q213" s="2298"/>
      <c r="X213" s="2298"/>
      <c r="Y213" s="2298"/>
      <c r="Z213" s="2298"/>
      <c r="AA213" s="2298"/>
      <c r="AB213" s="2298"/>
      <c r="AC213" s="2298"/>
      <c r="AD213" s="2298"/>
      <c r="AE213" s="2298"/>
      <c r="AF213" s="2298"/>
      <c r="AG213" s="2298"/>
      <c r="AH213" s="2298"/>
      <c r="AI213" s="2298"/>
      <c r="AJ213" s="2298"/>
      <c r="AK213" s="2298"/>
      <c r="AL213" s="2298"/>
      <c r="AM213" s="2298"/>
      <c r="AN213" s="2298"/>
      <c r="AO213" s="2298"/>
    </row>
    <row r="214" spans="16:41">
      <c r="P214" s="2298"/>
      <c r="Q214" s="2298"/>
      <c r="X214" s="2298"/>
      <c r="Y214" s="2298"/>
      <c r="Z214" s="2298"/>
      <c r="AA214" s="2298"/>
      <c r="AB214" s="2298"/>
      <c r="AC214" s="2298"/>
      <c r="AD214" s="2298"/>
      <c r="AE214" s="2298"/>
      <c r="AF214" s="2298"/>
      <c r="AG214" s="2298"/>
      <c r="AH214" s="2298"/>
      <c r="AI214" s="2298"/>
      <c r="AJ214" s="2298"/>
      <c r="AK214" s="2298"/>
      <c r="AL214" s="2298"/>
      <c r="AM214" s="2298"/>
      <c r="AN214" s="2298"/>
      <c r="AO214" s="2298"/>
    </row>
    <row r="215" spans="16:41">
      <c r="P215" s="2298"/>
      <c r="Q215" s="2298"/>
      <c r="X215" s="2298"/>
      <c r="Y215" s="2298"/>
      <c r="Z215" s="2298"/>
      <c r="AA215" s="2298"/>
      <c r="AB215" s="2298"/>
      <c r="AC215" s="2298"/>
      <c r="AD215" s="2298"/>
      <c r="AE215" s="2298"/>
      <c r="AF215" s="2298"/>
      <c r="AG215" s="2298"/>
      <c r="AH215" s="2298"/>
      <c r="AI215" s="2298"/>
      <c r="AJ215" s="2298"/>
      <c r="AK215" s="2298"/>
      <c r="AL215" s="2298"/>
      <c r="AM215" s="2298"/>
      <c r="AN215" s="2298"/>
      <c r="AO215" s="2298"/>
    </row>
    <row r="216" spans="16:41">
      <c r="P216" s="2298"/>
      <c r="Q216" s="2298"/>
      <c r="X216" s="2298"/>
      <c r="Y216" s="2298"/>
      <c r="Z216" s="2298"/>
      <c r="AA216" s="2298"/>
      <c r="AB216" s="2298"/>
      <c r="AC216" s="2298"/>
      <c r="AD216" s="2298"/>
      <c r="AE216" s="2298"/>
      <c r="AF216" s="2298"/>
      <c r="AG216" s="2298"/>
      <c r="AH216" s="2298"/>
      <c r="AI216" s="2298"/>
      <c r="AJ216" s="2298"/>
      <c r="AK216" s="2298"/>
      <c r="AL216" s="2298"/>
      <c r="AM216" s="2298"/>
      <c r="AN216" s="2298"/>
      <c r="AO216" s="2298"/>
    </row>
    <row r="217" spans="16:41">
      <c r="P217" s="2298"/>
      <c r="Q217" s="2298"/>
      <c r="X217" s="2298"/>
      <c r="Y217" s="2298"/>
      <c r="Z217" s="2298"/>
      <c r="AA217" s="2298"/>
      <c r="AB217" s="2298"/>
      <c r="AC217" s="2298"/>
      <c r="AD217" s="2298"/>
      <c r="AE217" s="2298"/>
      <c r="AF217" s="2298"/>
      <c r="AG217" s="2298"/>
      <c r="AH217" s="2298"/>
      <c r="AI217" s="2298"/>
      <c r="AJ217" s="2298"/>
      <c r="AK217" s="2298"/>
      <c r="AL217" s="2298"/>
      <c r="AM217" s="2298"/>
      <c r="AN217" s="2298"/>
      <c r="AO217" s="2298"/>
    </row>
    <row r="218" spans="16:41">
      <c r="P218" s="2298"/>
      <c r="Q218" s="2298"/>
      <c r="X218" s="2298"/>
      <c r="Y218" s="2298"/>
      <c r="Z218" s="2298"/>
      <c r="AA218" s="2298"/>
      <c r="AB218" s="2298"/>
      <c r="AC218" s="2298"/>
      <c r="AD218" s="2298"/>
      <c r="AE218" s="2298"/>
      <c r="AF218" s="2298"/>
      <c r="AG218" s="2298"/>
      <c r="AH218" s="2298"/>
      <c r="AI218" s="2298"/>
      <c r="AJ218" s="2298"/>
      <c r="AK218" s="2298"/>
      <c r="AL218" s="2298"/>
      <c r="AM218" s="2298"/>
      <c r="AN218" s="2298"/>
      <c r="AO218" s="2298"/>
    </row>
    <row r="219" spans="16:41">
      <c r="P219" s="2298"/>
      <c r="Q219" s="2298"/>
      <c r="X219" s="2298"/>
      <c r="Y219" s="2298"/>
      <c r="Z219" s="2298"/>
      <c r="AA219" s="2298"/>
      <c r="AB219" s="2298"/>
      <c r="AC219" s="2298"/>
      <c r="AD219" s="2298"/>
      <c r="AE219" s="2298"/>
      <c r="AF219" s="2298"/>
      <c r="AG219" s="2298"/>
      <c r="AH219" s="2298"/>
      <c r="AI219" s="2298"/>
      <c r="AJ219" s="2298"/>
      <c r="AK219" s="2298"/>
      <c r="AL219" s="2298"/>
      <c r="AM219" s="2298"/>
      <c r="AN219" s="2298"/>
      <c r="AO219" s="2298"/>
    </row>
    <row r="220" spans="16:41">
      <c r="P220" s="2298"/>
      <c r="Q220" s="2298"/>
      <c r="X220" s="2298"/>
      <c r="Y220" s="2298"/>
      <c r="Z220" s="2298"/>
      <c r="AA220" s="2298"/>
      <c r="AB220" s="2298"/>
      <c r="AC220" s="2298"/>
      <c r="AD220" s="2298"/>
      <c r="AE220" s="2298"/>
      <c r="AF220" s="2298"/>
      <c r="AG220" s="2298"/>
      <c r="AH220" s="2298"/>
      <c r="AI220" s="2298"/>
      <c r="AJ220" s="2298"/>
      <c r="AK220" s="2298"/>
      <c r="AL220" s="2298"/>
      <c r="AM220" s="2298"/>
      <c r="AN220" s="2298"/>
      <c r="AO220" s="2298"/>
    </row>
    <row r="221" spans="16:41">
      <c r="P221" s="2298"/>
      <c r="Q221" s="2298"/>
      <c r="X221" s="2298"/>
      <c r="Y221" s="2298"/>
      <c r="Z221" s="2298"/>
      <c r="AA221" s="2298"/>
      <c r="AB221" s="2298"/>
      <c r="AC221" s="2298"/>
      <c r="AD221" s="2298"/>
      <c r="AE221" s="2298"/>
      <c r="AF221" s="2298"/>
      <c r="AG221" s="2298"/>
      <c r="AH221" s="2298"/>
      <c r="AI221" s="2298"/>
      <c r="AJ221" s="2298"/>
      <c r="AK221" s="2298"/>
      <c r="AL221" s="2298"/>
      <c r="AM221" s="2298"/>
      <c r="AN221" s="2298"/>
      <c r="AO221" s="2298"/>
    </row>
    <row r="222" spans="16:41">
      <c r="P222" s="2298"/>
      <c r="Q222" s="2298"/>
      <c r="X222" s="2298"/>
      <c r="Y222" s="2298"/>
      <c r="Z222" s="2298"/>
      <c r="AA222" s="2298"/>
      <c r="AB222" s="2298"/>
      <c r="AC222" s="2298"/>
      <c r="AD222" s="2298"/>
      <c r="AE222" s="2298"/>
      <c r="AF222" s="2298"/>
      <c r="AG222" s="2298"/>
      <c r="AH222" s="2298"/>
      <c r="AI222" s="2298"/>
      <c r="AJ222" s="2298"/>
      <c r="AK222" s="2298"/>
      <c r="AL222" s="2298"/>
      <c r="AM222" s="2298"/>
      <c r="AN222" s="2298"/>
      <c r="AO222" s="2298"/>
    </row>
    <row r="223" spans="16:41">
      <c r="P223" s="2298"/>
      <c r="Q223" s="2298"/>
      <c r="X223" s="2298"/>
      <c r="Y223" s="2298"/>
      <c r="Z223" s="2298"/>
      <c r="AA223" s="2298"/>
      <c r="AB223" s="2298"/>
      <c r="AC223" s="2298"/>
      <c r="AD223" s="2298"/>
      <c r="AE223" s="2298"/>
      <c r="AF223" s="2298"/>
      <c r="AG223" s="2298"/>
      <c r="AH223" s="2298"/>
      <c r="AI223" s="2298"/>
      <c r="AJ223" s="2298"/>
      <c r="AK223" s="2298"/>
      <c r="AL223" s="2298"/>
      <c r="AM223" s="2298"/>
      <c r="AN223" s="2298"/>
      <c r="AO223" s="2298"/>
    </row>
    <row r="224" spans="16:41">
      <c r="P224" s="2298"/>
      <c r="Q224" s="2298"/>
      <c r="X224" s="2298"/>
      <c r="Y224" s="2298"/>
      <c r="Z224" s="2298"/>
      <c r="AA224" s="2298"/>
      <c r="AB224" s="2298"/>
      <c r="AC224" s="2298"/>
      <c r="AD224" s="2298"/>
      <c r="AE224" s="2298"/>
      <c r="AF224" s="2298"/>
      <c r="AG224" s="2298"/>
      <c r="AH224" s="2298"/>
      <c r="AI224" s="2298"/>
      <c r="AJ224" s="2298"/>
      <c r="AK224" s="2298"/>
      <c r="AL224" s="2298"/>
      <c r="AM224" s="2298"/>
      <c r="AN224" s="2298"/>
      <c r="AO224" s="2298"/>
    </row>
    <row r="225" spans="16:41">
      <c r="P225" s="2298"/>
      <c r="Q225" s="2298"/>
      <c r="X225" s="2298"/>
      <c r="Y225" s="2298"/>
      <c r="Z225" s="2298"/>
      <c r="AA225" s="2298"/>
      <c r="AB225" s="2298"/>
      <c r="AC225" s="2298"/>
      <c r="AD225" s="2298"/>
      <c r="AE225" s="2298"/>
      <c r="AF225" s="2298"/>
      <c r="AG225" s="2298"/>
      <c r="AH225" s="2298"/>
      <c r="AI225" s="2298"/>
      <c r="AJ225" s="2298"/>
      <c r="AK225" s="2298"/>
      <c r="AL225" s="2298"/>
      <c r="AM225" s="2298"/>
      <c r="AN225" s="2298"/>
      <c r="AO225" s="2298"/>
    </row>
    <row r="226" spans="16:41">
      <c r="P226" s="2298"/>
      <c r="Q226" s="2298"/>
      <c r="X226" s="2298"/>
      <c r="Y226" s="2298"/>
      <c r="Z226" s="2298"/>
      <c r="AA226" s="2298"/>
      <c r="AB226" s="2298"/>
      <c r="AC226" s="2298"/>
      <c r="AD226" s="2298"/>
      <c r="AE226" s="2298"/>
      <c r="AF226" s="2298"/>
      <c r="AG226" s="2298"/>
      <c r="AH226" s="2298"/>
      <c r="AI226" s="2298"/>
      <c r="AJ226" s="2298"/>
      <c r="AK226" s="2298"/>
      <c r="AL226" s="2298"/>
      <c r="AM226" s="2298"/>
      <c r="AN226" s="2298"/>
      <c r="AO226" s="2298"/>
    </row>
    <row r="227" spans="16:41">
      <c r="P227" s="2298"/>
      <c r="Q227" s="2298"/>
      <c r="X227" s="2298"/>
      <c r="Y227" s="2298"/>
      <c r="Z227" s="2298"/>
      <c r="AA227" s="2298"/>
      <c r="AB227" s="2298"/>
      <c r="AC227" s="2298"/>
      <c r="AD227" s="2298"/>
      <c r="AE227" s="2298"/>
      <c r="AF227" s="2298"/>
      <c r="AG227" s="2298"/>
      <c r="AH227" s="2298"/>
      <c r="AI227" s="2298"/>
      <c r="AJ227" s="2298"/>
      <c r="AK227" s="2298"/>
      <c r="AL227" s="2298"/>
      <c r="AM227" s="2298"/>
      <c r="AN227" s="2298"/>
      <c r="AO227" s="2298"/>
    </row>
    <row r="228" spans="16:41">
      <c r="P228" s="2298"/>
      <c r="Q228" s="2298"/>
      <c r="X228" s="2298"/>
      <c r="Y228" s="2298"/>
      <c r="Z228" s="2298"/>
      <c r="AA228" s="2298"/>
      <c r="AB228" s="2298"/>
      <c r="AC228" s="2298"/>
      <c r="AD228" s="2298"/>
      <c r="AE228" s="2298"/>
      <c r="AF228" s="2298"/>
      <c r="AG228" s="2298"/>
      <c r="AH228" s="2298"/>
      <c r="AI228" s="2298"/>
      <c r="AJ228" s="2298"/>
      <c r="AK228" s="2298"/>
      <c r="AL228" s="2298"/>
      <c r="AM228" s="2298"/>
      <c r="AN228" s="2298"/>
      <c r="AO228" s="2298"/>
    </row>
    <row r="229" spans="16:41">
      <c r="P229" s="2298"/>
      <c r="Q229" s="2298"/>
      <c r="X229" s="2298"/>
      <c r="Y229" s="2298"/>
      <c r="Z229" s="2298"/>
      <c r="AA229" s="2298"/>
      <c r="AB229" s="2298"/>
      <c r="AC229" s="2298"/>
      <c r="AD229" s="2298"/>
      <c r="AE229" s="2298"/>
      <c r="AF229" s="2298"/>
      <c r="AG229" s="2298"/>
      <c r="AH229" s="2298"/>
      <c r="AI229" s="2298"/>
      <c r="AJ229" s="2298"/>
      <c r="AK229" s="2298"/>
      <c r="AL229" s="2298"/>
      <c r="AM229" s="2298"/>
      <c r="AN229" s="2298"/>
      <c r="AO229" s="2298"/>
    </row>
    <row r="230" spans="16:41">
      <c r="P230" s="2298"/>
      <c r="Q230" s="2298"/>
      <c r="X230" s="2298"/>
      <c r="Y230" s="2298"/>
      <c r="Z230" s="2298"/>
      <c r="AA230" s="2298"/>
      <c r="AB230" s="2298"/>
      <c r="AC230" s="2298"/>
      <c r="AD230" s="2298"/>
      <c r="AE230" s="2298"/>
      <c r="AF230" s="2298"/>
      <c r="AG230" s="2298"/>
      <c r="AH230" s="2298"/>
      <c r="AI230" s="2298"/>
      <c r="AJ230" s="2298"/>
      <c r="AK230" s="2298"/>
      <c r="AL230" s="2298"/>
      <c r="AM230" s="2298"/>
      <c r="AN230" s="2298"/>
      <c r="AO230" s="2298"/>
    </row>
    <row r="231" spans="16:41">
      <c r="P231" s="2298"/>
      <c r="Q231" s="2298"/>
      <c r="X231" s="2298"/>
      <c r="Y231" s="2298"/>
      <c r="Z231" s="2298"/>
      <c r="AA231" s="2298"/>
      <c r="AB231" s="2298"/>
      <c r="AC231" s="2298"/>
      <c r="AD231" s="2298"/>
      <c r="AE231" s="2298"/>
      <c r="AF231" s="2298"/>
      <c r="AG231" s="2298"/>
      <c r="AH231" s="2298"/>
      <c r="AI231" s="2298"/>
      <c r="AJ231" s="2298"/>
      <c r="AK231" s="2298"/>
      <c r="AL231" s="2298"/>
      <c r="AM231" s="2298"/>
      <c r="AN231" s="2298"/>
      <c r="AO231" s="2298"/>
    </row>
    <row r="232" spans="16:41">
      <c r="P232" s="2298"/>
      <c r="Q232" s="2298"/>
      <c r="X232" s="2298"/>
      <c r="Y232" s="2298"/>
      <c r="Z232" s="2298"/>
      <c r="AA232" s="2298"/>
      <c r="AB232" s="2298"/>
      <c r="AC232" s="2298"/>
      <c r="AD232" s="2298"/>
      <c r="AE232" s="2298"/>
      <c r="AF232" s="2298"/>
      <c r="AG232" s="2298"/>
      <c r="AH232" s="2298"/>
      <c r="AI232" s="2298"/>
      <c r="AJ232" s="2298"/>
      <c r="AK232" s="2298"/>
      <c r="AL232" s="2298"/>
      <c r="AM232" s="2298"/>
      <c r="AN232" s="2298"/>
      <c r="AO232" s="2298"/>
    </row>
    <row r="233" spans="16:41">
      <c r="P233" s="2298"/>
      <c r="Q233" s="2298"/>
      <c r="X233" s="2298"/>
      <c r="Y233" s="2298"/>
      <c r="Z233" s="2298"/>
      <c r="AA233" s="2298"/>
      <c r="AB233" s="2298"/>
      <c r="AC233" s="2298"/>
      <c r="AD233" s="2298"/>
      <c r="AE233" s="2298"/>
      <c r="AF233" s="2298"/>
      <c r="AG233" s="2298"/>
      <c r="AH233" s="2298"/>
      <c r="AI233" s="2298"/>
      <c r="AJ233" s="2298"/>
      <c r="AK233" s="2298"/>
      <c r="AL233" s="2298"/>
      <c r="AM233" s="2298"/>
      <c r="AN233" s="2298"/>
      <c r="AO233" s="2298"/>
    </row>
    <row r="234" spans="16:41">
      <c r="P234" s="2298"/>
      <c r="Q234" s="2298"/>
      <c r="X234" s="2298"/>
      <c r="Y234" s="2298"/>
      <c r="Z234" s="2298"/>
      <c r="AA234" s="2298"/>
      <c r="AB234" s="2298"/>
      <c r="AC234" s="2298"/>
      <c r="AD234" s="2298"/>
      <c r="AE234" s="2298"/>
      <c r="AF234" s="2298"/>
      <c r="AG234" s="2298"/>
      <c r="AH234" s="2298"/>
      <c r="AI234" s="2298"/>
      <c r="AJ234" s="2298"/>
      <c r="AK234" s="2298"/>
      <c r="AL234" s="2298"/>
      <c r="AM234" s="2298"/>
      <c r="AN234" s="2298"/>
      <c r="AO234" s="2298"/>
    </row>
    <row r="235" spans="16:41">
      <c r="P235" s="2298"/>
      <c r="Q235" s="2298"/>
      <c r="X235" s="2298"/>
      <c r="Y235" s="2298"/>
      <c r="Z235" s="2298"/>
      <c r="AA235" s="2298"/>
      <c r="AB235" s="2298"/>
      <c r="AC235" s="2298"/>
      <c r="AD235" s="2298"/>
      <c r="AE235" s="2298"/>
      <c r="AF235" s="2298"/>
      <c r="AG235" s="2298"/>
      <c r="AH235" s="2298"/>
      <c r="AI235" s="2298"/>
      <c r="AJ235" s="2298"/>
      <c r="AK235" s="2298"/>
      <c r="AL235" s="2298"/>
      <c r="AM235" s="2298"/>
      <c r="AN235" s="2298"/>
      <c r="AO235" s="2298"/>
    </row>
    <row r="236" spans="16:41">
      <c r="P236" s="2298"/>
      <c r="Q236" s="2298"/>
      <c r="X236" s="2298"/>
      <c r="Y236" s="2298"/>
      <c r="Z236" s="2298"/>
      <c r="AA236" s="2298"/>
      <c r="AB236" s="2298"/>
      <c r="AC236" s="2298"/>
      <c r="AD236" s="2298"/>
      <c r="AE236" s="2298"/>
      <c r="AF236" s="2298"/>
      <c r="AG236" s="2298"/>
      <c r="AH236" s="2298"/>
      <c r="AI236" s="2298"/>
      <c r="AJ236" s="2298"/>
      <c r="AK236" s="2298"/>
      <c r="AL236" s="2298"/>
      <c r="AM236" s="2298"/>
      <c r="AN236" s="2298"/>
      <c r="AO236" s="2298"/>
    </row>
    <row r="237" spans="16:41">
      <c r="P237" s="2298"/>
      <c r="Q237" s="2298"/>
      <c r="X237" s="2298"/>
      <c r="Y237" s="2298"/>
      <c r="Z237" s="2298"/>
      <c r="AA237" s="2298"/>
      <c r="AB237" s="2298"/>
      <c r="AC237" s="2298"/>
      <c r="AD237" s="2298"/>
      <c r="AE237" s="2298"/>
      <c r="AF237" s="2298"/>
      <c r="AG237" s="2298"/>
      <c r="AH237" s="2298"/>
      <c r="AI237" s="2298"/>
      <c r="AJ237" s="2298"/>
      <c r="AK237" s="2298"/>
      <c r="AL237" s="2298"/>
      <c r="AM237" s="2298"/>
      <c r="AN237" s="2298"/>
      <c r="AO237" s="2298"/>
    </row>
    <row r="238" spans="16:41">
      <c r="P238" s="2298"/>
      <c r="Q238" s="2298"/>
      <c r="X238" s="2298"/>
      <c r="Y238" s="2298"/>
      <c r="Z238" s="2298"/>
      <c r="AA238" s="2298"/>
      <c r="AB238" s="2298"/>
      <c r="AC238" s="2298"/>
      <c r="AD238" s="2298"/>
      <c r="AE238" s="2298"/>
      <c r="AF238" s="2298"/>
      <c r="AG238" s="2298"/>
      <c r="AH238" s="2298"/>
      <c r="AI238" s="2298"/>
      <c r="AJ238" s="2298"/>
      <c r="AK238" s="2298"/>
      <c r="AL238" s="2298"/>
      <c r="AM238" s="2298"/>
      <c r="AN238" s="2298"/>
      <c r="AO238" s="2298"/>
    </row>
    <row r="239" spans="16:41">
      <c r="P239" s="2298"/>
      <c r="Q239" s="2298"/>
      <c r="X239" s="2298"/>
      <c r="Y239" s="2298"/>
      <c r="Z239" s="2298"/>
      <c r="AA239" s="2298"/>
      <c r="AB239" s="2298"/>
      <c r="AC239" s="2298"/>
      <c r="AD239" s="2298"/>
      <c r="AE239" s="2298"/>
      <c r="AF239" s="2298"/>
      <c r="AG239" s="2298"/>
      <c r="AH239" s="2298"/>
      <c r="AI239" s="2298"/>
      <c r="AJ239" s="2298"/>
      <c r="AK239" s="2298"/>
      <c r="AL239" s="2298"/>
      <c r="AM239" s="2298"/>
      <c r="AN239" s="2298"/>
      <c r="AO239" s="2298"/>
    </row>
    <row r="240" spans="16:41">
      <c r="P240" s="2298"/>
      <c r="Q240" s="2298"/>
      <c r="X240" s="2298"/>
      <c r="Y240" s="2298"/>
      <c r="Z240" s="2298"/>
      <c r="AA240" s="2298"/>
      <c r="AB240" s="2298"/>
      <c r="AC240" s="2298"/>
      <c r="AD240" s="2298"/>
      <c r="AE240" s="2298"/>
      <c r="AF240" s="2298"/>
      <c r="AG240" s="2298"/>
      <c r="AH240" s="2298"/>
      <c r="AI240" s="2298"/>
      <c r="AJ240" s="2298"/>
      <c r="AK240" s="2298"/>
      <c r="AL240" s="2298"/>
      <c r="AM240" s="2298"/>
      <c r="AN240" s="2298"/>
      <c r="AO240" s="2298"/>
    </row>
    <row r="241" spans="16:41">
      <c r="P241" s="2298"/>
      <c r="Q241" s="2298"/>
      <c r="X241" s="2298"/>
      <c r="Y241" s="2298"/>
      <c r="Z241" s="2298"/>
      <c r="AA241" s="2298"/>
      <c r="AB241" s="2298"/>
      <c r="AC241" s="2298"/>
      <c r="AD241" s="2298"/>
      <c r="AE241" s="2298"/>
      <c r="AF241" s="2298"/>
      <c r="AG241" s="2298"/>
      <c r="AH241" s="2298"/>
      <c r="AI241" s="2298"/>
      <c r="AJ241" s="2298"/>
      <c r="AK241" s="2298"/>
      <c r="AL241" s="2298"/>
      <c r="AM241" s="2298"/>
      <c r="AN241" s="2298"/>
      <c r="AO241" s="2298"/>
    </row>
    <row r="242" spans="16:41">
      <c r="P242" s="2298"/>
      <c r="Q242" s="2298"/>
      <c r="X242" s="2298"/>
      <c r="Y242" s="2298"/>
      <c r="Z242" s="2298"/>
      <c r="AA242" s="2298"/>
      <c r="AB242" s="2298"/>
      <c r="AC242" s="2298"/>
      <c r="AD242" s="2298"/>
      <c r="AE242" s="2298"/>
      <c r="AF242" s="2298"/>
      <c r="AG242" s="2298"/>
      <c r="AH242" s="2298"/>
      <c r="AI242" s="2298"/>
      <c r="AJ242" s="2298"/>
      <c r="AK242" s="2298"/>
      <c r="AL242" s="2298"/>
      <c r="AM242" s="2298"/>
      <c r="AN242" s="2298"/>
      <c r="AO242" s="2298"/>
    </row>
    <row r="243" spans="16:41">
      <c r="P243" s="2298"/>
      <c r="Q243" s="2298"/>
      <c r="X243" s="2298"/>
      <c r="Y243" s="2298"/>
      <c r="Z243" s="2298"/>
      <c r="AA243" s="2298"/>
      <c r="AB243" s="2298"/>
      <c r="AC243" s="2298"/>
      <c r="AD243" s="2298"/>
      <c r="AE243" s="2298"/>
      <c r="AF243" s="2298"/>
      <c r="AG243" s="2298"/>
      <c r="AH243" s="2298"/>
      <c r="AI243" s="2298"/>
      <c r="AJ243" s="2298"/>
      <c r="AK243" s="2298"/>
      <c r="AL243" s="2298"/>
      <c r="AM243" s="2298"/>
      <c r="AN243" s="2298"/>
      <c r="AO243" s="2298"/>
    </row>
    <row r="244" spans="16:41">
      <c r="P244" s="2298"/>
      <c r="Q244" s="2298"/>
      <c r="X244" s="2298"/>
      <c r="Y244" s="2298"/>
      <c r="Z244" s="2298"/>
      <c r="AA244" s="2298"/>
      <c r="AB244" s="2298"/>
      <c r="AC244" s="2298"/>
      <c r="AD244" s="2298"/>
      <c r="AE244" s="2298"/>
      <c r="AF244" s="2298"/>
      <c r="AG244" s="2298"/>
      <c r="AH244" s="2298"/>
      <c r="AI244" s="2298"/>
      <c r="AJ244" s="2298"/>
      <c r="AK244" s="2298"/>
      <c r="AL244" s="2298"/>
      <c r="AM244" s="2298"/>
      <c r="AN244" s="2298"/>
      <c r="AO244" s="2298"/>
    </row>
    <row r="245" spans="16:41">
      <c r="P245" s="2298"/>
      <c r="Q245" s="2298"/>
      <c r="X245" s="2298"/>
      <c r="Y245" s="2298"/>
      <c r="Z245" s="2298"/>
      <c r="AA245" s="2298"/>
      <c r="AB245" s="2298"/>
      <c r="AC245" s="2298"/>
      <c r="AD245" s="2298"/>
      <c r="AE245" s="2298"/>
      <c r="AF245" s="2298"/>
      <c r="AG245" s="2298"/>
      <c r="AH245" s="2298"/>
      <c r="AI245" s="2298"/>
      <c r="AJ245" s="2298"/>
      <c r="AK245" s="2298"/>
      <c r="AL245" s="2298"/>
      <c r="AM245" s="2298"/>
      <c r="AN245" s="2298"/>
      <c r="AO245" s="2298"/>
    </row>
    <row r="246" spans="16:41">
      <c r="P246" s="2298"/>
      <c r="Q246" s="2298"/>
      <c r="X246" s="2298"/>
      <c r="Y246" s="2298"/>
      <c r="Z246" s="2298"/>
      <c r="AA246" s="2298"/>
      <c r="AB246" s="2298"/>
      <c r="AC246" s="2298"/>
      <c r="AD246" s="2298"/>
      <c r="AE246" s="2298"/>
      <c r="AF246" s="2298"/>
      <c r="AG246" s="2298"/>
      <c r="AH246" s="2298"/>
      <c r="AI246" s="2298"/>
      <c r="AJ246" s="2298"/>
      <c r="AK246" s="2298"/>
      <c r="AL246" s="2298"/>
      <c r="AM246" s="2298"/>
      <c r="AN246" s="2298"/>
      <c r="AO246" s="2298"/>
    </row>
    <row r="247" spans="16:41">
      <c r="P247" s="2298"/>
      <c r="Q247" s="2298"/>
      <c r="X247" s="2298"/>
      <c r="Y247" s="2298"/>
      <c r="Z247" s="2298"/>
      <c r="AA247" s="2298"/>
      <c r="AB247" s="2298"/>
      <c r="AC247" s="2298"/>
      <c r="AD247" s="2298"/>
      <c r="AE247" s="2298"/>
      <c r="AF247" s="2298"/>
      <c r="AG247" s="2298"/>
      <c r="AH247" s="2298"/>
      <c r="AI247" s="2298"/>
      <c r="AJ247" s="2298"/>
      <c r="AK247" s="2298"/>
      <c r="AL247" s="2298"/>
      <c r="AM247" s="2298"/>
      <c r="AN247" s="2298"/>
      <c r="AO247" s="2298"/>
    </row>
    <row r="248" spans="16:41">
      <c r="P248" s="2298"/>
      <c r="Q248" s="2298"/>
      <c r="X248" s="2298"/>
      <c r="Y248" s="2298"/>
      <c r="Z248" s="2298"/>
      <c r="AA248" s="2298"/>
      <c r="AB248" s="2298"/>
      <c r="AC248" s="2298"/>
      <c r="AD248" s="2298"/>
      <c r="AE248" s="2298"/>
      <c r="AF248" s="2298"/>
      <c r="AG248" s="2298"/>
      <c r="AH248" s="2298"/>
      <c r="AI248" s="2298"/>
      <c r="AJ248" s="2298"/>
      <c r="AK248" s="2298"/>
      <c r="AL248" s="2298"/>
      <c r="AM248" s="2298"/>
      <c r="AN248" s="2298"/>
      <c r="AO248" s="2298"/>
    </row>
    <row r="249" spans="16:41">
      <c r="P249" s="2298"/>
      <c r="Q249" s="2298"/>
      <c r="X249" s="2298"/>
      <c r="Y249" s="2298"/>
      <c r="Z249" s="2298"/>
      <c r="AA249" s="2298"/>
      <c r="AB249" s="2298"/>
      <c r="AC249" s="2298"/>
      <c r="AD249" s="2298"/>
      <c r="AE249" s="2298"/>
      <c r="AF249" s="2298"/>
      <c r="AG249" s="2298"/>
      <c r="AH249" s="2298"/>
      <c r="AI249" s="2298"/>
      <c r="AJ249" s="2298"/>
      <c r="AK249" s="2298"/>
      <c r="AL249" s="2298"/>
      <c r="AM249" s="2298"/>
      <c r="AN249" s="2298"/>
      <c r="AO249" s="2298"/>
    </row>
    <row r="250" spans="16:41">
      <c r="P250" s="2298"/>
      <c r="Q250" s="2298"/>
      <c r="X250" s="2298"/>
      <c r="Y250" s="2298"/>
      <c r="Z250" s="2298"/>
      <c r="AA250" s="2298"/>
      <c r="AB250" s="2298"/>
      <c r="AC250" s="2298"/>
      <c r="AD250" s="2298"/>
      <c r="AE250" s="2298"/>
      <c r="AF250" s="2298"/>
      <c r="AG250" s="2298"/>
      <c r="AH250" s="2298"/>
      <c r="AI250" s="2298"/>
      <c r="AJ250" s="2298"/>
      <c r="AK250" s="2298"/>
      <c r="AL250" s="2298"/>
      <c r="AM250" s="2298"/>
      <c r="AN250" s="2298"/>
      <c r="AO250" s="2298"/>
    </row>
    <row r="251" spans="16:41">
      <c r="P251" s="2298"/>
      <c r="Q251" s="2298"/>
      <c r="X251" s="2298"/>
      <c r="Y251" s="2298"/>
      <c r="Z251" s="2298"/>
      <c r="AA251" s="2298"/>
      <c r="AB251" s="2298"/>
      <c r="AC251" s="2298"/>
      <c r="AD251" s="2298"/>
      <c r="AE251" s="2298"/>
      <c r="AF251" s="2298"/>
      <c r="AG251" s="2298"/>
      <c r="AH251" s="2298"/>
      <c r="AI251" s="2298"/>
      <c r="AJ251" s="2298"/>
      <c r="AK251" s="2298"/>
      <c r="AL251" s="2298"/>
      <c r="AM251" s="2298"/>
      <c r="AN251" s="2298"/>
      <c r="AO251" s="2298"/>
    </row>
    <row r="252" spans="16:41">
      <c r="P252" s="2298"/>
      <c r="Q252" s="2298"/>
      <c r="X252" s="2298"/>
      <c r="Y252" s="2298"/>
      <c r="Z252" s="2298"/>
      <c r="AA252" s="2298"/>
      <c r="AB252" s="2298"/>
      <c r="AC252" s="2298"/>
      <c r="AD252" s="2298"/>
      <c r="AE252" s="2298"/>
      <c r="AF252" s="2298"/>
      <c r="AG252" s="2298"/>
      <c r="AH252" s="2298"/>
      <c r="AI252" s="2298"/>
      <c r="AJ252" s="2298"/>
      <c r="AK252" s="2298"/>
      <c r="AL252" s="2298"/>
      <c r="AM252" s="2298"/>
      <c r="AN252" s="2298"/>
      <c r="AO252" s="2298"/>
    </row>
    <row r="253" spans="16:41">
      <c r="P253" s="2298"/>
      <c r="Q253" s="2298"/>
      <c r="X253" s="2298"/>
      <c r="Y253" s="2298"/>
      <c r="Z253" s="2298"/>
      <c r="AA253" s="2298"/>
      <c r="AB253" s="2298"/>
      <c r="AC253" s="2298"/>
      <c r="AD253" s="2298"/>
      <c r="AE253" s="2298"/>
      <c r="AF253" s="2298"/>
      <c r="AG253" s="2298"/>
      <c r="AH253" s="2298"/>
      <c r="AI253" s="2298"/>
      <c r="AJ253" s="2298"/>
      <c r="AK253" s="2298"/>
      <c r="AL253" s="2298"/>
      <c r="AM253" s="2298"/>
      <c r="AN253" s="2298"/>
      <c r="AO253" s="2298"/>
    </row>
    <row r="254" spans="16:41">
      <c r="P254" s="2298"/>
      <c r="Q254" s="2298"/>
      <c r="X254" s="2298"/>
      <c r="Y254" s="2298"/>
      <c r="Z254" s="2298"/>
      <c r="AA254" s="2298"/>
      <c r="AB254" s="2298"/>
      <c r="AC254" s="2298"/>
      <c r="AD254" s="2298"/>
      <c r="AE254" s="2298"/>
      <c r="AF254" s="2298"/>
      <c r="AG254" s="2298"/>
      <c r="AH254" s="2298"/>
      <c r="AI254" s="2298"/>
      <c r="AJ254" s="2298"/>
      <c r="AK254" s="2298"/>
      <c r="AL254" s="2298"/>
      <c r="AM254" s="2298"/>
      <c r="AN254" s="2298"/>
      <c r="AO254" s="2298"/>
    </row>
    <row r="255" spans="16:41">
      <c r="P255" s="2298"/>
      <c r="Q255" s="2298"/>
      <c r="X255" s="2298"/>
      <c r="Y255" s="2298"/>
      <c r="Z255" s="2298"/>
      <c r="AA255" s="2298"/>
      <c r="AB255" s="2298"/>
      <c r="AC255" s="2298"/>
      <c r="AD255" s="2298"/>
      <c r="AE255" s="2298"/>
      <c r="AF255" s="2298"/>
      <c r="AG255" s="2298"/>
      <c r="AH255" s="2298"/>
      <c r="AI255" s="2298"/>
      <c r="AJ255" s="2298"/>
      <c r="AK255" s="2298"/>
      <c r="AL255" s="2298"/>
      <c r="AM255" s="2298"/>
      <c r="AN255" s="2298"/>
      <c r="AO255" s="2298"/>
    </row>
    <row r="256" spans="16:41">
      <c r="P256" s="2298"/>
      <c r="Q256" s="2298"/>
      <c r="X256" s="2298"/>
      <c r="Y256" s="2298"/>
      <c r="Z256" s="2298"/>
      <c r="AA256" s="2298"/>
      <c r="AB256" s="2298"/>
      <c r="AC256" s="2298"/>
      <c r="AD256" s="2298"/>
      <c r="AE256" s="2298"/>
      <c r="AF256" s="2298"/>
      <c r="AG256" s="2298"/>
      <c r="AH256" s="2298"/>
      <c r="AI256" s="2298"/>
      <c r="AJ256" s="2298"/>
      <c r="AK256" s="2298"/>
      <c r="AL256" s="2298"/>
      <c r="AM256" s="2298"/>
      <c r="AN256" s="2298"/>
      <c r="AO256" s="2298"/>
    </row>
    <row r="257" spans="16:41">
      <c r="P257" s="2298"/>
      <c r="Q257" s="2298"/>
      <c r="X257" s="2298"/>
      <c r="Y257" s="2298"/>
      <c r="Z257" s="2298"/>
      <c r="AA257" s="2298"/>
      <c r="AB257" s="2298"/>
      <c r="AC257" s="2298"/>
      <c r="AD257" s="2298"/>
      <c r="AE257" s="2298"/>
      <c r="AF257" s="2298"/>
      <c r="AG257" s="2298"/>
      <c r="AH257" s="2298"/>
      <c r="AI257" s="2298"/>
      <c r="AJ257" s="2298"/>
      <c r="AK257" s="2298"/>
      <c r="AL257" s="2298"/>
      <c r="AM257" s="2298"/>
      <c r="AN257" s="2298"/>
      <c r="AO257" s="2298"/>
    </row>
    <row r="258" spans="16:41">
      <c r="P258" s="2298"/>
      <c r="Q258" s="2298"/>
      <c r="X258" s="2298"/>
      <c r="Y258" s="2298"/>
      <c r="Z258" s="2298"/>
      <c r="AA258" s="2298"/>
      <c r="AB258" s="2298"/>
      <c r="AC258" s="2298"/>
      <c r="AD258" s="2298"/>
      <c r="AE258" s="2298"/>
      <c r="AF258" s="2298"/>
      <c r="AG258" s="2298"/>
      <c r="AH258" s="2298"/>
      <c r="AI258" s="2298"/>
      <c r="AJ258" s="2298"/>
      <c r="AK258" s="2298"/>
      <c r="AL258" s="2298"/>
      <c r="AM258" s="2298"/>
      <c r="AN258" s="2298"/>
      <c r="AO258" s="2298"/>
    </row>
    <row r="259" spans="16:41">
      <c r="P259" s="2298"/>
      <c r="Q259" s="2298"/>
      <c r="X259" s="2298"/>
      <c r="Y259" s="2298"/>
      <c r="Z259" s="2298"/>
      <c r="AA259" s="2298"/>
      <c r="AB259" s="2298"/>
      <c r="AC259" s="2298"/>
      <c r="AD259" s="2298"/>
      <c r="AE259" s="2298"/>
      <c r="AF259" s="2298"/>
      <c r="AG259" s="2298"/>
      <c r="AH259" s="2298"/>
      <c r="AI259" s="2298"/>
      <c r="AJ259" s="2298"/>
      <c r="AK259" s="2298"/>
      <c r="AL259" s="2298"/>
      <c r="AM259" s="2298"/>
      <c r="AN259" s="2298"/>
      <c r="AO259" s="2298"/>
    </row>
    <row r="260" spans="16:41">
      <c r="P260" s="2298"/>
      <c r="Q260" s="2298"/>
      <c r="X260" s="2298"/>
      <c r="Y260" s="2298"/>
      <c r="Z260" s="2298"/>
      <c r="AA260" s="2298"/>
      <c r="AB260" s="2298"/>
      <c r="AC260" s="2298"/>
      <c r="AD260" s="2298"/>
      <c r="AE260" s="2298"/>
      <c r="AF260" s="2298"/>
      <c r="AG260" s="2298"/>
      <c r="AH260" s="2298"/>
      <c r="AI260" s="2298"/>
      <c r="AJ260" s="2298"/>
      <c r="AK260" s="2298"/>
      <c r="AL260" s="2298"/>
      <c r="AM260" s="2298"/>
      <c r="AN260" s="2298"/>
      <c r="AO260" s="2298"/>
    </row>
    <row r="261" spans="16:41">
      <c r="P261" s="2298"/>
      <c r="Q261" s="2298"/>
      <c r="X261" s="2298"/>
      <c r="Y261" s="2298"/>
      <c r="Z261" s="2298"/>
      <c r="AA261" s="2298"/>
      <c r="AB261" s="2298"/>
      <c r="AC261" s="2298"/>
      <c r="AD261" s="2298"/>
      <c r="AE261" s="2298"/>
      <c r="AF261" s="2298"/>
      <c r="AG261" s="2298"/>
      <c r="AH261" s="2298"/>
      <c r="AI261" s="2298"/>
      <c r="AJ261" s="2298"/>
      <c r="AK261" s="2298"/>
      <c r="AL261" s="2298"/>
      <c r="AM261" s="2298"/>
      <c r="AN261" s="2298"/>
      <c r="AO261" s="2298"/>
    </row>
    <row r="262" spans="16:41">
      <c r="P262" s="2298"/>
      <c r="Q262" s="2298"/>
      <c r="X262" s="2298"/>
      <c r="Y262" s="2298"/>
      <c r="Z262" s="2298"/>
      <c r="AA262" s="2298"/>
      <c r="AB262" s="2298"/>
      <c r="AC262" s="2298"/>
      <c r="AD262" s="2298"/>
      <c r="AE262" s="2298"/>
      <c r="AF262" s="2298"/>
      <c r="AG262" s="2298"/>
      <c r="AH262" s="2298"/>
      <c r="AI262" s="2298"/>
      <c r="AJ262" s="2298"/>
      <c r="AK262" s="2298"/>
      <c r="AL262" s="2298"/>
      <c r="AM262" s="2298"/>
      <c r="AN262" s="2298"/>
      <c r="AO262" s="2298"/>
    </row>
    <row r="263" spans="16:41">
      <c r="P263" s="2298"/>
      <c r="Q263" s="2298"/>
      <c r="X263" s="2298"/>
      <c r="Y263" s="2298"/>
      <c r="Z263" s="2298"/>
      <c r="AA263" s="2298"/>
      <c r="AB263" s="2298"/>
      <c r="AC263" s="2298"/>
      <c r="AD263" s="2298"/>
      <c r="AE263" s="2298"/>
      <c r="AF263" s="2298"/>
      <c r="AG263" s="2298"/>
      <c r="AH263" s="2298"/>
      <c r="AI263" s="2298"/>
      <c r="AJ263" s="2298"/>
      <c r="AK263" s="2298"/>
      <c r="AL263" s="2298"/>
      <c r="AM263" s="2298"/>
      <c r="AN263" s="2298"/>
      <c r="AO263" s="2298"/>
    </row>
    <row r="264" spans="16:41">
      <c r="P264" s="2298"/>
      <c r="Q264" s="2298"/>
      <c r="X264" s="2298"/>
      <c r="Y264" s="2298"/>
      <c r="Z264" s="2298"/>
      <c r="AA264" s="2298"/>
      <c r="AB264" s="2298"/>
      <c r="AC264" s="2298"/>
      <c r="AD264" s="2298"/>
      <c r="AE264" s="2298"/>
      <c r="AF264" s="2298"/>
      <c r="AG264" s="2298"/>
      <c r="AH264" s="2298"/>
      <c r="AI264" s="2298"/>
      <c r="AJ264" s="2298"/>
      <c r="AK264" s="2298"/>
      <c r="AL264" s="2298"/>
      <c r="AM264" s="2298"/>
      <c r="AN264" s="2298"/>
      <c r="AO264" s="2298"/>
    </row>
    <row r="265" spans="16:41">
      <c r="P265" s="2298"/>
      <c r="Q265" s="2298"/>
      <c r="X265" s="2298"/>
      <c r="Y265" s="2298"/>
      <c r="Z265" s="2298"/>
      <c r="AA265" s="2298"/>
      <c r="AB265" s="2298"/>
      <c r="AC265" s="2298"/>
      <c r="AD265" s="2298"/>
      <c r="AE265" s="2298"/>
      <c r="AF265" s="2298"/>
      <c r="AG265" s="2298"/>
      <c r="AH265" s="2298"/>
      <c r="AI265" s="2298"/>
      <c r="AJ265" s="2298"/>
      <c r="AK265" s="2298"/>
      <c r="AL265" s="2298"/>
      <c r="AM265" s="2298"/>
      <c r="AN265" s="2298"/>
      <c r="AO265" s="2298"/>
    </row>
    <row r="266" spans="16:41">
      <c r="P266" s="2298"/>
      <c r="Q266" s="2298"/>
      <c r="X266" s="2298"/>
      <c r="Y266" s="2298"/>
      <c r="Z266" s="2298"/>
      <c r="AA266" s="2298"/>
      <c r="AB266" s="2298"/>
      <c r="AC266" s="2298"/>
      <c r="AD266" s="2298"/>
      <c r="AE266" s="2298"/>
      <c r="AF266" s="2298"/>
      <c r="AG266" s="2298"/>
      <c r="AH266" s="2298"/>
      <c r="AI266" s="2298"/>
      <c r="AJ266" s="2298"/>
      <c r="AK266" s="2298"/>
      <c r="AL266" s="2298"/>
      <c r="AM266" s="2298"/>
      <c r="AN266" s="2298"/>
      <c r="AO266" s="2298"/>
    </row>
    <row r="267" spans="16:41">
      <c r="P267" s="2298"/>
      <c r="Q267" s="2298"/>
      <c r="X267" s="2298"/>
      <c r="Y267" s="2298"/>
      <c r="Z267" s="2298"/>
      <c r="AA267" s="2298"/>
      <c r="AB267" s="2298"/>
      <c r="AC267" s="2298"/>
      <c r="AD267" s="2298"/>
      <c r="AE267" s="2298"/>
      <c r="AF267" s="2298"/>
      <c r="AG267" s="2298"/>
      <c r="AH267" s="2298"/>
      <c r="AI267" s="2298"/>
      <c r="AJ267" s="2298"/>
      <c r="AK267" s="2298"/>
      <c r="AL267" s="2298"/>
      <c r="AM267" s="2298"/>
      <c r="AN267" s="2298"/>
      <c r="AO267" s="2298"/>
    </row>
    <row r="268" spans="16:41">
      <c r="P268" s="2298"/>
      <c r="Q268" s="2298"/>
      <c r="X268" s="2298"/>
      <c r="Y268" s="2298"/>
      <c r="Z268" s="2298"/>
      <c r="AA268" s="2298"/>
      <c r="AB268" s="2298"/>
      <c r="AC268" s="2298"/>
      <c r="AD268" s="2298"/>
      <c r="AE268" s="2298"/>
      <c r="AF268" s="2298"/>
      <c r="AG268" s="2298"/>
      <c r="AH268" s="2298"/>
      <c r="AI268" s="2298"/>
      <c r="AJ268" s="2298"/>
      <c r="AK268" s="2298"/>
      <c r="AL268" s="2298"/>
      <c r="AM268" s="2298"/>
      <c r="AN268" s="2298"/>
      <c r="AO268" s="2298"/>
    </row>
    <row r="269" spans="16:41">
      <c r="P269" s="2298"/>
      <c r="Q269" s="2298"/>
      <c r="X269" s="2298"/>
      <c r="Y269" s="2298"/>
      <c r="Z269" s="2298"/>
      <c r="AA269" s="2298"/>
      <c r="AB269" s="2298"/>
      <c r="AC269" s="2298"/>
      <c r="AD269" s="2298"/>
      <c r="AE269" s="2298"/>
      <c r="AF269" s="2298"/>
      <c r="AG269" s="2298"/>
      <c r="AH269" s="2298"/>
      <c r="AI269" s="2298"/>
      <c r="AJ269" s="2298"/>
      <c r="AK269" s="2298"/>
      <c r="AL269" s="2298"/>
      <c r="AM269" s="2298"/>
      <c r="AN269" s="2298"/>
      <c r="AO269" s="2298"/>
    </row>
    <row r="270" spans="16:41">
      <c r="P270" s="2298"/>
      <c r="Q270" s="2298"/>
      <c r="X270" s="2298"/>
      <c r="Y270" s="2298"/>
      <c r="Z270" s="2298"/>
      <c r="AA270" s="2298"/>
      <c r="AB270" s="2298"/>
      <c r="AC270" s="2298"/>
      <c r="AD270" s="2298"/>
      <c r="AE270" s="2298"/>
      <c r="AF270" s="2298"/>
      <c r="AG270" s="2298"/>
      <c r="AH270" s="2298"/>
      <c r="AI270" s="2298"/>
      <c r="AJ270" s="2298"/>
      <c r="AK270" s="2298"/>
      <c r="AL270" s="2298"/>
      <c r="AM270" s="2298"/>
      <c r="AN270" s="2298"/>
      <c r="AO270" s="2298"/>
    </row>
    <row r="271" spans="16:41">
      <c r="P271" s="2298"/>
      <c r="Q271" s="2298"/>
      <c r="X271" s="2298"/>
      <c r="Y271" s="2298"/>
      <c r="Z271" s="2298"/>
      <c r="AA271" s="2298"/>
      <c r="AB271" s="2298"/>
      <c r="AC271" s="2298"/>
      <c r="AD271" s="2298"/>
      <c r="AE271" s="2298"/>
      <c r="AF271" s="2298"/>
      <c r="AG271" s="2298"/>
      <c r="AH271" s="2298"/>
      <c r="AI271" s="2298"/>
      <c r="AJ271" s="2298"/>
      <c r="AK271" s="2298"/>
      <c r="AL271" s="2298"/>
      <c r="AM271" s="2298"/>
      <c r="AN271" s="2298"/>
      <c r="AO271" s="2298"/>
    </row>
    <row r="272" spans="16:41">
      <c r="P272" s="2298"/>
      <c r="Q272" s="2298"/>
      <c r="X272" s="2298"/>
      <c r="Y272" s="2298"/>
      <c r="Z272" s="2298"/>
      <c r="AA272" s="2298"/>
      <c r="AB272" s="2298"/>
      <c r="AC272" s="2298"/>
      <c r="AD272" s="2298"/>
      <c r="AE272" s="2298"/>
      <c r="AF272" s="2298"/>
      <c r="AG272" s="2298"/>
      <c r="AH272" s="2298"/>
      <c r="AI272" s="2298"/>
      <c r="AJ272" s="2298"/>
      <c r="AK272" s="2298"/>
      <c r="AL272" s="2298"/>
      <c r="AM272" s="2298"/>
      <c r="AN272" s="2298"/>
      <c r="AO272" s="2298"/>
    </row>
    <row r="273" spans="16:41">
      <c r="P273" s="2298"/>
      <c r="Q273" s="2298"/>
      <c r="X273" s="2298"/>
      <c r="Y273" s="2298"/>
      <c r="Z273" s="2298"/>
      <c r="AA273" s="2298"/>
      <c r="AB273" s="2298"/>
      <c r="AC273" s="2298"/>
      <c r="AD273" s="2298"/>
      <c r="AE273" s="2298"/>
      <c r="AF273" s="2298"/>
      <c r="AG273" s="2298"/>
      <c r="AH273" s="2298"/>
      <c r="AI273" s="2298"/>
      <c r="AJ273" s="2298"/>
      <c r="AK273" s="2298"/>
      <c r="AL273" s="2298"/>
      <c r="AM273" s="2298"/>
      <c r="AN273" s="2298"/>
      <c r="AO273" s="2298"/>
    </row>
    <row r="274" spans="16:41">
      <c r="P274" s="2298"/>
      <c r="Q274" s="2298"/>
      <c r="X274" s="2298"/>
      <c r="Y274" s="2298"/>
      <c r="Z274" s="2298"/>
      <c r="AA274" s="2298"/>
      <c r="AB274" s="2298"/>
      <c r="AC274" s="2298"/>
      <c r="AD274" s="2298"/>
      <c r="AE274" s="2298"/>
      <c r="AF274" s="2298"/>
      <c r="AG274" s="2298"/>
      <c r="AH274" s="2298"/>
      <c r="AI274" s="2298"/>
      <c r="AJ274" s="2298"/>
      <c r="AK274" s="2298"/>
      <c r="AL274" s="2298"/>
      <c r="AM274" s="2298"/>
      <c r="AN274" s="2298"/>
      <c r="AO274" s="2298"/>
    </row>
    <row r="275" spans="16:41">
      <c r="P275" s="2298"/>
      <c r="Q275" s="2298"/>
      <c r="X275" s="2298"/>
      <c r="Y275" s="2298"/>
      <c r="Z275" s="2298"/>
      <c r="AA275" s="2298"/>
      <c r="AB275" s="2298"/>
      <c r="AC275" s="2298"/>
      <c r="AD275" s="2298"/>
      <c r="AE275" s="2298"/>
      <c r="AF275" s="2298"/>
      <c r="AG275" s="2298"/>
      <c r="AH275" s="2298"/>
      <c r="AI275" s="2298"/>
      <c r="AJ275" s="2298"/>
      <c r="AK275" s="2298"/>
      <c r="AL275" s="2298"/>
      <c r="AM275" s="2298"/>
      <c r="AN275" s="2298"/>
      <c r="AO275" s="2298"/>
    </row>
    <row r="276" spans="16:41">
      <c r="P276" s="2298"/>
      <c r="Q276" s="2298"/>
      <c r="X276" s="2298"/>
      <c r="Y276" s="2298"/>
      <c r="Z276" s="2298"/>
      <c r="AA276" s="2298"/>
      <c r="AB276" s="2298"/>
      <c r="AC276" s="2298"/>
      <c r="AD276" s="2298"/>
      <c r="AE276" s="2298"/>
      <c r="AF276" s="2298"/>
      <c r="AG276" s="2298"/>
      <c r="AH276" s="2298"/>
      <c r="AI276" s="2298"/>
      <c r="AJ276" s="2298"/>
      <c r="AK276" s="2298"/>
      <c r="AL276" s="2298"/>
      <c r="AM276" s="2298"/>
      <c r="AN276" s="2298"/>
      <c r="AO276" s="2298"/>
    </row>
    <row r="277" spans="16:41">
      <c r="P277" s="2298"/>
      <c r="Q277" s="2298"/>
      <c r="X277" s="2298"/>
      <c r="Y277" s="2298"/>
      <c r="Z277" s="2298"/>
      <c r="AA277" s="2298"/>
      <c r="AB277" s="2298"/>
      <c r="AC277" s="2298"/>
      <c r="AD277" s="2298"/>
      <c r="AE277" s="2298"/>
      <c r="AF277" s="2298"/>
      <c r="AG277" s="2298"/>
      <c r="AH277" s="2298"/>
      <c r="AI277" s="2298"/>
      <c r="AJ277" s="2298"/>
      <c r="AK277" s="2298"/>
      <c r="AL277" s="2298"/>
      <c r="AM277" s="2298"/>
      <c r="AN277" s="2298"/>
      <c r="AO277" s="2298"/>
    </row>
    <row r="278" spans="16:41">
      <c r="P278" s="2298"/>
      <c r="Q278" s="2298"/>
      <c r="X278" s="2298"/>
      <c r="Y278" s="2298"/>
      <c r="Z278" s="2298"/>
      <c r="AA278" s="2298"/>
      <c r="AB278" s="2298"/>
      <c r="AC278" s="2298"/>
      <c r="AD278" s="2298"/>
      <c r="AE278" s="2298"/>
      <c r="AF278" s="2298"/>
      <c r="AG278" s="2298"/>
      <c r="AH278" s="2298"/>
      <c r="AI278" s="2298"/>
      <c r="AJ278" s="2298"/>
      <c r="AK278" s="2298"/>
      <c r="AL278" s="2298"/>
      <c r="AM278" s="2298"/>
      <c r="AN278" s="2298"/>
      <c r="AO278" s="2298"/>
    </row>
    <row r="279" spans="16:41">
      <c r="P279" s="2298"/>
      <c r="Q279" s="2298"/>
      <c r="X279" s="2298"/>
      <c r="Y279" s="2298"/>
      <c r="Z279" s="2298"/>
      <c r="AA279" s="2298"/>
      <c r="AB279" s="2298"/>
      <c r="AC279" s="2298"/>
      <c r="AD279" s="2298"/>
      <c r="AE279" s="2298"/>
      <c r="AF279" s="2298"/>
      <c r="AG279" s="2298"/>
      <c r="AH279" s="2298"/>
      <c r="AI279" s="2298"/>
      <c r="AJ279" s="2298"/>
      <c r="AK279" s="2298"/>
      <c r="AL279" s="2298"/>
      <c r="AM279" s="2298"/>
      <c r="AN279" s="2298"/>
      <c r="AO279" s="2298"/>
    </row>
    <row r="280" spans="16:41">
      <c r="P280" s="2298"/>
      <c r="Q280" s="2298"/>
      <c r="X280" s="2298"/>
      <c r="Y280" s="2298"/>
      <c r="Z280" s="2298"/>
      <c r="AA280" s="2298"/>
      <c r="AB280" s="2298"/>
      <c r="AC280" s="2298"/>
      <c r="AD280" s="2298"/>
      <c r="AE280" s="2298"/>
      <c r="AF280" s="2298"/>
      <c r="AG280" s="2298"/>
      <c r="AH280" s="2298"/>
      <c r="AI280" s="2298"/>
      <c r="AJ280" s="2298"/>
      <c r="AK280" s="2298"/>
      <c r="AL280" s="2298"/>
      <c r="AM280" s="2298"/>
      <c r="AN280" s="2298"/>
      <c r="AO280" s="2298"/>
    </row>
    <row r="281" spans="16:41">
      <c r="P281" s="2298"/>
      <c r="Q281" s="2298"/>
      <c r="X281" s="2298"/>
      <c r="Y281" s="2298"/>
      <c r="Z281" s="2298"/>
      <c r="AA281" s="2298"/>
      <c r="AB281" s="2298"/>
      <c r="AC281" s="2298"/>
      <c r="AD281" s="2298"/>
      <c r="AE281" s="2298"/>
      <c r="AF281" s="2298"/>
      <c r="AG281" s="2298"/>
      <c r="AH281" s="2298"/>
      <c r="AI281" s="2298"/>
      <c r="AJ281" s="2298"/>
      <c r="AK281" s="2298"/>
      <c r="AL281" s="2298"/>
      <c r="AM281" s="2298"/>
      <c r="AN281" s="2298"/>
      <c r="AO281" s="2298"/>
    </row>
    <row r="282" spans="16:41">
      <c r="P282" s="2298"/>
      <c r="Q282" s="2298"/>
      <c r="X282" s="2298"/>
      <c r="Y282" s="2298"/>
      <c r="Z282" s="2298"/>
      <c r="AA282" s="2298"/>
      <c r="AB282" s="2298"/>
      <c r="AC282" s="2298"/>
      <c r="AD282" s="2298"/>
      <c r="AE282" s="2298"/>
      <c r="AF282" s="2298"/>
      <c r="AG282" s="2298"/>
      <c r="AH282" s="2298"/>
      <c r="AI282" s="2298"/>
      <c r="AJ282" s="2298"/>
      <c r="AK282" s="2298"/>
      <c r="AL282" s="2298"/>
      <c r="AM282" s="2298"/>
      <c r="AN282" s="2298"/>
      <c r="AO282" s="2298"/>
    </row>
    <row r="283" spans="16:41">
      <c r="P283" s="2298"/>
      <c r="Q283" s="2298"/>
      <c r="X283" s="2298"/>
      <c r="Y283" s="2298"/>
      <c r="Z283" s="2298"/>
      <c r="AA283" s="2298"/>
      <c r="AB283" s="2298"/>
      <c r="AC283" s="2298"/>
      <c r="AD283" s="2298"/>
      <c r="AE283" s="2298"/>
      <c r="AF283" s="2298"/>
      <c r="AG283" s="2298"/>
      <c r="AH283" s="2298"/>
      <c r="AI283" s="2298"/>
      <c r="AJ283" s="2298"/>
      <c r="AK283" s="2298"/>
      <c r="AL283" s="2298"/>
      <c r="AM283" s="2298"/>
      <c r="AN283" s="2298"/>
      <c r="AO283" s="2298"/>
    </row>
    <row r="284" spans="16:41">
      <c r="P284" s="2298"/>
      <c r="Q284" s="2298"/>
      <c r="X284" s="2298"/>
      <c r="Y284" s="2298"/>
      <c r="Z284" s="2298"/>
      <c r="AA284" s="2298"/>
      <c r="AB284" s="2298"/>
      <c r="AC284" s="2298"/>
      <c r="AD284" s="2298"/>
      <c r="AE284" s="2298"/>
      <c r="AF284" s="2298"/>
      <c r="AG284" s="2298"/>
      <c r="AH284" s="2298"/>
      <c r="AI284" s="2298"/>
      <c r="AJ284" s="2298"/>
      <c r="AK284" s="2298"/>
      <c r="AL284" s="2298"/>
      <c r="AM284" s="2298"/>
      <c r="AN284" s="2298"/>
      <c r="AO284" s="2298"/>
    </row>
    <row r="285" spans="16:41">
      <c r="P285" s="2298"/>
      <c r="Q285" s="2298"/>
      <c r="X285" s="2298"/>
      <c r="Y285" s="2298"/>
      <c r="Z285" s="2298"/>
      <c r="AA285" s="2298"/>
      <c r="AB285" s="2298"/>
      <c r="AC285" s="2298"/>
      <c r="AD285" s="2298"/>
      <c r="AE285" s="2298"/>
      <c r="AF285" s="2298"/>
      <c r="AG285" s="2298"/>
      <c r="AH285" s="2298"/>
      <c r="AI285" s="2298"/>
      <c r="AJ285" s="2298"/>
      <c r="AK285" s="2298"/>
      <c r="AL285" s="2298"/>
      <c r="AM285" s="2298"/>
      <c r="AN285" s="2298"/>
      <c r="AO285" s="2298"/>
    </row>
    <row r="286" spans="16:41">
      <c r="P286" s="2298"/>
      <c r="Q286" s="2298"/>
      <c r="X286" s="2298"/>
      <c r="Y286" s="2298"/>
      <c r="Z286" s="2298"/>
      <c r="AA286" s="2298"/>
      <c r="AB286" s="2298"/>
      <c r="AC286" s="2298"/>
      <c r="AD286" s="2298"/>
      <c r="AE286" s="2298"/>
      <c r="AF286" s="2298"/>
      <c r="AG286" s="2298"/>
      <c r="AH286" s="2298"/>
      <c r="AI286" s="2298"/>
      <c r="AJ286" s="2298"/>
      <c r="AK286" s="2298"/>
      <c r="AL286" s="2298"/>
      <c r="AM286" s="2298"/>
      <c r="AN286" s="2298"/>
      <c r="AO286" s="2298"/>
    </row>
    <row r="287" spans="16:41">
      <c r="P287" s="2298"/>
      <c r="Q287" s="2298"/>
      <c r="X287" s="2298"/>
      <c r="Y287" s="2298"/>
      <c r="Z287" s="2298"/>
      <c r="AA287" s="2298"/>
      <c r="AB287" s="2298"/>
      <c r="AC287" s="2298"/>
      <c r="AD287" s="2298"/>
      <c r="AE287" s="2298"/>
      <c r="AF287" s="2298"/>
      <c r="AG287" s="2298"/>
      <c r="AH287" s="2298"/>
      <c r="AI287" s="2298"/>
      <c r="AJ287" s="2298"/>
      <c r="AK287" s="2298"/>
      <c r="AL287" s="2298"/>
      <c r="AM287" s="2298"/>
      <c r="AN287" s="2298"/>
      <c r="AO287" s="2298"/>
    </row>
    <row r="288" spans="16:41">
      <c r="P288" s="2298"/>
      <c r="Q288" s="2298"/>
      <c r="X288" s="2298"/>
      <c r="Y288" s="2298"/>
      <c r="Z288" s="2298"/>
      <c r="AA288" s="2298"/>
      <c r="AB288" s="2298"/>
      <c r="AC288" s="2298"/>
      <c r="AD288" s="2298"/>
      <c r="AE288" s="2298"/>
      <c r="AF288" s="2298"/>
      <c r="AG288" s="2298"/>
      <c r="AH288" s="2298"/>
      <c r="AI288" s="2298"/>
      <c r="AJ288" s="2298"/>
      <c r="AK288" s="2298"/>
      <c r="AL288" s="2298"/>
      <c r="AM288" s="2298"/>
      <c r="AN288" s="2298"/>
      <c r="AO288" s="2298"/>
    </row>
    <row r="289" spans="16:41">
      <c r="P289" s="2298"/>
      <c r="Q289" s="2298"/>
      <c r="X289" s="2298"/>
      <c r="Y289" s="2298"/>
      <c r="Z289" s="2298"/>
      <c r="AA289" s="2298"/>
      <c r="AB289" s="2298"/>
      <c r="AC289" s="2298"/>
      <c r="AD289" s="2298"/>
      <c r="AE289" s="2298"/>
      <c r="AF289" s="2298"/>
      <c r="AG289" s="2298"/>
      <c r="AH289" s="2298"/>
      <c r="AI289" s="2298"/>
      <c r="AJ289" s="2298"/>
      <c r="AK289" s="2298"/>
      <c r="AL289" s="2298"/>
      <c r="AM289" s="2298"/>
      <c r="AN289" s="2298"/>
      <c r="AO289" s="2298"/>
    </row>
    <row r="290" spans="16:41">
      <c r="P290" s="2298"/>
      <c r="Q290" s="2298"/>
      <c r="X290" s="2298"/>
      <c r="Y290" s="2298"/>
      <c r="Z290" s="2298"/>
      <c r="AA290" s="2298"/>
      <c r="AB290" s="2298"/>
      <c r="AC290" s="2298"/>
      <c r="AD290" s="2298"/>
      <c r="AE290" s="2298"/>
      <c r="AF290" s="2298"/>
      <c r="AG290" s="2298"/>
      <c r="AH290" s="2298"/>
      <c r="AI290" s="2298"/>
      <c r="AJ290" s="2298"/>
      <c r="AK290" s="2298"/>
      <c r="AL290" s="2298"/>
      <c r="AM290" s="2298"/>
      <c r="AN290" s="2298"/>
      <c r="AO290" s="2298"/>
    </row>
    <row r="291" spans="16:41">
      <c r="P291" s="2298"/>
      <c r="Q291" s="2298"/>
      <c r="X291" s="2298"/>
      <c r="Y291" s="2298"/>
      <c r="Z291" s="2298"/>
      <c r="AA291" s="2298"/>
      <c r="AB291" s="2298"/>
      <c r="AC291" s="2298"/>
      <c r="AD291" s="2298"/>
      <c r="AE291" s="2298"/>
      <c r="AF291" s="2298"/>
      <c r="AG291" s="2298"/>
      <c r="AH291" s="2298"/>
      <c r="AI291" s="2298"/>
      <c r="AJ291" s="2298"/>
      <c r="AK291" s="2298"/>
      <c r="AL291" s="2298"/>
      <c r="AM291" s="2298"/>
      <c r="AN291" s="2298"/>
      <c r="AO291" s="2298"/>
    </row>
    <row r="292" spans="16:41">
      <c r="P292" s="2298"/>
      <c r="Q292" s="2298"/>
      <c r="X292" s="2298"/>
      <c r="Y292" s="2298"/>
      <c r="Z292" s="2298"/>
      <c r="AA292" s="2298"/>
      <c r="AB292" s="2298"/>
      <c r="AC292" s="2298"/>
      <c r="AD292" s="2298"/>
      <c r="AE292" s="2298"/>
      <c r="AF292" s="2298"/>
      <c r="AG292" s="2298"/>
      <c r="AH292" s="2298"/>
      <c r="AI292" s="2298"/>
      <c r="AJ292" s="2298"/>
      <c r="AK292" s="2298"/>
      <c r="AL292" s="2298"/>
      <c r="AM292" s="2298"/>
      <c r="AN292" s="2298"/>
      <c r="AO292" s="2298"/>
    </row>
    <row r="293" spans="16:41">
      <c r="P293" s="2298"/>
      <c r="Q293" s="2298"/>
      <c r="X293" s="2298"/>
      <c r="Y293" s="2298"/>
      <c r="Z293" s="2298"/>
      <c r="AA293" s="2298"/>
      <c r="AB293" s="2298"/>
      <c r="AC293" s="2298"/>
      <c r="AD293" s="2298"/>
      <c r="AE293" s="2298"/>
      <c r="AF293" s="2298"/>
      <c r="AG293" s="2298"/>
      <c r="AH293" s="2298"/>
      <c r="AI293" s="2298"/>
      <c r="AJ293" s="2298"/>
      <c r="AK293" s="2298"/>
      <c r="AL293" s="2298"/>
      <c r="AM293" s="2298"/>
      <c r="AN293" s="2298"/>
      <c r="AO293" s="2298"/>
    </row>
    <row r="294" spans="16:41">
      <c r="P294" s="2298"/>
      <c r="Q294" s="2298"/>
      <c r="X294" s="2298"/>
      <c r="Y294" s="2298"/>
      <c r="Z294" s="2298"/>
      <c r="AA294" s="2298"/>
      <c r="AB294" s="2298"/>
      <c r="AC294" s="2298"/>
      <c r="AD294" s="2298"/>
      <c r="AE294" s="2298"/>
      <c r="AF294" s="2298"/>
      <c r="AG294" s="2298"/>
      <c r="AH294" s="2298"/>
      <c r="AI294" s="2298"/>
      <c r="AJ294" s="2298"/>
      <c r="AK294" s="2298"/>
      <c r="AL294" s="2298"/>
      <c r="AM294" s="2298"/>
      <c r="AN294" s="2298"/>
      <c r="AO294" s="2298"/>
    </row>
    <row r="295" spans="16:41">
      <c r="P295" s="2298"/>
      <c r="Q295" s="2298"/>
      <c r="X295" s="2298"/>
      <c r="Y295" s="2298"/>
      <c r="Z295" s="2298"/>
      <c r="AA295" s="2298"/>
      <c r="AB295" s="2298"/>
      <c r="AC295" s="2298"/>
      <c r="AD295" s="2298"/>
      <c r="AE295" s="2298"/>
      <c r="AF295" s="2298"/>
      <c r="AG295" s="2298"/>
      <c r="AH295" s="2298"/>
      <c r="AI295" s="2298"/>
      <c r="AJ295" s="2298"/>
      <c r="AK295" s="2298"/>
      <c r="AL295" s="2298"/>
      <c r="AM295" s="2298"/>
      <c r="AN295" s="2298"/>
      <c r="AO295" s="2298"/>
    </row>
    <row r="296" spans="16:41">
      <c r="P296" s="2298"/>
      <c r="Q296" s="2298"/>
      <c r="X296" s="2298"/>
      <c r="Y296" s="2298"/>
      <c r="Z296" s="2298"/>
      <c r="AA296" s="2298"/>
      <c r="AB296" s="2298"/>
      <c r="AC296" s="2298"/>
      <c r="AD296" s="2298"/>
      <c r="AE296" s="2298"/>
      <c r="AF296" s="2298"/>
      <c r="AG296" s="2298"/>
      <c r="AH296" s="2298"/>
      <c r="AI296" s="2298"/>
      <c r="AJ296" s="2298"/>
      <c r="AK296" s="2298"/>
      <c r="AL296" s="2298"/>
      <c r="AM296" s="2298"/>
      <c r="AN296" s="2298"/>
      <c r="AO296" s="2298"/>
    </row>
    <row r="297" spans="16:41">
      <c r="P297" s="2298"/>
      <c r="Q297" s="2298"/>
      <c r="X297" s="2298"/>
      <c r="Y297" s="2298"/>
      <c r="Z297" s="2298"/>
      <c r="AA297" s="2298"/>
      <c r="AB297" s="2298"/>
      <c r="AC297" s="2298"/>
      <c r="AD297" s="2298"/>
      <c r="AE297" s="2298"/>
      <c r="AF297" s="2298"/>
      <c r="AG297" s="2298"/>
      <c r="AH297" s="2298"/>
      <c r="AI297" s="2298"/>
      <c r="AJ297" s="2298"/>
      <c r="AK297" s="2298"/>
      <c r="AL297" s="2298"/>
      <c r="AM297" s="2298"/>
      <c r="AN297" s="2298"/>
      <c r="AO297" s="2298"/>
    </row>
    <row r="298" spans="16:41">
      <c r="P298" s="2298"/>
      <c r="Q298" s="2298"/>
      <c r="X298" s="2298"/>
      <c r="Y298" s="2298"/>
      <c r="Z298" s="2298"/>
      <c r="AA298" s="2298"/>
      <c r="AB298" s="2298"/>
      <c r="AC298" s="2298"/>
      <c r="AD298" s="2298"/>
      <c r="AE298" s="2298"/>
      <c r="AF298" s="2298"/>
      <c r="AG298" s="2298"/>
      <c r="AH298" s="2298"/>
      <c r="AI298" s="2298"/>
      <c r="AJ298" s="2298"/>
      <c r="AK298" s="2298"/>
      <c r="AL298" s="2298"/>
      <c r="AM298" s="2298"/>
      <c r="AN298" s="2298"/>
      <c r="AO298" s="2298"/>
    </row>
    <row r="299" spans="16:41">
      <c r="P299" s="2298"/>
      <c r="Q299" s="2298"/>
      <c r="X299" s="2298"/>
      <c r="Y299" s="2298"/>
      <c r="Z299" s="2298"/>
      <c r="AA299" s="2298"/>
      <c r="AB299" s="2298"/>
      <c r="AC299" s="2298"/>
      <c r="AD299" s="2298"/>
      <c r="AE299" s="2298"/>
      <c r="AF299" s="2298"/>
      <c r="AG299" s="2298"/>
      <c r="AH299" s="2298"/>
      <c r="AI299" s="2298"/>
      <c r="AJ299" s="2298"/>
      <c r="AK299" s="2298"/>
      <c r="AL299" s="2298"/>
      <c r="AM299" s="2298"/>
      <c r="AN299" s="2298"/>
      <c r="AO299" s="2298"/>
    </row>
    <row r="300" spans="16:41">
      <c r="P300" s="2298"/>
      <c r="Q300" s="2298"/>
      <c r="X300" s="2298"/>
      <c r="Y300" s="2298"/>
      <c r="Z300" s="2298"/>
      <c r="AA300" s="2298"/>
      <c r="AB300" s="2298"/>
      <c r="AC300" s="2298"/>
      <c r="AD300" s="2298"/>
      <c r="AE300" s="2298"/>
      <c r="AF300" s="2298"/>
      <c r="AG300" s="2298"/>
      <c r="AH300" s="2298"/>
      <c r="AI300" s="2298"/>
      <c r="AJ300" s="2298"/>
      <c r="AK300" s="2298"/>
      <c r="AL300" s="2298"/>
      <c r="AM300" s="2298"/>
      <c r="AN300" s="2298"/>
      <c r="AO300" s="2298"/>
    </row>
    <row r="301" spans="16:41">
      <c r="P301" s="2298"/>
      <c r="Q301" s="2298"/>
      <c r="X301" s="2298"/>
      <c r="Y301" s="2298"/>
      <c r="Z301" s="2298"/>
      <c r="AA301" s="2298"/>
      <c r="AB301" s="2298"/>
      <c r="AC301" s="2298"/>
      <c r="AD301" s="2298"/>
      <c r="AE301" s="2298"/>
      <c r="AF301" s="2298"/>
      <c r="AG301" s="2298"/>
      <c r="AH301" s="2298"/>
      <c r="AI301" s="2298"/>
      <c r="AJ301" s="2298"/>
      <c r="AK301" s="2298"/>
      <c r="AL301" s="2298"/>
      <c r="AM301" s="2298"/>
      <c r="AN301" s="2298"/>
      <c r="AO301" s="2298"/>
    </row>
    <row r="302" spans="16:41">
      <c r="P302" s="2298"/>
      <c r="Q302" s="2298"/>
      <c r="X302" s="2298"/>
      <c r="Y302" s="2298"/>
      <c r="Z302" s="2298"/>
      <c r="AA302" s="2298"/>
      <c r="AB302" s="2298"/>
      <c r="AC302" s="2298"/>
      <c r="AD302" s="2298"/>
      <c r="AE302" s="2298"/>
      <c r="AF302" s="2298"/>
      <c r="AG302" s="2298"/>
      <c r="AH302" s="2298"/>
      <c r="AI302" s="2298"/>
      <c r="AJ302" s="2298"/>
      <c r="AK302" s="2298"/>
      <c r="AL302" s="2298"/>
      <c r="AM302" s="2298"/>
      <c r="AN302" s="2298"/>
      <c r="AO302" s="2298"/>
    </row>
    <row r="303" spans="16:41">
      <c r="P303" s="2298"/>
      <c r="Q303" s="2298"/>
      <c r="X303" s="2298"/>
      <c r="Y303" s="2298"/>
      <c r="Z303" s="2298"/>
      <c r="AA303" s="2298"/>
      <c r="AB303" s="2298"/>
      <c r="AC303" s="2298"/>
      <c r="AD303" s="2298"/>
      <c r="AE303" s="2298"/>
      <c r="AF303" s="2298"/>
      <c r="AG303" s="2298"/>
      <c r="AH303" s="2298"/>
      <c r="AI303" s="2298"/>
      <c r="AJ303" s="2298"/>
      <c r="AK303" s="2298"/>
      <c r="AL303" s="2298"/>
      <c r="AM303" s="2298"/>
      <c r="AN303" s="2298"/>
      <c r="AO303" s="2298"/>
    </row>
    <row r="304" spans="16:41">
      <c r="P304" s="2298"/>
      <c r="Q304" s="2298"/>
      <c r="X304" s="2298"/>
      <c r="Y304" s="2298"/>
      <c r="Z304" s="2298"/>
      <c r="AA304" s="2298"/>
      <c r="AB304" s="2298"/>
      <c r="AC304" s="2298"/>
      <c r="AD304" s="2298"/>
      <c r="AE304" s="2298"/>
      <c r="AF304" s="2298"/>
      <c r="AG304" s="2298"/>
      <c r="AH304" s="2298"/>
      <c r="AI304" s="2298"/>
      <c r="AJ304" s="2298"/>
      <c r="AK304" s="2298"/>
      <c r="AL304" s="2298"/>
      <c r="AM304" s="2298"/>
      <c r="AN304" s="2298"/>
      <c r="AO304" s="2298"/>
    </row>
    <row r="305" spans="16:41">
      <c r="P305" s="2298"/>
      <c r="Q305" s="2298"/>
      <c r="X305" s="2298"/>
      <c r="Y305" s="2298"/>
      <c r="Z305" s="2298"/>
      <c r="AA305" s="2298"/>
      <c r="AB305" s="2298"/>
      <c r="AC305" s="2298"/>
      <c r="AD305" s="2298"/>
      <c r="AE305" s="2298"/>
      <c r="AF305" s="2298"/>
      <c r="AG305" s="2298"/>
      <c r="AH305" s="2298"/>
      <c r="AI305" s="2298"/>
      <c r="AJ305" s="2298"/>
      <c r="AK305" s="2298"/>
      <c r="AL305" s="2298"/>
      <c r="AM305" s="2298"/>
      <c r="AN305" s="2298"/>
      <c r="AO305" s="2298"/>
    </row>
    <row r="306" spans="16:41">
      <c r="P306" s="2298"/>
      <c r="Q306" s="2298"/>
      <c r="X306" s="2298"/>
      <c r="Y306" s="2298"/>
      <c r="Z306" s="2298"/>
      <c r="AA306" s="2298"/>
      <c r="AB306" s="2298"/>
      <c r="AC306" s="2298"/>
      <c r="AD306" s="2298"/>
      <c r="AE306" s="2298"/>
      <c r="AF306" s="2298"/>
      <c r="AG306" s="2298"/>
      <c r="AH306" s="2298"/>
      <c r="AI306" s="2298"/>
      <c r="AJ306" s="2298"/>
      <c r="AK306" s="2298"/>
      <c r="AL306" s="2298"/>
      <c r="AM306" s="2298"/>
      <c r="AN306" s="2298"/>
      <c r="AO306" s="2298"/>
    </row>
    <row r="307" spans="16:41">
      <c r="P307" s="2298"/>
      <c r="Q307" s="2298"/>
      <c r="X307" s="2298"/>
      <c r="Y307" s="2298"/>
      <c r="Z307" s="2298"/>
      <c r="AA307" s="2298"/>
      <c r="AB307" s="2298"/>
      <c r="AC307" s="2298"/>
      <c r="AD307" s="2298"/>
      <c r="AE307" s="2298"/>
      <c r="AF307" s="2298"/>
      <c r="AG307" s="2298"/>
      <c r="AH307" s="2298"/>
      <c r="AI307" s="2298"/>
      <c r="AJ307" s="2298"/>
      <c r="AK307" s="2298"/>
      <c r="AL307" s="2298"/>
      <c r="AM307" s="2298"/>
      <c r="AN307" s="2298"/>
      <c r="AO307" s="2298"/>
    </row>
    <row r="308" spans="16:41">
      <c r="P308" s="2298"/>
      <c r="Q308" s="2298"/>
      <c r="X308" s="2298"/>
      <c r="Y308" s="2298"/>
      <c r="Z308" s="2298"/>
      <c r="AA308" s="2298"/>
      <c r="AB308" s="2298"/>
      <c r="AC308" s="2298"/>
      <c r="AD308" s="2298"/>
      <c r="AE308" s="2298"/>
      <c r="AF308" s="2298"/>
      <c r="AG308" s="2298"/>
      <c r="AH308" s="2298"/>
      <c r="AI308" s="2298"/>
      <c r="AJ308" s="2298"/>
      <c r="AK308" s="2298"/>
      <c r="AL308" s="2298"/>
      <c r="AM308" s="2298"/>
      <c r="AN308" s="2298"/>
      <c r="AO308" s="2298"/>
    </row>
    <row r="309" spans="16:41">
      <c r="P309" s="2298"/>
      <c r="Q309" s="2298"/>
      <c r="X309" s="2298"/>
      <c r="Y309" s="2298"/>
      <c r="Z309" s="2298"/>
      <c r="AA309" s="2298"/>
      <c r="AB309" s="2298"/>
      <c r="AC309" s="2298"/>
      <c r="AD309" s="2298"/>
      <c r="AE309" s="2298"/>
      <c r="AF309" s="2298"/>
      <c r="AG309" s="2298"/>
      <c r="AH309" s="2298"/>
      <c r="AI309" s="2298"/>
      <c r="AJ309" s="2298"/>
      <c r="AK309" s="2298"/>
      <c r="AL309" s="2298"/>
      <c r="AM309" s="2298"/>
      <c r="AN309" s="2298"/>
      <c r="AO309" s="2298"/>
    </row>
    <row r="310" spans="16:41">
      <c r="P310" s="2298"/>
      <c r="Q310" s="2298"/>
      <c r="X310" s="2298"/>
      <c r="Y310" s="2298"/>
      <c r="Z310" s="2298"/>
      <c r="AA310" s="2298"/>
      <c r="AB310" s="2298"/>
      <c r="AC310" s="2298"/>
      <c r="AD310" s="2298"/>
      <c r="AE310" s="2298"/>
      <c r="AF310" s="2298"/>
      <c r="AG310" s="2298"/>
      <c r="AH310" s="2298"/>
      <c r="AI310" s="2298"/>
      <c r="AJ310" s="2298"/>
      <c r="AK310" s="2298"/>
      <c r="AL310" s="2298"/>
      <c r="AM310" s="2298"/>
      <c r="AN310" s="2298"/>
      <c r="AO310" s="2298"/>
    </row>
    <row r="311" spans="16:41">
      <c r="P311" s="2298"/>
      <c r="Q311" s="2298"/>
      <c r="X311" s="2298"/>
      <c r="Y311" s="2298"/>
      <c r="Z311" s="2298"/>
      <c r="AA311" s="2298"/>
      <c r="AB311" s="2298"/>
      <c r="AC311" s="2298"/>
      <c r="AD311" s="2298"/>
      <c r="AE311" s="2298"/>
      <c r="AF311" s="2298"/>
      <c r="AG311" s="2298"/>
      <c r="AH311" s="2298"/>
      <c r="AI311" s="2298"/>
      <c r="AJ311" s="2298"/>
      <c r="AK311" s="2298"/>
      <c r="AL311" s="2298"/>
      <c r="AM311" s="2298"/>
      <c r="AN311" s="2298"/>
      <c r="AO311" s="2298"/>
    </row>
    <row r="312" spans="16:41">
      <c r="P312" s="2298"/>
      <c r="Q312" s="2298"/>
      <c r="X312" s="2298"/>
      <c r="Y312" s="2298"/>
      <c r="Z312" s="2298"/>
      <c r="AA312" s="2298"/>
      <c r="AB312" s="2298"/>
      <c r="AC312" s="2298"/>
      <c r="AD312" s="2298"/>
      <c r="AE312" s="2298"/>
      <c r="AF312" s="2298"/>
      <c r="AG312" s="2298"/>
      <c r="AH312" s="2298"/>
      <c r="AI312" s="2298"/>
      <c r="AJ312" s="2298"/>
      <c r="AK312" s="2298"/>
      <c r="AL312" s="2298"/>
      <c r="AM312" s="2298"/>
      <c r="AN312" s="2298"/>
      <c r="AO312" s="2298"/>
    </row>
    <row r="313" spans="16:41">
      <c r="P313" s="2298"/>
      <c r="Q313" s="2298"/>
      <c r="X313" s="2298"/>
      <c r="Y313" s="2298"/>
      <c r="Z313" s="2298"/>
      <c r="AA313" s="2298"/>
      <c r="AB313" s="2298"/>
      <c r="AC313" s="2298"/>
      <c r="AD313" s="2298"/>
      <c r="AE313" s="2298"/>
      <c r="AF313" s="2298"/>
      <c r="AG313" s="2298"/>
      <c r="AH313" s="2298"/>
      <c r="AI313" s="2298"/>
      <c r="AJ313" s="2298"/>
      <c r="AK313" s="2298"/>
      <c r="AL313" s="2298"/>
      <c r="AM313" s="2298"/>
      <c r="AN313" s="2298"/>
      <c r="AO313" s="2298"/>
    </row>
    <row r="314" spans="16:41">
      <c r="P314" s="2298"/>
      <c r="Q314" s="2298"/>
      <c r="X314" s="2298"/>
      <c r="Y314" s="2298"/>
      <c r="Z314" s="2298"/>
      <c r="AA314" s="2298"/>
      <c r="AB314" s="2298"/>
      <c r="AC314" s="2298"/>
      <c r="AD314" s="2298"/>
      <c r="AE314" s="2298"/>
      <c r="AF314" s="2298"/>
      <c r="AG314" s="2298"/>
      <c r="AH314" s="2298"/>
      <c r="AI314" s="2298"/>
      <c r="AJ314" s="2298"/>
      <c r="AK314" s="2298"/>
      <c r="AL314" s="2298"/>
      <c r="AM314" s="2298"/>
      <c r="AN314" s="2298"/>
      <c r="AO314" s="2298"/>
    </row>
    <row r="315" spans="16:41">
      <c r="P315" s="2298"/>
      <c r="Q315" s="2298"/>
      <c r="X315" s="2298"/>
      <c r="Y315" s="2298"/>
      <c r="Z315" s="2298"/>
      <c r="AA315" s="2298"/>
      <c r="AB315" s="2298"/>
      <c r="AC315" s="2298"/>
      <c r="AD315" s="2298"/>
      <c r="AE315" s="2298"/>
      <c r="AF315" s="2298"/>
      <c r="AG315" s="2298"/>
      <c r="AH315" s="2298"/>
      <c r="AI315" s="2298"/>
      <c r="AJ315" s="2298"/>
      <c r="AK315" s="2298"/>
      <c r="AL315" s="2298"/>
      <c r="AM315" s="2298"/>
      <c r="AN315" s="2298"/>
      <c r="AO315" s="2298"/>
    </row>
    <row r="316" spans="16:41">
      <c r="P316" s="2298"/>
      <c r="Q316" s="2298"/>
      <c r="X316" s="2298"/>
      <c r="Y316" s="2298"/>
      <c r="Z316" s="2298"/>
      <c r="AA316" s="2298"/>
      <c r="AB316" s="2298"/>
      <c r="AC316" s="2298"/>
      <c r="AD316" s="2298"/>
      <c r="AE316" s="2298"/>
      <c r="AF316" s="2298"/>
      <c r="AG316" s="2298"/>
      <c r="AH316" s="2298"/>
      <c r="AI316" s="2298"/>
      <c r="AJ316" s="2298"/>
      <c r="AK316" s="2298"/>
      <c r="AL316" s="2298"/>
      <c r="AM316" s="2298"/>
      <c r="AN316" s="2298"/>
      <c r="AO316" s="2298"/>
    </row>
    <row r="317" spans="16:41">
      <c r="P317" s="2298"/>
      <c r="Q317" s="2298"/>
      <c r="X317" s="2298"/>
      <c r="Y317" s="2298"/>
      <c r="Z317" s="2298"/>
      <c r="AA317" s="2298"/>
      <c r="AB317" s="2298"/>
      <c r="AC317" s="2298"/>
      <c r="AD317" s="2298"/>
      <c r="AE317" s="2298"/>
      <c r="AF317" s="2298"/>
      <c r="AG317" s="2298"/>
      <c r="AH317" s="2298"/>
      <c r="AI317" s="2298"/>
      <c r="AJ317" s="2298"/>
      <c r="AK317" s="2298"/>
      <c r="AL317" s="2298"/>
      <c r="AM317" s="2298"/>
      <c r="AN317" s="2298"/>
      <c r="AO317" s="2298"/>
    </row>
    <row r="318" spans="16:41">
      <c r="P318" s="2298"/>
      <c r="Q318" s="2298"/>
      <c r="X318" s="2298"/>
      <c r="Y318" s="2298"/>
      <c r="Z318" s="2298"/>
      <c r="AA318" s="2298"/>
      <c r="AB318" s="2298"/>
      <c r="AC318" s="2298"/>
      <c r="AD318" s="2298"/>
      <c r="AE318" s="2298"/>
      <c r="AF318" s="2298"/>
      <c r="AG318" s="2298"/>
      <c r="AH318" s="2298"/>
      <c r="AI318" s="2298"/>
      <c r="AJ318" s="2298"/>
      <c r="AK318" s="2298"/>
      <c r="AL318" s="2298"/>
      <c r="AM318" s="2298"/>
      <c r="AN318" s="2298"/>
      <c r="AO318" s="2298"/>
    </row>
    <row r="319" spans="16:41">
      <c r="P319" s="2298"/>
      <c r="Q319" s="2298"/>
      <c r="X319" s="2298"/>
      <c r="Y319" s="2298"/>
      <c r="Z319" s="2298"/>
      <c r="AA319" s="2298"/>
      <c r="AB319" s="2298"/>
      <c r="AC319" s="2298"/>
      <c r="AD319" s="2298"/>
      <c r="AE319" s="2298"/>
      <c r="AF319" s="2298"/>
      <c r="AG319" s="2298"/>
      <c r="AH319" s="2298"/>
      <c r="AI319" s="2298"/>
      <c r="AJ319" s="2298"/>
      <c r="AK319" s="2298"/>
      <c r="AL319" s="2298"/>
      <c r="AM319" s="2298"/>
      <c r="AN319" s="2298"/>
      <c r="AO319" s="2298"/>
    </row>
    <row r="320" spans="16:41">
      <c r="P320" s="2298"/>
      <c r="Q320" s="2298"/>
      <c r="X320" s="2298"/>
      <c r="Y320" s="2298"/>
      <c r="Z320" s="2298"/>
      <c r="AA320" s="2298"/>
      <c r="AB320" s="2298"/>
      <c r="AC320" s="2298"/>
      <c r="AD320" s="2298"/>
      <c r="AE320" s="2298"/>
      <c r="AF320" s="2298"/>
      <c r="AG320" s="2298"/>
      <c r="AH320" s="2298"/>
      <c r="AI320" s="2298"/>
      <c r="AJ320" s="2298"/>
      <c r="AK320" s="2298"/>
      <c r="AL320" s="2298"/>
      <c r="AM320" s="2298"/>
      <c r="AN320" s="2298"/>
      <c r="AO320" s="2298"/>
    </row>
    <row r="321" spans="24:41">
      <c r="X321" s="2298"/>
      <c r="Y321" s="2298"/>
      <c r="Z321" s="2298"/>
      <c r="AA321" s="2298"/>
      <c r="AB321" s="2298"/>
      <c r="AC321" s="2298"/>
      <c r="AD321" s="2298"/>
      <c r="AE321" s="2298"/>
      <c r="AF321" s="2298"/>
      <c r="AG321" s="2298"/>
      <c r="AH321" s="2298"/>
      <c r="AI321" s="2298"/>
      <c r="AJ321" s="2298"/>
      <c r="AK321" s="2298"/>
      <c r="AL321" s="2298"/>
      <c r="AM321" s="2298"/>
      <c r="AN321" s="2298"/>
      <c r="AO321" s="2298"/>
    </row>
  </sheetData>
  <sheetProtection sheet="1" selectLockedCells="1"/>
  <mergeCells count="50">
    <mergeCell ref="A44:C44"/>
    <mergeCell ref="E44:I44"/>
    <mergeCell ref="A34:C34"/>
    <mergeCell ref="E34:M35"/>
    <mergeCell ref="A35:C35"/>
    <mergeCell ref="A36:C36"/>
    <mergeCell ref="A39:C39"/>
    <mergeCell ref="E39:I39"/>
    <mergeCell ref="A41:C41"/>
    <mergeCell ref="E41:I41"/>
    <mergeCell ref="A40:C40"/>
    <mergeCell ref="E40:I40"/>
    <mergeCell ref="A42:C42"/>
    <mergeCell ref="E42:I43"/>
    <mergeCell ref="A43:C43"/>
    <mergeCell ref="O24:R27"/>
    <mergeCell ref="A25:C25"/>
    <mergeCell ref="A26:C26"/>
    <mergeCell ref="A27:C27"/>
    <mergeCell ref="E27:M27"/>
    <mergeCell ref="A24:C24"/>
    <mergeCell ref="E24:M26"/>
    <mergeCell ref="A31:C31"/>
    <mergeCell ref="A32:C32"/>
    <mergeCell ref="E32:M33"/>
    <mergeCell ref="A30:C30"/>
    <mergeCell ref="E30:K30"/>
    <mergeCell ref="J6:M6"/>
    <mergeCell ref="A16:C16"/>
    <mergeCell ref="E16:M17"/>
    <mergeCell ref="A17:C17"/>
    <mergeCell ref="A21:C21"/>
    <mergeCell ref="E21:M23"/>
    <mergeCell ref="A22:C22"/>
    <mergeCell ref="A23:C23"/>
    <mergeCell ref="A18:C18"/>
    <mergeCell ref="E18:M20"/>
    <mergeCell ref="A19:C19"/>
    <mergeCell ref="A20:C20"/>
    <mergeCell ref="J7:M7"/>
    <mergeCell ref="F4:G4"/>
    <mergeCell ref="J4:M4"/>
    <mergeCell ref="F5:G5"/>
    <mergeCell ref="E1:G1"/>
    <mergeCell ref="J1:M1"/>
    <mergeCell ref="F2:G2"/>
    <mergeCell ref="J2:M2"/>
    <mergeCell ref="F3:G3"/>
    <mergeCell ref="J3:M3"/>
    <mergeCell ref="J5:M5"/>
  </mergeCells>
  <printOptions horizontalCentered="1" verticalCentered="1"/>
  <pageMargins left="0.5" right="0.5" top="0.25" bottom="0.25" header="0.3" footer="0.3"/>
  <pageSetup scale="90" orientation="landscape" blackAndWhite="1" r:id="rId1"/>
  <headerFooter alignWithMargins="0"/>
  <drawing r:id="rId2"/>
  <legacyDrawing r:id="rId3"/>
  <oleObjects>
    <mc:AlternateContent xmlns:mc="http://schemas.openxmlformats.org/markup-compatibility/2006">
      <mc:Choice Requires="x14">
        <oleObject progId="Photoshop.Image.9" shapeId="3832833" r:id="rId4">
          <objectPr defaultSize="0" autoPict="0" r:id="rId5">
            <anchor moveWithCells="1">
              <from>
                <xdr:col>14</xdr:col>
                <xdr:colOff>30480</xdr:colOff>
                <xdr:row>28</xdr:row>
                <xdr:rowOff>7620</xdr:rowOff>
              </from>
              <to>
                <xdr:col>17</xdr:col>
                <xdr:colOff>754380</xdr:colOff>
                <xdr:row>37</xdr:row>
                <xdr:rowOff>106680</xdr:rowOff>
              </to>
            </anchor>
          </objectPr>
        </oleObject>
      </mc:Choice>
      <mc:Fallback>
        <oleObject progId="Photoshop.Image.9" shapeId="3832833" r:id="rId4"/>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AV78"/>
  <sheetViews>
    <sheetView showGridLines="0" view="pageBreakPreview" zoomScaleNormal="100" zoomScaleSheetLayoutView="100" workbookViewId="0">
      <selection activeCell="B6" sqref="B6"/>
    </sheetView>
  </sheetViews>
  <sheetFormatPr defaultColWidth="4.109375" defaultRowHeight="14.4"/>
  <cols>
    <col min="1" max="9" width="4.109375" style="1926"/>
    <col min="10" max="10" width="7.44140625" style="1926" customWidth="1"/>
    <col min="11" max="16" width="4.109375" style="1926"/>
    <col min="17" max="17" width="7.88671875" style="1926" customWidth="1"/>
    <col min="18" max="18" width="7.44140625" style="1926" customWidth="1"/>
    <col min="19" max="24" width="4.109375" style="1926"/>
    <col min="25" max="36" width="4.109375" style="2682"/>
    <col min="37" max="48" width="4.109375" style="2695"/>
    <col min="49" max="16384" width="4.109375" style="1926"/>
  </cols>
  <sheetData>
    <row r="1" spans="1:36" ht="54.9" customHeight="1" thickBot="1">
      <c r="B1" s="1360"/>
      <c r="C1" s="1360"/>
      <c r="D1" s="1360"/>
      <c r="F1" s="2995" t="s">
        <v>1748</v>
      </c>
      <c r="G1" s="2995"/>
      <c r="H1" s="2995"/>
      <c r="I1" s="2995"/>
      <c r="J1" s="2995"/>
      <c r="K1" s="2995"/>
      <c r="L1" s="2995"/>
      <c r="M1" s="2995"/>
      <c r="N1" s="2995"/>
      <c r="O1" s="2995"/>
      <c r="P1" s="2995"/>
      <c r="Q1" s="2995"/>
      <c r="R1" s="1360"/>
      <c r="S1" s="1360"/>
      <c r="T1" s="1360"/>
      <c r="U1" s="1360"/>
      <c r="V1" s="1360"/>
      <c r="W1" s="1360"/>
      <c r="X1" s="1360"/>
      <c r="Y1" s="2694"/>
      <c r="Z1" s="2694"/>
      <c r="AA1" s="2694"/>
      <c r="AB1" s="2694"/>
      <c r="AC1" s="2694"/>
      <c r="AD1" s="2694"/>
      <c r="AE1" s="2694"/>
      <c r="AF1" s="2694"/>
      <c r="AG1" s="2694"/>
      <c r="AH1" s="2694"/>
      <c r="AI1" s="2694"/>
      <c r="AJ1" s="2694"/>
    </row>
    <row r="2" spans="1:36" ht="15.6" customHeight="1" thickBot="1">
      <c r="A2" s="1367"/>
      <c r="B2" s="1369"/>
      <c r="C2" s="1369"/>
      <c r="D2" s="1369"/>
      <c r="E2" s="1369"/>
      <c r="F2" s="2996"/>
      <c r="G2" s="2996"/>
      <c r="H2" s="2996"/>
      <c r="I2" s="2996"/>
      <c r="J2" s="2996"/>
      <c r="K2" s="2996"/>
      <c r="L2" s="2997" t="s">
        <v>1015</v>
      </c>
      <c r="M2" s="2997"/>
      <c r="N2" s="2997"/>
      <c r="O2" s="2998" t="str">
        <f>IF(ISBLANK(Summary!S3)," ",Summary!S3)</f>
        <v xml:space="preserve"> </v>
      </c>
      <c r="P2" s="2998"/>
      <c r="Q2" s="2998"/>
      <c r="R2" s="2998"/>
      <c r="S2" s="1890"/>
      <c r="T2" s="2999" t="s">
        <v>2119</v>
      </c>
      <c r="U2" s="2999"/>
      <c r="V2" s="2999"/>
      <c r="W2" s="2999"/>
      <c r="X2" s="3000"/>
      <c r="Y2" s="2696"/>
      <c r="Z2" s="2696"/>
      <c r="AA2" s="2696"/>
      <c r="AB2" s="2696"/>
      <c r="AC2" s="2696"/>
      <c r="AD2" s="2696"/>
      <c r="AE2" s="2696"/>
      <c r="AF2" s="2696"/>
    </row>
    <row r="3" spans="1:36" ht="3.9" customHeight="1">
      <c r="A3" s="973"/>
      <c r="B3" s="2201"/>
      <c r="C3" s="2201"/>
      <c r="D3" s="974"/>
      <c r="E3" s="974"/>
      <c r="F3" s="974"/>
      <c r="G3" s="974"/>
      <c r="H3" s="974"/>
      <c r="I3" s="974"/>
      <c r="J3" s="975"/>
      <c r="K3" s="975"/>
      <c r="L3" s="975"/>
      <c r="M3" s="975"/>
      <c r="N3" s="975"/>
      <c r="O3" s="975"/>
      <c r="P3" s="975"/>
      <c r="Q3" s="976"/>
      <c r="R3" s="976"/>
      <c r="S3" s="976"/>
      <c r="T3" s="976"/>
      <c r="U3" s="976"/>
      <c r="V3" s="976"/>
      <c r="W3" s="976"/>
      <c r="X3" s="1377"/>
      <c r="Y3" s="2697"/>
      <c r="Z3" s="2697"/>
      <c r="AA3" s="2697"/>
      <c r="AB3" s="2697"/>
    </row>
    <row r="4" spans="1:36" ht="28.35" customHeight="1">
      <c r="A4" s="2992" t="s">
        <v>29</v>
      </c>
      <c r="B4" s="2993"/>
      <c r="C4" s="2993"/>
      <c r="D4" s="2993"/>
      <c r="E4" s="2993"/>
      <c r="F4" s="2993"/>
      <c r="G4" s="2993"/>
      <c r="H4" s="2994" t="str">
        <f>IF(ISBLANK(Summary!G3)," ",Summary!G3)</f>
        <v/>
      </c>
      <c r="I4" s="2994"/>
      <c r="J4" s="2994"/>
      <c r="K4" s="2994"/>
      <c r="L4" s="2994"/>
      <c r="M4" s="2994"/>
      <c r="N4" s="2994"/>
      <c r="O4" s="2994"/>
      <c r="P4" s="2994"/>
      <c r="Q4" s="2994"/>
      <c r="R4" s="2994"/>
      <c r="S4" s="2994"/>
      <c r="T4" s="2994"/>
      <c r="U4" s="2994"/>
      <c r="V4" s="2994"/>
      <c r="W4" s="2994"/>
      <c r="X4" s="2702"/>
      <c r="Y4" s="2698"/>
      <c r="Z4" s="2698"/>
      <c r="AA4" s="2698"/>
      <c r="AB4" s="2698"/>
      <c r="AC4" s="2698"/>
      <c r="AD4" s="2698"/>
      <c r="AE4" s="2698"/>
      <c r="AF4" s="2698"/>
      <c r="AG4" s="2698"/>
      <c r="AH4" s="2698"/>
      <c r="AI4" s="2698"/>
      <c r="AJ4" s="2698"/>
    </row>
    <row r="5" spans="1:36" ht="3.9" customHeight="1" thickBot="1">
      <c r="A5" s="852"/>
      <c r="B5" s="1925"/>
      <c r="C5" s="1925"/>
      <c r="D5" s="1925"/>
      <c r="E5" s="1925"/>
      <c r="F5" s="1925"/>
      <c r="G5" s="1925"/>
      <c r="H5" s="1925"/>
      <c r="I5" s="1925"/>
      <c r="J5" s="1925"/>
      <c r="K5" s="1925"/>
      <c r="L5" s="1925"/>
      <c r="M5" s="1925"/>
      <c r="N5" s="1925"/>
      <c r="O5" s="1925"/>
      <c r="P5" s="1925"/>
      <c r="Q5" s="1925"/>
      <c r="R5" s="1925"/>
      <c r="S5" s="1925"/>
      <c r="T5" s="1925"/>
      <c r="U5" s="1925"/>
      <c r="V5" s="1925"/>
      <c r="W5" s="1925"/>
      <c r="X5" s="810"/>
    </row>
    <row r="6" spans="1:36" ht="23.1" customHeight="1">
      <c r="A6" s="852"/>
      <c r="B6" s="1371"/>
      <c r="C6" s="1372"/>
      <c r="D6" s="1372"/>
      <c r="E6" s="1372"/>
      <c r="F6" s="1372"/>
      <c r="G6" s="1372"/>
      <c r="H6" s="1372"/>
      <c r="I6" s="1372"/>
      <c r="J6" s="1372"/>
      <c r="K6" s="1372"/>
      <c r="L6" s="1372"/>
      <c r="M6" s="1372"/>
      <c r="N6" s="1372"/>
      <c r="O6" s="1372"/>
      <c r="P6" s="1372"/>
      <c r="Q6" s="1372"/>
      <c r="R6" s="1372"/>
      <c r="S6" s="1372"/>
      <c r="T6" s="1372"/>
      <c r="U6" s="1372"/>
      <c r="V6" s="1372"/>
      <c r="W6" s="1373"/>
      <c r="X6" s="810"/>
    </row>
    <row r="7" spans="1:36" ht="23.1" customHeight="1">
      <c r="A7" s="852"/>
      <c r="B7" s="852"/>
      <c r="C7" s="1925"/>
      <c r="D7" s="1925"/>
      <c r="E7" s="1925"/>
      <c r="F7" s="1925"/>
      <c r="G7" s="1925"/>
      <c r="H7" s="1925"/>
      <c r="I7" s="1925"/>
      <c r="J7" s="1925"/>
      <c r="K7" s="1925"/>
      <c r="L7" s="1925"/>
      <c r="M7" s="1925"/>
      <c r="N7" s="1925"/>
      <c r="O7" s="1925"/>
      <c r="P7" s="1925"/>
      <c r="Q7" s="1925"/>
      <c r="R7" s="1925"/>
      <c r="S7" s="1925"/>
      <c r="T7" s="1925"/>
      <c r="U7" s="1925"/>
      <c r="V7" s="1925"/>
      <c r="W7" s="810"/>
      <c r="X7" s="810"/>
    </row>
    <row r="8" spans="1:36" ht="23.1" customHeight="1">
      <c r="A8" s="852"/>
      <c r="B8" s="852"/>
      <c r="C8" s="1925"/>
      <c r="D8" s="1925"/>
      <c r="E8" s="1925"/>
      <c r="F8" s="1925"/>
      <c r="G8" s="1925"/>
      <c r="H8" s="1925"/>
      <c r="I8" s="1925"/>
      <c r="J8" s="1925"/>
      <c r="K8" s="1925"/>
      <c r="L8" s="1925"/>
      <c r="M8" s="1925"/>
      <c r="N8" s="1925"/>
      <c r="O8" s="1925"/>
      <c r="P8" s="1925"/>
      <c r="Q8" s="1925"/>
      <c r="R8" s="1925"/>
      <c r="S8" s="1925"/>
      <c r="T8" s="1925"/>
      <c r="U8" s="1925"/>
      <c r="V8" s="1925"/>
      <c r="W8" s="810"/>
      <c r="X8" s="810"/>
    </row>
    <row r="9" spans="1:36" ht="23.1" customHeight="1">
      <c r="A9" s="852"/>
      <c r="B9" s="852"/>
      <c r="C9" s="1925"/>
      <c r="D9" s="1925"/>
      <c r="E9" s="1925"/>
      <c r="F9" s="1925"/>
      <c r="G9" s="1925"/>
      <c r="H9" s="1925"/>
      <c r="I9" s="1925"/>
      <c r="J9" s="1925"/>
      <c r="K9" s="1925"/>
      <c r="L9" s="1925"/>
      <c r="M9" s="1925"/>
      <c r="N9" s="1925"/>
      <c r="O9" s="1925"/>
      <c r="P9" s="1925"/>
      <c r="Q9" s="1925"/>
      <c r="R9" s="1925"/>
      <c r="S9" s="1925"/>
      <c r="T9" s="1925"/>
      <c r="U9" s="1925"/>
      <c r="V9" s="1925"/>
      <c r="W9" s="810"/>
      <c r="X9" s="810"/>
    </row>
    <row r="10" spans="1:36" ht="23.1" customHeight="1">
      <c r="A10" s="852"/>
      <c r="B10" s="852"/>
      <c r="C10" s="1925"/>
      <c r="D10" s="1925"/>
      <c r="E10" s="1925"/>
      <c r="F10" s="1925"/>
      <c r="G10" s="1925"/>
      <c r="H10" s="1925"/>
      <c r="I10" s="1925"/>
      <c r="J10" s="1925"/>
      <c r="K10" s="1925"/>
      <c r="L10" s="1925"/>
      <c r="M10" s="1925"/>
      <c r="N10" s="1925"/>
      <c r="O10" s="1925"/>
      <c r="P10" s="1925"/>
      <c r="Q10" s="1925"/>
      <c r="R10" s="1925"/>
      <c r="S10" s="1925"/>
      <c r="T10" s="1925"/>
      <c r="U10" s="1925"/>
      <c r="V10" s="1925"/>
      <c r="W10" s="810"/>
      <c r="X10" s="810"/>
    </row>
    <row r="11" spans="1:36" ht="23.1" customHeight="1">
      <c r="A11" s="852"/>
      <c r="B11" s="852"/>
      <c r="C11" s="1925"/>
      <c r="D11" s="1925"/>
      <c r="E11" s="1925"/>
      <c r="F11" s="1925"/>
      <c r="G11" s="1925"/>
      <c r="H11" s="1925"/>
      <c r="I11" s="1925"/>
      <c r="J11" s="1925"/>
      <c r="K11" s="1925"/>
      <c r="L11" s="1925"/>
      <c r="M11" s="1925"/>
      <c r="N11" s="1925"/>
      <c r="O11" s="1925"/>
      <c r="P11" s="1925"/>
      <c r="Q11" s="1925"/>
      <c r="R11" s="1925"/>
      <c r="S11" s="1925"/>
      <c r="T11" s="1925"/>
      <c r="U11" s="1925"/>
      <c r="V11" s="1925"/>
      <c r="W11" s="810"/>
      <c r="X11" s="810"/>
    </row>
    <row r="12" spans="1:36" ht="23.1" customHeight="1">
      <c r="A12" s="852"/>
      <c r="B12" s="852"/>
      <c r="C12" s="1925"/>
      <c r="D12" s="1925"/>
      <c r="E12" s="1925"/>
      <c r="F12" s="1925"/>
      <c r="G12" s="1925"/>
      <c r="H12" s="1925"/>
      <c r="I12" s="1925"/>
      <c r="J12" s="1925"/>
      <c r="K12" s="1925"/>
      <c r="L12" s="1925"/>
      <c r="M12" s="1925"/>
      <c r="N12" s="1925"/>
      <c r="O12" s="1925"/>
      <c r="P12" s="1925"/>
      <c r="Q12" s="1925"/>
      <c r="R12" s="1925"/>
      <c r="S12" s="1925"/>
      <c r="T12" s="1925"/>
      <c r="U12" s="1925"/>
      <c r="V12" s="1925"/>
      <c r="W12" s="810"/>
      <c r="X12" s="810"/>
    </row>
    <row r="13" spans="1:36" ht="23.1" customHeight="1">
      <c r="A13" s="852"/>
      <c r="B13" s="852"/>
      <c r="C13" s="1925"/>
      <c r="D13" s="1925"/>
      <c r="E13" s="1925"/>
      <c r="F13" s="1925"/>
      <c r="G13" s="1925"/>
      <c r="H13" s="1925"/>
      <c r="I13" s="1925"/>
      <c r="J13" s="1925"/>
      <c r="K13" s="1925"/>
      <c r="L13" s="1925"/>
      <c r="M13" s="1925"/>
      <c r="N13" s="1925"/>
      <c r="O13" s="1925"/>
      <c r="P13" s="1925"/>
      <c r="Q13" s="1925"/>
      <c r="R13" s="1925"/>
      <c r="S13" s="1925"/>
      <c r="T13" s="1925"/>
      <c r="U13" s="1925"/>
      <c r="V13" s="1925"/>
      <c r="W13" s="810"/>
      <c r="X13" s="810"/>
    </row>
    <row r="14" spans="1:36" ht="38.1" customHeight="1">
      <c r="A14" s="852"/>
      <c r="B14" s="852"/>
      <c r="C14" s="1925"/>
      <c r="D14" s="1925"/>
      <c r="E14" s="1925"/>
      <c r="F14" s="1925"/>
      <c r="G14" s="1925"/>
      <c r="H14" s="1925"/>
      <c r="I14" s="1925"/>
      <c r="J14" s="1925"/>
      <c r="K14" s="1925"/>
      <c r="L14" s="1925"/>
      <c r="M14" s="1925"/>
      <c r="N14" s="1925"/>
      <c r="O14" s="1925"/>
      <c r="P14" s="1925"/>
      <c r="Q14" s="1925"/>
      <c r="R14" s="1925"/>
      <c r="S14" s="1925"/>
      <c r="T14" s="1925"/>
      <c r="U14" s="1925"/>
      <c r="V14" s="1925"/>
      <c r="W14" s="810"/>
      <c r="X14" s="810"/>
    </row>
    <row r="15" spans="1:36" ht="38.1" customHeight="1">
      <c r="A15" s="852"/>
      <c r="B15" s="852"/>
      <c r="C15" s="1925"/>
      <c r="D15" s="1925"/>
      <c r="E15" s="1925"/>
      <c r="F15" s="1925"/>
      <c r="G15" s="1925"/>
      <c r="H15" s="1925"/>
      <c r="I15" s="1925"/>
      <c r="J15" s="1925"/>
      <c r="K15" s="1925"/>
      <c r="L15" s="1925"/>
      <c r="M15" s="1925"/>
      <c r="N15" s="1925"/>
      <c r="O15" s="1925"/>
      <c r="P15" s="1925"/>
      <c r="Q15" s="1925"/>
      <c r="R15" s="1925"/>
      <c r="S15" s="1925"/>
      <c r="T15" s="1925"/>
      <c r="U15" s="1925"/>
      <c r="V15" s="1925"/>
      <c r="W15" s="810"/>
      <c r="X15" s="810"/>
    </row>
    <row r="16" spans="1:36" ht="38.1" customHeight="1">
      <c r="A16" s="852"/>
      <c r="B16" s="852"/>
      <c r="C16" s="1925"/>
      <c r="D16" s="1925"/>
      <c r="E16" s="1925"/>
      <c r="F16" s="1925"/>
      <c r="G16" s="1925"/>
      <c r="H16" s="1925"/>
      <c r="I16" s="1925"/>
      <c r="J16" s="1925"/>
      <c r="K16" s="1925"/>
      <c r="L16" s="1925"/>
      <c r="M16" s="1925"/>
      <c r="N16" s="1925"/>
      <c r="O16" s="1925"/>
      <c r="P16" s="1925"/>
      <c r="Q16" s="1925"/>
      <c r="R16" s="1925"/>
      <c r="S16" s="1925"/>
      <c r="T16" s="1925"/>
      <c r="U16" s="1925"/>
      <c r="V16" s="1925"/>
      <c r="W16" s="810"/>
      <c r="X16" s="810"/>
    </row>
    <row r="17" spans="1:48" ht="38.1" customHeight="1">
      <c r="A17" s="852"/>
      <c r="B17" s="852"/>
      <c r="C17" s="1925"/>
      <c r="D17" s="1925"/>
      <c r="E17" s="1925"/>
      <c r="F17" s="1925"/>
      <c r="G17" s="1925"/>
      <c r="H17" s="1925"/>
      <c r="I17" s="1925"/>
      <c r="J17" s="1925"/>
      <c r="K17" s="1925"/>
      <c r="L17" s="1925"/>
      <c r="M17" s="1925"/>
      <c r="N17" s="1925"/>
      <c r="O17" s="1925"/>
      <c r="P17" s="1925"/>
      <c r="Q17" s="1925"/>
      <c r="R17" s="1925"/>
      <c r="S17" s="1925"/>
      <c r="T17" s="1925"/>
      <c r="U17" s="1925"/>
      <c r="V17" s="1925"/>
      <c r="W17" s="810"/>
      <c r="X17" s="810"/>
    </row>
    <row r="18" spans="1:48" ht="38.1" customHeight="1">
      <c r="A18" s="852"/>
      <c r="B18" s="852"/>
      <c r="C18" s="1925"/>
      <c r="D18" s="1925"/>
      <c r="E18" s="1925"/>
      <c r="F18" s="1925"/>
      <c r="G18" s="1925"/>
      <c r="H18" s="1925"/>
      <c r="I18" s="1925"/>
      <c r="J18" s="1925"/>
      <c r="K18" s="1925"/>
      <c r="L18" s="1925"/>
      <c r="M18" s="1925"/>
      <c r="N18" s="1925"/>
      <c r="O18" s="1925"/>
      <c r="P18" s="1925"/>
      <c r="Q18" s="1925"/>
      <c r="R18" s="1925"/>
      <c r="S18" s="1925"/>
      <c r="T18" s="1925"/>
      <c r="U18" s="1925"/>
      <c r="V18" s="1925"/>
      <c r="W18" s="810"/>
      <c r="X18" s="810"/>
    </row>
    <row r="19" spans="1:48" ht="23.1" customHeight="1">
      <c r="A19" s="852"/>
      <c r="B19" s="852"/>
      <c r="C19" s="1925"/>
      <c r="D19" s="1925"/>
      <c r="E19" s="1925"/>
      <c r="F19" s="1925"/>
      <c r="G19" s="1925"/>
      <c r="H19" s="1925"/>
      <c r="I19" s="1925"/>
      <c r="J19" s="1925"/>
      <c r="K19" s="1925"/>
      <c r="L19" s="1925"/>
      <c r="M19" s="1925"/>
      <c r="N19" s="1925"/>
      <c r="O19" s="1925"/>
      <c r="P19" s="1925"/>
      <c r="Q19" s="1925"/>
      <c r="R19" s="1925"/>
      <c r="S19" s="1925"/>
      <c r="T19" s="1925"/>
      <c r="U19" s="1925"/>
      <c r="V19" s="1925"/>
      <c r="W19" s="810"/>
      <c r="X19" s="810"/>
    </row>
    <row r="20" spans="1:48" ht="23.1" customHeight="1">
      <c r="A20" s="852"/>
      <c r="B20" s="852"/>
      <c r="C20" s="1925"/>
      <c r="D20" s="1925"/>
      <c r="E20" s="1925"/>
      <c r="F20" s="1925"/>
      <c r="G20" s="1925"/>
      <c r="H20" s="1925"/>
      <c r="I20" s="1925"/>
      <c r="J20" s="1925"/>
      <c r="K20" s="1925"/>
      <c r="L20" s="1925"/>
      <c r="M20" s="1925"/>
      <c r="N20" s="1925"/>
      <c r="O20" s="1925"/>
      <c r="P20" s="1925"/>
      <c r="Q20" s="1925"/>
      <c r="R20" s="1925"/>
      <c r="S20" s="1925"/>
      <c r="T20" s="1925"/>
      <c r="U20" s="1925"/>
      <c r="V20" s="1925"/>
      <c r="W20" s="810"/>
      <c r="X20" s="810"/>
    </row>
    <row r="21" spans="1:48" ht="23.1" customHeight="1">
      <c r="A21" s="852"/>
      <c r="B21" s="852"/>
      <c r="C21" s="1925"/>
      <c r="D21" s="1925"/>
      <c r="E21" s="1925"/>
      <c r="F21" s="1925"/>
      <c r="G21" s="1925"/>
      <c r="H21" s="1925"/>
      <c r="I21" s="1925"/>
      <c r="J21" s="1925"/>
      <c r="K21" s="1925"/>
      <c r="L21" s="1925"/>
      <c r="M21" s="1925"/>
      <c r="N21" s="1925"/>
      <c r="O21" s="1925"/>
      <c r="P21" s="1925"/>
      <c r="Q21" s="1925"/>
      <c r="R21" s="1925"/>
      <c r="S21" s="1925"/>
      <c r="T21" s="1925"/>
      <c r="U21" s="1925"/>
      <c r="V21" s="1925"/>
      <c r="W21" s="810"/>
      <c r="X21" s="810"/>
    </row>
    <row r="22" spans="1:48" ht="23.1" customHeight="1">
      <c r="A22" s="852"/>
      <c r="B22" s="852"/>
      <c r="C22" s="1925"/>
      <c r="D22" s="1925"/>
      <c r="E22" s="1925"/>
      <c r="F22" s="1925"/>
      <c r="G22" s="1925"/>
      <c r="H22" s="1925"/>
      <c r="I22" s="1925"/>
      <c r="J22" s="1925"/>
      <c r="K22" s="1925"/>
      <c r="L22" s="1925"/>
      <c r="M22" s="1925"/>
      <c r="N22" s="1925"/>
      <c r="O22" s="1925"/>
      <c r="P22" s="1925"/>
      <c r="Q22" s="1925"/>
      <c r="R22" s="1925"/>
      <c r="S22" s="1925"/>
      <c r="T22" s="1925"/>
      <c r="U22" s="1925"/>
      <c r="V22" s="1925"/>
      <c r="W22" s="810"/>
      <c r="X22" s="810"/>
    </row>
    <row r="23" spans="1:48" ht="23.1" customHeight="1">
      <c r="A23" s="852"/>
      <c r="B23" s="852"/>
      <c r="C23" s="1925"/>
      <c r="D23" s="1925"/>
      <c r="E23" s="1925"/>
      <c r="F23" s="1925"/>
      <c r="G23" s="1925"/>
      <c r="H23" s="1925"/>
      <c r="I23" s="1925"/>
      <c r="J23" s="1925"/>
      <c r="K23" s="1925"/>
      <c r="L23" s="1925"/>
      <c r="M23" s="1925"/>
      <c r="N23" s="1925"/>
      <c r="O23" s="1925"/>
      <c r="P23" s="1925"/>
      <c r="Q23" s="1925"/>
      <c r="R23" s="1925"/>
      <c r="S23" s="1925"/>
      <c r="T23" s="1925"/>
      <c r="U23" s="1925"/>
      <c r="V23" s="1925"/>
      <c r="W23" s="810"/>
      <c r="X23" s="810"/>
    </row>
    <row r="24" spans="1:48" ht="23.1" customHeight="1">
      <c r="A24" s="852"/>
      <c r="B24" s="852"/>
      <c r="C24" s="1925"/>
      <c r="D24" s="1925"/>
      <c r="E24" s="1925"/>
      <c r="F24" s="1925"/>
      <c r="G24" s="1925"/>
      <c r="H24" s="1925"/>
      <c r="I24" s="1925"/>
      <c r="J24" s="1925"/>
      <c r="K24" s="1925"/>
      <c r="L24" s="1925"/>
      <c r="M24" s="1925"/>
      <c r="N24" s="1925"/>
      <c r="O24" s="1925"/>
      <c r="P24" s="1925"/>
      <c r="Q24" s="1925"/>
      <c r="R24" s="1925"/>
      <c r="S24" s="1925"/>
      <c r="T24" s="1925"/>
      <c r="U24" s="1925"/>
      <c r="V24" s="1925"/>
      <c r="W24" s="810"/>
      <c r="X24" s="810"/>
    </row>
    <row r="25" spans="1:48" ht="23.1" customHeight="1">
      <c r="A25" s="852"/>
      <c r="B25" s="852"/>
      <c r="C25" s="1925"/>
      <c r="D25" s="1925"/>
      <c r="E25" s="1925"/>
      <c r="F25" s="1925"/>
      <c r="G25" s="1925"/>
      <c r="H25" s="1925"/>
      <c r="I25" s="1925"/>
      <c r="J25" s="1925"/>
      <c r="K25" s="1925"/>
      <c r="L25" s="1925"/>
      <c r="M25" s="1925"/>
      <c r="N25" s="1925"/>
      <c r="O25" s="1925"/>
      <c r="P25" s="1925"/>
      <c r="Q25" s="1925"/>
      <c r="R25" s="1925"/>
      <c r="S25" s="1925"/>
      <c r="T25" s="1925"/>
      <c r="U25" s="1925"/>
      <c r="V25" s="1925"/>
      <c r="W25" s="810"/>
      <c r="X25" s="810"/>
    </row>
    <row r="26" spans="1:48" ht="23.1" customHeight="1" thickBot="1">
      <c r="A26" s="852"/>
      <c r="B26" s="1374"/>
      <c r="C26" s="1375"/>
      <c r="D26" s="1375"/>
      <c r="E26" s="1375"/>
      <c r="F26" s="1375"/>
      <c r="G26" s="1375"/>
      <c r="H26" s="1375"/>
      <c r="I26" s="1375"/>
      <c r="J26" s="1375"/>
      <c r="K26" s="1375"/>
      <c r="L26" s="1375"/>
      <c r="M26" s="1375"/>
      <c r="N26" s="1375"/>
      <c r="O26" s="1375"/>
      <c r="P26" s="1375"/>
      <c r="Q26" s="1375"/>
      <c r="R26" s="1375"/>
      <c r="S26" s="1375"/>
      <c r="T26" s="1375"/>
      <c r="U26" s="1375"/>
      <c r="V26" s="1375"/>
      <c r="W26" s="1376"/>
      <c r="X26" s="810"/>
    </row>
    <row r="27" spans="1:48" ht="6" customHeight="1">
      <c r="A27" s="2679"/>
      <c r="B27" s="2680"/>
      <c r="C27" s="2680"/>
      <c r="D27" s="2680"/>
      <c r="E27" s="2680"/>
      <c r="F27" s="2680"/>
      <c r="G27" s="2680"/>
      <c r="H27" s="2680"/>
      <c r="I27" s="2680"/>
      <c r="J27" s="2680"/>
      <c r="K27" s="1817"/>
      <c r="L27" s="1817"/>
      <c r="M27" s="1817"/>
      <c r="N27" s="1817"/>
      <c r="O27" s="1817"/>
      <c r="P27" s="1817"/>
      <c r="Q27" s="1817"/>
      <c r="R27" s="1817"/>
      <c r="S27" s="1817"/>
      <c r="T27" s="1817"/>
      <c r="U27" s="1817"/>
      <c r="V27" s="1817"/>
      <c r="W27" s="1817"/>
      <c r="X27" s="2681"/>
      <c r="Y27" s="2688"/>
      <c r="Z27" s="2688"/>
      <c r="AA27" s="2688"/>
      <c r="AB27" s="2688"/>
      <c r="AC27" s="2688"/>
      <c r="AD27" s="2688"/>
      <c r="AE27" s="2688"/>
      <c r="AF27" s="2688"/>
    </row>
    <row r="28" spans="1:48" s="1927" customFormat="1">
      <c r="A28" s="2989" t="s">
        <v>1182</v>
      </c>
      <c r="B28" s="2990"/>
      <c r="C28" s="2990"/>
      <c r="D28" s="2977"/>
      <c r="E28" s="2978"/>
      <c r="F28" s="2978"/>
      <c r="G28" s="2979"/>
      <c r="H28" s="2680"/>
      <c r="I28" s="2680"/>
      <c r="J28" s="2680"/>
      <c r="K28" s="2680"/>
      <c r="L28" s="2680"/>
      <c r="M28" s="2682"/>
      <c r="N28" s="2682"/>
      <c r="O28" s="2680"/>
      <c r="P28" s="2680"/>
      <c r="Q28" s="2680"/>
      <c r="R28" s="2680"/>
      <c r="S28" s="2680"/>
      <c r="T28" s="2680"/>
      <c r="U28" s="2680"/>
      <c r="V28" s="2680"/>
      <c r="W28" s="2680"/>
      <c r="X28" s="2683"/>
      <c r="Y28" s="2682"/>
      <c r="Z28" s="2682"/>
      <c r="AA28" s="2682"/>
      <c r="AB28" s="2682"/>
      <c r="AC28" s="2682"/>
      <c r="AD28" s="2682"/>
      <c r="AE28" s="2682"/>
      <c r="AF28" s="2682"/>
      <c r="AG28" s="2682"/>
      <c r="AH28" s="2682"/>
      <c r="AI28" s="2682"/>
      <c r="AJ28" s="2682"/>
      <c r="AK28" s="2682"/>
      <c r="AL28" s="2682"/>
      <c r="AM28" s="2682"/>
      <c r="AN28" s="2682"/>
      <c r="AO28" s="2682"/>
      <c r="AP28" s="2682"/>
      <c r="AQ28" s="2682"/>
      <c r="AR28" s="2682"/>
      <c r="AS28" s="2682"/>
      <c r="AT28" s="2682"/>
      <c r="AU28" s="2682"/>
      <c r="AV28" s="2682"/>
    </row>
    <row r="29" spans="1:48" s="1927" customFormat="1">
      <c r="A29" s="2684"/>
      <c r="B29" s="2682"/>
      <c r="C29" s="2682"/>
      <c r="D29" s="2682"/>
      <c r="E29" s="2682"/>
      <c r="F29" s="2682"/>
      <c r="G29" s="2682"/>
      <c r="H29" s="2682"/>
      <c r="I29" s="2682"/>
      <c r="J29" s="2682"/>
      <c r="K29" s="2685"/>
      <c r="L29" s="2685"/>
      <c r="M29" s="2685"/>
      <c r="N29" s="2685"/>
      <c r="O29" s="2685"/>
      <c r="P29" s="2685"/>
      <c r="Q29" s="2685"/>
      <c r="R29" s="2685"/>
      <c r="S29" s="2685"/>
      <c r="T29" s="2685"/>
      <c r="U29" s="2685"/>
      <c r="V29" s="2685"/>
      <c r="W29" s="2685"/>
      <c r="X29" s="2686"/>
      <c r="Y29" s="2685"/>
      <c r="Z29" s="2685"/>
      <c r="AA29" s="2685"/>
      <c r="AB29" s="2685"/>
      <c r="AC29" s="2685"/>
      <c r="AD29" s="2685"/>
      <c r="AE29" s="2685"/>
      <c r="AF29" s="2685"/>
      <c r="AG29" s="2685"/>
      <c r="AH29" s="2685"/>
      <c r="AI29" s="2685"/>
      <c r="AJ29" s="2685"/>
      <c r="AK29" s="2682"/>
      <c r="AL29" s="2682"/>
      <c r="AM29" s="2682"/>
      <c r="AN29" s="2682"/>
      <c r="AO29" s="2682"/>
      <c r="AP29" s="2682"/>
      <c r="AQ29" s="2682"/>
      <c r="AR29" s="2682"/>
      <c r="AS29" s="2682"/>
      <c r="AT29" s="2682"/>
      <c r="AU29" s="2682"/>
      <c r="AV29" s="2682"/>
    </row>
    <row r="30" spans="1:48" s="1927" customFormat="1">
      <c r="A30" s="2684"/>
      <c r="B30" s="2687" t="s">
        <v>1211</v>
      </c>
      <c r="C30" s="2680"/>
      <c r="D30" s="2680"/>
      <c r="E30" s="2680"/>
      <c r="F30" s="2680"/>
      <c r="G30" s="2680" t="s">
        <v>2126</v>
      </c>
      <c r="H30" s="2682"/>
      <c r="I30" s="2682"/>
      <c r="J30" s="2977"/>
      <c r="K30" s="2978"/>
      <c r="L30" s="2978"/>
      <c r="M30" s="2979"/>
      <c r="N30" s="2682" t="s">
        <v>92</v>
      </c>
      <c r="O30" s="2685"/>
      <c r="P30" s="2685"/>
      <c r="Q30" s="2685"/>
      <c r="R30" s="2685"/>
      <c r="S30" s="2685"/>
      <c r="T30" s="2685"/>
      <c r="U30" s="2685"/>
      <c r="V30" s="2685"/>
      <c r="W30" s="2685"/>
      <c r="X30" s="2686"/>
      <c r="Y30" s="2685"/>
      <c r="Z30" s="2685"/>
      <c r="AA30" s="2685"/>
      <c r="AB30" s="2685"/>
      <c r="AC30" s="2685"/>
      <c r="AD30" s="2685"/>
      <c r="AE30" s="2685"/>
      <c r="AF30" s="2685"/>
      <c r="AG30" s="2685"/>
      <c r="AH30" s="2685"/>
      <c r="AI30" s="2685"/>
      <c r="AJ30" s="2685"/>
      <c r="AK30" s="2682"/>
      <c r="AL30" s="2682"/>
      <c r="AM30" s="2682"/>
      <c r="AN30" s="2682"/>
      <c r="AO30" s="2682"/>
      <c r="AP30" s="2682"/>
      <c r="AQ30" s="2682"/>
      <c r="AR30" s="2682"/>
      <c r="AS30" s="2682"/>
      <c r="AT30" s="2682"/>
      <c r="AU30" s="2682"/>
      <c r="AV30" s="2682"/>
    </row>
    <row r="31" spans="1:48" s="1927" customFormat="1">
      <c r="A31" s="2684"/>
      <c r="B31" s="2680" t="s">
        <v>1212</v>
      </c>
      <c r="C31" s="2680"/>
      <c r="D31" s="2680"/>
      <c r="E31" s="2680"/>
      <c r="F31" s="2680"/>
      <c r="G31" s="2680"/>
      <c r="H31" s="2682"/>
      <c r="I31" s="2682"/>
      <c r="J31" s="2680" t="s">
        <v>1217</v>
      </c>
      <c r="K31" s="2680"/>
      <c r="L31" s="2680"/>
      <c r="M31" s="2680"/>
      <c r="N31" s="2680"/>
      <c r="O31" s="2680"/>
      <c r="P31" s="2685"/>
      <c r="Q31" s="2682"/>
      <c r="R31" s="2682"/>
      <c r="S31" s="2680"/>
      <c r="T31" s="2680"/>
      <c r="U31" s="2680"/>
      <c r="V31" s="2680"/>
      <c r="W31" s="2680"/>
      <c r="X31" s="2686"/>
      <c r="Y31" s="2685"/>
      <c r="Z31" s="2685"/>
      <c r="AA31" s="2685"/>
      <c r="AB31" s="2685"/>
      <c r="AC31" s="2685"/>
      <c r="AD31" s="2685"/>
      <c r="AE31" s="2685"/>
      <c r="AF31" s="2685"/>
      <c r="AG31" s="2685"/>
      <c r="AH31" s="2685"/>
      <c r="AI31" s="2685"/>
      <c r="AJ31" s="2685"/>
      <c r="AK31" s="2682"/>
      <c r="AL31" s="2682"/>
      <c r="AM31" s="2682"/>
      <c r="AN31" s="2682"/>
      <c r="AO31" s="2682"/>
      <c r="AP31" s="2682"/>
      <c r="AQ31" s="2682"/>
      <c r="AR31" s="2682"/>
      <c r="AS31" s="2682"/>
      <c r="AT31" s="2682"/>
      <c r="AU31" s="2682"/>
      <c r="AV31" s="2682"/>
    </row>
    <row r="32" spans="1:48" s="1927" customFormat="1" ht="15.6" customHeight="1">
      <c r="A32" s="2684"/>
      <c r="B32" s="2680" t="s">
        <v>1213</v>
      </c>
      <c r="C32" s="2680"/>
      <c r="D32" s="2977"/>
      <c r="E32" s="2978"/>
      <c r="F32" s="2978"/>
      <c r="G32" s="2979"/>
      <c r="H32" s="2682" t="s">
        <v>92</v>
      </c>
      <c r="I32" s="2682"/>
      <c r="J32" s="2680" t="s">
        <v>1218</v>
      </c>
      <c r="K32" s="2680"/>
      <c r="L32" s="2977"/>
      <c r="M32" s="2978"/>
      <c r="N32" s="2978"/>
      <c r="O32" s="2979"/>
      <c r="P32" s="2682" t="s">
        <v>92</v>
      </c>
      <c r="Q32" s="2680" t="s">
        <v>1221</v>
      </c>
      <c r="R32" s="2680"/>
      <c r="S32" s="2680"/>
      <c r="T32" s="2688"/>
      <c r="U32" s="2981"/>
      <c r="V32" s="2982"/>
      <c r="W32" s="2983"/>
      <c r="X32" s="2683" t="s">
        <v>92</v>
      </c>
      <c r="Y32" s="2685"/>
      <c r="Z32" s="2685"/>
      <c r="AA32" s="2685"/>
      <c r="AB32" s="2685"/>
      <c r="AC32" s="2685"/>
      <c r="AD32" s="2685"/>
      <c r="AE32" s="2685"/>
      <c r="AF32" s="2685"/>
      <c r="AG32" s="2685"/>
      <c r="AH32" s="2685"/>
      <c r="AI32" s="2685"/>
      <c r="AJ32" s="2685"/>
      <c r="AK32" s="2682"/>
      <c r="AL32" s="2682"/>
      <c r="AM32" s="2682"/>
      <c r="AN32" s="2682"/>
      <c r="AO32" s="2682"/>
      <c r="AP32" s="2682"/>
      <c r="AQ32" s="2682"/>
      <c r="AR32" s="2682"/>
      <c r="AS32" s="2682"/>
      <c r="AT32" s="2682"/>
      <c r="AU32" s="2682"/>
      <c r="AV32" s="2682"/>
    </row>
    <row r="33" spans="1:48" ht="15.6" customHeight="1">
      <c r="A33" s="2679"/>
      <c r="B33" s="2680" t="s">
        <v>1214</v>
      </c>
      <c r="C33" s="2680"/>
      <c r="D33" s="2977"/>
      <c r="E33" s="2978"/>
      <c r="F33" s="2978"/>
      <c r="G33" s="2979"/>
      <c r="H33" s="2680" t="s">
        <v>92</v>
      </c>
      <c r="I33" s="2680"/>
      <c r="J33" s="2680" t="s">
        <v>1219</v>
      </c>
      <c r="K33" s="2680"/>
      <c r="L33" s="2977"/>
      <c r="M33" s="2978"/>
      <c r="N33" s="2978"/>
      <c r="O33" s="2979"/>
      <c r="P33" s="2680" t="s">
        <v>92</v>
      </c>
      <c r="Q33" s="2680" t="s">
        <v>2127</v>
      </c>
      <c r="R33" s="2680"/>
      <c r="S33" s="2680"/>
      <c r="T33" s="2682"/>
      <c r="U33" s="2680"/>
      <c r="V33" s="2680"/>
      <c r="W33" s="2680"/>
      <c r="X33" s="2683"/>
    </row>
    <row r="34" spans="1:48" ht="15.6" customHeight="1">
      <c r="A34" s="2679"/>
      <c r="B34" s="2680" t="s">
        <v>1215</v>
      </c>
      <c r="C34" s="2680"/>
      <c r="D34" s="2977"/>
      <c r="E34" s="2978"/>
      <c r="F34" s="2978"/>
      <c r="G34" s="2979"/>
      <c r="H34" s="2680" t="s">
        <v>92</v>
      </c>
      <c r="I34" s="2680"/>
      <c r="J34" s="2680" t="s">
        <v>1220</v>
      </c>
      <c r="K34" s="2680"/>
      <c r="L34" s="2977"/>
      <c r="M34" s="2978"/>
      <c r="N34" s="2978"/>
      <c r="O34" s="2979"/>
      <c r="P34" s="2680" t="s">
        <v>92</v>
      </c>
      <c r="Q34" s="2991"/>
      <c r="R34" s="2991"/>
      <c r="S34" s="2991"/>
      <c r="T34" s="2688"/>
      <c r="U34" s="2981"/>
      <c r="V34" s="2982"/>
      <c r="W34" s="2983"/>
      <c r="X34" s="2689" t="s">
        <v>92</v>
      </c>
    </row>
    <row r="35" spans="1:48" ht="15.6" customHeight="1">
      <c r="A35" s="2690"/>
      <c r="B35" s="2680" t="s">
        <v>1216</v>
      </c>
      <c r="C35" s="2680"/>
      <c r="D35" s="2977"/>
      <c r="E35" s="2978"/>
      <c r="F35" s="2978"/>
      <c r="G35" s="2979"/>
      <c r="H35" s="2680" t="s">
        <v>92</v>
      </c>
      <c r="I35" s="2687"/>
      <c r="J35" s="2680"/>
      <c r="K35" s="2680"/>
      <c r="L35" s="2680"/>
      <c r="M35" s="2680"/>
      <c r="N35" s="2680"/>
      <c r="O35" s="2680"/>
      <c r="P35" s="2680"/>
      <c r="Q35" s="2980"/>
      <c r="R35" s="2980"/>
      <c r="S35" s="2980"/>
      <c r="T35" s="2688"/>
      <c r="U35" s="2981"/>
      <c r="V35" s="2982"/>
      <c r="W35" s="2983"/>
      <c r="X35" s="2689" t="s">
        <v>92</v>
      </c>
      <c r="Y35" s="2699"/>
      <c r="Z35" s="2699"/>
      <c r="AA35" s="2699"/>
      <c r="AB35" s="2699"/>
      <c r="AC35" s="2699"/>
      <c r="AD35" s="2699"/>
      <c r="AE35" s="2699"/>
      <c r="AF35" s="2699"/>
    </row>
    <row r="36" spans="1:48">
      <c r="A36" s="2679"/>
      <c r="B36" s="2680"/>
      <c r="C36" s="2680"/>
      <c r="D36" s="2680"/>
      <c r="E36" s="2680"/>
      <c r="F36" s="2680"/>
      <c r="G36" s="2680"/>
      <c r="H36" s="2680"/>
      <c r="I36" s="2680"/>
      <c r="J36" s="2680"/>
      <c r="K36" s="2680"/>
      <c r="L36" s="2680"/>
      <c r="M36" s="2680"/>
      <c r="N36" s="2680"/>
      <c r="O36" s="2680"/>
      <c r="P36" s="2680"/>
      <c r="Q36" s="2680"/>
      <c r="R36" s="2680"/>
      <c r="S36" s="2680"/>
      <c r="T36" s="2680"/>
      <c r="U36" s="2680"/>
      <c r="V36" s="2680"/>
      <c r="W36" s="2680"/>
      <c r="X36" s="2683"/>
    </row>
    <row r="37" spans="1:48">
      <c r="A37" s="2679"/>
      <c r="B37" s="2680" t="s">
        <v>1778</v>
      </c>
      <c r="C37" s="2680"/>
      <c r="D37" s="2680"/>
      <c r="E37" s="2680"/>
      <c r="F37" s="2984"/>
      <c r="G37" s="2985"/>
      <c r="H37" s="2985"/>
      <c r="I37" s="2986"/>
      <c r="J37" s="2680"/>
      <c r="K37" s="2680"/>
      <c r="L37" s="2680"/>
      <c r="M37" s="2680"/>
      <c r="N37" s="2680"/>
      <c r="O37" s="2680"/>
      <c r="P37" s="2680"/>
      <c r="Q37" s="2680"/>
      <c r="R37" s="2680"/>
      <c r="S37" s="2680"/>
      <c r="T37" s="2680"/>
      <c r="U37" s="2680"/>
      <c r="V37" s="2680"/>
      <c r="W37" s="2680"/>
      <c r="X37" s="2683"/>
    </row>
    <row r="38" spans="1:48" ht="15" thickBot="1">
      <c r="A38" s="2691"/>
      <c r="B38" s="2692"/>
      <c r="C38" s="2692"/>
      <c r="D38" s="2692"/>
      <c r="E38" s="2692"/>
      <c r="F38" s="2692"/>
      <c r="G38" s="2692"/>
      <c r="H38" s="2692"/>
      <c r="I38" s="2692"/>
      <c r="J38" s="2692"/>
      <c r="K38" s="2692"/>
      <c r="L38" s="2692"/>
      <c r="M38" s="2692"/>
      <c r="N38" s="2692"/>
      <c r="O38" s="2692"/>
      <c r="P38" s="2692"/>
      <c r="Q38" s="2692"/>
      <c r="R38" s="2692"/>
      <c r="S38" s="2692"/>
      <c r="T38" s="2692"/>
      <c r="U38" s="2692"/>
      <c r="V38" s="2692"/>
      <c r="W38" s="2692"/>
      <c r="X38" s="2693"/>
    </row>
    <row r="39" spans="1:48" ht="28.35" customHeight="1" thickBot="1">
      <c r="A39" s="2987" t="s">
        <v>29</v>
      </c>
      <c r="B39" s="2988"/>
      <c r="C39" s="2988"/>
      <c r="D39" s="2988"/>
      <c r="E39" s="2988"/>
      <c r="F39" s="2988"/>
      <c r="G39" s="2988"/>
      <c r="H39" s="2973" t="str">
        <f>H4</f>
        <v/>
      </c>
      <c r="I39" s="2973"/>
      <c r="J39" s="2973"/>
      <c r="K39" s="2973"/>
      <c r="L39" s="2973"/>
      <c r="M39" s="2973"/>
      <c r="N39" s="2973"/>
      <c r="O39" s="2973"/>
      <c r="P39" s="2973"/>
      <c r="Q39" s="2973"/>
      <c r="R39" s="2973"/>
      <c r="S39" s="2973"/>
      <c r="T39" s="2973"/>
      <c r="U39" s="2973"/>
      <c r="V39" s="2973"/>
      <c r="W39" s="2973"/>
      <c r="X39" s="2701"/>
      <c r="Y39" s="2698"/>
      <c r="Z39" s="2698"/>
      <c r="AA39" s="2698"/>
      <c r="AB39" s="2698"/>
      <c r="AC39" s="2698"/>
      <c r="AD39" s="2698"/>
      <c r="AE39" s="2698"/>
      <c r="AF39" s="2698"/>
      <c r="AG39" s="2698"/>
      <c r="AH39" s="2698"/>
      <c r="AI39" s="2698"/>
      <c r="AJ39" s="2698"/>
    </row>
    <row r="40" spans="1:48" ht="15" thickBot="1">
      <c r="A40" s="1383" t="s">
        <v>1181</v>
      </c>
      <c r="B40" s="1384"/>
      <c r="C40" s="1384"/>
      <c r="D40" s="1384"/>
      <c r="E40" s="1384"/>
      <c r="F40" s="1384"/>
      <c r="G40" s="1384"/>
      <c r="H40" s="1384"/>
      <c r="I40" s="1384"/>
      <c r="J40" s="1384"/>
      <c r="K40" s="1384"/>
      <c r="L40" s="1384"/>
      <c r="M40" s="1384"/>
      <c r="N40" s="1384"/>
      <c r="O40" s="1384"/>
      <c r="P40" s="1384"/>
      <c r="Q40" s="1384"/>
      <c r="R40" s="1384"/>
      <c r="S40" s="1384"/>
      <c r="T40" s="1384"/>
      <c r="U40" s="1384"/>
      <c r="V40" s="1384"/>
      <c r="W40" s="1384"/>
      <c r="X40" s="1385"/>
      <c r="Y40" s="2699"/>
      <c r="Z40" s="2699"/>
      <c r="AA40" s="2699"/>
      <c r="AB40" s="2699"/>
      <c r="AC40" s="2699"/>
      <c r="AD40" s="2699"/>
      <c r="AE40" s="2699"/>
      <c r="AF40" s="2699"/>
    </row>
    <row r="41" spans="1:48" s="827" customFormat="1">
      <c r="A41" s="2406"/>
      <c r="B41" s="1928"/>
      <c r="C41" s="1928"/>
      <c r="D41" s="1928"/>
      <c r="E41" s="1928"/>
      <c r="F41" s="1928"/>
      <c r="G41" s="1928"/>
      <c r="H41" s="1928"/>
      <c r="I41" s="1928"/>
      <c r="J41" s="1928"/>
      <c r="K41" s="1928"/>
      <c r="L41" s="1928"/>
      <c r="M41" s="1928"/>
      <c r="N41" s="1928"/>
      <c r="O41" s="1928"/>
      <c r="P41" s="2678"/>
      <c r="Q41" s="2678"/>
      <c r="R41" s="2678"/>
      <c r="S41" s="1928"/>
      <c r="T41" s="1928"/>
      <c r="U41" s="1928"/>
      <c r="V41" s="1928"/>
      <c r="W41" s="1928"/>
      <c r="X41" s="2094"/>
      <c r="Y41" s="2699"/>
      <c r="Z41" s="2699"/>
      <c r="AA41" s="2699"/>
      <c r="AB41" s="2699"/>
      <c r="AC41" s="2699"/>
      <c r="AD41" s="2699"/>
      <c r="AE41" s="2699"/>
      <c r="AF41" s="2699"/>
      <c r="AG41" s="2682"/>
      <c r="AH41" s="2682"/>
      <c r="AI41" s="2682"/>
      <c r="AJ41" s="2682"/>
      <c r="AK41" s="2700"/>
      <c r="AL41" s="2700"/>
      <c r="AM41" s="2700"/>
      <c r="AN41" s="2700"/>
      <c r="AO41" s="2700"/>
      <c r="AP41" s="2700"/>
      <c r="AQ41" s="2700"/>
      <c r="AR41" s="2700"/>
      <c r="AS41" s="2700"/>
      <c r="AT41" s="2700"/>
      <c r="AU41" s="2700"/>
      <c r="AV41" s="2700"/>
    </row>
    <row r="42" spans="1:48" s="827" customFormat="1">
      <c r="A42" s="1381" t="s">
        <v>1183</v>
      </c>
      <c r="B42" s="1928"/>
      <c r="C42" s="1928"/>
      <c r="D42" s="1928"/>
      <c r="E42" s="1928"/>
      <c r="F42" s="1928"/>
      <c r="G42" s="1928"/>
      <c r="H42" s="1361" t="s">
        <v>1184</v>
      </c>
      <c r="I42" s="1928"/>
      <c r="J42" s="1928"/>
      <c r="K42" s="1928"/>
      <c r="L42" s="1928"/>
      <c r="M42" s="1928"/>
      <c r="N42" s="1928"/>
      <c r="O42" s="1361" t="s">
        <v>1185</v>
      </c>
      <c r="P42" s="1928"/>
      <c r="Q42" s="1928"/>
      <c r="R42" s="1928"/>
      <c r="S42" s="1928"/>
      <c r="T42" s="1928"/>
      <c r="U42" s="1928"/>
      <c r="V42" s="1928"/>
      <c r="W42" s="1928"/>
      <c r="X42" s="2094"/>
      <c r="Y42" s="2699"/>
      <c r="Z42" s="2699"/>
      <c r="AA42" s="2699"/>
      <c r="AB42" s="2699"/>
      <c r="AC42" s="2699"/>
      <c r="AD42" s="2699"/>
      <c r="AE42" s="2699"/>
      <c r="AF42" s="2699"/>
      <c r="AG42" s="2682"/>
      <c r="AH42" s="2682"/>
      <c r="AI42" s="2682"/>
      <c r="AJ42" s="2682"/>
      <c r="AK42" s="2700"/>
      <c r="AL42" s="2700"/>
      <c r="AM42" s="2700"/>
      <c r="AN42" s="2700"/>
      <c r="AO42" s="2700"/>
      <c r="AP42" s="2700"/>
      <c r="AQ42" s="2700"/>
      <c r="AR42" s="2700"/>
      <c r="AS42" s="2700"/>
      <c r="AT42" s="2700"/>
      <c r="AU42" s="2700"/>
      <c r="AV42" s="2700"/>
    </row>
    <row r="43" spans="1:48">
      <c r="A43" s="852"/>
      <c r="B43" s="1925"/>
      <c r="C43" s="1925"/>
      <c r="D43" s="1925"/>
      <c r="E43" s="1925"/>
      <c r="F43" s="1925"/>
      <c r="G43" s="1925"/>
      <c r="H43" s="1925"/>
      <c r="I43" s="1925"/>
      <c r="J43" s="1925"/>
      <c r="K43" s="1925"/>
      <c r="L43" s="1925"/>
      <c r="M43" s="1925"/>
      <c r="N43" s="1925"/>
      <c r="O43" s="1925"/>
      <c r="P43" s="1925"/>
      <c r="Q43" s="1925"/>
      <c r="R43" s="1925"/>
      <c r="S43" s="1925"/>
      <c r="T43" s="1925"/>
      <c r="U43" s="1925"/>
      <c r="V43" s="1925"/>
      <c r="W43" s="1925"/>
      <c r="X43" s="810"/>
    </row>
    <row r="44" spans="1:48" ht="15" customHeight="1">
      <c r="A44" s="1379"/>
      <c r="B44" s="1927"/>
      <c r="C44" s="1927"/>
      <c r="D44" s="1927"/>
      <c r="E44" s="1927"/>
      <c r="F44" s="1927"/>
      <c r="G44" s="1927"/>
      <c r="H44" s="1925"/>
      <c r="I44" s="1361"/>
      <c r="J44" s="1361"/>
      <c r="K44" s="1361"/>
      <c r="L44" s="1925"/>
      <c r="M44" s="1925"/>
      <c r="N44" s="1925"/>
      <c r="O44" s="1925"/>
      <c r="P44" s="1925"/>
      <c r="Q44" s="1925"/>
      <c r="R44" s="1925"/>
      <c r="S44" s="1925"/>
      <c r="T44" s="1925"/>
      <c r="U44" s="1925"/>
      <c r="V44" s="1925"/>
      <c r="W44" s="1925"/>
      <c r="X44" s="810"/>
    </row>
    <row r="45" spans="1:48" ht="15" customHeight="1">
      <c r="A45" s="1379"/>
      <c r="B45" s="1927"/>
      <c r="C45" s="1927"/>
      <c r="D45" s="1927"/>
      <c r="E45" s="1927"/>
      <c r="F45" s="1927"/>
      <c r="G45" s="1927"/>
      <c r="H45" s="1927"/>
      <c r="I45" s="1927"/>
      <c r="J45" s="1927"/>
      <c r="K45" s="1927"/>
      <c r="L45" s="1927"/>
      <c r="M45" s="1927"/>
      <c r="N45" s="1927"/>
      <c r="O45" s="1927"/>
      <c r="P45" s="1927"/>
      <c r="Q45" s="1927"/>
      <c r="R45" s="1927"/>
      <c r="S45" s="1927"/>
      <c r="T45" s="1925"/>
      <c r="U45" s="1925"/>
      <c r="V45" s="1925"/>
      <c r="W45" s="1925"/>
      <c r="X45" s="810"/>
    </row>
    <row r="46" spans="1:48" ht="15" customHeight="1">
      <c r="A46" s="1379"/>
      <c r="B46" s="1927"/>
      <c r="C46" s="1927"/>
      <c r="D46" s="1927"/>
      <c r="E46" s="1927"/>
      <c r="F46" s="1927"/>
      <c r="G46" s="1927"/>
      <c r="H46" s="1927"/>
      <c r="I46" s="1927"/>
      <c r="J46" s="1927"/>
      <c r="K46" s="1927"/>
      <c r="L46" s="1927"/>
      <c r="M46" s="1927"/>
      <c r="N46" s="1927"/>
      <c r="O46" s="1927"/>
      <c r="P46" s="1927"/>
      <c r="Q46" s="1927"/>
      <c r="R46" s="1927"/>
      <c r="S46" s="1927"/>
      <c r="T46" s="1925"/>
      <c r="U46" s="1925"/>
      <c r="V46" s="1925"/>
      <c r="W46" s="1925"/>
      <c r="X46" s="810"/>
    </row>
    <row r="47" spans="1:48" ht="15" customHeight="1">
      <c r="A47" s="1379"/>
      <c r="B47" s="1927"/>
      <c r="C47" s="1927"/>
      <c r="D47" s="1927"/>
      <c r="E47" s="1927"/>
      <c r="F47" s="1927"/>
      <c r="G47" s="1927"/>
      <c r="H47" s="1927"/>
      <c r="I47" s="1927"/>
      <c r="J47" s="2974"/>
      <c r="K47" s="2974"/>
      <c r="L47" s="2974"/>
      <c r="M47" s="2974"/>
      <c r="N47" s="2974"/>
      <c r="O47" s="1927"/>
      <c r="P47" s="1927"/>
      <c r="Q47" s="1927"/>
      <c r="R47" s="1927"/>
      <c r="S47" s="1927"/>
      <c r="T47" s="1925"/>
      <c r="U47" s="1925"/>
      <c r="V47" s="1925"/>
      <c r="W47" s="1925"/>
      <c r="X47" s="810"/>
    </row>
    <row r="48" spans="1:48" ht="15" customHeight="1">
      <c r="A48" s="1379"/>
      <c r="B48" s="1927"/>
      <c r="C48" s="1927"/>
      <c r="D48" s="1927"/>
      <c r="E48" s="1927"/>
      <c r="F48" s="1927"/>
      <c r="G48" s="1927"/>
      <c r="H48" s="1925"/>
      <c r="I48" s="1927"/>
      <c r="J48" s="2975"/>
      <c r="K48" s="2975"/>
      <c r="L48" s="2975"/>
      <c r="M48" s="2975"/>
      <c r="N48" s="2975"/>
      <c r="O48" s="1927"/>
      <c r="P48" s="1927"/>
      <c r="Q48" s="1927"/>
      <c r="R48" s="1927"/>
      <c r="S48" s="1927"/>
      <c r="T48" s="1925"/>
      <c r="U48" s="1925"/>
      <c r="V48" s="1925"/>
      <c r="W48" s="1925"/>
      <c r="X48" s="810"/>
    </row>
    <row r="49" spans="1:48" ht="15" customHeight="1">
      <c r="A49" s="1379"/>
      <c r="B49" s="1927"/>
      <c r="C49" s="1927"/>
      <c r="D49" s="1927"/>
      <c r="E49" s="1927"/>
      <c r="F49" s="1927"/>
      <c r="G49" s="1927"/>
      <c r="H49" s="1925"/>
      <c r="I49" s="1925"/>
      <c r="J49" s="2976"/>
      <c r="K49" s="2976"/>
      <c r="L49" s="2976"/>
      <c r="M49" s="2976"/>
      <c r="N49" s="2976"/>
      <c r="O49" s="1927"/>
      <c r="P49" s="1927"/>
      <c r="Q49" s="1927"/>
      <c r="R49" s="1927"/>
      <c r="S49" s="1927"/>
      <c r="T49" s="1925"/>
      <c r="U49" s="1925"/>
      <c r="V49" s="1925"/>
      <c r="W49" s="1925"/>
      <c r="X49" s="810"/>
    </row>
    <row r="50" spans="1:48" ht="15" customHeight="1">
      <c r="A50" s="1379"/>
      <c r="B50" s="1927"/>
      <c r="C50" s="1927"/>
      <c r="D50" s="1927"/>
      <c r="E50" s="1927"/>
      <c r="F50" s="1927"/>
      <c r="G50" s="1927"/>
      <c r="H50" s="1925"/>
      <c r="I50" s="1927"/>
      <c r="J50" s="1927"/>
      <c r="K50" s="1927"/>
      <c r="L50" s="1927"/>
      <c r="M50" s="1927"/>
      <c r="N50" s="1927"/>
      <c r="O50" s="1927"/>
      <c r="P50" s="1927"/>
      <c r="Q50" s="1927"/>
      <c r="R50" s="1927"/>
      <c r="S50" s="1927"/>
      <c r="T50" s="1925"/>
      <c r="U50" s="1925"/>
      <c r="V50" s="1925"/>
      <c r="W50" s="1925"/>
      <c r="X50" s="810"/>
    </row>
    <row r="51" spans="1:48" ht="15" customHeight="1">
      <c r="A51" s="1379"/>
      <c r="B51" s="1927"/>
      <c r="C51" s="1927"/>
      <c r="D51" s="1927"/>
      <c r="E51" s="1927"/>
      <c r="F51" s="1927"/>
      <c r="G51" s="1927"/>
      <c r="H51" s="1928" t="s">
        <v>1186</v>
      </c>
      <c r="I51" s="1927"/>
      <c r="J51" s="1927"/>
      <c r="K51" s="1927"/>
      <c r="L51" s="1927"/>
      <c r="M51" s="1927"/>
      <c r="N51" s="1927"/>
      <c r="O51" s="1927"/>
      <c r="P51" s="1927"/>
      <c r="Q51" s="2974"/>
      <c r="R51" s="2974"/>
      <c r="S51" s="2974"/>
      <c r="T51" s="2974"/>
      <c r="U51" s="2974"/>
      <c r="V51" s="2974"/>
      <c r="W51" s="1925"/>
      <c r="X51" s="810"/>
    </row>
    <row r="52" spans="1:48" ht="17.25" customHeight="1">
      <c r="A52" s="852"/>
      <c r="B52" s="1925"/>
      <c r="C52" s="1925"/>
      <c r="D52" s="1925"/>
      <c r="E52" s="1925"/>
      <c r="F52" s="1925"/>
      <c r="G52" s="1925"/>
      <c r="H52" s="1927"/>
      <c r="I52" s="1927"/>
      <c r="J52" s="1927"/>
      <c r="K52" s="1927"/>
      <c r="L52" s="1927"/>
      <c r="M52" s="1927"/>
      <c r="N52" s="1927"/>
      <c r="O52" s="1927"/>
      <c r="P52" s="1927"/>
      <c r="Q52" s="2975"/>
      <c r="R52" s="2975"/>
      <c r="S52" s="2975"/>
      <c r="T52" s="2975"/>
      <c r="U52" s="2975"/>
      <c r="V52" s="2975"/>
      <c r="W52" s="1925"/>
      <c r="X52" s="810"/>
    </row>
    <row r="53" spans="1:48" ht="19.5" customHeight="1">
      <c r="A53" s="852"/>
      <c r="B53" s="1925"/>
      <c r="C53" s="2969"/>
      <c r="D53" s="2969"/>
      <c r="E53" s="2969"/>
      <c r="F53" s="2969"/>
      <c r="G53" s="2969"/>
      <c r="H53" s="1927"/>
      <c r="I53" s="1927"/>
      <c r="J53" s="1927"/>
      <c r="K53" s="1927"/>
      <c r="L53" s="1927"/>
      <c r="M53" s="1927"/>
      <c r="N53" s="1927"/>
      <c r="O53" s="1927"/>
      <c r="P53" s="1927"/>
      <c r="Q53" s="2975"/>
      <c r="R53" s="2975"/>
      <c r="S53" s="2975"/>
      <c r="T53" s="2975"/>
      <c r="U53" s="2975"/>
      <c r="V53" s="2975"/>
      <c r="W53" s="1925"/>
      <c r="X53" s="810"/>
    </row>
    <row r="54" spans="1:48">
      <c r="A54" s="852"/>
      <c r="B54" s="1925"/>
      <c r="C54" s="2969"/>
      <c r="D54" s="2969"/>
      <c r="E54" s="2969"/>
      <c r="F54" s="2969"/>
      <c r="G54" s="2969"/>
      <c r="H54" s="1925"/>
      <c r="I54" s="1925"/>
      <c r="J54" s="1925"/>
      <c r="K54" s="1925"/>
      <c r="L54" s="1925"/>
      <c r="M54" s="1925"/>
      <c r="N54" s="1925"/>
      <c r="O54" s="1925"/>
      <c r="P54" s="1925"/>
      <c r="Q54" s="1925"/>
      <c r="R54" s="1925"/>
      <c r="S54" s="1925"/>
      <c r="T54" s="1925"/>
      <c r="U54" s="1925"/>
      <c r="V54" s="1925"/>
      <c r="W54" s="1925"/>
      <c r="X54" s="810"/>
    </row>
    <row r="55" spans="1:48" s="827" customFormat="1" ht="15" customHeight="1">
      <c r="A55" s="1379"/>
      <c r="B55" s="1927"/>
      <c r="C55" s="915"/>
      <c r="D55" s="915"/>
      <c r="E55" s="915"/>
      <c r="F55" s="915"/>
      <c r="G55" s="915"/>
      <c r="H55" s="1927"/>
      <c r="I55" s="1927"/>
      <c r="J55" s="1927"/>
      <c r="K55" s="1927"/>
      <c r="L55" s="1927"/>
      <c r="M55" s="1927"/>
      <c r="N55" s="1927"/>
      <c r="O55" s="1927"/>
      <c r="P55" s="1927"/>
      <c r="Q55" s="1927"/>
      <c r="R55" s="1927"/>
      <c r="S55" s="1927"/>
      <c r="T55" s="1927"/>
      <c r="U55" s="1927"/>
      <c r="V55" s="1927"/>
      <c r="W55" s="1927"/>
      <c r="X55" s="2095"/>
      <c r="Y55" s="2682"/>
      <c r="Z55" s="2682"/>
      <c r="AA55" s="2682"/>
      <c r="AB55" s="2682"/>
      <c r="AC55" s="2682"/>
      <c r="AD55" s="2682"/>
      <c r="AE55" s="2682"/>
      <c r="AF55" s="2682"/>
      <c r="AG55" s="2688"/>
      <c r="AH55" s="2688"/>
      <c r="AI55" s="2688"/>
      <c r="AJ55" s="2688"/>
      <c r="AK55" s="2700"/>
      <c r="AL55" s="2700"/>
      <c r="AM55" s="2700"/>
      <c r="AN55" s="2700"/>
      <c r="AO55" s="2700"/>
      <c r="AP55" s="2700"/>
      <c r="AQ55" s="2700"/>
      <c r="AR55" s="2700"/>
      <c r="AS55" s="2700"/>
      <c r="AT55" s="2700"/>
      <c r="AU55" s="2700"/>
      <c r="AV55" s="2700"/>
    </row>
    <row r="56" spans="1:48" ht="15" thickBot="1">
      <c r="A56" s="852" t="s">
        <v>31</v>
      </c>
      <c r="B56" s="1925"/>
      <c r="C56" s="1925"/>
      <c r="D56" s="1925"/>
      <c r="E56" s="1925"/>
      <c r="F56" s="1925"/>
      <c r="G56" s="1925"/>
      <c r="H56" s="1925"/>
      <c r="I56" s="1925"/>
      <c r="J56" s="1925"/>
      <c r="K56" s="1925"/>
      <c r="L56" s="1925"/>
      <c r="M56" s="1925"/>
      <c r="N56" s="1925"/>
      <c r="O56" s="1925"/>
      <c r="P56" s="1925"/>
      <c r="Q56" s="1925"/>
      <c r="R56" s="1925"/>
      <c r="S56" s="1925"/>
      <c r="T56" s="1925"/>
      <c r="U56" s="1925"/>
      <c r="V56" s="1925"/>
      <c r="W56" s="1925"/>
      <c r="X56" s="810"/>
    </row>
    <row r="57" spans="1:48" ht="215.25" customHeight="1" thickBot="1">
      <c r="A57" s="2970"/>
      <c r="B57" s="2971"/>
      <c r="C57" s="2971"/>
      <c r="D57" s="2971"/>
      <c r="E57" s="2971"/>
      <c r="F57" s="2971"/>
      <c r="G57" s="2971"/>
      <c r="H57" s="2971"/>
      <c r="I57" s="2971"/>
      <c r="J57" s="2971"/>
      <c r="K57" s="2971"/>
      <c r="L57" s="2971"/>
      <c r="M57" s="2971"/>
      <c r="N57" s="2971"/>
      <c r="O57" s="2971"/>
      <c r="P57" s="2971"/>
      <c r="Q57" s="2971"/>
      <c r="R57" s="2971"/>
      <c r="S57" s="2971"/>
      <c r="T57" s="2971"/>
      <c r="U57" s="2971"/>
      <c r="V57" s="2971"/>
      <c r="W57" s="2971"/>
      <c r="X57" s="2972"/>
    </row>
    <row r="58" spans="1:48" s="1925" customFormat="1">
      <c r="Y58" s="2682"/>
      <c r="Z58" s="2682"/>
      <c r="AA58" s="2682"/>
      <c r="AB58" s="2682"/>
      <c r="AC58" s="2682"/>
      <c r="AD58" s="2682"/>
      <c r="AE58" s="2682"/>
      <c r="AF58" s="2682"/>
      <c r="AG58" s="2682"/>
      <c r="AH58" s="2682"/>
      <c r="AI58" s="2682"/>
      <c r="AJ58" s="2682"/>
      <c r="AK58" s="2680"/>
      <c r="AL58" s="2680"/>
      <c r="AM58" s="2680"/>
      <c r="AN58" s="2680"/>
      <c r="AO58" s="2680"/>
      <c r="AP58" s="2680"/>
      <c r="AQ58" s="2680"/>
      <c r="AR58" s="2680"/>
      <c r="AS58" s="2680"/>
      <c r="AT58" s="2680"/>
      <c r="AU58" s="2680"/>
      <c r="AV58" s="2680"/>
    </row>
    <row r="59" spans="1:48">
      <c r="A59" s="852"/>
      <c r="B59" s="1925"/>
      <c r="C59" s="1925"/>
      <c r="D59" s="1925"/>
      <c r="E59" s="1925"/>
      <c r="F59" s="1925"/>
      <c r="G59" s="1925"/>
      <c r="H59" s="1925"/>
      <c r="I59" s="1925"/>
      <c r="J59" s="1925"/>
      <c r="K59" s="1925"/>
      <c r="L59" s="1925"/>
      <c r="M59" s="1925"/>
      <c r="N59" s="1925"/>
      <c r="O59" s="1925"/>
      <c r="P59" s="1925"/>
      <c r="Q59" s="1925"/>
      <c r="R59" s="1925"/>
      <c r="S59" s="1925"/>
      <c r="T59" s="1925"/>
      <c r="U59" s="1925"/>
      <c r="V59" s="1925"/>
      <c r="W59" s="1925"/>
      <c r="X59" s="810"/>
    </row>
    <row r="60" spans="1:48">
      <c r="A60" s="852"/>
      <c r="B60" s="1925"/>
      <c r="C60" s="1925"/>
      <c r="D60" s="1925"/>
      <c r="E60" s="1925"/>
      <c r="F60" s="1925"/>
      <c r="G60" s="1925"/>
      <c r="H60" s="1925"/>
      <c r="I60" s="1925"/>
      <c r="J60" s="1925"/>
      <c r="K60" s="1925"/>
      <c r="L60" s="1925"/>
      <c r="M60" s="1925"/>
      <c r="N60" s="1925"/>
      <c r="O60" s="1925"/>
      <c r="P60" s="1925"/>
      <c r="Q60" s="1925"/>
      <c r="R60" s="1925"/>
      <c r="S60" s="1925"/>
      <c r="T60" s="1925"/>
      <c r="U60" s="1925"/>
      <c r="V60" s="1925"/>
      <c r="W60" s="1925"/>
      <c r="X60" s="810"/>
    </row>
    <row r="61" spans="1:48">
      <c r="A61" s="852"/>
      <c r="B61" s="1925"/>
      <c r="C61" s="1925"/>
      <c r="D61" s="1925"/>
      <c r="E61" s="1925"/>
      <c r="F61" s="1925"/>
      <c r="G61" s="1925"/>
      <c r="H61" s="1925"/>
      <c r="I61" s="1925"/>
      <c r="J61" s="1925"/>
      <c r="K61" s="1925"/>
      <c r="L61" s="1925"/>
      <c r="M61" s="1925"/>
      <c r="N61" s="1925"/>
      <c r="O61" s="1925"/>
      <c r="P61" s="1925"/>
      <c r="Q61" s="1925"/>
      <c r="R61" s="1925"/>
      <c r="S61" s="1925"/>
      <c r="T61" s="1925"/>
      <c r="U61" s="1925"/>
      <c r="V61" s="1925"/>
      <c r="W61" s="1925"/>
      <c r="X61" s="810"/>
    </row>
    <row r="62" spans="1:48">
      <c r="A62" s="852"/>
      <c r="B62" s="1925"/>
      <c r="C62" s="1925"/>
      <c r="D62" s="1925"/>
      <c r="E62" s="1925"/>
      <c r="F62" s="1925"/>
      <c r="G62" s="1925"/>
      <c r="H62" s="1925"/>
      <c r="I62" s="1925"/>
      <c r="J62" s="1925"/>
      <c r="K62" s="1925"/>
      <c r="L62" s="1925"/>
      <c r="M62" s="1925"/>
      <c r="N62" s="1925"/>
      <c r="O62" s="1925"/>
      <c r="P62" s="1925"/>
      <c r="Q62" s="1925"/>
      <c r="R62" s="1925"/>
      <c r="S62" s="1925"/>
      <c r="T62" s="1925"/>
      <c r="U62" s="1925"/>
      <c r="V62" s="1925"/>
      <c r="W62" s="1925"/>
      <c r="X62" s="810"/>
    </row>
    <row r="63" spans="1:48">
      <c r="A63" s="852"/>
      <c r="B63" s="1925"/>
      <c r="C63" s="1925"/>
      <c r="D63" s="1925"/>
      <c r="E63" s="1925"/>
      <c r="F63" s="1925"/>
      <c r="G63" s="1925"/>
      <c r="H63" s="1925"/>
      <c r="I63" s="1925"/>
      <c r="J63" s="1925"/>
      <c r="K63" s="1925"/>
      <c r="L63" s="1925"/>
      <c r="M63" s="1925"/>
      <c r="N63" s="1925"/>
      <c r="O63" s="1925"/>
      <c r="P63" s="1925"/>
      <c r="Q63" s="1925"/>
      <c r="R63" s="1925"/>
      <c r="S63" s="1925"/>
      <c r="T63" s="1925"/>
      <c r="U63" s="1925"/>
      <c r="V63" s="1925"/>
      <c r="W63" s="1925"/>
      <c r="X63" s="810"/>
    </row>
    <row r="64" spans="1:48">
      <c r="A64" s="852"/>
      <c r="B64" s="1925"/>
      <c r="C64" s="1925"/>
      <c r="D64" s="1925"/>
      <c r="E64" s="1925"/>
      <c r="F64" s="1925"/>
      <c r="G64" s="1925"/>
      <c r="H64" s="1925"/>
      <c r="I64" s="1925"/>
      <c r="J64" s="1925"/>
      <c r="K64" s="1925"/>
      <c r="L64" s="1925"/>
      <c r="M64" s="1925"/>
      <c r="N64" s="1925"/>
      <c r="O64" s="1925"/>
      <c r="P64" s="1925"/>
      <c r="Q64" s="1925"/>
      <c r="R64" s="1925"/>
      <c r="S64" s="1925"/>
      <c r="T64" s="1925"/>
      <c r="U64" s="1925"/>
      <c r="V64" s="1925"/>
      <c r="W64" s="1925"/>
      <c r="X64" s="810"/>
    </row>
    <row r="65" spans="1:24">
      <c r="A65" s="852"/>
      <c r="B65" s="1925"/>
      <c r="C65" s="1925"/>
      <c r="D65" s="1925"/>
      <c r="E65" s="1925"/>
      <c r="F65" s="1925"/>
      <c r="G65" s="1925"/>
      <c r="H65" s="1925"/>
      <c r="I65" s="1925"/>
      <c r="J65" s="1925"/>
      <c r="K65" s="1925"/>
      <c r="L65" s="1925"/>
      <c r="M65" s="1925"/>
      <c r="N65" s="1925"/>
      <c r="O65" s="1925"/>
      <c r="P65" s="1925"/>
      <c r="Q65" s="1925"/>
      <c r="R65" s="1925"/>
      <c r="S65" s="1925"/>
      <c r="T65" s="1925"/>
      <c r="U65" s="1925"/>
      <c r="V65" s="1925"/>
      <c r="W65" s="1925"/>
      <c r="X65" s="810"/>
    </row>
    <row r="66" spans="1:24">
      <c r="A66" s="852"/>
      <c r="B66" s="1925"/>
      <c r="C66" s="1925"/>
      <c r="D66" s="1925"/>
      <c r="E66" s="1925"/>
      <c r="F66" s="1925"/>
      <c r="G66" s="1925"/>
      <c r="H66" s="1925"/>
      <c r="I66" s="1925"/>
      <c r="J66" s="1925"/>
      <c r="K66" s="1925"/>
      <c r="L66" s="1925"/>
      <c r="M66" s="1925"/>
      <c r="N66" s="1925"/>
      <c r="O66" s="1925"/>
      <c r="P66" s="1925"/>
      <c r="Q66" s="1925"/>
      <c r="R66" s="1925"/>
      <c r="S66" s="1925"/>
      <c r="T66" s="1925"/>
      <c r="U66" s="1925"/>
      <c r="V66" s="1925"/>
      <c r="W66" s="1925"/>
      <c r="X66" s="810"/>
    </row>
    <row r="67" spans="1:24">
      <c r="A67" s="852"/>
      <c r="B67" s="1925"/>
      <c r="C67" s="1925"/>
      <c r="D67" s="1925"/>
      <c r="E67" s="1925"/>
      <c r="F67" s="1925"/>
      <c r="G67" s="1925"/>
      <c r="H67" s="1925"/>
      <c r="I67" s="1925"/>
      <c r="J67" s="1925"/>
      <c r="K67" s="1925"/>
      <c r="L67" s="1925"/>
      <c r="M67" s="1925"/>
      <c r="N67" s="1925"/>
      <c r="O67" s="1925"/>
      <c r="P67" s="1925"/>
      <c r="Q67" s="1925"/>
      <c r="R67" s="1925"/>
      <c r="S67" s="1925"/>
      <c r="T67" s="1925"/>
      <c r="U67" s="1925"/>
      <c r="V67" s="1925"/>
      <c r="W67" s="1925"/>
      <c r="X67" s="810"/>
    </row>
    <row r="68" spans="1:24">
      <c r="A68" s="852"/>
      <c r="B68" s="1925"/>
      <c r="C68" s="1925"/>
      <c r="D68" s="1925"/>
      <c r="E68" s="1925"/>
      <c r="F68" s="1925"/>
      <c r="G68" s="1925"/>
      <c r="H68" s="1925"/>
      <c r="I68" s="1925"/>
      <c r="J68" s="1925"/>
      <c r="K68" s="1925"/>
      <c r="L68" s="1925"/>
      <c r="M68" s="1925"/>
      <c r="N68" s="1925"/>
      <c r="O68" s="1925"/>
      <c r="P68" s="1925"/>
      <c r="Q68" s="1925"/>
      <c r="R68" s="1925"/>
      <c r="S68" s="1925"/>
      <c r="T68" s="1925"/>
      <c r="U68" s="1925"/>
      <c r="V68" s="1925"/>
      <c r="W68" s="1925"/>
      <c r="X68" s="810"/>
    </row>
    <row r="69" spans="1:24">
      <c r="A69" s="852"/>
      <c r="B69" s="1925"/>
      <c r="C69" s="1925"/>
      <c r="D69" s="1925"/>
      <c r="E69" s="1925"/>
      <c r="F69" s="1925"/>
      <c r="G69" s="1925"/>
      <c r="H69" s="1925"/>
      <c r="I69" s="1925"/>
      <c r="J69" s="1925"/>
      <c r="K69" s="1925"/>
      <c r="L69" s="1925"/>
      <c r="M69" s="1925"/>
      <c r="N69" s="1925"/>
      <c r="O69" s="1925"/>
      <c r="P69" s="1925"/>
      <c r="Q69" s="1925"/>
      <c r="R69" s="1925"/>
      <c r="S69" s="1925"/>
      <c r="T69" s="1925"/>
      <c r="U69" s="1925"/>
      <c r="V69" s="1925"/>
      <c r="W69" s="1925"/>
      <c r="X69" s="810"/>
    </row>
    <row r="70" spans="1:24">
      <c r="A70" s="852"/>
      <c r="B70" s="1925"/>
      <c r="C70" s="1925"/>
      <c r="D70" s="1925"/>
      <c r="E70" s="1925"/>
      <c r="F70" s="1925"/>
      <c r="G70" s="1925"/>
      <c r="H70" s="1925"/>
      <c r="I70" s="1925"/>
      <c r="J70" s="1925"/>
      <c r="K70" s="1925"/>
      <c r="L70" s="1925"/>
      <c r="M70" s="1925"/>
      <c r="N70" s="1925"/>
      <c r="O70" s="1925"/>
      <c r="P70" s="1925"/>
      <c r="Q70" s="1925"/>
      <c r="R70" s="1925"/>
      <c r="S70" s="1925"/>
      <c r="T70" s="1925"/>
      <c r="U70" s="1925"/>
      <c r="V70" s="1925"/>
      <c r="W70" s="1925"/>
      <c r="X70" s="810"/>
    </row>
    <row r="71" spans="1:24">
      <c r="A71" s="852"/>
      <c r="B71" s="1925"/>
      <c r="C71" s="1925"/>
      <c r="D71" s="1925"/>
      <c r="E71" s="1925"/>
      <c r="F71" s="1925"/>
      <c r="G71" s="1925"/>
      <c r="H71" s="1925"/>
      <c r="I71" s="1925"/>
      <c r="J71" s="1925"/>
      <c r="K71" s="1925"/>
      <c r="L71" s="1925"/>
      <c r="M71" s="1925"/>
      <c r="N71" s="1925"/>
      <c r="O71" s="1925"/>
      <c r="P71" s="1925"/>
      <c r="Q71" s="1925"/>
      <c r="R71" s="1925"/>
      <c r="S71" s="1925"/>
      <c r="T71" s="1925"/>
      <c r="U71" s="1925"/>
      <c r="V71" s="1925"/>
      <c r="W71" s="1925"/>
      <c r="X71" s="810"/>
    </row>
    <row r="72" spans="1:24">
      <c r="A72" s="852"/>
      <c r="B72" s="1925"/>
      <c r="C72" s="1925"/>
      <c r="D72" s="1925"/>
      <c r="E72" s="1925"/>
      <c r="F72" s="1925"/>
      <c r="G72" s="1925"/>
      <c r="H72" s="1925"/>
      <c r="I72" s="1925"/>
      <c r="J72" s="1925"/>
      <c r="K72" s="1925"/>
      <c r="L72" s="1925"/>
      <c r="M72" s="1925"/>
      <c r="N72" s="1925"/>
      <c r="O72" s="1925"/>
      <c r="P72" s="1925"/>
      <c r="Q72" s="1925"/>
      <c r="R72" s="1925"/>
      <c r="S72" s="1925"/>
      <c r="T72" s="1925"/>
      <c r="U72" s="1925"/>
      <c r="V72" s="1925"/>
      <c r="W72" s="1925"/>
      <c r="X72" s="810"/>
    </row>
    <row r="73" spans="1:24">
      <c r="A73" s="852"/>
      <c r="B73" s="1925"/>
      <c r="C73" s="1925"/>
      <c r="D73" s="1925"/>
      <c r="E73" s="1925"/>
      <c r="F73" s="1925"/>
      <c r="G73" s="1925"/>
      <c r="H73" s="1925"/>
      <c r="I73" s="1925"/>
      <c r="J73" s="1925"/>
      <c r="K73" s="1925"/>
      <c r="L73" s="1925"/>
      <c r="M73" s="1925"/>
      <c r="N73" s="1925"/>
      <c r="O73" s="1925"/>
      <c r="P73" s="1925"/>
      <c r="Q73" s="1925"/>
      <c r="R73" s="1925"/>
      <c r="S73" s="1925"/>
      <c r="T73" s="1925"/>
      <c r="U73" s="1925"/>
      <c r="V73" s="1925"/>
      <c r="W73" s="1925"/>
      <c r="X73" s="810"/>
    </row>
    <row r="74" spans="1:24">
      <c r="A74" s="852"/>
      <c r="B74" s="1925"/>
      <c r="C74" s="1925"/>
      <c r="D74" s="1925"/>
      <c r="E74" s="1925"/>
      <c r="F74" s="1925"/>
      <c r="G74" s="1925"/>
      <c r="H74" s="1925"/>
      <c r="I74" s="1925"/>
      <c r="J74" s="1925"/>
      <c r="K74" s="1925"/>
      <c r="L74" s="1925"/>
      <c r="M74" s="1925"/>
      <c r="N74" s="1925"/>
      <c r="O74" s="1925"/>
      <c r="P74" s="1925"/>
      <c r="Q74" s="1925"/>
      <c r="R74" s="1925"/>
      <c r="S74" s="1925"/>
      <c r="T74" s="1925"/>
      <c r="U74" s="1925"/>
      <c r="V74" s="1925"/>
      <c r="W74" s="1925"/>
      <c r="X74" s="810"/>
    </row>
    <row r="75" spans="1:24">
      <c r="A75" s="852"/>
      <c r="B75" s="1925"/>
      <c r="C75" s="1925"/>
      <c r="D75" s="1925"/>
      <c r="E75" s="1925"/>
      <c r="F75" s="1925"/>
      <c r="G75" s="1925"/>
      <c r="H75" s="1925"/>
      <c r="I75" s="1925"/>
      <c r="J75" s="1925"/>
      <c r="K75" s="1925"/>
      <c r="L75" s="1925"/>
      <c r="M75" s="1925"/>
      <c r="N75" s="1925"/>
      <c r="O75" s="1925"/>
      <c r="P75" s="1925"/>
      <c r="Q75" s="1925"/>
      <c r="R75" s="1925"/>
      <c r="S75" s="1925"/>
      <c r="T75" s="1925"/>
      <c r="U75" s="1925"/>
      <c r="V75" s="1925"/>
      <c r="W75" s="1925"/>
      <c r="X75" s="810"/>
    </row>
    <row r="76" spans="1:24">
      <c r="A76" s="852"/>
      <c r="B76" s="1925"/>
      <c r="C76" s="1925"/>
      <c r="D76" s="1925"/>
      <c r="E76" s="1925"/>
      <c r="F76" s="1925"/>
      <c r="G76" s="1925"/>
      <c r="H76" s="1925"/>
      <c r="I76" s="1925"/>
      <c r="J76" s="1925"/>
      <c r="K76" s="1925"/>
      <c r="L76" s="1925"/>
      <c r="M76" s="1925"/>
      <c r="N76" s="1925"/>
      <c r="O76" s="1925"/>
      <c r="P76" s="1925"/>
      <c r="Q76" s="1925"/>
      <c r="R76" s="1925"/>
      <c r="S76" s="1925"/>
      <c r="T76" s="1925"/>
      <c r="U76" s="1925"/>
      <c r="V76" s="1925"/>
      <c r="W76" s="1925"/>
      <c r="X76" s="810"/>
    </row>
    <row r="77" spans="1:24">
      <c r="A77" s="852"/>
      <c r="B77" s="1925"/>
      <c r="C77" s="1925"/>
      <c r="D77" s="1925"/>
      <c r="E77" s="1925"/>
      <c r="F77" s="1925"/>
      <c r="G77" s="1925"/>
      <c r="H77" s="1925"/>
      <c r="I77" s="1925"/>
      <c r="J77" s="1925"/>
      <c r="K77" s="1925"/>
      <c r="L77" s="1925"/>
      <c r="M77" s="1925"/>
      <c r="N77" s="1925"/>
      <c r="O77" s="1925"/>
      <c r="P77" s="1925"/>
      <c r="Q77" s="1925"/>
      <c r="R77" s="1925"/>
      <c r="S77" s="1925"/>
      <c r="T77" s="1925"/>
      <c r="U77" s="1925"/>
      <c r="V77" s="1925"/>
      <c r="W77" s="1925"/>
      <c r="X77" s="810"/>
    </row>
    <row r="78" spans="1:24" ht="15" thickBot="1">
      <c r="A78" s="1374"/>
      <c r="B78" s="1375"/>
      <c r="C78" s="1375"/>
      <c r="D78" s="1375"/>
      <c r="E78" s="1375"/>
      <c r="F78" s="1375"/>
      <c r="G78" s="1375"/>
      <c r="H78" s="1375"/>
      <c r="I78" s="1375"/>
      <c r="J78" s="1375"/>
      <c r="K78" s="1375"/>
      <c r="L78" s="1375"/>
      <c r="M78" s="1375"/>
      <c r="N78" s="1375"/>
      <c r="O78" s="1375"/>
      <c r="P78" s="1375"/>
      <c r="Q78" s="1375"/>
      <c r="R78" s="1375"/>
      <c r="S78" s="1375"/>
      <c r="T78" s="1375"/>
      <c r="U78" s="1375"/>
      <c r="V78" s="1375"/>
      <c r="W78" s="1375"/>
      <c r="X78" s="1376"/>
    </row>
  </sheetData>
  <sheetProtection sheet="1" objects="1" scenarios="1"/>
  <mergeCells count="34">
    <mergeCell ref="A4:G4"/>
    <mergeCell ref="H4:W4"/>
    <mergeCell ref="F1:Q1"/>
    <mergeCell ref="F2:K2"/>
    <mergeCell ref="L2:N2"/>
    <mergeCell ref="O2:R2"/>
    <mergeCell ref="T2:X2"/>
    <mergeCell ref="U34:W34"/>
    <mergeCell ref="A28:C28"/>
    <mergeCell ref="D28:G28"/>
    <mergeCell ref="J30:M30"/>
    <mergeCell ref="D32:G32"/>
    <mergeCell ref="L32:O32"/>
    <mergeCell ref="U32:W32"/>
    <mergeCell ref="D33:G33"/>
    <mergeCell ref="L33:O33"/>
    <mergeCell ref="D34:G34"/>
    <mergeCell ref="L34:O34"/>
    <mergeCell ref="Q34:S34"/>
    <mergeCell ref="D35:G35"/>
    <mergeCell ref="Q35:S35"/>
    <mergeCell ref="U35:W35"/>
    <mergeCell ref="F37:I37"/>
    <mergeCell ref="A39:G39"/>
    <mergeCell ref="C54:G54"/>
    <mergeCell ref="A57:X57"/>
    <mergeCell ref="H39:W39"/>
    <mergeCell ref="J47:N47"/>
    <mergeCell ref="J48:N48"/>
    <mergeCell ref="J49:N49"/>
    <mergeCell ref="Q51:V51"/>
    <mergeCell ref="Q52:V52"/>
    <mergeCell ref="C53:G53"/>
    <mergeCell ref="Q53:V53"/>
  </mergeCells>
  <pageMargins left="0.4" right="0.4" top="0.4" bottom="0.4" header="0.5" footer="0.5"/>
  <pageSetup scale="90" orientation="portrait" blackAndWhite="1" r:id="rId1"/>
  <headerFooter alignWithMargins="0"/>
  <rowBreaks count="2" manualBreakCount="2">
    <brk id="38" max="23" man="1"/>
    <brk id="58" max="23" man="1"/>
  </rowBreaks>
  <drawing r:id="rId2"/>
  <legacyDrawing r:id="rId3"/>
  <mc:AlternateContent xmlns:mc="http://schemas.openxmlformats.org/markup-compatibility/2006">
    <mc:Choice Requires="x14">
      <controls>
        <mc:AlternateContent xmlns:mc="http://schemas.openxmlformats.org/markup-compatibility/2006">
          <mc:Choice Requires="x14">
            <control shapeId="4140033" r:id="rId4" name="Check Box 1">
              <controlPr defaultSize="0" autoFill="0" autoLine="0" autoPict="0">
                <anchor moveWithCells="1" sizeWithCells="1">
                  <from>
                    <xdr:col>7</xdr:col>
                    <xdr:colOff>38100</xdr:colOff>
                    <xdr:row>50</xdr:row>
                    <xdr:rowOff>175260</xdr:rowOff>
                  </from>
                  <to>
                    <xdr:col>11</xdr:col>
                    <xdr:colOff>198120</xdr:colOff>
                    <xdr:row>52</xdr:row>
                    <xdr:rowOff>22860</xdr:rowOff>
                  </to>
                </anchor>
              </controlPr>
            </control>
          </mc:Choice>
        </mc:AlternateContent>
        <mc:AlternateContent xmlns:mc="http://schemas.openxmlformats.org/markup-compatibility/2006">
          <mc:Choice Requires="x14">
            <control shapeId="4140034" r:id="rId5" name="Check Box 2">
              <controlPr defaultSize="0" autoFill="0" autoLine="0" autoPict="0">
                <anchor moveWithCells="1" sizeWithCells="1">
                  <from>
                    <xdr:col>7</xdr:col>
                    <xdr:colOff>38100</xdr:colOff>
                    <xdr:row>51</xdr:row>
                    <xdr:rowOff>160020</xdr:rowOff>
                  </from>
                  <to>
                    <xdr:col>11</xdr:col>
                    <xdr:colOff>137160</xdr:colOff>
                    <xdr:row>53</xdr:row>
                    <xdr:rowOff>7620</xdr:rowOff>
                  </to>
                </anchor>
              </controlPr>
            </control>
          </mc:Choice>
        </mc:AlternateContent>
        <mc:AlternateContent xmlns:mc="http://schemas.openxmlformats.org/markup-compatibility/2006">
          <mc:Choice Requires="x14">
            <control shapeId="4140035" r:id="rId6" name="Check Box 3">
              <controlPr defaultSize="0" autoFill="0" autoLine="0" autoPict="0">
                <anchor moveWithCells="1" sizeWithCells="1">
                  <from>
                    <xdr:col>7</xdr:col>
                    <xdr:colOff>38100</xdr:colOff>
                    <xdr:row>52</xdr:row>
                    <xdr:rowOff>198120</xdr:rowOff>
                  </from>
                  <to>
                    <xdr:col>11</xdr:col>
                    <xdr:colOff>106680</xdr:colOff>
                    <xdr:row>53</xdr:row>
                    <xdr:rowOff>182880</xdr:rowOff>
                  </to>
                </anchor>
              </controlPr>
            </control>
          </mc:Choice>
        </mc:AlternateContent>
        <mc:AlternateContent xmlns:mc="http://schemas.openxmlformats.org/markup-compatibility/2006">
          <mc:Choice Requires="x14">
            <control shapeId="4140036" r:id="rId7" name="Check Box 4">
              <controlPr defaultSize="0" autoFill="0" autoLine="0" autoPict="0">
                <anchor moveWithCells="1" sizeWithCells="1">
                  <from>
                    <xdr:col>7</xdr:col>
                    <xdr:colOff>38100</xdr:colOff>
                    <xdr:row>53</xdr:row>
                    <xdr:rowOff>190500</xdr:rowOff>
                  </from>
                  <to>
                    <xdr:col>14</xdr:col>
                    <xdr:colOff>7620</xdr:colOff>
                    <xdr:row>54</xdr:row>
                    <xdr:rowOff>182880</xdr:rowOff>
                  </to>
                </anchor>
              </controlPr>
            </control>
          </mc:Choice>
        </mc:AlternateContent>
        <mc:AlternateContent xmlns:mc="http://schemas.openxmlformats.org/markup-compatibility/2006">
          <mc:Choice Requires="x14">
            <control shapeId="4140037" r:id="rId8" name="Check Box 5">
              <controlPr defaultSize="0" autoFill="0" autoLine="0" autoPict="0">
                <anchor moveWithCells="1" sizeWithCells="1">
                  <from>
                    <xdr:col>8</xdr:col>
                    <xdr:colOff>160020</xdr:colOff>
                    <xdr:row>26</xdr:row>
                    <xdr:rowOff>68580</xdr:rowOff>
                  </from>
                  <to>
                    <xdr:col>12</xdr:col>
                    <xdr:colOff>30480</xdr:colOff>
                    <xdr:row>28</xdr:row>
                    <xdr:rowOff>30480</xdr:rowOff>
                  </to>
                </anchor>
              </controlPr>
            </control>
          </mc:Choice>
        </mc:AlternateContent>
        <mc:AlternateContent xmlns:mc="http://schemas.openxmlformats.org/markup-compatibility/2006">
          <mc:Choice Requires="x14">
            <control shapeId="4140038" r:id="rId9" name="Check Box 6">
              <controlPr defaultSize="0" autoFill="0" autoLine="0" autoPict="0">
                <anchor moveWithCells="1" sizeWithCells="1">
                  <from>
                    <xdr:col>12</xdr:col>
                    <xdr:colOff>83820</xdr:colOff>
                    <xdr:row>26</xdr:row>
                    <xdr:rowOff>45720</xdr:rowOff>
                  </from>
                  <to>
                    <xdr:col>16</xdr:col>
                    <xdr:colOff>144780</xdr:colOff>
                    <xdr:row>28</xdr:row>
                    <xdr:rowOff>30480</xdr:rowOff>
                  </to>
                </anchor>
              </controlPr>
            </control>
          </mc:Choice>
        </mc:AlternateContent>
        <mc:AlternateContent xmlns:mc="http://schemas.openxmlformats.org/markup-compatibility/2006">
          <mc:Choice Requires="x14">
            <control shapeId="4140039" r:id="rId10" name="Check Box 7">
              <controlPr defaultSize="0" autoFill="0" autoLine="0" autoPict="0">
                <anchor moveWithCells="1">
                  <from>
                    <xdr:col>14</xdr:col>
                    <xdr:colOff>30480</xdr:colOff>
                    <xdr:row>52</xdr:row>
                    <xdr:rowOff>45720</xdr:rowOff>
                  </from>
                  <to>
                    <xdr:col>16</xdr:col>
                    <xdr:colOff>0</xdr:colOff>
                    <xdr:row>52</xdr:row>
                    <xdr:rowOff>228600</xdr:rowOff>
                  </to>
                </anchor>
              </controlPr>
            </control>
          </mc:Choice>
        </mc:AlternateContent>
        <mc:AlternateContent xmlns:mc="http://schemas.openxmlformats.org/markup-compatibility/2006">
          <mc:Choice Requires="x14">
            <control shapeId="4140040" r:id="rId11" name="Check Box 8">
              <controlPr defaultSize="0" autoFill="0" autoLine="0" autoPict="0">
                <anchor moveWithCells="1" sizeWithCells="1">
                  <from>
                    <xdr:col>14</xdr:col>
                    <xdr:colOff>30480</xdr:colOff>
                    <xdr:row>42</xdr:row>
                    <xdr:rowOff>30480</xdr:rowOff>
                  </from>
                  <to>
                    <xdr:col>18</xdr:col>
                    <xdr:colOff>68580</xdr:colOff>
                    <xdr:row>43</xdr:row>
                    <xdr:rowOff>68580</xdr:rowOff>
                  </to>
                </anchor>
              </controlPr>
            </control>
          </mc:Choice>
        </mc:AlternateContent>
        <mc:AlternateContent xmlns:mc="http://schemas.openxmlformats.org/markup-compatibility/2006">
          <mc:Choice Requires="x14">
            <control shapeId="4140041" r:id="rId12" name="Check Box 9">
              <controlPr defaultSize="0" autoFill="0" autoLine="0" autoPict="0">
                <anchor moveWithCells="1" sizeWithCells="1">
                  <from>
                    <xdr:col>14</xdr:col>
                    <xdr:colOff>30480</xdr:colOff>
                    <xdr:row>43</xdr:row>
                    <xdr:rowOff>137160</xdr:rowOff>
                  </from>
                  <to>
                    <xdr:col>21</xdr:col>
                    <xdr:colOff>30480</xdr:colOff>
                    <xdr:row>44</xdr:row>
                    <xdr:rowOff>137160</xdr:rowOff>
                  </to>
                </anchor>
              </controlPr>
            </control>
          </mc:Choice>
        </mc:AlternateContent>
        <mc:AlternateContent xmlns:mc="http://schemas.openxmlformats.org/markup-compatibility/2006">
          <mc:Choice Requires="x14">
            <control shapeId="4140042" r:id="rId13" name="Check Box 10">
              <controlPr defaultSize="0" autoFill="0" autoLine="0" autoPict="0">
                <anchor moveWithCells="1" sizeWithCells="1">
                  <from>
                    <xdr:col>14</xdr:col>
                    <xdr:colOff>30480</xdr:colOff>
                    <xdr:row>45</xdr:row>
                    <xdr:rowOff>0</xdr:rowOff>
                  </from>
                  <to>
                    <xdr:col>20</xdr:col>
                    <xdr:colOff>114300</xdr:colOff>
                    <xdr:row>46</xdr:row>
                    <xdr:rowOff>38100</xdr:rowOff>
                  </to>
                </anchor>
              </controlPr>
            </control>
          </mc:Choice>
        </mc:AlternateContent>
        <mc:AlternateContent xmlns:mc="http://schemas.openxmlformats.org/markup-compatibility/2006">
          <mc:Choice Requires="x14">
            <control shapeId="4140043" r:id="rId14" name="Check Box 11">
              <controlPr defaultSize="0" autoFill="0" autoLine="0" autoPict="0">
                <anchor moveWithCells="1" sizeWithCells="1">
                  <from>
                    <xdr:col>14</xdr:col>
                    <xdr:colOff>30480</xdr:colOff>
                    <xdr:row>46</xdr:row>
                    <xdr:rowOff>7620</xdr:rowOff>
                  </from>
                  <to>
                    <xdr:col>20</xdr:col>
                    <xdr:colOff>106680</xdr:colOff>
                    <xdr:row>47</xdr:row>
                    <xdr:rowOff>83820</xdr:rowOff>
                  </to>
                </anchor>
              </controlPr>
            </control>
          </mc:Choice>
        </mc:AlternateContent>
        <mc:AlternateContent xmlns:mc="http://schemas.openxmlformats.org/markup-compatibility/2006">
          <mc:Choice Requires="x14">
            <control shapeId="4140044" r:id="rId15" name="Check Box 12">
              <controlPr defaultSize="0" autoFill="0" autoLine="0" autoPict="0">
                <anchor moveWithCells="1" sizeWithCells="1">
                  <from>
                    <xdr:col>14</xdr:col>
                    <xdr:colOff>30480</xdr:colOff>
                    <xdr:row>47</xdr:row>
                    <xdr:rowOff>68580</xdr:rowOff>
                  </from>
                  <to>
                    <xdr:col>19</xdr:col>
                    <xdr:colOff>152400</xdr:colOff>
                    <xdr:row>48</xdr:row>
                    <xdr:rowOff>121920</xdr:rowOff>
                  </to>
                </anchor>
              </controlPr>
            </control>
          </mc:Choice>
        </mc:AlternateContent>
        <mc:AlternateContent xmlns:mc="http://schemas.openxmlformats.org/markup-compatibility/2006">
          <mc:Choice Requires="x14">
            <control shapeId="4140045" r:id="rId16" name="Check Box 13">
              <controlPr defaultSize="0" autoFill="0" autoLine="0" autoPict="0">
                <anchor moveWithCells="1" sizeWithCells="1">
                  <from>
                    <xdr:col>14</xdr:col>
                    <xdr:colOff>30480</xdr:colOff>
                    <xdr:row>48</xdr:row>
                    <xdr:rowOff>121920</xdr:rowOff>
                  </from>
                  <to>
                    <xdr:col>19</xdr:col>
                    <xdr:colOff>190500</xdr:colOff>
                    <xdr:row>50</xdr:row>
                    <xdr:rowOff>0</xdr:rowOff>
                  </to>
                </anchor>
              </controlPr>
            </control>
          </mc:Choice>
        </mc:AlternateContent>
        <mc:AlternateContent xmlns:mc="http://schemas.openxmlformats.org/markup-compatibility/2006">
          <mc:Choice Requires="x14">
            <control shapeId="4140046" r:id="rId17" name="Check Box 14">
              <controlPr defaultSize="0" autoFill="0" autoLine="0" autoPict="0">
                <anchor moveWithCells="1">
                  <from>
                    <xdr:col>14</xdr:col>
                    <xdr:colOff>30480</xdr:colOff>
                    <xdr:row>50</xdr:row>
                    <xdr:rowOff>7620</xdr:rowOff>
                  </from>
                  <to>
                    <xdr:col>16</xdr:col>
                    <xdr:colOff>0</xdr:colOff>
                    <xdr:row>51</xdr:row>
                    <xdr:rowOff>0</xdr:rowOff>
                  </to>
                </anchor>
              </controlPr>
            </control>
          </mc:Choice>
        </mc:AlternateContent>
        <mc:AlternateContent xmlns:mc="http://schemas.openxmlformats.org/markup-compatibility/2006">
          <mc:Choice Requires="x14">
            <control shapeId="4140047" r:id="rId18" name="Check Box 15">
              <controlPr defaultSize="0" autoFill="0" autoLine="0" autoPict="0">
                <anchor moveWithCells="1">
                  <from>
                    <xdr:col>14</xdr:col>
                    <xdr:colOff>30480</xdr:colOff>
                    <xdr:row>51</xdr:row>
                    <xdr:rowOff>38100</xdr:rowOff>
                  </from>
                  <to>
                    <xdr:col>16</xdr:col>
                    <xdr:colOff>0</xdr:colOff>
                    <xdr:row>52</xdr:row>
                    <xdr:rowOff>0</xdr:rowOff>
                  </to>
                </anchor>
              </controlPr>
            </control>
          </mc:Choice>
        </mc:AlternateContent>
        <mc:AlternateContent xmlns:mc="http://schemas.openxmlformats.org/markup-compatibility/2006">
          <mc:Choice Requires="x14">
            <control shapeId="4140048" r:id="rId19" name="Check Box 16">
              <controlPr defaultSize="0" autoFill="0" autoLine="0" autoPict="0">
                <anchor moveWithCells="1" sizeWithCells="1">
                  <from>
                    <xdr:col>7</xdr:col>
                    <xdr:colOff>0</xdr:colOff>
                    <xdr:row>42</xdr:row>
                    <xdr:rowOff>45720</xdr:rowOff>
                  </from>
                  <to>
                    <xdr:col>10</xdr:col>
                    <xdr:colOff>30480</xdr:colOff>
                    <xdr:row>43</xdr:row>
                    <xdr:rowOff>121920</xdr:rowOff>
                  </to>
                </anchor>
              </controlPr>
            </control>
          </mc:Choice>
        </mc:AlternateContent>
        <mc:AlternateContent xmlns:mc="http://schemas.openxmlformats.org/markup-compatibility/2006">
          <mc:Choice Requires="x14">
            <control shapeId="4140049" r:id="rId20" name="Check Box 17">
              <controlPr defaultSize="0" autoFill="0" autoLine="0" autoPict="0">
                <anchor moveWithCells="1" sizeWithCells="1">
                  <from>
                    <xdr:col>7</xdr:col>
                    <xdr:colOff>0</xdr:colOff>
                    <xdr:row>43</xdr:row>
                    <xdr:rowOff>106680</xdr:rowOff>
                  </from>
                  <to>
                    <xdr:col>11</xdr:col>
                    <xdr:colOff>182880</xdr:colOff>
                    <xdr:row>44</xdr:row>
                    <xdr:rowOff>137160</xdr:rowOff>
                  </to>
                </anchor>
              </controlPr>
            </control>
          </mc:Choice>
        </mc:AlternateContent>
        <mc:AlternateContent xmlns:mc="http://schemas.openxmlformats.org/markup-compatibility/2006">
          <mc:Choice Requires="x14">
            <control shapeId="4140050" r:id="rId21" name="Check Box 18">
              <controlPr defaultSize="0" autoFill="0" autoLine="0" autoPict="0">
                <anchor moveWithCells="1" sizeWithCells="1">
                  <from>
                    <xdr:col>7</xdr:col>
                    <xdr:colOff>0</xdr:colOff>
                    <xdr:row>44</xdr:row>
                    <xdr:rowOff>160020</xdr:rowOff>
                  </from>
                  <to>
                    <xdr:col>9</xdr:col>
                    <xdr:colOff>266700</xdr:colOff>
                    <xdr:row>46</xdr:row>
                    <xdr:rowOff>22860</xdr:rowOff>
                  </to>
                </anchor>
              </controlPr>
            </control>
          </mc:Choice>
        </mc:AlternateContent>
        <mc:AlternateContent xmlns:mc="http://schemas.openxmlformats.org/markup-compatibility/2006">
          <mc:Choice Requires="x14">
            <control shapeId="4140051" r:id="rId22" name="Check Box 19">
              <controlPr defaultSize="0" autoFill="0" autoLine="0" autoPict="0">
                <anchor moveWithCells="1">
                  <from>
                    <xdr:col>7</xdr:col>
                    <xdr:colOff>0</xdr:colOff>
                    <xdr:row>46</xdr:row>
                    <xdr:rowOff>30480</xdr:rowOff>
                  </from>
                  <to>
                    <xdr:col>8</xdr:col>
                    <xdr:colOff>251460</xdr:colOff>
                    <xdr:row>47</xdr:row>
                    <xdr:rowOff>22860</xdr:rowOff>
                  </to>
                </anchor>
              </controlPr>
            </control>
          </mc:Choice>
        </mc:AlternateContent>
        <mc:AlternateContent xmlns:mc="http://schemas.openxmlformats.org/markup-compatibility/2006">
          <mc:Choice Requires="x14">
            <control shapeId="4140052" r:id="rId23" name="Check Box 20">
              <controlPr defaultSize="0" autoFill="0" autoLine="0" autoPict="0">
                <anchor moveWithCells="1">
                  <from>
                    <xdr:col>7</xdr:col>
                    <xdr:colOff>0</xdr:colOff>
                    <xdr:row>47</xdr:row>
                    <xdr:rowOff>60960</xdr:rowOff>
                  </from>
                  <to>
                    <xdr:col>8</xdr:col>
                    <xdr:colOff>251460</xdr:colOff>
                    <xdr:row>48</xdr:row>
                    <xdr:rowOff>45720</xdr:rowOff>
                  </to>
                </anchor>
              </controlPr>
            </control>
          </mc:Choice>
        </mc:AlternateContent>
        <mc:AlternateContent xmlns:mc="http://schemas.openxmlformats.org/markup-compatibility/2006">
          <mc:Choice Requires="x14">
            <control shapeId="4140053" r:id="rId24" name="Check Box 21">
              <controlPr defaultSize="0" autoFill="0" autoLine="0" autoPict="0">
                <anchor moveWithCells="1" sizeWithCells="1">
                  <from>
                    <xdr:col>0</xdr:col>
                    <xdr:colOff>0</xdr:colOff>
                    <xdr:row>42</xdr:row>
                    <xdr:rowOff>0</xdr:rowOff>
                  </from>
                  <to>
                    <xdr:col>7</xdr:col>
                    <xdr:colOff>0</xdr:colOff>
                    <xdr:row>43</xdr:row>
                    <xdr:rowOff>30480</xdr:rowOff>
                  </to>
                </anchor>
              </controlPr>
            </control>
          </mc:Choice>
        </mc:AlternateContent>
        <mc:AlternateContent xmlns:mc="http://schemas.openxmlformats.org/markup-compatibility/2006">
          <mc:Choice Requires="x14">
            <control shapeId="4140054" r:id="rId25" name="Check Box 22">
              <controlPr defaultSize="0" autoFill="0" autoLine="0" autoPict="0">
                <anchor moveWithCells="1" sizeWithCells="1">
                  <from>
                    <xdr:col>0</xdr:col>
                    <xdr:colOff>0</xdr:colOff>
                    <xdr:row>43</xdr:row>
                    <xdr:rowOff>68580</xdr:rowOff>
                  </from>
                  <to>
                    <xdr:col>7</xdr:col>
                    <xdr:colOff>0</xdr:colOff>
                    <xdr:row>44</xdr:row>
                    <xdr:rowOff>83820</xdr:rowOff>
                  </to>
                </anchor>
              </controlPr>
            </control>
          </mc:Choice>
        </mc:AlternateContent>
        <mc:AlternateContent xmlns:mc="http://schemas.openxmlformats.org/markup-compatibility/2006">
          <mc:Choice Requires="x14">
            <control shapeId="4140055" r:id="rId26" name="Check Box 23">
              <controlPr defaultSize="0" autoFill="0" autoLine="0" autoPict="0">
                <anchor moveWithCells="1" sizeWithCells="1">
                  <from>
                    <xdr:col>0</xdr:col>
                    <xdr:colOff>0</xdr:colOff>
                    <xdr:row>44</xdr:row>
                    <xdr:rowOff>114300</xdr:rowOff>
                  </from>
                  <to>
                    <xdr:col>7</xdr:col>
                    <xdr:colOff>0</xdr:colOff>
                    <xdr:row>45</xdr:row>
                    <xdr:rowOff>144780</xdr:rowOff>
                  </to>
                </anchor>
              </controlPr>
            </control>
          </mc:Choice>
        </mc:AlternateContent>
        <mc:AlternateContent xmlns:mc="http://schemas.openxmlformats.org/markup-compatibility/2006">
          <mc:Choice Requires="x14">
            <control shapeId="4140056" r:id="rId27" name="Check Box 24">
              <controlPr defaultSize="0" autoFill="0" autoLine="0" autoPict="0">
                <anchor moveWithCells="1" sizeWithCells="1">
                  <from>
                    <xdr:col>0</xdr:col>
                    <xdr:colOff>0</xdr:colOff>
                    <xdr:row>45</xdr:row>
                    <xdr:rowOff>182880</xdr:rowOff>
                  </from>
                  <to>
                    <xdr:col>7</xdr:col>
                    <xdr:colOff>0</xdr:colOff>
                    <xdr:row>47</xdr:row>
                    <xdr:rowOff>7620</xdr:rowOff>
                  </to>
                </anchor>
              </controlPr>
            </control>
          </mc:Choice>
        </mc:AlternateContent>
        <mc:AlternateContent xmlns:mc="http://schemas.openxmlformats.org/markup-compatibility/2006">
          <mc:Choice Requires="x14">
            <control shapeId="4140057" r:id="rId28" name="Check Box 25">
              <controlPr defaultSize="0" autoFill="0" autoLine="0" autoPict="0">
                <anchor moveWithCells="1" sizeWithCells="1">
                  <from>
                    <xdr:col>0</xdr:col>
                    <xdr:colOff>0</xdr:colOff>
                    <xdr:row>47</xdr:row>
                    <xdr:rowOff>38100</xdr:rowOff>
                  </from>
                  <to>
                    <xdr:col>7</xdr:col>
                    <xdr:colOff>0</xdr:colOff>
                    <xdr:row>48</xdr:row>
                    <xdr:rowOff>68580</xdr:rowOff>
                  </to>
                </anchor>
              </controlPr>
            </control>
          </mc:Choice>
        </mc:AlternateContent>
        <mc:AlternateContent xmlns:mc="http://schemas.openxmlformats.org/markup-compatibility/2006">
          <mc:Choice Requires="x14">
            <control shapeId="4140058" r:id="rId29" name="Check Box 26">
              <controlPr defaultSize="0" autoFill="0" autoLine="0" autoPict="0">
                <anchor moveWithCells="1" sizeWithCells="1">
                  <from>
                    <xdr:col>0</xdr:col>
                    <xdr:colOff>0</xdr:colOff>
                    <xdr:row>48</xdr:row>
                    <xdr:rowOff>106680</xdr:rowOff>
                  </from>
                  <to>
                    <xdr:col>7</xdr:col>
                    <xdr:colOff>0</xdr:colOff>
                    <xdr:row>49</xdr:row>
                    <xdr:rowOff>121920</xdr:rowOff>
                  </to>
                </anchor>
              </controlPr>
            </control>
          </mc:Choice>
        </mc:AlternateContent>
        <mc:AlternateContent xmlns:mc="http://schemas.openxmlformats.org/markup-compatibility/2006">
          <mc:Choice Requires="x14">
            <control shapeId="4140059" r:id="rId30" name="Check Box 27">
              <controlPr defaultSize="0" autoFill="0" autoLine="0" autoPict="0">
                <anchor moveWithCells="1" sizeWithCells="1">
                  <from>
                    <xdr:col>0</xdr:col>
                    <xdr:colOff>0</xdr:colOff>
                    <xdr:row>49</xdr:row>
                    <xdr:rowOff>152400</xdr:rowOff>
                  </from>
                  <to>
                    <xdr:col>7</xdr:col>
                    <xdr:colOff>0</xdr:colOff>
                    <xdr:row>50</xdr:row>
                    <xdr:rowOff>182880</xdr:rowOff>
                  </to>
                </anchor>
              </controlPr>
            </control>
          </mc:Choice>
        </mc:AlternateContent>
        <mc:AlternateContent xmlns:mc="http://schemas.openxmlformats.org/markup-compatibility/2006">
          <mc:Choice Requires="x14">
            <control shapeId="4140060" r:id="rId31" name="Check Box 28">
              <controlPr defaultSize="0" autoFill="0" autoLine="0" autoPict="0">
                <anchor moveWithCells="1" sizeWithCells="1">
                  <from>
                    <xdr:col>0</xdr:col>
                    <xdr:colOff>0</xdr:colOff>
                    <xdr:row>50</xdr:row>
                    <xdr:rowOff>152400</xdr:rowOff>
                  </from>
                  <to>
                    <xdr:col>7</xdr:col>
                    <xdr:colOff>0</xdr:colOff>
                    <xdr:row>52</xdr:row>
                    <xdr:rowOff>7620</xdr:rowOff>
                  </to>
                </anchor>
              </controlPr>
            </control>
          </mc:Choice>
        </mc:AlternateContent>
        <mc:AlternateContent xmlns:mc="http://schemas.openxmlformats.org/markup-compatibility/2006">
          <mc:Choice Requires="x14">
            <control shapeId="4140061" r:id="rId32" name="Check Box 29">
              <controlPr defaultSize="0" autoFill="0" autoLine="0" autoPict="0">
                <anchor moveWithCells="1">
                  <from>
                    <xdr:col>0</xdr:col>
                    <xdr:colOff>0</xdr:colOff>
                    <xdr:row>52</xdr:row>
                    <xdr:rowOff>30480</xdr:rowOff>
                  </from>
                  <to>
                    <xdr:col>1</xdr:col>
                    <xdr:colOff>251460</xdr:colOff>
                    <xdr:row>52</xdr:row>
                    <xdr:rowOff>213360</xdr:rowOff>
                  </to>
                </anchor>
              </controlPr>
            </control>
          </mc:Choice>
        </mc:AlternateContent>
        <mc:AlternateContent xmlns:mc="http://schemas.openxmlformats.org/markup-compatibility/2006">
          <mc:Choice Requires="x14">
            <control shapeId="4140062" r:id="rId33" name="Check Box 30">
              <controlPr defaultSize="0" autoFill="0" autoLine="0" autoPict="0">
                <anchor moveWithCells="1">
                  <from>
                    <xdr:col>0</xdr:col>
                    <xdr:colOff>0</xdr:colOff>
                    <xdr:row>53</xdr:row>
                    <xdr:rowOff>30480</xdr:rowOff>
                  </from>
                  <to>
                    <xdr:col>1</xdr:col>
                    <xdr:colOff>251460</xdr:colOff>
                    <xdr:row>54</xdr:row>
                    <xdr:rowOff>22860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C00000"/>
  </sheetPr>
  <dimension ref="A1:BI48"/>
  <sheetViews>
    <sheetView showGridLines="0" view="pageBreakPreview" zoomScaleNormal="115" zoomScaleSheetLayoutView="100" workbookViewId="0">
      <selection activeCell="I5" sqref="I5"/>
    </sheetView>
  </sheetViews>
  <sheetFormatPr defaultColWidth="4.109375" defaultRowHeight="14.4"/>
  <cols>
    <col min="1" max="17" width="4.109375" style="797"/>
    <col min="18" max="18" width="4.109375" style="797" customWidth="1"/>
    <col min="19" max="23" width="4.109375" style="797"/>
    <col min="24" max="24" width="4.109375" style="797" customWidth="1"/>
    <col min="25" max="36" width="4.109375" style="825"/>
    <col min="37" max="16384" width="4.109375" style="797"/>
  </cols>
  <sheetData>
    <row r="1" spans="1:36" ht="54.9" customHeight="1" thickBot="1">
      <c r="A1" s="795"/>
      <c r="B1" s="1360"/>
      <c r="C1" s="1360"/>
      <c r="D1" s="1360"/>
      <c r="E1" s="795"/>
      <c r="F1" s="1888"/>
      <c r="G1" s="2995" t="s">
        <v>1747</v>
      </c>
      <c r="H1" s="2995"/>
      <c r="I1" s="2995"/>
      <c r="J1" s="2995"/>
      <c r="K1" s="2995"/>
      <c r="L1" s="2995"/>
      <c r="M1" s="2995"/>
      <c r="N1" s="2995"/>
      <c r="O1" s="2995"/>
      <c r="P1" s="2995"/>
      <c r="Q1" s="2995"/>
      <c r="R1" s="1889"/>
      <c r="S1" s="1889"/>
      <c r="T1" s="1360"/>
      <c r="U1" s="1360"/>
      <c r="V1" s="1360"/>
      <c r="W1" s="1360"/>
      <c r="X1" s="1360"/>
      <c r="Y1" s="1362"/>
      <c r="Z1" s="1362"/>
      <c r="AA1" s="1362"/>
      <c r="AB1" s="1362"/>
      <c r="AC1" s="1362"/>
      <c r="AD1" s="1362"/>
      <c r="AE1" s="1362"/>
      <c r="AF1" s="1362"/>
      <c r="AG1" s="1362"/>
      <c r="AH1" s="1362"/>
      <c r="AI1" s="1362"/>
      <c r="AJ1" s="1362"/>
    </row>
    <row r="2" spans="1:36" ht="17.25" customHeight="1" thickBot="1">
      <c r="A2" s="1367" t="s">
        <v>1180</v>
      </c>
      <c r="B2" s="1368"/>
      <c r="C2" s="1369"/>
      <c r="D2" s="1369"/>
      <c r="E2" s="1369"/>
      <c r="F2" s="1369"/>
      <c r="G2" s="1369"/>
      <c r="H2" s="3001" t="s">
        <v>1819</v>
      </c>
      <c r="I2" s="3001"/>
      <c r="J2" s="3001"/>
      <c r="K2" s="3001"/>
      <c r="L2" s="3001"/>
      <c r="M2" s="3007" t="str">
        <f>IF(ISBLANK(Prelim!S5)," ",Prelim!S5)</f>
        <v xml:space="preserve"> </v>
      </c>
      <c r="N2" s="3007"/>
      <c r="O2" s="3007"/>
      <c r="P2" s="3007"/>
      <c r="Q2" s="1370"/>
      <c r="R2" s="1370"/>
      <c r="S2" s="1370"/>
      <c r="T2" s="3002" t="str">
        <f>'Drop-Down Lists'!J40</f>
        <v>v 04.01.2021</v>
      </c>
      <c r="U2" s="3002"/>
      <c r="V2" s="3002"/>
      <c r="W2" s="3002"/>
      <c r="X2" s="3003"/>
      <c r="Y2" s="1363"/>
      <c r="Z2" s="1363"/>
      <c r="AA2" s="1363"/>
      <c r="AB2" s="1363"/>
      <c r="AC2" s="1363"/>
      <c r="AD2" s="1363"/>
      <c r="AE2" s="1363"/>
      <c r="AF2" s="1363"/>
    </row>
    <row r="3" spans="1:36" ht="3.9" customHeight="1" thickBot="1">
      <c r="A3" s="1744"/>
      <c r="B3" s="1745"/>
      <c r="C3" s="1745"/>
      <c r="D3" s="1746"/>
      <c r="E3" s="1746"/>
      <c r="F3" s="1746"/>
      <c r="G3" s="1746"/>
      <c r="H3" s="1746"/>
      <c r="I3" s="1746"/>
      <c r="J3" s="1747"/>
      <c r="K3" s="1747"/>
      <c r="L3" s="1747"/>
      <c r="M3" s="1747"/>
      <c r="N3" s="1747"/>
      <c r="O3" s="1747"/>
      <c r="P3" s="1747"/>
      <c r="Q3" s="1748"/>
      <c r="R3" s="1748"/>
      <c r="S3" s="1748"/>
      <c r="T3" s="1748"/>
      <c r="U3" s="1748"/>
      <c r="V3" s="1748"/>
      <c r="W3" s="1748"/>
      <c r="X3" s="1749"/>
      <c r="Y3" s="1364"/>
      <c r="Z3" s="1364"/>
      <c r="AA3" s="1364"/>
      <c r="AB3" s="1364"/>
    </row>
    <row r="4" spans="1:36" ht="28.35" customHeight="1">
      <c r="A4" s="3010" t="s">
        <v>29</v>
      </c>
      <c r="B4" s="3011"/>
      <c r="C4" s="3011"/>
      <c r="D4" s="3011"/>
      <c r="E4" s="3011"/>
      <c r="F4" s="3011"/>
      <c r="G4" s="3011"/>
      <c r="H4" s="3011"/>
      <c r="I4" s="3004" t="str">
        <f>IF(ISBLANK(Prelim!G3),"  ", Prelim!G3)</f>
        <v xml:space="preserve">  </v>
      </c>
      <c r="J4" s="3005"/>
      <c r="K4" s="3005"/>
      <c r="L4" s="3005"/>
      <c r="M4" s="3005"/>
      <c r="N4" s="3005"/>
      <c r="O4" s="3005"/>
      <c r="P4" s="3005"/>
      <c r="Q4" s="3005"/>
      <c r="R4" s="3005"/>
      <c r="S4" s="3005"/>
      <c r="T4" s="3005"/>
      <c r="U4" s="3005"/>
      <c r="V4" s="3005"/>
      <c r="W4" s="3006"/>
      <c r="X4" s="1387"/>
      <c r="Y4" s="1366"/>
      <c r="Z4" s="1366"/>
      <c r="AA4" s="1366"/>
      <c r="AB4" s="1366"/>
      <c r="AC4" s="1366"/>
      <c r="AD4" s="1366"/>
      <c r="AE4" s="1366"/>
      <c r="AF4" s="1366"/>
      <c r="AG4" s="1366"/>
      <c r="AH4" s="1366"/>
      <c r="AI4" s="1366"/>
      <c r="AJ4" s="1366"/>
    </row>
    <row r="5" spans="1:36" ht="3.9" customHeight="1">
      <c r="A5" s="852"/>
      <c r="B5" s="795"/>
      <c r="C5" s="795"/>
      <c r="D5" s="795"/>
      <c r="E5" s="795"/>
      <c r="F5" s="795"/>
      <c r="G5" s="795"/>
      <c r="H5" s="795"/>
      <c r="I5" s="795"/>
      <c r="J5" s="795"/>
      <c r="K5" s="795"/>
      <c r="L5" s="795"/>
      <c r="M5" s="795"/>
      <c r="N5" s="795"/>
      <c r="O5" s="795"/>
      <c r="P5" s="795"/>
      <c r="Q5" s="795"/>
      <c r="R5" s="795"/>
      <c r="S5" s="795"/>
      <c r="T5" s="795"/>
      <c r="U5" s="795"/>
      <c r="V5" s="795"/>
      <c r="W5" s="795"/>
      <c r="X5" s="810"/>
    </row>
    <row r="6" spans="1:36" ht="26.1" customHeight="1">
      <c r="A6" s="852"/>
      <c r="B6" s="1388"/>
      <c r="C6" s="1389"/>
      <c r="D6" s="1389"/>
      <c r="E6" s="1389"/>
      <c r="F6" s="1389"/>
      <c r="G6" s="1389"/>
      <c r="H6" s="1389"/>
      <c r="I6" s="1389"/>
      <c r="J6" s="1389"/>
      <c r="K6" s="1389"/>
      <c r="L6" s="1389"/>
      <c r="M6" s="1389"/>
      <c r="N6" s="1389"/>
      <c r="O6" s="1389"/>
      <c r="P6" s="1389"/>
      <c r="Q6" s="1389"/>
      <c r="R6" s="1389"/>
      <c r="S6" s="1389"/>
      <c r="T6" s="1389"/>
      <c r="U6" s="1389"/>
      <c r="V6" s="1389"/>
      <c r="W6" s="1390"/>
      <c r="X6" s="810"/>
    </row>
    <row r="7" spans="1:36" ht="26.1" customHeight="1">
      <c r="A7" s="852"/>
      <c r="B7" s="916"/>
      <c r="C7" s="795"/>
      <c r="D7" s="795"/>
      <c r="E7" s="795"/>
      <c r="F7" s="795"/>
      <c r="G7" s="795"/>
      <c r="H7" s="795"/>
      <c r="I7" s="795"/>
      <c r="J7" s="795"/>
      <c r="K7" s="795"/>
      <c r="L7" s="795"/>
      <c r="M7" s="795"/>
      <c r="N7" s="795"/>
      <c r="O7" s="795"/>
      <c r="P7" s="795"/>
      <c r="Q7" s="795"/>
      <c r="R7" s="795"/>
      <c r="S7" s="795"/>
      <c r="T7" s="795"/>
      <c r="U7" s="795"/>
      <c r="V7" s="795"/>
      <c r="W7" s="796"/>
      <c r="X7" s="810"/>
    </row>
    <row r="8" spans="1:36" ht="26.1" customHeight="1">
      <c r="A8" s="852"/>
      <c r="B8" s="916"/>
      <c r="C8" s="795"/>
      <c r="D8" s="795"/>
      <c r="E8" s="795"/>
      <c r="F8" s="795"/>
      <c r="G8" s="795"/>
      <c r="H8" s="795"/>
      <c r="I8" s="795"/>
      <c r="J8" s="795"/>
      <c r="K8" s="795"/>
      <c r="L8" s="795"/>
      <c r="M8" s="795"/>
      <c r="N8" s="795"/>
      <c r="O8" s="795"/>
      <c r="P8" s="795"/>
      <c r="Q8" s="795"/>
      <c r="R8" s="795"/>
      <c r="S8" s="795"/>
      <c r="T8" s="795"/>
      <c r="U8" s="795"/>
      <c r="V8" s="795"/>
      <c r="W8" s="796"/>
      <c r="X8" s="810"/>
    </row>
    <row r="9" spans="1:36" ht="26.1" customHeight="1">
      <c r="A9" s="852"/>
      <c r="B9" s="916"/>
      <c r="C9" s="795"/>
      <c r="D9" s="795"/>
      <c r="E9" s="795"/>
      <c r="F9" s="795"/>
      <c r="G9" s="795"/>
      <c r="H9" s="795"/>
      <c r="I9" s="795"/>
      <c r="J9" s="795"/>
      <c r="K9" s="795"/>
      <c r="L9" s="795"/>
      <c r="M9" s="795"/>
      <c r="N9" s="795"/>
      <c r="O9" s="795"/>
      <c r="P9" s="795"/>
      <c r="Q9" s="795"/>
      <c r="R9" s="795"/>
      <c r="S9" s="795"/>
      <c r="T9" s="795"/>
      <c r="U9" s="795"/>
      <c r="V9" s="795"/>
      <c r="W9" s="796"/>
      <c r="X9" s="810"/>
    </row>
    <row r="10" spans="1:36" ht="26.1" customHeight="1">
      <c r="A10" s="852"/>
      <c r="B10" s="916"/>
      <c r="C10" s="795"/>
      <c r="D10" s="795"/>
      <c r="E10" s="795"/>
      <c r="F10" s="795"/>
      <c r="G10" s="795"/>
      <c r="H10" s="795"/>
      <c r="I10" s="795"/>
      <c r="J10" s="795"/>
      <c r="K10" s="795"/>
      <c r="L10" s="795"/>
      <c r="M10" s="795"/>
      <c r="N10" s="795"/>
      <c r="O10" s="795"/>
      <c r="P10" s="795"/>
      <c r="Q10" s="795"/>
      <c r="R10" s="795"/>
      <c r="S10" s="795"/>
      <c r="T10" s="795"/>
      <c r="U10" s="795"/>
      <c r="V10" s="795"/>
      <c r="W10" s="796"/>
      <c r="X10" s="810"/>
    </row>
    <row r="11" spans="1:36" ht="26.1" customHeight="1">
      <c r="A11" s="852"/>
      <c r="B11" s="916"/>
      <c r="C11" s="795"/>
      <c r="D11" s="795"/>
      <c r="E11" s="795"/>
      <c r="F11" s="795"/>
      <c r="G11" s="795"/>
      <c r="H11" s="795"/>
      <c r="I11" s="795"/>
      <c r="J11" s="795"/>
      <c r="K11" s="795"/>
      <c r="L11" s="795"/>
      <c r="M11" s="795"/>
      <c r="N11" s="795"/>
      <c r="O11" s="795"/>
      <c r="P11" s="795"/>
      <c r="Q11" s="795"/>
      <c r="R11" s="795"/>
      <c r="S11" s="795"/>
      <c r="T11" s="795"/>
      <c r="U11" s="795"/>
      <c r="V11" s="795"/>
      <c r="W11" s="796"/>
      <c r="X11" s="810"/>
    </row>
    <row r="12" spans="1:36" ht="26.1" customHeight="1">
      <c r="A12" s="852"/>
      <c r="B12" s="916"/>
      <c r="C12" s="795"/>
      <c r="D12" s="795"/>
      <c r="E12" s="795"/>
      <c r="F12" s="795"/>
      <c r="G12" s="795"/>
      <c r="H12" s="795"/>
      <c r="I12" s="795"/>
      <c r="J12" s="795"/>
      <c r="K12" s="795"/>
      <c r="L12" s="795"/>
      <c r="M12" s="795"/>
      <c r="N12" s="795"/>
      <c r="O12" s="795"/>
      <c r="P12" s="795"/>
      <c r="Q12" s="795"/>
      <c r="R12" s="795"/>
      <c r="S12" s="795"/>
      <c r="T12" s="795"/>
      <c r="U12" s="795"/>
      <c r="V12" s="795"/>
      <c r="W12" s="796"/>
      <c r="X12" s="810"/>
    </row>
    <row r="13" spans="1:36" ht="26.1" customHeight="1">
      <c r="A13" s="852"/>
      <c r="B13" s="916"/>
      <c r="C13" s="795"/>
      <c r="D13" s="795"/>
      <c r="E13" s="795"/>
      <c r="F13" s="795"/>
      <c r="G13" s="795"/>
      <c r="H13" s="795"/>
      <c r="I13" s="795"/>
      <c r="J13" s="795"/>
      <c r="K13" s="795"/>
      <c r="L13" s="795"/>
      <c r="M13" s="795"/>
      <c r="N13" s="795"/>
      <c r="O13" s="795"/>
      <c r="P13" s="795"/>
      <c r="Q13" s="795"/>
      <c r="R13" s="795"/>
      <c r="S13" s="795"/>
      <c r="T13" s="795"/>
      <c r="U13" s="795"/>
      <c r="V13" s="795"/>
      <c r="W13" s="796"/>
      <c r="X13" s="810"/>
    </row>
    <row r="14" spans="1:36" ht="26.1" customHeight="1">
      <c r="A14" s="852"/>
      <c r="B14" s="916"/>
      <c r="C14" s="795"/>
      <c r="D14" s="795"/>
      <c r="E14" s="795"/>
      <c r="F14" s="795"/>
      <c r="G14" s="795"/>
      <c r="H14" s="795"/>
      <c r="I14" s="795"/>
      <c r="J14" s="795"/>
      <c r="K14" s="795"/>
      <c r="L14" s="795"/>
      <c r="M14" s="795"/>
      <c r="N14" s="795"/>
      <c r="O14" s="795"/>
      <c r="P14" s="795"/>
      <c r="Q14" s="795"/>
      <c r="R14" s="795"/>
      <c r="S14" s="795"/>
      <c r="T14" s="795"/>
      <c r="U14" s="795"/>
      <c r="V14" s="795"/>
      <c r="W14" s="796"/>
      <c r="X14" s="810"/>
    </row>
    <row r="15" spans="1:36" ht="26.1" customHeight="1">
      <c r="A15" s="852"/>
      <c r="B15" s="916"/>
      <c r="C15" s="795"/>
      <c r="D15" s="795"/>
      <c r="E15" s="795"/>
      <c r="F15" s="795"/>
      <c r="G15" s="795"/>
      <c r="H15" s="795"/>
      <c r="I15" s="795"/>
      <c r="J15" s="795"/>
      <c r="K15" s="795"/>
      <c r="L15" s="795"/>
      <c r="M15" s="795"/>
      <c r="N15" s="795"/>
      <c r="O15" s="795"/>
      <c r="P15" s="795"/>
      <c r="Q15" s="795"/>
      <c r="R15" s="795"/>
      <c r="S15" s="795"/>
      <c r="T15" s="795"/>
      <c r="U15" s="795"/>
      <c r="V15" s="795"/>
      <c r="W15" s="796"/>
      <c r="X15" s="810"/>
    </row>
    <row r="16" spans="1:36" ht="26.1" customHeight="1">
      <c r="A16" s="852"/>
      <c r="B16" s="916"/>
      <c r="C16" s="795"/>
      <c r="D16" s="795"/>
      <c r="E16" s="795"/>
      <c r="F16" s="795"/>
      <c r="G16" s="795"/>
      <c r="H16" s="795"/>
      <c r="I16" s="795"/>
      <c r="J16" s="795"/>
      <c r="K16" s="795"/>
      <c r="L16" s="795"/>
      <c r="M16" s="795"/>
      <c r="N16" s="795"/>
      <c r="O16" s="795"/>
      <c r="P16" s="795"/>
      <c r="Q16" s="795"/>
      <c r="R16" s="795"/>
      <c r="S16" s="795"/>
      <c r="T16" s="795"/>
      <c r="U16" s="795"/>
      <c r="V16" s="795"/>
      <c r="W16" s="796"/>
      <c r="X16" s="810"/>
    </row>
    <row r="17" spans="1:36" ht="26.1" customHeight="1">
      <c r="A17" s="852"/>
      <c r="B17" s="916"/>
      <c r="C17" s="795"/>
      <c r="D17" s="795"/>
      <c r="E17" s="795"/>
      <c r="F17" s="795"/>
      <c r="G17" s="795"/>
      <c r="H17" s="795"/>
      <c r="I17" s="795"/>
      <c r="J17" s="795"/>
      <c r="K17" s="795"/>
      <c r="L17" s="795"/>
      <c r="M17" s="795"/>
      <c r="N17" s="795"/>
      <c r="O17" s="795"/>
      <c r="P17" s="795"/>
      <c r="Q17" s="795"/>
      <c r="R17" s="795"/>
      <c r="S17" s="795"/>
      <c r="T17" s="795"/>
      <c r="U17" s="795"/>
      <c r="V17" s="795"/>
      <c r="W17" s="796"/>
      <c r="X17" s="810"/>
    </row>
    <row r="18" spans="1:36" ht="26.1" customHeight="1">
      <c r="A18" s="852"/>
      <c r="B18" s="916"/>
      <c r="C18" s="795"/>
      <c r="D18" s="795"/>
      <c r="E18" s="795"/>
      <c r="F18" s="795"/>
      <c r="G18" s="795"/>
      <c r="H18" s="795"/>
      <c r="I18" s="795"/>
      <c r="J18" s="795"/>
      <c r="K18" s="795"/>
      <c r="L18" s="795"/>
      <c r="M18" s="795"/>
      <c r="N18" s="795"/>
      <c r="O18" s="795"/>
      <c r="P18" s="795"/>
      <c r="Q18" s="795"/>
      <c r="R18" s="795"/>
      <c r="S18" s="795"/>
      <c r="T18" s="795"/>
      <c r="U18" s="795"/>
      <c r="V18" s="795"/>
      <c r="W18" s="796"/>
      <c r="X18" s="810"/>
    </row>
    <row r="19" spans="1:36" ht="26.1" customHeight="1">
      <c r="A19" s="852"/>
      <c r="B19" s="916"/>
      <c r="C19" s="795"/>
      <c r="D19" s="795"/>
      <c r="E19" s="795"/>
      <c r="F19" s="795"/>
      <c r="G19" s="795"/>
      <c r="H19" s="795"/>
      <c r="I19" s="795"/>
      <c r="J19" s="795"/>
      <c r="K19" s="795"/>
      <c r="L19" s="795"/>
      <c r="M19" s="795"/>
      <c r="N19" s="795"/>
      <c r="O19" s="795"/>
      <c r="P19" s="795"/>
      <c r="Q19" s="795"/>
      <c r="R19" s="795"/>
      <c r="S19" s="795"/>
      <c r="T19" s="795"/>
      <c r="U19" s="795"/>
      <c r="V19" s="795"/>
      <c r="W19" s="796"/>
      <c r="X19" s="810"/>
    </row>
    <row r="20" spans="1:36" ht="26.1" customHeight="1">
      <c r="A20" s="852"/>
      <c r="B20" s="916"/>
      <c r="C20" s="795"/>
      <c r="D20" s="795"/>
      <c r="E20" s="795"/>
      <c r="F20" s="795"/>
      <c r="G20" s="795"/>
      <c r="H20" s="795"/>
      <c r="I20" s="795"/>
      <c r="J20" s="795"/>
      <c r="K20" s="795"/>
      <c r="L20" s="795"/>
      <c r="M20" s="795"/>
      <c r="N20" s="795"/>
      <c r="O20" s="795"/>
      <c r="P20" s="795"/>
      <c r="Q20" s="795"/>
      <c r="R20" s="795"/>
      <c r="S20" s="795"/>
      <c r="T20" s="795"/>
      <c r="U20" s="795"/>
      <c r="V20" s="795"/>
      <c r="W20" s="796"/>
      <c r="X20" s="810"/>
    </row>
    <row r="21" spans="1:36" ht="26.1" customHeight="1">
      <c r="A21" s="852"/>
      <c r="B21" s="916"/>
      <c r="C21" s="795"/>
      <c r="D21" s="795"/>
      <c r="E21" s="795"/>
      <c r="F21" s="795"/>
      <c r="G21" s="795"/>
      <c r="H21" s="795"/>
      <c r="I21" s="795"/>
      <c r="J21" s="795"/>
      <c r="K21" s="795"/>
      <c r="L21" s="795"/>
      <c r="M21" s="795"/>
      <c r="N21" s="795"/>
      <c r="O21" s="795"/>
      <c r="P21" s="795"/>
      <c r="Q21" s="795"/>
      <c r="R21" s="795"/>
      <c r="S21" s="795"/>
      <c r="T21" s="795"/>
      <c r="U21" s="795"/>
      <c r="V21" s="795"/>
      <c r="W21" s="796"/>
      <c r="X21" s="810"/>
    </row>
    <row r="22" spans="1:36" ht="26.1" customHeight="1">
      <c r="A22" s="852"/>
      <c r="B22" s="916"/>
      <c r="C22" s="795"/>
      <c r="D22" s="795"/>
      <c r="E22" s="795"/>
      <c r="F22" s="795"/>
      <c r="G22" s="795"/>
      <c r="H22" s="795"/>
      <c r="I22" s="795"/>
      <c r="J22" s="795"/>
      <c r="K22" s="795"/>
      <c r="L22" s="795"/>
      <c r="M22" s="795"/>
      <c r="N22" s="795"/>
      <c r="O22" s="795"/>
      <c r="P22" s="795"/>
      <c r="Q22" s="795"/>
      <c r="R22" s="795"/>
      <c r="S22" s="795"/>
      <c r="T22" s="795"/>
      <c r="U22" s="795"/>
      <c r="V22" s="795"/>
      <c r="W22" s="796"/>
      <c r="X22" s="810"/>
    </row>
    <row r="23" spans="1:36" ht="26.1" customHeight="1">
      <c r="A23" s="852"/>
      <c r="B23" s="916"/>
      <c r="C23" s="795"/>
      <c r="D23" s="795"/>
      <c r="E23" s="795"/>
      <c r="F23" s="795"/>
      <c r="G23" s="795"/>
      <c r="H23" s="795"/>
      <c r="I23" s="795"/>
      <c r="J23" s="795"/>
      <c r="K23" s="795"/>
      <c r="L23" s="795"/>
      <c r="M23" s="795"/>
      <c r="N23" s="795"/>
      <c r="O23" s="795"/>
      <c r="P23" s="795"/>
      <c r="Q23" s="795"/>
      <c r="R23" s="795"/>
      <c r="S23" s="795"/>
      <c r="T23" s="795"/>
      <c r="U23" s="795"/>
      <c r="V23" s="795"/>
      <c r="W23" s="796"/>
      <c r="X23" s="810"/>
    </row>
    <row r="24" spans="1:36" ht="26.1" customHeight="1">
      <c r="A24" s="852"/>
      <c r="B24" s="916"/>
      <c r="C24" s="795"/>
      <c r="D24" s="795"/>
      <c r="E24" s="795"/>
      <c r="F24" s="795"/>
      <c r="G24" s="795"/>
      <c r="H24" s="795"/>
      <c r="I24" s="795"/>
      <c r="J24" s="795"/>
      <c r="K24" s="795"/>
      <c r="L24" s="795"/>
      <c r="M24" s="795"/>
      <c r="N24" s="795"/>
      <c r="O24" s="795"/>
      <c r="P24" s="795"/>
      <c r="Q24" s="795"/>
      <c r="R24" s="795"/>
      <c r="S24" s="795"/>
      <c r="T24" s="795"/>
      <c r="U24" s="795"/>
      <c r="V24" s="795"/>
      <c r="W24" s="796"/>
      <c r="X24" s="810"/>
    </row>
    <row r="25" spans="1:36" ht="26.1" customHeight="1">
      <c r="A25" s="852"/>
      <c r="B25" s="916"/>
      <c r="C25" s="795"/>
      <c r="D25" s="795"/>
      <c r="E25" s="795"/>
      <c r="F25" s="795"/>
      <c r="G25" s="795"/>
      <c r="H25" s="795"/>
      <c r="I25" s="795"/>
      <c r="J25" s="795"/>
      <c r="K25" s="795"/>
      <c r="L25" s="795"/>
      <c r="M25" s="795"/>
      <c r="N25" s="795"/>
      <c r="O25" s="795"/>
      <c r="P25" s="795"/>
      <c r="Q25" s="795"/>
      <c r="R25" s="795"/>
      <c r="S25" s="795"/>
      <c r="T25" s="795"/>
      <c r="U25" s="795"/>
      <c r="V25" s="795"/>
      <c r="W25" s="796"/>
      <c r="X25" s="810"/>
    </row>
    <row r="26" spans="1:36" ht="26.1" customHeight="1">
      <c r="A26" s="852"/>
      <c r="B26" s="1391"/>
      <c r="C26" s="1392"/>
      <c r="D26" s="1392"/>
      <c r="E26" s="1392"/>
      <c r="F26" s="1392"/>
      <c r="G26" s="1392"/>
      <c r="H26" s="1392"/>
      <c r="I26" s="1392"/>
      <c r="J26" s="1392"/>
      <c r="K26" s="1392"/>
      <c r="L26" s="1392"/>
      <c r="M26" s="1392"/>
      <c r="N26" s="1392"/>
      <c r="O26" s="1392"/>
      <c r="P26" s="1392"/>
      <c r="Q26" s="1392"/>
      <c r="R26" s="1392"/>
      <c r="S26" s="1392"/>
      <c r="T26" s="1392"/>
      <c r="U26" s="1392"/>
      <c r="V26" s="1392"/>
      <c r="W26" s="1393"/>
      <c r="X26" s="810"/>
    </row>
    <row r="27" spans="1:36" ht="6" customHeight="1">
      <c r="A27" s="852"/>
      <c r="B27" s="795"/>
      <c r="C27" s="795"/>
      <c r="D27" s="795"/>
      <c r="E27" s="795"/>
      <c r="F27" s="795"/>
      <c r="G27" s="795"/>
      <c r="H27" s="795"/>
      <c r="I27" s="795"/>
      <c r="J27" s="795"/>
      <c r="K27" s="915"/>
      <c r="L27" s="915"/>
      <c r="M27" s="915"/>
      <c r="N27" s="915"/>
      <c r="O27" s="915"/>
      <c r="P27" s="915"/>
      <c r="Q27" s="915"/>
      <c r="R27" s="915"/>
      <c r="S27" s="915"/>
      <c r="T27" s="915"/>
      <c r="U27" s="915"/>
      <c r="V27" s="915"/>
      <c r="W27" s="915"/>
      <c r="X27" s="1378"/>
      <c r="Y27" s="977"/>
      <c r="Z27" s="977"/>
      <c r="AA27" s="977"/>
      <c r="AB27" s="977"/>
      <c r="AC27" s="977"/>
      <c r="AD27" s="977"/>
      <c r="AE27" s="977"/>
      <c r="AF27" s="977"/>
    </row>
    <row r="28" spans="1:36" s="825" customFormat="1" ht="26.1" customHeight="1">
      <c r="A28" s="3008" t="s">
        <v>1182</v>
      </c>
      <c r="B28" s="3009"/>
      <c r="C28" s="3009"/>
      <c r="D28" s="2977"/>
      <c r="E28" s="2978"/>
      <c r="F28" s="2978"/>
      <c r="G28" s="2979"/>
      <c r="H28" s="1359"/>
      <c r="I28" s="1359"/>
      <c r="J28" s="1359"/>
      <c r="K28" s="795"/>
      <c r="L28" s="795"/>
      <c r="M28" s="795"/>
      <c r="P28" s="795"/>
      <c r="Q28" s="795"/>
      <c r="R28" s="795"/>
      <c r="S28" s="795"/>
      <c r="T28" s="1359"/>
      <c r="U28" s="795"/>
      <c r="V28" s="795"/>
      <c r="W28" s="795"/>
      <c r="X28" s="810"/>
      <c r="Y28" s="1365"/>
      <c r="Z28" s="1365"/>
      <c r="AE28" s="1365"/>
    </row>
    <row r="29" spans="1:36" s="1927" customFormat="1" ht="12" customHeight="1">
      <c r="A29" s="1913"/>
      <c r="B29" s="1914"/>
      <c r="C29" s="1914"/>
      <c r="D29" s="1914"/>
      <c r="E29" s="1914"/>
      <c r="F29" s="1914"/>
      <c r="G29" s="1914"/>
      <c r="H29" s="1359"/>
      <c r="I29" s="1359"/>
      <c r="J29" s="1359"/>
      <c r="K29" s="1925"/>
      <c r="L29" s="1925"/>
      <c r="M29" s="1925"/>
      <c r="P29" s="1925"/>
      <c r="Q29" s="1925"/>
      <c r="R29" s="1925"/>
      <c r="S29" s="1925"/>
      <c r="T29" s="1359"/>
      <c r="U29" s="1925"/>
      <c r="V29" s="1925"/>
      <c r="W29" s="1925"/>
      <c r="X29" s="810"/>
      <c r="Y29" s="1365"/>
      <c r="Z29" s="1365"/>
      <c r="AE29" s="1365"/>
    </row>
    <row r="30" spans="1:36" s="825" customFormat="1" ht="18.75" customHeight="1">
      <c r="A30" s="3012" t="s">
        <v>1778</v>
      </c>
      <c r="B30" s="3013"/>
      <c r="C30" s="3013"/>
      <c r="D30" s="3013"/>
      <c r="E30" s="3013"/>
      <c r="F30" s="3014"/>
      <c r="G30" s="3015"/>
      <c r="H30" s="3015"/>
      <c r="I30" s="3015"/>
      <c r="J30" s="3016"/>
      <c r="K30" s="1358"/>
      <c r="L30" s="1358"/>
      <c r="M30" s="1358"/>
      <c r="N30" s="1358"/>
      <c r="O30" s="1358"/>
      <c r="P30" s="1358"/>
      <c r="Q30" s="1358"/>
      <c r="R30" s="1358"/>
      <c r="S30" s="1358"/>
      <c r="T30" s="1358"/>
      <c r="U30" s="1358"/>
      <c r="V30" s="1358"/>
      <c r="W30" s="1358"/>
      <c r="X30" s="1380"/>
      <c r="Y30" s="1358"/>
      <c r="Z30" s="1358"/>
      <c r="AA30" s="1358"/>
      <c r="AB30" s="1358"/>
      <c r="AC30" s="1358"/>
      <c r="AD30" s="1358"/>
      <c r="AE30" s="1358"/>
      <c r="AF30" s="1358"/>
      <c r="AG30" s="1358"/>
      <c r="AH30" s="1358"/>
      <c r="AI30" s="1358"/>
      <c r="AJ30" s="1358"/>
    </row>
    <row r="31" spans="1:36" ht="30.75" customHeight="1" thickBot="1">
      <c r="A31" s="1374"/>
      <c r="B31" s="1375"/>
      <c r="C31" s="1375"/>
      <c r="D31" s="1375"/>
      <c r="E31" s="1375"/>
      <c r="F31" s="1375"/>
      <c r="G31" s="1375"/>
      <c r="H31" s="1375"/>
      <c r="I31" s="1375"/>
      <c r="J31" s="1375"/>
      <c r="K31" s="1375"/>
      <c r="L31" s="1375"/>
      <c r="M31" s="1375"/>
      <c r="N31" s="1375"/>
      <c r="O31" s="1375"/>
      <c r="P31" s="1375"/>
      <c r="Q31" s="1375"/>
      <c r="R31" s="1375"/>
      <c r="S31" s="1375"/>
      <c r="T31" s="1375"/>
      <c r="U31" s="1375"/>
      <c r="V31" s="1375"/>
      <c r="W31" s="1375"/>
      <c r="X31" s="1376"/>
    </row>
    <row r="32" spans="1:36" ht="15" thickBot="1">
      <c r="A32" s="1383" t="s">
        <v>1181</v>
      </c>
      <c r="B32" s="1384"/>
      <c r="C32" s="1384"/>
      <c r="D32" s="1384"/>
      <c r="E32" s="1384"/>
      <c r="F32" s="1384"/>
      <c r="G32" s="1384"/>
      <c r="H32" s="1384"/>
      <c r="I32" s="1384"/>
      <c r="J32" s="1384"/>
      <c r="K32" s="1384"/>
      <c r="L32" s="1384"/>
      <c r="M32" s="1384"/>
      <c r="N32" s="1384"/>
      <c r="O32" s="1384"/>
      <c r="P32" s="1384"/>
      <c r="Q32" s="1384"/>
      <c r="R32" s="1384"/>
      <c r="S32" s="1384"/>
      <c r="T32" s="1384"/>
      <c r="U32" s="1384"/>
      <c r="V32" s="1384"/>
      <c r="W32" s="1384"/>
      <c r="X32" s="1385"/>
      <c r="Y32" s="846"/>
      <c r="Z32" s="846"/>
      <c r="AA32" s="846"/>
      <c r="AB32" s="846"/>
      <c r="AC32" s="846"/>
      <c r="AD32" s="846"/>
      <c r="AE32" s="846"/>
      <c r="AF32" s="846"/>
    </row>
    <row r="33" spans="1:61" s="825" customFormat="1">
      <c r="A33" s="1381" t="s">
        <v>1183</v>
      </c>
      <c r="B33" s="1928"/>
      <c r="C33" s="1928"/>
      <c r="D33" s="1928"/>
      <c r="E33" s="1928"/>
      <c r="F33" s="1928"/>
      <c r="G33" s="1928"/>
      <c r="H33" s="1927"/>
      <c r="I33" s="1361" t="s">
        <v>1184</v>
      </c>
      <c r="J33" s="1928"/>
      <c r="K33" s="1928"/>
      <c r="L33" s="1928"/>
      <c r="M33" s="1928"/>
      <c r="N33" s="1928"/>
      <c r="O33" s="1927"/>
      <c r="P33" s="1928"/>
      <c r="Q33" s="1928"/>
      <c r="R33" s="1928"/>
      <c r="S33" s="1928"/>
      <c r="T33" s="1361" t="s">
        <v>1185</v>
      </c>
      <c r="U33" s="1928"/>
      <c r="V33" s="1928"/>
      <c r="W33" s="1928"/>
      <c r="X33" s="2094"/>
      <c r="Y33" s="846"/>
      <c r="Z33" s="846"/>
      <c r="AA33" s="846"/>
      <c r="AB33" s="846"/>
      <c r="AC33" s="797"/>
      <c r="AD33" s="846"/>
      <c r="AE33" s="846"/>
      <c r="AF33" s="846"/>
    </row>
    <row r="34" spans="1:61" ht="18" customHeight="1">
      <c r="A34" s="852"/>
      <c r="B34" s="1925"/>
      <c r="C34" s="1925"/>
      <c r="D34" s="1925"/>
      <c r="E34" s="1925"/>
      <c r="F34" s="1925"/>
      <c r="G34" s="1925"/>
      <c r="H34" s="1925"/>
      <c r="I34" s="1925"/>
      <c r="J34" s="1925"/>
      <c r="K34" s="1925"/>
      <c r="L34" s="1925"/>
      <c r="M34" s="1925"/>
      <c r="N34" s="1925"/>
      <c r="O34" s="1925"/>
      <c r="P34" s="1925"/>
      <c r="Q34" s="1925"/>
      <c r="R34" s="1925"/>
      <c r="S34" s="1925"/>
      <c r="T34" s="1925"/>
      <c r="U34" s="1925"/>
      <c r="V34" s="1927"/>
      <c r="W34" s="1927"/>
      <c r="X34" s="2095"/>
      <c r="AD34" s="797"/>
      <c r="AE34" s="797"/>
      <c r="AF34" s="797"/>
      <c r="AG34" s="797"/>
      <c r="AH34" s="797"/>
      <c r="AI34" s="797"/>
      <c r="AJ34" s="797"/>
      <c r="AN34" s="1928"/>
      <c r="AO34" s="1928"/>
      <c r="AP34" s="1928"/>
      <c r="AQ34" s="1928"/>
      <c r="AR34" s="1928"/>
      <c r="AS34" s="1928"/>
      <c r="AT34" s="1928"/>
      <c r="AU34" s="1927"/>
      <c r="AV34" s="1928"/>
      <c r="AW34" s="1928"/>
      <c r="AX34" s="1928"/>
      <c r="AY34" s="1928"/>
      <c r="AZ34" s="1928"/>
      <c r="BA34" s="1928"/>
      <c r="BB34" s="1928"/>
      <c r="BC34" s="1928"/>
      <c r="BD34" s="1928"/>
      <c r="BE34" s="1928"/>
      <c r="BF34" s="1928"/>
      <c r="BG34" s="1928"/>
      <c r="BH34" s="1928"/>
    </row>
    <row r="35" spans="1:61" ht="18" customHeight="1">
      <c r="A35" s="1379"/>
      <c r="B35" s="1927"/>
      <c r="C35" s="1927"/>
      <c r="D35" s="1927"/>
      <c r="E35" s="1927"/>
      <c r="F35" s="1927"/>
      <c r="G35" s="1927"/>
      <c r="H35" s="1925"/>
      <c r="I35" s="1925"/>
      <c r="J35" s="1925"/>
      <c r="K35" s="1925"/>
      <c r="L35" s="1925"/>
      <c r="M35" s="1925"/>
      <c r="N35" s="1925"/>
      <c r="O35" s="1927"/>
      <c r="P35" s="1927"/>
      <c r="Q35" s="1927"/>
      <c r="R35" s="1927"/>
      <c r="S35" s="1927"/>
      <c r="T35" s="1925"/>
      <c r="U35" s="1925"/>
      <c r="V35" s="1927"/>
      <c r="W35" s="1927"/>
      <c r="X35" s="2095"/>
      <c r="AD35" s="797"/>
      <c r="AE35" s="797"/>
      <c r="AF35" s="797"/>
      <c r="AG35" s="797"/>
      <c r="AH35" s="797"/>
      <c r="AI35" s="797"/>
      <c r="AJ35" s="797"/>
      <c r="AN35" s="1926"/>
      <c r="AO35" s="1926"/>
      <c r="AP35" s="1926"/>
      <c r="AQ35" s="1926"/>
      <c r="AR35" s="1926"/>
      <c r="AS35" s="1926"/>
      <c r="AT35" s="1926"/>
      <c r="AU35" s="1926"/>
      <c r="AV35" s="1926"/>
      <c r="AW35" s="1926"/>
      <c r="AX35" s="1926"/>
      <c r="AY35" s="1926"/>
      <c r="AZ35" s="1926"/>
      <c r="BA35" s="1926"/>
      <c r="BB35" s="1926"/>
      <c r="BC35" s="1926"/>
      <c r="BD35" s="1926"/>
      <c r="BE35" s="1925"/>
      <c r="BF35" s="1926"/>
      <c r="BG35" s="1926"/>
      <c r="BH35" s="1926"/>
    </row>
    <row r="36" spans="1:61" ht="18" customHeight="1">
      <c r="A36" s="1379"/>
      <c r="B36" s="1927"/>
      <c r="C36" s="1927"/>
      <c r="D36" s="1927"/>
      <c r="E36" s="1927"/>
      <c r="F36" s="1927"/>
      <c r="G36" s="1927"/>
      <c r="H36" s="1925"/>
      <c r="I36" s="1927"/>
      <c r="J36" s="1927"/>
      <c r="K36" s="1927"/>
      <c r="L36" s="1927"/>
      <c r="M36" s="1925"/>
      <c r="N36" s="1925"/>
      <c r="O36" s="1927"/>
      <c r="P36" s="1927"/>
      <c r="Q36" s="1927"/>
      <c r="R36" s="1927"/>
      <c r="S36" s="1927"/>
      <c r="T36" s="1925"/>
      <c r="U36" s="1925"/>
      <c r="V36" s="1927"/>
      <c r="W36" s="1927"/>
      <c r="X36" s="2095"/>
      <c r="AD36" s="797"/>
      <c r="AE36" s="797"/>
      <c r="AF36" s="797"/>
      <c r="AG36" s="797"/>
      <c r="AH36" s="797"/>
      <c r="AI36" s="797"/>
      <c r="AJ36" s="797"/>
      <c r="AN36" s="1927"/>
      <c r="AO36" s="1927"/>
      <c r="AP36" s="1927"/>
      <c r="AQ36" s="1927"/>
      <c r="AR36" s="1927"/>
      <c r="AS36" s="1927"/>
      <c r="AT36" s="1927"/>
      <c r="AU36" s="1926"/>
      <c r="AV36" s="1926"/>
      <c r="AW36" s="1926"/>
      <c r="AX36" s="1925"/>
      <c r="AY36" s="1926"/>
      <c r="AZ36" s="1926"/>
      <c r="BA36" s="1926"/>
      <c r="BB36" s="1927"/>
      <c r="BC36" s="1927"/>
      <c r="BD36" s="1927"/>
      <c r="BE36" s="1927"/>
      <c r="BF36" s="1927"/>
      <c r="BG36" s="1926"/>
      <c r="BH36" s="1926"/>
    </row>
    <row r="37" spans="1:61" ht="18" customHeight="1">
      <c r="A37" s="1379"/>
      <c r="B37" s="1927"/>
      <c r="C37" s="1927"/>
      <c r="D37" s="1927"/>
      <c r="E37" s="1927"/>
      <c r="F37" s="1927"/>
      <c r="G37" s="1927"/>
      <c r="H37" s="1925"/>
      <c r="I37" s="1927"/>
      <c r="J37" s="1927"/>
      <c r="K37" s="1927"/>
      <c r="L37" s="1927"/>
      <c r="M37" s="1925"/>
      <c r="N37" s="1925"/>
      <c r="O37" s="1927"/>
      <c r="P37" s="1927"/>
      <c r="Q37" s="1927"/>
      <c r="R37" s="1927"/>
      <c r="S37" s="1927"/>
      <c r="T37" s="1925"/>
      <c r="U37" s="1925"/>
      <c r="V37" s="1927"/>
      <c r="W37" s="1927"/>
      <c r="X37" s="2095"/>
      <c r="AD37" s="797"/>
      <c r="AE37" s="797"/>
      <c r="AF37" s="797"/>
      <c r="AG37" s="797"/>
      <c r="AH37" s="797"/>
      <c r="AI37" s="797"/>
      <c r="AJ37" s="797"/>
      <c r="AN37" s="1927"/>
      <c r="AO37" s="1927"/>
      <c r="AP37" s="1927"/>
      <c r="AQ37" s="1927"/>
      <c r="AR37" s="1927"/>
      <c r="AS37" s="1927"/>
      <c r="AT37" s="1927"/>
      <c r="AU37" s="1926"/>
      <c r="AV37" s="1927"/>
      <c r="AW37" s="1927"/>
      <c r="AX37" s="1927"/>
      <c r="AY37" s="1927"/>
      <c r="AZ37" s="1926"/>
      <c r="BA37" s="1926"/>
      <c r="BB37" s="1927"/>
      <c r="BC37" s="1927"/>
      <c r="BD37" s="1927"/>
      <c r="BE37" s="1927"/>
      <c r="BF37" s="1927"/>
      <c r="BG37" s="1926"/>
      <c r="BH37" s="1926"/>
    </row>
    <row r="38" spans="1:61" ht="18" customHeight="1">
      <c r="A38" s="1379"/>
      <c r="B38" s="1927"/>
      <c r="C38" s="1927"/>
      <c r="D38" s="1927"/>
      <c r="E38" s="1927"/>
      <c r="F38" s="1927"/>
      <c r="G38" s="1927"/>
      <c r="H38" s="1928"/>
      <c r="I38" s="1928" t="s">
        <v>1186</v>
      </c>
      <c r="J38" s="1927"/>
      <c r="K38" s="1927"/>
      <c r="L38" s="1927"/>
      <c r="M38" s="1927"/>
      <c r="N38" s="1927"/>
      <c r="O38" s="1927"/>
      <c r="P38" s="1927"/>
      <c r="Q38" s="1927"/>
      <c r="R38" s="1927"/>
      <c r="S38" s="1927"/>
      <c r="T38" s="1925"/>
      <c r="U38" s="1925"/>
      <c r="V38" s="1925"/>
      <c r="W38" s="1925"/>
      <c r="X38" s="810"/>
      <c r="AN38" s="1927"/>
      <c r="AO38" s="1927"/>
      <c r="AP38" s="1927"/>
      <c r="AQ38" s="1927"/>
      <c r="AR38" s="1927"/>
      <c r="AS38" s="1927"/>
      <c r="AT38" s="1927"/>
      <c r="AU38" s="1926"/>
      <c r="AV38" s="1927"/>
      <c r="AW38" s="1927"/>
      <c r="AX38" s="1927"/>
      <c r="AY38" s="1927"/>
      <c r="AZ38" s="1926"/>
      <c r="BA38" s="1926"/>
      <c r="BB38" s="1927"/>
      <c r="BC38" s="1927"/>
      <c r="BD38" s="1927"/>
      <c r="BE38" s="1927"/>
      <c r="BF38" s="1927"/>
      <c r="BG38" s="1926"/>
      <c r="BH38" s="1926"/>
    </row>
    <row r="39" spans="1:61" ht="18" customHeight="1">
      <c r="A39" s="1379"/>
      <c r="B39" s="1927"/>
      <c r="C39" s="1927"/>
      <c r="D39" s="1927"/>
      <c r="E39" s="1927"/>
      <c r="F39" s="1927"/>
      <c r="G39" s="1927"/>
      <c r="H39" s="1925"/>
      <c r="I39" s="1925"/>
      <c r="J39" s="1925"/>
      <c r="K39" s="1927"/>
      <c r="L39" s="1927"/>
      <c r="M39" s="1927"/>
      <c r="N39" s="1927"/>
      <c r="O39" s="1927"/>
      <c r="P39" s="1927"/>
      <c r="Q39" s="1927"/>
      <c r="R39" s="1927"/>
      <c r="S39" s="1927"/>
      <c r="T39" s="1925"/>
      <c r="U39" s="1925"/>
      <c r="V39" s="1927"/>
      <c r="W39" s="1925"/>
      <c r="X39" s="810"/>
      <c r="Y39" s="797"/>
      <c r="Z39" s="797"/>
      <c r="AA39" s="797"/>
      <c r="AB39" s="797"/>
      <c r="AD39" s="797"/>
      <c r="AE39" s="797"/>
      <c r="AF39" s="797"/>
      <c r="AG39" s="797"/>
      <c r="AH39" s="797"/>
      <c r="AI39" s="797"/>
      <c r="AJ39" s="797"/>
      <c r="AN39" s="1927"/>
      <c r="AO39" s="1927"/>
      <c r="AP39" s="1927"/>
      <c r="AQ39" s="1927"/>
      <c r="AR39" s="1927"/>
      <c r="AS39" s="1927"/>
      <c r="AT39" s="1927"/>
      <c r="AU39" s="1928"/>
      <c r="AV39" s="1927"/>
      <c r="AW39" s="1927"/>
      <c r="AX39" s="1927"/>
      <c r="AY39" s="1927"/>
      <c r="AZ39" s="1927"/>
      <c r="BA39" s="1927"/>
      <c r="BB39" s="1927"/>
      <c r="BC39" s="1927"/>
      <c r="BD39" s="1927"/>
      <c r="BE39" s="1927"/>
      <c r="BF39" s="1927"/>
      <c r="BG39" s="1926"/>
      <c r="BH39" s="1926"/>
    </row>
    <row r="40" spans="1:61" ht="18" customHeight="1">
      <c r="A40" s="1379"/>
      <c r="B40" s="1927"/>
      <c r="C40" s="1927"/>
      <c r="D40" s="1927"/>
      <c r="E40" s="1927"/>
      <c r="F40" s="1927"/>
      <c r="G40" s="1927"/>
      <c r="H40" s="1927"/>
      <c r="I40" s="1927"/>
      <c r="J40" s="1927"/>
      <c r="K40" s="1927"/>
      <c r="L40" s="1927"/>
      <c r="M40" s="1925"/>
      <c r="N40" s="1925"/>
      <c r="O40" s="1927"/>
      <c r="P40" s="1927"/>
      <c r="Q40" s="1927"/>
      <c r="R40" s="1927"/>
      <c r="S40" s="1927"/>
      <c r="T40" s="1925"/>
      <c r="U40" s="1925"/>
      <c r="V40" s="1927"/>
      <c r="W40" s="1927"/>
      <c r="X40" s="2095"/>
      <c r="AD40" s="797"/>
      <c r="AE40" s="797"/>
      <c r="AF40" s="797"/>
      <c r="AG40" s="797"/>
      <c r="AH40" s="797"/>
      <c r="AI40" s="797"/>
      <c r="AJ40" s="797"/>
      <c r="AN40" s="1927"/>
      <c r="AO40" s="1927"/>
      <c r="AP40" s="1927"/>
      <c r="AQ40" s="1927"/>
      <c r="AR40" s="1927"/>
      <c r="AS40" s="1927"/>
      <c r="AT40" s="1927"/>
      <c r="AU40" s="1926"/>
      <c r="AV40" s="1926"/>
      <c r="AW40" s="1926"/>
      <c r="AX40" s="1927"/>
      <c r="AY40" s="1927"/>
      <c r="AZ40" s="1927"/>
      <c r="BA40" s="1927"/>
      <c r="BB40" s="1927"/>
      <c r="BC40" s="1927"/>
      <c r="BD40" s="1927"/>
      <c r="BE40" s="1927"/>
      <c r="BF40" s="1927"/>
      <c r="BG40" s="1926"/>
      <c r="BH40" s="1926"/>
      <c r="BI40" s="825"/>
    </row>
    <row r="41" spans="1:61" ht="18" customHeight="1">
      <c r="A41" s="1379"/>
      <c r="B41" s="1927"/>
      <c r="C41" s="1927"/>
      <c r="D41" s="1927"/>
      <c r="E41" s="1927"/>
      <c r="F41" s="1927"/>
      <c r="G41" s="1927"/>
      <c r="H41" s="1927"/>
      <c r="I41" s="1927"/>
      <c r="J41" s="1927"/>
      <c r="K41" s="1927"/>
      <c r="L41" s="1927"/>
      <c r="M41" s="1925"/>
      <c r="N41" s="1925"/>
      <c r="O41" s="1927"/>
      <c r="P41" s="1927"/>
      <c r="Q41" s="1927"/>
      <c r="R41" s="1927"/>
      <c r="S41" s="1927"/>
      <c r="T41" s="1925"/>
      <c r="U41" s="1925"/>
      <c r="V41" s="1927"/>
      <c r="W41" s="1927"/>
      <c r="X41" s="2095"/>
      <c r="AD41" s="797"/>
      <c r="AE41" s="797"/>
      <c r="AF41" s="797"/>
      <c r="AG41" s="797"/>
      <c r="AH41" s="797"/>
      <c r="AI41" s="797"/>
      <c r="AJ41" s="797"/>
      <c r="AN41" s="1927"/>
      <c r="AO41" s="1927"/>
      <c r="AP41" s="1927"/>
      <c r="AQ41" s="1927"/>
      <c r="AR41" s="1927"/>
      <c r="AS41" s="1927"/>
      <c r="AT41" s="1927"/>
      <c r="AU41" s="1927"/>
      <c r="AV41" s="1927"/>
      <c r="AW41" s="1927"/>
      <c r="AX41" s="1927"/>
      <c r="AY41" s="1927"/>
      <c r="AZ41" s="1926"/>
      <c r="BA41" s="1926"/>
      <c r="BB41" s="1927"/>
      <c r="BC41" s="1927"/>
      <c r="BD41" s="1927"/>
      <c r="BE41" s="1927"/>
      <c r="BF41" s="1927"/>
      <c r="BG41" s="1926"/>
      <c r="BH41" s="1926"/>
      <c r="BI41" s="825"/>
    </row>
    <row r="42" spans="1:61" ht="18" customHeight="1">
      <c r="A42" s="1379"/>
      <c r="B42" s="1927"/>
      <c r="C42" s="1927"/>
      <c r="D42" s="1927"/>
      <c r="E42" s="1927"/>
      <c r="F42" s="1927"/>
      <c r="G42" s="1927"/>
      <c r="H42" s="1927"/>
      <c r="I42" s="1927"/>
      <c r="J42" s="1927"/>
      <c r="K42" s="1927"/>
      <c r="L42" s="1927"/>
      <c r="M42" s="1925"/>
      <c r="N42" s="1925"/>
      <c r="O42" s="1927"/>
      <c r="P42" s="1927"/>
      <c r="Q42" s="1927"/>
      <c r="R42" s="1927"/>
      <c r="S42" s="1927"/>
      <c r="T42" s="1925"/>
      <c r="U42" s="1925"/>
      <c r="V42" s="1927"/>
      <c r="W42" s="1927"/>
      <c r="X42" s="2095"/>
      <c r="AC42" s="797"/>
      <c r="AD42" s="797"/>
      <c r="AE42" s="797"/>
      <c r="AF42" s="797"/>
      <c r="AG42" s="797"/>
      <c r="AH42" s="797"/>
      <c r="AI42" s="797"/>
      <c r="AJ42" s="797"/>
      <c r="AN42" s="1927"/>
      <c r="AO42" s="1927"/>
      <c r="AP42" s="1927"/>
      <c r="AQ42" s="1927"/>
      <c r="AR42" s="1927"/>
      <c r="AS42" s="1927"/>
      <c r="AT42" s="1927"/>
      <c r="AU42" s="1927"/>
      <c r="AV42" s="1927"/>
      <c r="AW42" s="1927"/>
      <c r="AX42" s="1927"/>
      <c r="AY42" s="1927"/>
      <c r="AZ42" s="1926"/>
      <c r="BA42" s="1926"/>
      <c r="BB42" s="1927"/>
      <c r="BC42" s="1927"/>
      <c r="BD42" s="1927"/>
      <c r="BE42" s="1927"/>
      <c r="BF42" s="1927"/>
      <c r="BG42" s="1926"/>
      <c r="BH42" s="1926"/>
    </row>
    <row r="43" spans="1:61" ht="15" customHeight="1">
      <c r="A43" s="852"/>
      <c r="B43" s="1925"/>
      <c r="C43" s="1925"/>
      <c r="D43" s="1925"/>
      <c r="E43" s="1925"/>
      <c r="F43" s="1925"/>
      <c r="G43" s="1925"/>
      <c r="H43" s="1927"/>
      <c r="I43" s="1927"/>
      <c r="J43" s="1927"/>
      <c r="K43" s="1927"/>
      <c r="L43" s="1927"/>
      <c r="M43" s="1927"/>
      <c r="N43" s="1927"/>
      <c r="O43" s="1927"/>
      <c r="P43" s="1927"/>
      <c r="Q43" s="1927"/>
      <c r="R43" s="1927"/>
      <c r="S43" s="1927"/>
      <c r="T43" s="1925"/>
      <c r="U43" s="1925"/>
      <c r="V43" s="1925"/>
      <c r="W43" s="1925"/>
      <c r="X43" s="810"/>
      <c r="AC43" s="827"/>
      <c r="AN43" s="1927"/>
      <c r="AO43" s="1927"/>
      <c r="AP43" s="1927"/>
      <c r="AQ43" s="1927"/>
      <c r="AR43" s="1927"/>
      <c r="AS43" s="1927"/>
      <c r="AT43" s="1927"/>
      <c r="AU43" s="1927"/>
      <c r="AV43" s="1927"/>
      <c r="AW43" s="1927"/>
      <c r="AX43" s="1927"/>
      <c r="AY43" s="1927"/>
      <c r="AZ43" s="1926"/>
      <c r="BA43" s="1926"/>
      <c r="BB43" s="1927"/>
      <c r="BC43" s="1927"/>
      <c r="BD43" s="1927"/>
      <c r="BE43" s="1927"/>
      <c r="BF43" s="1927"/>
      <c r="BG43" s="1926"/>
      <c r="BH43" s="1926"/>
    </row>
    <row r="44" spans="1:61" ht="15" customHeight="1">
      <c r="A44" s="852"/>
      <c r="B44" s="1925"/>
      <c r="C44" s="1925"/>
      <c r="D44" s="1925"/>
      <c r="E44" s="1925"/>
      <c r="F44" s="1925"/>
      <c r="G44" s="1925"/>
      <c r="H44" s="1927"/>
      <c r="I44" s="1927"/>
      <c r="J44" s="1927"/>
      <c r="K44" s="1927"/>
      <c r="L44" s="1927"/>
      <c r="M44" s="1927"/>
      <c r="N44" s="1927"/>
      <c r="O44" s="1925"/>
      <c r="P44" s="1925"/>
      <c r="Q44" s="1925"/>
      <c r="R44" s="1925"/>
      <c r="S44" s="1925"/>
      <c r="T44" s="1925"/>
      <c r="U44" s="1925"/>
      <c r="V44" s="1925"/>
      <c r="W44" s="1925"/>
      <c r="X44" s="810"/>
      <c r="AC44" s="795"/>
      <c r="AN44" s="1925"/>
      <c r="AO44" s="1926"/>
      <c r="AP44" s="1926"/>
      <c r="AQ44" s="1926"/>
      <c r="AR44" s="1926"/>
      <c r="AS44" s="1926"/>
      <c r="AT44" s="1926"/>
      <c r="AU44" s="1927"/>
      <c r="AV44" s="1927"/>
      <c r="AW44" s="1927"/>
      <c r="AX44" s="1927"/>
      <c r="AY44" s="1927"/>
      <c r="AZ44" s="1927"/>
      <c r="BA44" s="1927"/>
      <c r="BB44" s="1927"/>
      <c r="BC44" s="1927"/>
      <c r="BD44" s="1927"/>
      <c r="BE44" s="1927"/>
      <c r="BF44" s="1927"/>
      <c r="BG44" s="1926"/>
      <c r="BH44" s="1926"/>
      <c r="BI44" s="825"/>
    </row>
    <row r="45" spans="1:61">
      <c r="A45" s="852"/>
      <c r="B45" s="1925"/>
      <c r="C45" s="1925"/>
      <c r="D45" s="1925"/>
      <c r="E45" s="1925"/>
      <c r="F45" s="1925"/>
      <c r="G45" s="1925"/>
      <c r="H45" s="1925"/>
      <c r="I45" s="1925"/>
      <c r="J45" s="1925"/>
      <c r="K45" s="1925"/>
      <c r="L45" s="1925"/>
      <c r="M45" s="1925"/>
      <c r="N45" s="1925"/>
      <c r="O45" s="1927"/>
      <c r="P45" s="1927"/>
      <c r="Q45" s="1927"/>
      <c r="R45" s="1927"/>
      <c r="S45" s="1927"/>
      <c r="T45" s="1927"/>
      <c r="U45" s="1927"/>
      <c r="V45" s="1925"/>
      <c r="W45" s="1925"/>
      <c r="X45" s="810"/>
      <c r="AC45" s="795"/>
    </row>
    <row r="46" spans="1:61" s="827" customFormat="1" ht="6.6" customHeight="1" thickBot="1">
      <c r="A46" s="2096"/>
      <c r="B46" s="2097"/>
      <c r="C46" s="2097"/>
      <c r="D46" s="2097"/>
      <c r="E46" s="2097"/>
      <c r="F46" s="2097"/>
      <c r="G46" s="2097"/>
      <c r="H46" s="2097"/>
      <c r="I46" s="2097"/>
      <c r="J46" s="2097"/>
      <c r="K46" s="2097"/>
      <c r="L46" s="2097"/>
      <c r="M46" s="2097"/>
      <c r="N46" s="2097"/>
      <c r="O46" s="1375"/>
      <c r="P46" s="1375"/>
      <c r="Q46" s="1375"/>
      <c r="R46" s="1375"/>
      <c r="S46" s="1375"/>
      <c r="T46" s="1375"/>
      <c r="U46" s="1375"/>
      <c r="V46" s="2097"/>
      <c r="W46" s="2097"/>
      <c r="X46" s="2098"/>
      <c r="Y46" s="825"/>
      <c r="Z46" s="825"/>
      <c r="AA46" s="825"/>
      <c r="AB46" s="825"/>
      <c r="AC46" s="825"/>
      <c r="AD46" s="825"/>
      <c r="AE46" s="825"/>
      <c r="AF46" s="825"/>
      <c r="AG46" s="977"/>
      <c r="AH46" s="977"/>
      <c r="AI46" s="977"/>
      <c r="AJ46" s="977"/>
    </row>
    <row r="47" spans="1:61">
      <c r="B47" s="795"/>
      <c r="C47" s="795"/>
      <c r="D47" s="795"/>
      <c r="E47" s="795"/>
      <c r="F47" s="795"/>
      <c r="G47" s="795"/>
      <c r="H47" s="795"/>
      <c r="I47" s="795"/>
      <c r="J47" s="795"/>
      <c r="K47" s="795"/>
      <c r="L47" s="795"/>
      <c r="M47" s="795"/>
      <c r="N47" s="795"/>
      <c r="O47" s="795"/>
      <c r="P47" s="795"/>
      <c r="Q47" s="795"/>
      <c r="R47" s="795"/>
      <c r="S47" s="795"/>
      <c r="T47" s="795"/>
      <c r="U47" s="795"/>
      <c r="V47" s="795"/>
      <c r="W47" s="795"/>
      <c r="X47" s="795"/>
    </row>
    <row r="48" spans="1:61">
      <c r="B48" s="795"/>
      <c r="C48" s="795"/>
      <c r="D48" s="795"/>
      <c r="E48" s="795"/>
      <c r="F48" s="795"/>
      <c r="G48" s="795"/>
      <c r="H48" s="795"/>
      <c r="I48" s="795"/>
      <c r="J48" s="795"/>
      <c r="K48" s="795"/>
      <c r="L48" s="795"/>
      <c r="M48" s="795"/>
      <c r="N48" s="795"/>
      <c r="O48" s="795"/>
      <c r="P48" s="795"/>
      <c r="Q48" s="795"/>
      <c r="R48" s="795"/>
      <c r="S48" s="795"/>
      <c r="T48" s="795"/>
      <c r="U48" s="795"/>
      <c r="V48" s="795"/>
      <c r="W48" s="795"/>
      <c r="X48" s="795"/>
    </row>
  </sheetData>
  <sheetProtection sheet="1" objects="1" scenarios="1"/>
  <customSheetViews>
    <customSheetView guid="{D1431318-1DB8-4C45-813B-5A8065DFC797}" fitToPage="1">
      <selection activeCell="AG46" sqref="AG46"/>
      <pageMargins left="0.4" right="0.4" top="0.4" bottom="0.4" header="0.5" footer="0.5"/>
      <printOptions horizontalCentered="1"/>
      <pageSetup scale="94" orientation="portrait" blackAndWhite="1" r:id="rId1"/>
      <headerFooter alignWithMargins="0"/>
    </customSheetView>
  </customSheetViews>
  <mergeCells count="10">
    <mergeCell ref="A28:C28"/>
    <mergeCell ref="D28:G28"/>
    <mergeCell ref="A4:H4"/>
    <mergeCell ref="A30:E30"/>
    <mergeCell ref="F30:J30"/>
    <mergeCell ref="G1:Q1"/>
    <mergeCell ref="H2:L2"/>
    <mergeCell ref="T2:X2"/>
    <mergeCell ref="I4:W4"/>
    <mergeCell ref="M2:P2"/>
  </mergeCells>
  <printOptions horizontalCentered="1"/>
  <pageMargins left="0.4" right="0.4" top="0.4" bottom="0.4" header="0.5" footer="0.5"/>
  <pageSetup orientation="portrait" blackAndWhite="1"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2162836" r:id="rId5" name="Check Box 1172">
              <controlPr defaultSize="0" autoFill="0" autoLine="0" autoPict="0">
                <anchor moveWithCells="1" sizeWithCells="1">
                  <from>
                    <xdr:col>9</xdr:col>
                    <xdr:colOff>160020</xdr:colOff>
                    <xdr:row>26</xdr:row>
                    <xdr:rowOff>68580</xdr:rowOff>
                  </from>
                  <to>
                    <xdr:col>13</xdr:col>
                    <xdr:colOff>30480</xdr:colOff>
                    <xdr:row>29</xdr:row>
                    <xdr:rowOff>30480</xdr:rowOff>
                  </to>
                </anchor>
              </controlPr>
            </control>
          </mc:Choice>
        </mc:AlternateContent>
        <mc:AlternateContent xmlns:mc="http://schemas.openxmlformats.org/markup-compatibility/2006">
          <mc:Choice Requires="x14">
            <control shapeId="2162837" r:id="rId6" name="Check Box 1173">
              <controlPr defaultSize="0" autoFill="0" autoLine="0" autoPict="0">
                <anchor moveWithCells="1" sizeWithCells="1">
                  <from>
                    <xdr:col>13</xdr:col>
                    <xdr:colOff>83820</xdr:colOff>
                    <xdr:row>26</xdr:row>
                    <xdr:rowOff>45720</xdr:rowOff>
                  </from>
                  <to>
                    <xdr:col>17</xdr:col>
                    <xdr:colOff>144780</xdr:colOff>
                    <xdr:row>29</xdr:row>
                    <xdr:rowOff>30480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C00000"/>
  </sheetPr>
  <dimension ref="A1:S105"/>
  <sheetViews>
    <sheetView showGridLines="0" showZeros="0" view="pageBreakPreview" zoomScaleNormal="100" zoomScaleSheetLayoutView="100" workbookViewId="0">
      <selection activeCell="B8" sqref="B8"/>
    </sheetView>
  </sheetViews>
  <sheetFormatPr defaultColWidth="9.109375" defaultRowHeight="14.4"/>
  <cols>
    <col min="1" max="2" width="11.44140625" style="1292" customWidth="1"/>
    <col min="3" max="3" width="2" style="1292" customWidth="1"/>
    <col min="4" max="4" width="10.44140625" style="1292" customWidth="1"/>
    <col min="5" max="8" width="11.44140625" style="1292" customWidth="1"/>
    <col min="9" max="9" width="11.44140625" style="1310" customWidth="1"/>
    <col min="10" max="11" width="10.44140625" style="1292" customWidth="1"/>
    <col min="12" max="13" width="11.88671875" style="1292" customWidth="1"/>
    <col min="14" max="14" width="10.44140625" style="1292" customWidth="1"/>
    <col min="15" max="16" width="11.44140625" style="1292" customWidth="1"/>
    <col min="17" max="17" width="10.44140625" style="1292" customWidth="1"/>
    <col min="18" max="16384" width="9.109375" style="1292"/>
  </cols>
  <sheetData>
    <row r="1" spans="1:17" ht="54.9" customHeight="1" thickBot="1">
      <c r="A1" s="1290"/>
      <c r="B1" s="1289"/>
      <c r="C1" s="3063" t="s">
        <v>1522</v>
      </c>
      <c r="D1" s="3063"/>
      <c r="E1" s="3063"/>
      <c r="F1" s="3063"/>
      <c r="G1" s="1931"/>
      <c r="H1" s="1289"/>
      <c r="I1" s="1291"/>
      <c r="J1" s="1329"/>
      <c r="K1" s="1330"/>
      <c r="L1" s="3055" t="s">
        <v>1526</v>
      </c>
      <c r="M1" s="3055"/>
      <c r="N1" s="3055"/>
      <c r="O1" s="1326"/>
      <c r="P1" s="1330"/>
      <c r="Q1" s="1331"/>
    </row>
    <row r="2" spans="1:17" ht="18" customHeight="1" thickBot="1">
      <c r="A2" s="1965" t="s">
        <v>1127</v>
      </c>
      <c r="B2" s="1293"/>
      <c r="C2" s="1293"/>
      <c r="D2" s="1966"/>
      <c r="E2" s="1294" t="s">
        <v>1015</v>
      </c>
      <c r="F2" s="3039" t="str">
        <f>IF(ISBLANK(Prelim!S5)," ",Prelim!S5)</f>
        <v xml:space="preserve"> </v>
      </c>
      <c r="G2" s="3039"/>
      <c r="H2" s="1966"/>
      <c r="I2" s="1295" t="str">
        <f>'Drop-Down Lists'!J40</f>
        <v>v 04.01.2021</v>
      </c>
      <c r="J2" s="1313"/>
      <c r="K2" s="1314"/>
      <c r="L2" s="1315" t="s">
        <v>1015</v>
      </c>
      <c r="M2" s="3040" t="str">
        <f>IF(ISBLANK(Prelim!S5)," ",Prelim!S5)</f>
        <v xml:space="preserve"> </v>
      </c>
      <c r="N2" s="3040"/>
      <c r="O2" s="1314"/>
      <c r="P2" s="1314"/>
      <c r="Q2" s="1316"/>
    </row>
    <row r="3" spans="1:17" s="1281" customFormat="1" ht="6" customHeight="1">
      <c r="A3" s="1933"/>
      <c r="B3" s="1955"/>
      <c r="C3" s="1955"/>
      <c r="D3" s="1982"/>
      <c r="E3" s="1982"/>
      <c r="F3" s="1982"/>
      <c r="G3" s="1982"/>
      <c r="H3" s="1982"/>
      <c r="I3" s="1934"/>
      <c r="J3" s="1320"/>
      <c r="K3" s="1317"/>
      <c r="L3" s="1317"/>
      <c r="M3" s="1317"/>
      <c r="N3" s="1317"/>
      <c r="O3" s="1317"/>
      <c r="P3" s="1317"/>
      <c r="Q3" s="1321"/>
    </row>
    <row r="4" spans="1:17" s="1286" customFormat="1" ht="15.9" customHeight="1">
      <c r="A4" s="3051" t="s">
        <v>29</v>
      </c>
      <c r="B4" s="3052"/>
      <c r="C4" s="1970"/>
      <c r="D4" s="3067" t="str">
        <f>IF(ISBLANK(Prelim!G3), "  ",Prelim!G3)</f>
        <v xml:space="preserve">  </v>
      </c>
      <c r="E4" s="3068"/>
      <c r="F4" s="3068"/>
      <c r="G4" s="3068"/>
      <c r="H4" s="3069"/>
      <c r="I4" s="1296"/>
      <c r="J4" s="3033" t="s">
        <v>1778</v>
      </c>
      <c r="K4" s="2832"/>
      <c r="L4" s="3026"/>
      <c r="M4" s="3026"/>
      <c r="N4" s="3026"/>
      <c r="O4" s="1930"/>
      <c r="P4" s="1930"/>
      <c r="Q4" s="1935"/>
    </row>
    <row r="5" spans="1:17" s="1286" customFormat="1" ht="6" customHeight="1" thickBot="1">
      <c r="A5" s="1969"/>
      <c r="B5" s="1956"/>
      <c r="C5" s="1956"/>
      <c r="D5" s="1930"/>
      <c r="E5" s="1298"/>
      <c r="F5" s="1298"/>
      <c r="G5" s="1298"/>
      <c r="H5" s="1298"/>
      <c r="I5" s="1299"/>
      <c r="J5" s="1297"/>
      <c r="K5" s="1956"/>
      <c r="L5" s="1930"/>
      <c r="M5" s="1298"/>
      <c r="N5" s="1301"/>
      <c r="O5" s="1930"/>
      <c r="P5" s="1958"/>
      <c r="Q5" s="1302"/>
    </row>
    <row r="6" spans="1:17" s="1286" customFormat="1" ht="18" customHeight="1" thickBot="1">
      <c r="A6" s="3041" t="s">
        <v>1189</v>
      </c>
      <c r="B6" s="3042"/>
      <c r="C6" s="3042"/>
      <c r="D6" s="3042"/>
      <c r="E6" s="3042"/>
      <c r="F6" s="3042"/>
      <c r="G6" s="3042"/>
      <c r="H6" s="3042"/>
      <c r="I6" s="3043"/>
      <c r="J6" s="3051" t="s">
        <v>1807</v>
      </c>
      <c r="K6" s="3066"/>
      <c r="L6" s="1956" t="s">
        <v>909</v>
      </c>
      <c r="M6" s="3031"/>
      <c r="N6" s="3032"/>
      <c r="O6" s="1964" t="s">
        <v>1188</v>
      </c>
      <c r="P6" s="1959"/>
      <c r="Q6" s="1935" t="s">
        <v>640</v>
      </c>
    </row>
    <row r="7" spans="1:17" s="1286" customFormat="1" ht="6" customHeight="1">
      <c r="A7" s="1933"/>
      <c r="B7" s="1955"/>
      <c r="C7" s="1955"/>
      <c r="D7" s="1982"/>
      <c r="E7" s="1982"/>
      <c r="F7" s="1982"/>
      <c r="G7" s="1982"/>
      <c r="H7" s="1982"/>
      <c r="I7" s="1934"/>
      <c r="J7" s="1297"/>
      <c r="K7" s="1930"/>
      <c r="L7" s="1930"/>
      <c r="M7" s="1930"/>
      <c r="N7" s="1930"/>
      <c r="O7" s="1955"/>
      <c r="P7" s="1955"/>
      <c r="Q7" s="1409"/>
    </row>
    <row r="8" spans="1:17" s="1286" customFormat="1" ht="18" customHeight="1">
      <c r="A8" s="1967" t="s">
        <v>1192</v>
      </c>
      <c r="B8" s="1959"/>
      <c r="C8" s="1930" t="s">
        <v>94</v>
      </c>
      <c r="D8" s="2770" t="s">
        <v>1193</v>
      </c>
      <c r="E8" s="2770"/>
      <c r="F8" s="2770"/>
      <c r="G8" s="2752"/>
      <c r="H8" s="2753"/>
      <c r="I8" s="1936"/>
      <c r="J8" s="1297"/>
      <c r="K8" s="1930" t="s">
        <v>1191</v>
      </c>
      <c r="L8" s="1930"/>
      <c r="M8" s="1930"/>
      <c r="N8" s="1930"/>
      <c r="O8" s="1956" t="s">
        <v>1187</v>
      </c>
      <c r="P8" s="1959"/>
      <c r="Q8" s="1935" t="s">
        <v>629</v>
      </c>
    </row>
    <row r="9" spans="1:17" s="1286" customFormat="1" ht="6" customHeight="1">
      <c r="A9" s="1967"/>
      <c r="B9" s="1303"/>
      <c r="C9" s="1303"/>
      <c r="D9" s="1930"/>
      <c r="E9" s="1956"/>
      <c r="F9" s="1956"/>
      <c r="G9" s="1930"/>
      <c r="H9" s="1930"/>
      <c r="I9" s="1936"/>
      <c r="J9" s="1967"/>
      <c r="K9" s="3020" t="s">
        <v>1144</v>
      </c>
      <c r="L9" s="3021" t="s">
        <v>692</v>
      </c>
      <c r="M9" s="3021"/>
      <c r="N9" s="1930"/>
      <c r="O9" s="1930"/>
      <c r="P9" s="1951"/>
      <c r="Q9" s="1299"/>
    </row>
    <row r="10" spans="1:17" s="1281" customFormat="1" ht="15.9" customHeight="1">
      <c r="A10" s="3046" t="s">
        <v>1194</v>
      </c>
      <c r="B10" s="3047"/>
      <c r="C10" s="3047"/>
      <c r="D10" s="3047"/>
      <c r="E10" s="2771"/>
      <c r="F10" s="2772"/>
      <c r="G10" s="2772"/>
      <c r="H10" s="2773"/>
      <c r="I10" s="1409"/>
      <c r="J10" s="1297"/>
      <c r="K10" s="3020"/>
      <c r="L10" s="3021"/>
      <c r="M10" s="3021"/>
      <c r="N10" s="1930"/>
      <c r="O10" s="3036" t="s">
        <v>1190</v>
      </c>
      <c r="P10" s="3036"/>
      <c r="Q10" s="1299"/>
    </row>
    <row r="11" spans="1:17" ht="6" customHeight="1">
      <c r="A11" s="1967"/>
      <c r="B11" s="1968"/>
      <c r="C11" s="1968"/>
      <c r="D11" s="1968"/>
      <c r="E11" s="1930"/>
      <c r="F11" s="1930"/>
      <c r="G11" s="1930"/>
      <c r="H11" s="1930"/>
      <c r="I11" s="1935"/>
      <c r="J11" s="1297"/>
      <c r="K11" s="3020"/>
      <c r="L11" s="3021"/>
      <c r="M11" s="3021"/>
      <c r="N11" s="1930"/>
      <c r="O11" s="3036"/>
      <c r="P11" s="3036"/>
      <c r="Q11" s="1299"/>
    </row>
    <row r="12" spans="1:17" ht="15.9" customHeight="1">
      <c r="A12" s="3046" t="s">
        <v>1195</v>
      </c>
      <c r="B12" s="3047"/>
      <c r="C12" s="1968"/>
      <c r="D12" s="1980"/>
      <c r="E12" s="3044" t="s">
        <v>1823</v>
      </c>
      <c r="F12" s="2826"/>
      <c r="G12" s="3045"/>
      <c r="H12" s="1195"/>
      <c r="I12" s="1304" t="s">
        <v>249</v>
      </c>
      <c r="J12" s="1297"/>
      <c r="K12" s="2041"/>
      <c r="L12" s="3019"/>
      <c r="M12" s="3019"/>
      <c r="N12" s="1930"/>
      <c r="O12" s="3036"/>
      <c r="P12" s="3036"/>
      <c r="Q12" s="1299"/>
    </row>
    <row r="13" spans="1:17" ht="15.9" customHeight="1">
      <c r="A13" s="3048" t="s">
        <v>1196</v>
      </c>
      <c r="B13" s="3049"/>
      <c r="C13" s="1968"/>
      <c r="D13" s="1968"/>
      <c r="E13" s="3050" t="s">
        <v>1197</v>
      </c>
      <c r="F13" s="1930"/>
      <c r="G13" s="1930"/>
      <c r="H13" s="1930"/>
      <c r="I13" s="1935"/>
      <c r="J13" s="1297"/>
      <c r="K13" s="2040"/>
      <c r="L13" s="3019"/>
      <c r="M13" s="3019"/>
      <c r="N13" s="1930"/>
      <c r="O13" s="3036"/>
      <c r="P13" s="3036"/>
      <c r="Q13" s="1935"/>
    </row>
    <row r="14" spans="1:17" s="1286" customFormat="1" ht="18" customHeight="1">
      <c r="A14" s="3048"/>
      <c r="B14" s="3049"/>
      <c r="C14" s="1298"/>
      <c r="D14" s="1196"/>
      <c r="E14" s="3050"/>
      <c r="F14" s="1196"/>
      <c r="G14" s="1930"/>
      <c r="H14" s="1305">
        <f>F14-D14</f>
        <v>0</v>
      </c>
      <c r="I14" s="1934" t="s">
        <v>1198</v>
      </c>
      <c r="J14" s="1297"/>
      <c r="K14" s="2040"/>
      <c r="L14" s="3019"/>
      <c r="M14" s="3019"/>
      <c r="N14" s="1930"/>
      <c r="O14" s="3036"/>
      <c r="P14" s="3036"/>
      <c r="Q14" s="1935"/>
    </row>
    <row r="15" spans="1:17" s="1286" customFormat="1" ht="22.5" customHeight="1">
      <c r="A15" s="1306"/>
      <c r="B15" s="1956"/>
      <c r="C15" s="1956"/>
      <c r="D15" s="1958"/>
      <c r="E15" s="1930"/>
      <c r="F15" s="1930"/>
      <c r="G15" s="1930"/>
      <c r="H15" s="1930"/>
      <c r="I15" s="1935"/>
      <c r="J15" s="1297"/>
      <c r="K15" s="1930"/>
      <c r="L15" s="1930"/>
      <c r="M15" s="1930"/>
      <c r="N15" s="1930"/>
      <c r="O15" s="1930"/>
      <c r="P15" s="1930"/>
      <c r="Q15" s="1935"/>
    </row>
    <row r="16" spans="1:17" s="1286" customFormat="1" ht="22.5" customHeight="1">
      <c r="A16" s="3037" t="s">
        <v>1207</v>
      </c>
      <c r="B16" s="3038"/>
      <c r="C16" s="3038"/>
      <c r="D16" s="3038"/>
      <c r="E16" s="3038"/>
      <c r="F16" s="2771"/>
      <c r="G16" s="2772"/>
      <c r="H16" s="2773"/>
      <c r="I16" s="1934"/>
      <c r="J16" s="3030" t="s">
        <v>1199</v>
      </c>
      <c r="K16" s="3027" t="s">
        <v>1200</v>
      </c>
      <c r="L16" s="3027" t="s">
        <v>1201</v>
      </c>
      <c r="M16" s="3027" t="s">
        <v>1202</v>
      </c>
      <c r="N16" s="3028" t="s">
        <v>1203</v>
      </c>
      <c r="O16" s="3027" t="s">
        <v>1204</v>
      </c>
      <c r="P16" s="3027" t="s">
        <v>1205</v>
      </c>
      <c r="Q16" s="3035" t="s">
        <v>1206</v>
      </c>
    </row>
    <row r="17" spans="1:17" s="1286" customFormat="1" ht="15.9" customHeight="1">
      <c r="A17" s="1297"/>
      <c r="B17" s="1394" t="s">
        <v>1552</v>
      </c>
      <c r="C17" s="1930"/>
      <c r="D17" s="1930"/>
      <c r="E17" s="1930"/>
      <c r="F17" s="1930"/>
      <c r="G17" s="1930"/>
      <c r="H17" s="1930"/>
      <c r="I17" s="1936"/>
      <c r="J17" s="3030"/>
      <c r="K17" s="3027"/>
      <c r="L17" s="3027"/>
      <c r="M17" s="3027"/>
      <c r="N17" s="3028"/>
      <c r="O17" s="3027"/>
      <c r="P17" s="3027"/>
      <c r="Q17" s="3035"/>
    </row>
    <row r="18" spans="1:17" ht="15.9" customHeight="1">
      <c r="A18" s="3022" t="s">
        <v>1520</v>
      </c>
      <c r="B18" s="3023"/>
      <c r="C18" s="3023"/>
      <c r="D18" s="3023"/>
      <c r="E18" s="3023"/>
      <c r="F18" s="3023"/>
      <c r="G18" s="3023"/>
      <c r="H18" s="3023"/>
      <c r="I18" s="3024"/>
      <c r="J18" s="2046">
        <v>1</v>
      </c>
      <c r="K18" s="1196"/>
      <c r="L18" s="1196"/>
      <c r="M18" s="2042"/>
      <c r="N18" s="2042"/>
      <c r="O18" s="2043" t="str">
        <f>IF(ISBLANK(K18)," ",((L18-K18)*1440)/(M18-N18))</f>
        <v xml:space="preserve"> </v>
      </c>
      <c r="P18" s="1537" t="s">
        <v>30</v>
      </c>
      <c r="Q18" s="2047" t="s">
        <v>30</v>
      </c>
    </row>
    <row r="19" spans="1:17" ht="15.9" customHeight="1" thickBot="1">
      <c r="A19" s="1297"/>
      <c r="B19" s="1930"/>
      <c r="C19" s="1930"/>
      <c r="D19" s="1930"/>
      <c r="E19" s="1930"/>
      <c r="F19" s="1930"/>
      <c r="G19" s="1930"/>
      <c r="H19" s="1930"/>
      <c r="I19" s="1935"/>
      <c r="J19" s="2046">
        <v>2</v>
      </c>
      <c r="K19" s="1196"/>
      <c r="L19" s="1196"/>
      <c r="M19" s="2042"/>
      <c r="N19" s="2042"/>
      <c r="O19" s="2043" t="str">
        <f t="shared" ref="O19:O25" si="0">IF(ISBLANK(K19)," ",((L19-K19)*1440)/(M19-N19))</f>
        <v xml:space="preserve"> </v>
      </c>
      <c r="P19" s="1537" t="s">
        <v>30</v>
      </c>
      <c r="Q19" s="2047" t="s">
        <v>30</v>
      </c>
    </row>
    <row r="20" spans="1:17" ht="15.9" customHeight="1" thickBot="1">
      <c r="A20" s="3056" t="s">
        <v>1521</v>
      </c>
      <c r="B20" s="3057"/>
      <c r="C20" s="3057"/>
      <c r="D20" s="3057"/>
      <c r="E20" s="3057"/>
      <c r="F20" s="3057"/>
      <c r="G20" s="1312" t="str">
        <f>IF(ISBLANK(B8)," ",MAX(G77,G104,O27,O50,O77,O104))</f>
        <v xml:space="preserve"> </v>
      </c>
      <c r="H20" s="1307" t="s">
        <v>708</v>
      </c>
      <c r="I20" s="1935"/>
      <c r="J20" s="2046">
        <v>3</v>
      </c>
      <c r="K20" s="1196"/>
      <c r="L20" s="1196"/>
      <c r="M20" s="2042"/>
      <c r="N20" s="2042"/>
      <c r="O20" s="2043" t="str">
        <f t="shared" si="0"/>
        <v xml:space="preserve"> </v>
      </c>
      <c r="P20" s="2043" t="str">
        <f t="shared" ref="P20:P25" si="1">IF(ISBLANK(K20), "",((MAX(O18:O20)-MIN(O18:O20))/MAX(O18:O20)*100))</f>
        <v/>
      </c>
      <c r="Q20" s="2047" t="str">
        <f t="shared" ref="Q20:Q25" si="2">IF(ISBLANK(K20)," ",IF(P20&lt;10,"Yes","No"))</f>
        <v xml:space="preserve"> </v>
      </c>
    </row>
    <row r="21" spans="1:17" ht="15.9" customHeight="1" thickBot="1">
      <c r="A21" s="1403"/>
      <c r="B21" s="1404"/>
      <c r="C21" s="1404"/>
      <c r="D21" s="1404"/>
      <c r="E21" s="1404"/>
      <c r="F21" s="1404"/>
      <c r="G21" s="1405"/>
      <c r="H21" s="1406"/>
      <c r="I21" s="1941"/>
      <c r="J21" s="2046" t="str">
        <f>IF(ISBLANK(K20)," ",J20+1)</f>
        <v xml:space="preserve"> </v>
      </c>
      <c r="K21" s="2044"/>
      <c r="L21" s="2045"/>
      <c r="M21" s="2042"/>
      <c r="N21" s="2042"/>
      <c r="O21" s="2043" t="str">
        <f t="shared" si="0"/>
        <v xml:space="preserve"> </v>
      </c>
      <c r="P21" s="2043" t="str">
        <f t="shared" si="1"/>
        <v/>
      </c>
      <c r="Q21" s="2047" t="str">
        <f t="shared" si="2"/>
        <v xml:space="preserve"> </v>
      </c>
    </row>
    <row r="22" spans="1:17" ht="15.9" customHeight="1">
      <c r="A22" s="3072" t="s">
        <v>1809</v>
      </c>
      <c r="B22" s="3073"/>
      <c r="C22" s="3073"/>
      <c r="D22" s="3073"/>
      <c r="E22" s="3073"/>
      <c r="F22" s="3073"/>
      <c r="G22" s="3073"/>
      <c r="H22" s="3073"/>
      <c r="I22" s="3074"/>
      <c r="J22" s="2046"/>
      <c r="K22" s="2044"/>
      <c r="L22" s="2045"/>
      <c r="M22" s="2042"/>
      <c r="N22" s="2042"/>
      <c r="O22" s="2043" t="str">
        <f t="shared" si="0"/>
        <v xml:space="preserve"> </v>
      </c>
      <c r="P22" s="2043" t="str">
        <f t="shared" si="1"/>
        <v/>
      </c>
      <c r="Q22" s="2047" t="str">
        <f t="shared" si="2"/>
        <v xml:space="preserve"> </v>
      </c>
    </row>
    <row r="23" spans="1:17" ht="15.9" customHeight="1">
      <c r="A23" s="1971"/>
      <c r="B23" s="1972"/>
      <c r="C23" s="1972"/>
      <c r="D23" s="1972"/>
      <c r="E23" s="1972"/>
      <c r="F23" s="1972"/>
      <c r="G23" s="1983"/>
      <c r="H23" s="1307"/>
      <c r="I23" s="1935"/>
      <c r="J23" s="2046"/>
      <c r="K23" s="2044"/>
      <c r="L23" s="2045"/>
      <c r="M23" s="2042"/>
      <c r="N23" s="2042"/>
      <c r="O23" s="2043" t="str">
        <f t="shared" si="0"/>
        <v xml:space="preserve"> </v>
      </c>
      <c r="P23" s="2043" t="str">
        <f t="shared" si="1"/>
        <v/>
      </c>
      <c r="Q23" s="2047" t="str">
        <f t="shared" si="2"/>
        <v xml:space="preserve"> </v>
      </c>
    </row>
    <row r="24" spans="1:17" ht="15.9" customHeight="1">
      <c r="A24" s="3058"/>
      <c r="B24" s="3059"/>
      <c r="C24" s="3059"/>
      <c r="D24" s="3059"/>
      <c r="E24" s="3059"/>
      <c r="F24" s="3059"/>
      <c r="G24" s="3059"/>
      <c r="H24" s="3059"/>
      <c r="I24" s="3060"/>
      <c r="J24" s="2046"/>
      <c r="K24" s="2044"/>
      <c r="L24" s="2045"/>
      <c r="M24" s="2042"/>
      <c r="N24" s="2042"/>
      <c r="O24" s="2043" t="str">
        <f t="shared" si="0"/>
        <v xml:space="preserve"> </v>
      </c>
      <c r="P24" s="2043" t="str">
        <f t="shared" si="1"/>
        <v/>
      </c>
      <c r="Q24" s="2047" t="str">
        <f t="shared" si="2"/>
        <v xml:space="preserve"> </v>
      </c>
    </row>
    <row r="25" spans="1:17" s="1920" customFormat="1" ht="15.9" customHeight="1">
      <c r="A25" s="1973"/>
      <c r="B25" s="1974"/>
      <c r="C25" s="1974"/>
      <c r="D25" s="1974"/>
      <c r="E25" s="1974"/>
      <c r="F25" s="1974"/>
      <c r="G25" s="1974"/>
      <c r="H25" s="1974"/>
      <c r="I25" s="1975"/>
      <c r="J25" s="2046"/>
      <c r="K25" s="2044"/>
      <c r="L25" s="2045"/>
      <c r="M25" s="2042"/>
      <c r="N25" s="2042"/>
      <c r="O25" s="2043" t="str">
        <f t="shared" si="0"/>
        <v xml:space="preserve"> </v>
      </c>
      <c r="P25" s="2043" t="str">
        <f t="shared" si="1"/>
        <v/>
      </c>
      <c r="Q25" s="2047" t="str">
        <f t="shared" si="2"/>
        <v xml:space="preserve"> </v>
      </c>
    </row>
    <row r="26" spans="1:17" s="1308" customFormat="1" ht="6" customHeight="1">
      <c r="A26" s="1942"/>
      <c r="B26" s="1955"/>
      <c r="C26" s="1955"/>
      <c r="D26" s="1955"/>
      <c r="E26" s="1955"/>
      <c r="F26" s="1955"/>
      <c r="G26" s="1955"/>
      <c r="H26" s="1955"/>
      <c r="I26" s="1943"/>
      <c r="J26" s="1477" t="str">
        <f>IF(ISBLANK(K25)," ",J25+1)</f>
        <v xml:space="preserve"> </v>
      </c>
      <c r="K26" s="1474"/>
      <c r="L26" s="1474"/>
      <c r="M26" s="1475"/>
      <c r="N26" s="1475"/>
      <c r="O26" s="1476" t="str">
        <f>IF(ISBLANK(K26),"",((L26-K26)/M26-N26))</f>
        <v/>
      </c>
      <c r="P26" s="1961" t="str">
        <f>IF(ISBLANK(K26)," ",IF(O26&lt;10,"Yes","No"))</f>
        <v xml:space="preserve"> </v>
      </c>
      <c r="Q26" s="1943" t="str">
        <f>IF(ISBLANK(K26)," ",IF(P26&lt;10,"Yes","No"))</f>
        <v xml:space="preserve"> </v>
      </c>
    </row>
    <row r="27" spans="1:17" ht="18" customHeight="1">
      <c r="A27" s="3061"/>
      <c r="B27" s="3062"/>
      <c r="C27" s="1946"/>
      <c r="D27" s="3013"/>
      <c r="E27" s="3013"/>
      <c r="F27" s="1955"/>
      <c r="G27" s="1976"/>
      <c r="H27" s="1955"/>
      <c r="I27" s="1947"/>
      <c r="J27" s="3080" t="s">
        <v>1523</v>
      </c>
      <c r="K27" s="3081"/>
      <c r="L27" s="3081"/>
      <c r="M27" s="3081"/>
      <c r="N27" s="3082"/>
      <c r="O27" s="1197"/>
      <c r="P27" s="1937" t="s">
        <v>708</v>
      </c>
      <c r="Q27" s="1935"/>
    </row>
    <row r="28" spans="1:17" ht="6" customHeight="1">
      <c r="A28" s="3012"/>
      <c r="B28" s="3013"/>
      <c r="C28" s="1961"/>
      <c r="D28" s="3013"/>
      <c r="E28" s="3079"/>
      <c r="F28" s="1955"/>
      <c r="G28" s="1961"/>
      <c r="H28" s="1955"/>
      <c r="I28" s="1943"/>
      <c r="J28" s="1327"/>
      <c r="K28" s="1282"/>
      <c r="L28" s="1283"/>
      <c r="M28" s="1283"/>
      <c r="N28" s="1283"/>
      <c r="O28" s="1283"/>
      <c r="P28" s="1283"/>
      <c r="Q28" s="1322"/>
    </row>
    <row r="29" spans="1:17" ht="6.6" customHeight="1">
      <c r="A29" s="1942"/>
      <c r="B29" s="1955"/>
      <c r="C29" s="1955"/>
      <c r="D29" s="1955"/>
      <c r="E29" s="1955"/>
      <c r="F29" s="1955"/>
      <c r="G29" s="1955"/>
      <c r="H29" s="1955"/>
      <c r="I29" s="1943"/>
      <c r="J29" s="3046"/>
      <c r="K29" s="2770"/>
      <c r="L29" s="1956"/>
      <c r="M29" s="3029"/>
      <c r="N29" s="3029"/>
      <c r="O29" s="1964"/>
      <c r="P29" s="1961"/>
      <c r="Q29" s="1935"/>
    </row>
    <row r="30" spans="1:17" s="1932" customFormat="1" ht="18" customHeight="1">
      <c r="A30" s="1942"/>
      <c r="B30" s="1955"/>
      <c r="C30" s="1955"/>
      <c r="D30" s="1955"/>
      <c r="E30" s="1955"/>
      <c r="F30" s="1955"/>
      <c r="G30" s="1955"/>
      <c r="H30" s="1955"/>
      <c r="I30" s="1943"/>
      <c r="J30" s="3033" t="s">
        <v>1778</v>
      </c>
      <c r="K30" s="2832"/>
      <c r="L30" s="3034"/>
      <c r="M30" s="3034"/>
      <c r="N30" s="3034"/>
      <c r="O30" s="1964"/>
      <c r="P30" s="1961"/>
      <c r="Q30" s="1935"/>
    </row>
    <row r="31" spans="1:17" s="1932" customFormat="1" ht="6" customHeight="1">
      <c r="A31" s="1942"/>
      <c r="B31" s="1955"/>
      <c r="C31" s="1955"/>
      <c r="D31" s="1955"/>
      <c r="E31" s="1955"/>
      <c r="F31" s="1955"/>
      <c r="G31" s="1955"/>
      <c r="H31" s="1955"/>
      <c r="I31" s="1943"/>
      <c r="J31" s="1967"/>
      <c r="K31" s="1956"/>
      <c r="L31" s="1956"/>
      <c r="M31" s="1978"/>
      <c r="N31" s="1978"/>
      <c r="O31" s="1964"/>
      <c r="P31" s="1961"/>
      <c r="Q31" s="1935"/>
    </row>
    <row r="32" spans="1:17" ht="17.100000000000001" customHeight="1">
      <c r="A32" s="1297"/>
      <c r="B32" s="1930"/>
      <c r="C32" s="1930"/>
      <c r="D32" s="1930"/>
      <c r="E32" s="1930"/>
      <c r="F32" s="1930"/>
      <c r="G32" s="1930"/>
      <c r="H32" s="1930"/>
      <c r="I32" s="1936"/>
      <c r="J32" s="3051" t="s">
        <v>1808</v>
      </c>
      <c r="K32" s="3066"/>
      <c r="L32" s="1956" t="s">
        <v>909</v>
      </c>
      <c r="M32" s="3031"/>
      <c r="N32" s="3032"/>
      <c r="O32" s="1964" t="s">
        <v>1188</v>
      </c>
      <c r="P32" s="1959"/>
      <c r="Q32" s="1935" t="s">
        <v>640</v>
      </c>
    </row>
    <row r="33" spans="1:17" ht="6.6" customHeight="1">
      <c r="A33" s="1297"/>
      <c r="B33" s="1930"/>
      <c r="C33" s="1930"/>
      <c r="D33" s="1930"/>
      <c r="E33" s="1930"/>
      <c r="F33" s="1930"/>
      <c r="G33" s="1930"/>
      <c r="H33" s="1930"/>
      <c r="I33" s="1936"/>
      <c r="J33" s="1473"/>
      <c r="K33" s="1957"/>
      <c r="L33" s="1957"/>
      <c r="M33" s="1978"/>
      <c r="N33" s="1978"/>
      <c r="O33" s="1333"/>
      <c r="P33" s="1961"/>
      <c r="Q33" s="1409"/>
    </row>
    <row r="34" spans="1:17" ht="18.899999999999999" customHeight="1">
      <c r="A34" s="1297"/>
      <c r="B34" s="1930"/>
      <c r="C34" s="1930"/>
      <c r="D34" s="1930"/>
      <c r="E34" s="1930"/>
      <c r="F34" s="1930"/>
      <c r="G34" s="1930"/>
      <c r="H34" s="1930"/>
      <c r="I34" s="1936"/>
      <c r="J34" s="1297"/>
      <c r="K34" s="1930" t="s">
        <v>1191</v>
      </c>
      <c r="L34" s="1982"/>
      <c r="M34" s="1982"/>
      <c r="N34" s="1982"/>
      <c r="O34" s="1956" t="s">
        <v>1187</v>
      </c>
      <c r="P34" s="1959"/>
      <c r="Q34" s="1935" t="s">
        <v>629</v>
      </c>
    </row>
    <row r="35" spans="1:17" ht="18" customHeight="1">
      <c r="A35" s="1297"/>
      <c r="B35" s="1930"/>
      <c r="C35" s="1930"/>
      <c r="D35" s="1930"/>
      <c r="E35" s="1930"/>
      <c r="F35" s="1930"/>
      <c r="G35" s="1930"/>
      <c r="H35" s="1930"/>
      <c r="I35" s="1936"/>
      <c r="J35" s="1297"/>
      <c r="K35" s="1323" t="s">
        <v>1144</v>
      </c>
      <c r="L35" s="3053" t="s">
        <v>692</v>
      </c>
      <c r="M35" s="3054"/>
      <c r="N35" s="1930"/>
      <c r="O35" s="1955"/>
      <c r="P35" s="1955"/>
      <c r="Q35" s="1409"/>
    </row>
    <row r="36" spans="1:17" ht="18" customHeight="1">
      <c r="A36" s="1297"/>
      <c r="B36" s="1930"/>
      <c r="C36" s="1930"/>
      <c r="D36" s="1930"/>
      <c r="E36" s="1930"/>
      <c r="F36" s="1930"/>
      <c r="G36" s="1930"/>
      <c r="H36" s="1930"/>
      <c r="I36" s="1936"/>
      <c r="J36" s="1297"/>
      <c r="K36" s="2040"/>
      <c r="L36" s="3019"/>
      <c r="M36" s="3019"/>
      <c r="N36" s="1930"/>
      <c r="O36" s="3036" t="s">
        <v>1190</v>
      </c>
      <c r="P36" s="3036"/>
      <c r="Q36" s="1409"/>
    </row>
    <row r="37" spans="1:17" ht="17.399999999999999" customHeight="1">
      <c r="A37" s="1297"/>
      <c r="B37" s="1930"/>
      <c r="C37" s="1930"/>
      <c r="D37" s="1930"/>
      <c r="E37" s="1930"/>
      <c r="F37" s="1930"/>
      <c r="G37" s="1930"/>
      <c r="H37" s="1930"/>
      <c r="I37" s="1936"/>
      <c r="J37" s="1967"/>
      <c r="K37" s="2040"/>
      <c r="L37" s="3019"/>
      <c r="M37" s="3019"/>
      <c r="N37" s="1930"/>
      <c r="O37" s="3036"/>
      <c r="P37" s="3036"/>
      <c r="Q37" s="1299"/>
    </row>
    <row r="38" spans="1:17" ht="17.399999999999999" customHeight="1">
      <c r="A38" s="1297"/>
      <c r="B38" s="1930"/>
      <c r="C38" s="1930"/>
      <c r="D38" s="1930"/>
      <c r="E38" s="1930"/>
      <c r="F38" s="1930"/>
      <c r="G38" s="1930"/>
      <c r="H38" s="1930"/>
      <c r="I38" s="1936"/>
      <c r="J38" s="1297"/>
      <c r="K38" s="2040"/>
      <c r="L38" s="3019"/>
      <c r="M38" s="3019"/>
      <c r="N38" s="1930"/>
      <c r="O38" s="3036"/>
      <c r="P38" s="3036"/>
      <c r="Q38" s="1299"/>
    </row>
    <row r="39" spans="1:17" ht="9.6" customHeight="1">
      <c r="A39" s="1297"/>
      <c r="B39" s="1930"/>
      <c r="C39" s="1930"/>
      <c r="D39" s="1930"/>
      <c r="E39" s="1930"/>
      <c r="F39" s="1930"/>
      <c r="G39" s="1930"/>
      <c r="H39" s="1930"/>
      <c r="I39" s="1936"/>
      <c r="J39" s="1297"/>
      <c r="K39" s="1930"/>
      <c r="L39" s="1930"/>
      <c r="M39" s="1930"/>
      <c r="N39" s="1930"/>
      <c r="O39" s="1930"/>
      <c r="P39" s="1930"/>
      <c r="Q39" s="1935"/>
    </row>
    <row r="40" spans="1:17" ht="18" customHeight="1">
      <c r="A40" s="1297"/>
      <c r="B40" s="1930"/>
      <c r="C40" s="1930"/>
      <c r="D40" s="1930"/>
      <c r="E40" s="1930"/>
      <c r="F40" s="1930"/>
      <c r="G40" s="1930"/>
      <c r="H40" s="1930"/>
      <c r="I40" s="1936"/>
      <c r="J40" s="3030" t="s">
        <v>1199</v>
      </c>
      <c r="K40" s="3027" t="s">
        <v>1200</v>
      </c>
      <c r="L40" s="3027" t="s">
        <v>1201</v>
      </c>
      <c r="M40" s="3027" t="s">
        <v>1202</v>
      </c>
      <c r="N40" s="3028" t="s">
        <v>1203</v>
      </c>
      <c r="O40" s="3027" t="s">
        <v>1204</v>
      </c>
      <c r="P40" s="3027" t="s">
        <v>1205</v>
      </c>
      <c r="Q40" s="3035" t="s">
        <v>1206</v>
      </c>
    </row>
    <row r="41" spans="1:17" s="1281" customFormat="1" ht="18" customHeight="1">
      <c r="A41" s="1297"/>
      <c r="B41" s="1930"/>
      <c r="C41" s="1930"/>
      <c r="D41" s="1930"/>
      <c r="E41" s="1930"/>
      <c r="F41" s="1930"/>
      <c r="G41" s="1930"/>
      <c r="H41" s="1930"/>
      <c r="I41" s="1936"/>
      <c r="J41" s="3030"/>
      <c r="K41" s="3027"/>
      <c r="L41" s="3027"/>
      <c r="M41" s="3027"/>
      <c r="N41" s="3028"/>
      <c r="O41" s="3027"/>
      <c r="P41" s="3027"/>
      <c r="Q41" s="3035"/>
    </row>
    <row r="42" spans="1:17" s="1286" customFormat="1" ht="15.9" customHeight="1">
      <c r="A42" s="1297"/>
      <c r="B42" s="1930"/>
      <c r="C42" s="1930"/>
      <c r="D42" s="1930"/>
      <c r="E42" s="1930"/>
      <c r="F42" s="1930"/>
      <c r="G42" s="1930"/>
      <c r="H42" s="1930"/>
      <c r="I42" s="1936"/>
      <c r="J42" s="2046">
        <f>J41+1</f>
        <v>1</v>
      </c>
      <c r="K42" s="1196"/>
      <c r="L42" s="1196"/>
      <c r="M42" s="2042"/>
      <c r="N42" s="2042"/>
      <c r="O42" s="2043" t="str">
        <f>IF(ISBLANK(K42)," ",((L42-K42)*1440)/(M42-N42))</f>
        <v xml:space="preserve"> </v>
      </c>
      <c r="P42" s="1537" t="s">
        <v>30</v>
      </c>
      <c r="Q42" s="2047" t="s">
        <v>30</v>
      </c>
    </row>
    <row r="43" spans="1:17" s="1286" customFormat="1" ht="15.9" customHeight="1">
      <c r="A43" s="1297"/>
      <c r="B43" s="1930"/>
      <c r="C43" s="1930"/>
      <c r="D43" s="1930"/>
      <c r="E43" s="1930"/>
      <c r="F43" s="1930"/>
      <c r="G43" s="1930"/>
      <c r="H43" s="1930"/>
      <c r="I43" s="1936"/>
      <c r="J43" s="2046">
        <f>J42+1</f>
        <v>2</v>
      </c>
      <c r="K43" s="1196"/>
      <c r="L43" s="1196"/>
      <c r="M43" s="2042"/>
      <c r="N43" s="2042"/>
      <c r="O43" s="2043" t="str">
        <f t="shared" ref="O43:O49" si="3">IF(ISBLANK(K43)," ",((L43-K43)*1440)/(M43-N43))</f>
        <v xml:space="preserve"> </v>
      </c>
      <c r="P43" s="1537" t="s">
        <v>30</v>
      </c>
      <c r="Q43" s="2047" t="s">
        <v>30</v>
      </c>
    </row>
    <row r="44" spans="1:17" s="1286" customFormat="1" ht="15.9" customHeight="1">
      <c r="A44" s="1297"/>
      <c r="B44" s="1930"/>
      <c r="C44" s="1930"/>
      <c r="D44" s="1930"/>
      <c r="E44" s="1930"/>
      <c r="F44" s="1930"/>
      <c r="G44" s="1930"/>
      <c r="H44" s="1930"/>
      <c r="I44" s="1936"/>
      <c r="J44" s="2046">
        <v>3</v>
      </c>
      <c r="K44" s="1196"/>
      <c r="L44" s="1196"/>
      <c r="M44" s="2042"/>
      <c r="N44" s="2042"/>
      <c r="O44" s="2043" t="str">
        <f t="shared" si="3"/>
        <v xml:space="preserve"> </v>
      </c>
      <c r="P44" s="2043" t="str">
        <f t="shared" ref="P44:P49" si="4">IF(ISBLANK(K44), "",((MAX(O42:O44)-MIN(O42:O44))/MAX(O42:O44)*100))</f>
        <v/>
      </c>
      <c r="Q44" s="2047" t="str">
        <f t="shared" ref="Q44:Q49" si="5">IF(ISBLANK(K44)," ",IF(P44&lt;10,"Yes","No"))</f>
        <v xml:space="preserve"> </v>
      </c>
    </row>
    <row r="45" spans="1:17" s="1286" customFormat="1" ht="15.9" customHeight="1">
      <c r="A45" s="1297"/>
      <c r="B45" s="1930"/>
      <c r="C45" s="1930"/>
      <c r="D45" s="1930"/>
      <c r="E45" s="1930"/>
      <c r="F45" s="1930"/>
      <c r="G45" s="1930"/>
      <c r="H45" s="1930"/>
      <c r="I45" s="1936"/>
      <c r="J45" s="2046" t="str">
        <f>IF(ISBLANK(K44)," ",J44+1)</f>
        <v xml:space="preserve"> </v>
      </c>
      <c r="K45" s="2044"/>
      <c r="L45" s="2045"/>
      <c r="M45" s="2042"/>
      <c r="N45" s="2042"/>
      <c r="O45" s="2043" t="str">
        <f t="shared" si="3"/>
        <v xml:space="preserve"> </v>
      </c>
      <c r="P45" s="2043" t="str">
        <f t="shared" si="4"/>
        <v/>
      </c>
      <c r="Q45" s="2047" t="str">
        <f t="shared" si="5"/>
        <v xml:space="preserve"> </v>
      </c>
    </row>
    <row r="46" spans="1:17" s="1386" customFormat="1" ht="15.9" customHeight="1">
      <c r="A46" s="1297"/>
      <c r="B46" s="1930"/>
      <c r="C46" s="1930"/>
      <c r="D46" s="1930"/>
      <c r="E46" s="1930"/>
      <c r="F46" s="1930"/>
      <c r="G46" s="1930"/>
      <c r="H46" s="1930"/>
      <c r="I46" s="1936"/>
      <c r="J46" s="2046"/>
      <c r="K46" s="2044"/>
      <c r="L46" s="2045"/>
      <c r="M46" s="2042"/>
      <c r="N46" s="2042"/>
      <c r="O46" s="2043" t="str">
        <f t="shared" si="3"/>
        <v xml:space="preserve"> </v>
      </c>
      <c r="P46" s="2043" t="str">
        <f t="shared" si="4"/>
        <v/>
      </c>
      <c r="Q46" s="2047" t="str">
        <f t="shared" si="5"/>
        <v xml:space="preserve"> </v>
      </c>
    </row>
    <row r="47" spans="1:17" s="1286" customFormat="1" ht="15.9" customHeight="1">
      <c r="A47" s="1297"/>
      <c r="B47" s="1930"/>
      <c r="C47" s="1930"/>
      <c r="D47" s="1930"/>
      <c r="E47" s="1930"/>
      <c r="F47" s="1930"/>
      <c r="G47" s="1930"/>
      <c r="H47" s="1930"/>
      <c r="I47" s="1936"/>
      <c r="J47" s="2046"/>
      <c r="K47" s="2044"/>
      <c r="L47" s="2045"/>
      <c r="M47" s="2042"/>
      <c r="N47" s="2042"/>
      <c r="O47" s="2043" t="str">
        <f t="shared" si="3"/>
        <v xml:space="preserve"> </v>
      </c>
      <c r="P47" s="2043" t="str">
        <f t="shared" si="4"/>
        <v/>
      </c>
      <c r="Q47" s="2047" t="str">
        <f t="shared" si="5"/>
        <v xml:space="preserve"> </v>
      </c>
    </row>
    <row r="48" spans="1:17" s="1286" customFormat="1" ht="15.9" customHeight="1">
      <c r="A48" s="1297"/>
      <c r="B48" s="1930"/>
      <c r="C48" s="1930"/>
      <c r="D48" s="1930"/>
      <c r="E48" s="1930"/>
      <c r="F48" s="1930"/>
      <c r="G48" s="1930"/>
      <c r="H48" s="1930"/>
      <c r="I48" s="1936"/>
      <c r="J48" s="2046"/>
      <c r="K48" s="2044"/>
      <c r="L48" s="2045"/>
      <c r="M48" s="2042"/>
      <c r="N48" s="2042"/>
      <c r="O48" s="2043" t="str">
        <f t="shared" si="3"/>
        <v xml:space="preserve"> </v>
      </c>
      <c r="P48" s="2043" t="str">
        <f t="shared" si="4"/>
        <v/>
      </c>
      <c r="Q48" s="2047" t="str">
        <f t="shared" si="5"/>
        <v xml:space="preserve"> </v>
      </c>
    </row>
    <row r="49" spans="1:19" s="1286" customFormat="1" ht="15.9" customHeight="1">
      <c r="A49" s="1297"/>
      <c r="B49" s="1930"/>
      <c r="C49" s="1930"/>
      <c r="D49" s="1930"/>
      <c r="E49" s="1930"/>
      <c r="F49" s="1930"/>
      <c r="G49" s="1930"/>
      <c r="H49" s="1930"/>
      <c r="I49" s="1936"/>
      <c r="J49" s="2046"/>
      <c r="K49" s="2044"/>
      <c r="L49" s="2045"/>
      <c r="M49" s="2042"/>
      <c r="N49" s="2042"/>
      <c r="O49" s="2043" t="str">
        <f t="shared" si="3"/>
        <v xml:space="preserve"> </v>
      </c>
      <c r="P49" s="2043" t="str">
        <f t="shared" si="4"/>
        <v/>
      </c>
      <c r="Q49" s="2047" t="str">
        <f t="shared" si="5"/>
        <v xml:space="preserve"> </v>
      </c>
    </row>
    <row r="50" spans="1:19" s="1286" customFormat="1" ht="22.5" customHeight="1" thickBot="1">
      <c r="A50" s="1309"/>
      <c r="B50" s="1938"/>
      <c r="C50" s="1938"/>
      <c r="D50" s="1938"/>
      <c r="E50" s="1938"/>
      <c r="F50" s="1938"/>
      <c r="G50" s="1938"/>
      <c r="H50" s="1938"/>
      <c r="I50" s="1939"/>
      <c r="J50" s="3083" t="s">
        <v>1209</v>
      </c>
      <c r="K50" s="3084"/>
      <c r="L50" s="3084"/>
      <c r="M50" s="3084"/>
      <c r="N50" s="3085"/>
      <c r="O50" s="1407"/>
      <c r="P50" s="1406" t="s">
        <v>708</v>
      </c>
      <c r="Q50" s="1941"/>
    </row>
    <row r="51" spans="1:19" ht="54.9" customHeight="1" thickBot="1">
      <c r="A51" s="1923"/>
      <c r="B51" s="1931"/>
      <c r="C51" s="3064" t="s">
        <v>1522</v>
      </c>
      <c r="D51" s="3064"/>
      <c r="E51" s="3064"/>
      <c r="F51" s="3064"/>
      <c r="G51" s="1931"/>
      <c r="H51" s="1931"/>
      <c r="I51" s="1924"/>
      <c r="J51" s="1329"/>
      <c r="K51" s="1330"/>
      <c r="L51" s="3055" t="s">
        <v>1526</v>
      </c>
      <c r="M51" s="3055"/>
      <c r="N51" s="3055"/>
      <c r="O51" s="1326"/>
      <c r="P51" s="1330"/>
      <c r="Q51" s="1331"/>
    </row>
    <row r="52" spans="1:19" ht="17.399999999999999" customHeight="1">
      <c r="A52" s="2035"/>
      <c r="B52" s="1921"/>
      <c r="C52" s="1921"/>
      <c r="D52" s="1922" t="s">
        <v>1015</v>
      </c>
      <c r="E52" s="3040" t="str">
        <f>IF(ISBLANK(Prelim!S5)," ",Prelim!S5)</f>
        <v xml:space="preserve"> </v>
      </c>
      <c r="F52" s="3040"/>
      <c r="G52" s="1921"/>
      <c r="H52" s="1921"/>
      <c r="I52" s="2036"/>
      <c r="J52" s="2033"/>
      <c r="K52" s="1962"/>
      <c r="L52" s="1324" t="s">
        <v>1819</v>
      </c>
      <c r="M52" s="1953" t="str">
        <f>IF(ISBLANK(Prelim!S5)," ",Prelim!S5)</f>
        <v xml:space="preserve"> </v>
      </c>
      <c r="N52" s="1325"/>
      <c r="O52" s="1962"/>
      <c r="P52" s="1962"/>
      <c r="Q52" s="1328"/>
      <c r="R52" s="1281"/>
      <c r="S52" s="1281"/>
    </row>
    <row r="53" spans="1:19" s="1920" customFormat="1" ht="5.25" customHeight="1">
      <c r="A53" s="1933"/>
      <c r="B53" s="1982"/>
      <c r="C53" s="1982"/>
      <c r="D53" s="1917"/>
      <c r="E53" s="1918"/>
      <c r="F53" s="1918"/>
      <c r="G53" s="1982"/>
      <c r="H53" s="1982"/>
      <c r="I53" s="1934"/>
      <c r="J53" s="2034"/>
      <c r="K53" s="1982"/>
      <c r="L53" s="1917"/>
      <c r="M53" s="1918"/>
      <c r="N53" s="1918"/>
      <c r="O53" s="1982"/>
      <c r="P53" s="1982"/>
      <c r="Q53" s="1919"/>
      <c r="R53" s="1929"/>
      <c r="S53" s="1929"/>
    </row>
    <row r="54" spans="1:19" ht="18" customHeight="1">
      <c r="A54" s="3033" t="s">
        <v>1778</v>
      </c>
      <c r="B54" s="2832"/>
      <c r="C54" s="3026"/>
      <c r="D54" s="3026"/>
      <c r="E54" s="3026"/>
      <c r="F54" s="1982"/>
      <c r="G54" s="1982"/>
      <c r="H54" s="1982"/>
      <c r="I54" s="1934"/>
      <c r="J54" s="3033" t="s">
        <v>1778</v>
      </c>
      <c r="K54" s="2832"/>
      <c r="L54" s="3026"/>
      <c r="M54" s="3026"/>
      <c r="N54" s="3026"/>
      <c r="O54" s="1982"/>
      <c r="P54" s="1982"/>
      <c r="Q54" s="1934"/>
      <c r="R54" s="1281"/>
      <c r="S54" s="1281"/>
    </row>
    <row r="55" spans="1:19" s="1932" customFormat="1" ht="5.25" customHeight="1">
      <c r="A55" s="1933"/>
      <c r="B55" s="1982"/>
      <c r="C55" s="1978"/>
      <c r="D55" s="1978"/>
      <c r="E55" s="1978"/>
      <c r="F55" s="1982"/>
      <c r="G55" s="1982"/>
      <c r="H55" s="1982"/>
      <c r="I55" s="1934"/>
      <c r="J55" s="1933"/>
      <c r="K55" s="1982"/>
      <c r="L55" s="1982"/>
      <c r="M55" s="1982"/>
      <c r="N55" s="1982"/>
      <c r="O55" s="1982"/>
      <c r="P55" s="1982"/>
      <c r="Q55" s="1934"/>
      <c r="R55" s="1929"/>
      <c r="S55" s="1929"/>
    </row>
    <row r="56" spans="1:19" ht="18" customHeight="1">
      <c r="A56" s="1297"/>
      <c r="B56" s="2842" t="s">
        <v>1805</v>
      </c>
      <c r="C56" s="2842"/>
      <c r="D56" s="1956" t="s">
        <v>909</v>
      </c>
      <c r="E56" s="3031"/>
      <c r="F56" s="3032"/>
      <c r="G56" s="1964" t="s">
        <v>1188</v>
      </c>
      <c r="H56" s="1959"/>
      <c r="I56" s="1935" t="s">
        <v>640</v>
      </c>
      <c r="J56" s="3051" t="s">
        <v>1806</v>
      </c>
      <c r="K56" s="3066"/>
      <c r="L56" s="1956" t="s">
        <v>909</v>
      </c>
      <c r="M56" s="3031"/>
      <c r="N56" s="3032"/>
      <c r="O56" s="1964" t="s">
        <v>1188</v>
      </c>
      <c r="P56" s="1959"/>
      <c r="Q56" s="1935" t="s">
        <v>640</v>
      </c>
      <c r="R56" s="1281"/>
      <c r="S56" s="1281"/>
    </row>
    <row r="57" spans="1:19" ht="18" customHeight="1">
      <c r="A57" s="1297"/>
      <c r="B57" s="1956"/>
      <c r="C57" s="1300"/>
      <c r="D57" s="1930"/>
      <c r="E57" s="1298"/>
      <c r="F57" s="1301"/>
      <c r="G57" s="1930"/>
      <c r="H57" s="1958"/>
      <c r="I57" s="1302"/>
      <c r="J57" s="1297"/>
      <c r="K57" s="1956"/>
      <c r="L57" s="1930"/>
      <c r="M57" s="1298"/>
      <c r="N57" s="1301"/>
      <c r="O57" s="1930"/>
      <c r="P57" s="1958"/>
      <c r="Q57" s="1302"/>
      <c r="R57" s="1281"/>
      <c r="S57" s="1281"/>
    </row>
    <row r="58" spans="1:19" ht="18" customHeight="1">
      <c r="A58" s="1297"/>
      <c r="B58" s="1930" t="s">
        <v>1191</v>
      </c>
      <c r="C58" s="1930"/>
      <c r="D58" s="1982"/>
      <c r="E58" s="1982"/>
      <c r="F58" s="1982"/>
      <c r="G58" s="1956" t="s">
        <v>1187</v>
      </c>
      <c r="H58" s="1959"/>
      <c r="I58" s="1935" t="s">
        <v>629</v>
      </c>
      <c r="J58" s="1297"/>
      <c r="K58" s="1930" t="s">
        <v>1191</v>
      </c>
      <c r="L58" s="1982"/>
      <c r="M58" s="1982"/>
      <c r="N58" s="1982"/>
      <c r="O58" s="1956" t="s">
        <v>1187</v>
      </c>
      <c r="P58" s="1959"/>
      <c r="Q58" s="1935" t="s">
        <v>629</v>
      </c>
      <c r="R58" s="1281"/>
      <c r="S58" s="1281"/>
    </row>
    <row r="59" spans="1:19" s="1286" customFormat="1" ht="18" customHeight="1">
      <c r="A59" s="1297"/>
      <c r="B59" s="1930"/>
      <c r="C59" s="1930"/>
      <c r="D59" s="1930"/>
      <c r="E59" s="1930"/>
      <c r="F59" s="1930"/>
      <c r="G59" s="1955"/>
      <c r="H59" s="1955"/>
      <c r="I59" s="1409"/>
      <c r="J59" s="1297"/>
      <c r="K59" s="1930"/>
      <c r="L59" s="1930"/>
      <c r="M59" s="1930"/>
      <c r="N59" s="1930"/>
      <c r="O59" s="1955"/>
      <c r="P59" s="1955"/>
      <c r="Q59" s="1409"/>
      <c r="R59" s="1281"/>
      <c r="S59" s="1281"/>
    </row>
    <row r="60" spans="1:19" s="1286" customFormat="1" ht="18" customHeight="1">
      <c r="A60" s="1297"/>
      <c r="B60" s="3020" t="s">
        <v>1144</v>
      </c>
      <c r="C60" s="3020"/>
      <c r="D60" s="3021" t="s">
        <v>692</v>
      </c>
      <c r="E60" s="3021"/>
      <c r="F60" s="1930"/>
      <c r="G60" s="1955"/>
      <c r="H60" s="1955"/>
      <c r="I60" s="1409"/>
      <c r="J60" s="1297"/>
      <c r="K60" s="3020" t="s">
        <v>1144</v>
      </c>
      <c r="L60" s="3021" t="s">
        <v>692</v>
      </c>
      <c r="M60" s="3021"/>
      <c r="N60" s="1930"/>
      <c r="O60" s="1955"/>
      <c r="P60" s="1955"/>
      <c r="Q60" s="1409"/>
      <c r="R60" s="1281"/>
      <c r="S60" s="1281"/>
    </row>
    <row r="61" spans="1:19" s="1286" customFormat="1" ht="18" customHeight="1">
      <c r="A61" s="1967"/>
      <c r="B61" s="3020"/>
      <c r="C61" s="3020"/>
      <c r="D61" s="3021"/>
      <c r="E61" s="3021"/>
      <c r="F61" s="1930"/>
      <c r="G61" s="3036" t="s">
        <v>1190</v>
      </c>
      <c r="H61" s="3036"/>
      <c r="I61" s="1299"/>
      <c r="J61" s="1967"/>
      <c r="K61" s="3020"/>
      <c r="L61" s="3021"/>
      <c r="M61" s="3021"/>
      <c r="N61" s="1930"/>
      <c r="O61" s="3036" t="s">
        <v>1190</v>
      </c>
      <c r="P61" s="3036"/>
      <c r="Q61" s="1299"/>
      <c r="R61" s="1281"/>
      <c r="S61" s="1281"/>
    </row>
    <row r="62" spans="1:19" s="1286" customFormat="1" ht="18" customHeight="1">
      <c r="A62" s="1297"/>
      <c r="B62" s="3019"/>
      <c r="C62" s="3019"/>
      <c r="D62" s="3019"/>
      <c r="E62" s="3019"/>
      <c r="F62" s="1930"/>
      <c r="G62" s="3036"/>
      <c r="H62" s="3036"/>
      <c r="I62" s="1299"/>
      <c r="J62" s="1297"/>
      <c r="K62" s="2040"/>
      <c r="L62" s="3019"/>
      <c r="M62" s="3019"/>
      <c r="N62" s="1930"/>
      <c r="O62" s="3036"/>
      <c r="P62" s="3036"/>
      <c r="Q62" s="1299"/>
    </row>
    <row r="63" spans="1:19" s="1286" customFormat="1" ht="18" customHeight="1">
      <c r="A63" s="1297"/>
      <c r="B63" s="3019"/>
      <c r="C63" s="3019"/>
      <c r="D63" s="3019"/>
      <c r="E63" s="3019"/>
      <c r="F63" s="1930"/>
      <c r="G63" s="3036"/>
      <c r="H63" s="3036"/>
      <c r="I63" s="1299"/>
      <c r="J63" s="1297"/>
      <c r="K63" s="2040"/>
      <c r="L63" s="3019"/>
      <c r="M63" s="3019"/>
      <c r="N63" s="1930"/>
      <c r="O63" s="3036"/>
      <c r="P63" s="3036"/>
      <c r="Q63" s="1299"/>
    </row>
    <row r="64" spans="1:19" ht="18" customHeight="1">
      <c r="A64" s="1297"/>
      <c r="B64" s="3019"/>
      <c r="C64" s="3019"/>
      <c r="D64" s="3019"/>
      <c r="E64" s="3019"/>
      <c r="F64" s="1930"/>
      <c r="G64" s="3036"/>
      <c r="H64" s="3036"/>
      <c r="I64" s="1299"/>
      <c r="J64" s="1297"/>
      <c r="K64" s="2040"/>
      <c r="L64" s="3019"/>
      <c r="M64" s="3019"/>
      <c r="N64" s="1930"/>
      <c r="O64" s="3036"/>
      <c r="P64" s="3036"/>
      <c r="Q64" s="1299"/>
    </row>
    <row r="65" spans="1:17" ht="18" customHeight="1" thickBot="1">
      <c r="A65" s="1297"/>
      <c r="B65" s="1930"/>
      <c r="C65" s="1930"/>
      <c r="D65" s="1930"/>
      <c r="E65" s="1930"/>
      <c r="F65" s="1930"/>
      <c r="G65" s="1930"/>
      <c r="H65" s="1930"/>
      <c r="I65" s="1935"/>
      <c r="J65" s="1309"/>
      <c r="K65" s="1938"/>
      <c r="L65" s="1938"/>
      <c r="M65" s="1938"/>
      <c r="N65" s="1938"/>
      <c r="O65" s="1938"/>
      <c r="P65" s="1938"/>
      <c r="Q65" s="1941"/>
    </row>
    <row r="66" spans="1:17">
      <c r="A66" s="3030" t="s">
        <v>1199</v>
      </c>
      <c r="B66" s="3027" t="s">
        <v>1200</v>
      </c>
      <c r="C66" s="3027"/>
      <c r="D66" s="3027" t="s">
        <v>1201</v>
      </c>
      <c r="E66" s="3027" t="s">
        <v>1202</v>
      </c>
      <c r="F66" s="3028" t="s">
        <v>1203</v>
      </c>
      <c r="G66" s="3027" t="s">
        <v>1204</v>
      </c>
      <c r="H66" s="3027" t="s">
        <v>1205</v>
      </c>
      <c r="I66" s="3035" t="s">
        <v>1206</v>
      </c>
      <c r="J66" s="3070" t="s">
        <v>1199</v>
      </c>
      <c r="K66" s="3065" t="s">
        <v>1200</v>
      </c>
      <c r="L66" s="3065" t="s">
        <v>1201</v>
      </c>
      <c r="M66" s="3065" t="s">
        <v>1202</v>
      </c>
      <c r="N66" s="3078" t="s">
        <v>1203</v>
      </c>
      <c r="O66" s="3065" t="s">
        <v>1204</v>
      </c>
      <c r="P66" s="3065" t="s">
        <v>1205</v>
      </c>
      <c r="Q66" s="3086" t="s">
        <v>1206</v>
      </c>
    </row>
    <row r="67" spans="1:17">
      <c r="A67" s="3030"/>
      <c r="B67" s="3027"/>
      <c r="C67" s="3027"/>
      <c r="D67" s="3027"/>
      <c r="E67" s="3027"/>
      <c r="F67" s="3028"/>
      <c r="G67" s="3027"/>
      <c r="H67" s="3027"/>
      <c r="I67" s="3035"/>
      <c r="J67" s="3030"/>
      <c r="K67" s="3027"/>
      <c r="L67" s="3027"/>
      <c r="M67" s="3027"/>
      <c r="N67" s="3028"/>
      <c r="O67" s="3027"/>
      <c r="P67" s="3027"/>
      <c r="Q67" s="3035"/>
    </row>
    <row r="68" spans="1:17" ht="14.4" customHeight="1">
      <c r="A68" s="2046">
        <f>A67+1</f>
        <v>1</v>
      </c>
      <c r="B68" s="3025"/>
      <c r="C68" s="3025"/>
      <c r="D68" s="1196"/>
      <c r="E68" s="2042"/>
      <c r="F68" s="2042"/>
      <c r="G68" s="2043" t="str">
        <f>IF(ISBLANK(B68)," ",((D68-B68)*1440)/(E68-F68))</f>
        <v xml:space="preserve"> </v>
      </c>
      <c r="H68" s="1537" t="s">
        <v>30</v>
      </c>
      <c r="I68" s="2047" t="s">
        <v>30</v>
      </c>
      <c r="J68" s="2046">
        <f>J67+1</f>
        <v>1</v>
      </c>
      <c r="K68" s="1196"/>
      <c r="L68" s="1196"/>
      <c r="M68" s="2042"/>
      <c r="N68" s="2042"/>
      <c r="O68" s="2043" t="str">
        <f>IF(ISBLANK(K68)," ",((L68-K68)*1440)/(M68-N68))</f>
        <v xml:space="preserve"> </v>
      </c>
      <c r="P68" s="1537" t="s">
        <v>30</v>
      </c>
      <c r="Q68" s="2047" t="s">
        <v>30</v>
      </c>
    </row>
    <row r="69" spans="1:17">
      <c r="A69" s="2046">
        <f>A68+1</f>
        <v>2</v>
      </c>
      <c r="B69" s="3025"/>
      <c r="C69" s="3025"/>
      <c r="D69" s="1196"/>
      <c r="E69" s="2042"/>
      <c r="F69" s="2042"/>
      <c r="G69" s="2043" t="str">
        <f t="shared" ref="G69:G75" si="6">IF(ISBLANK(B69)," ",((D69-B69)*1440)/(E69-F69))</f>
        <v xml:space="preserve"> </v>
      </c>
      <c r="H69" s="1537" t="s">
        <v>30</v>
      </c>
      <c r="I69" s="2047" t="s">
        <v>30</v>
      </c>
      <c r="J69" s="2046">
        <f>J68+1</f>
        <v>2</v>
      </c>
      <c r="K69" s="1196"/>
      <c r="L69" s="1196"/>
      <c r="M69" s="2042"/>
      <c r="N69" s="2042"/>
      <c r="O69" s="2043" t="str">
        <f t="shared" ref="O69:O75" si="7">IF(ISBLANK(K69)," ",((L69-K69)*1440)/(M69-N69))</f>
        <v xml:space="preserve"> </v>
      </c>
      <c r="P69" s="1537" t="s">
        <v>30</v>
      </c>
      <c r="Q69" s="2047" t="s">
        <v>30</v>
      </c>
    </row>
    <row r="70" spans="1:17" ht="14.4" customHeight="1">
      <c r="A70" s="2046">
        <v>3</v>
      </c>
      <c r="B70" s="3025"/>
      <c r="C70" s="3025"/>
      <c r="D70" s="1196"/>
      <c r="E70" s="2042"/>
      <c r="F70" s="2042"/>
      <c r="G70" s="2043" t="str">
        <f t="shared" si="6"/>
        <v xml:space="preserve"> </v>
      </c>
      <c r="H70" s="2043" t="str">
        <f>IF(ISBLANK(B70), "",((MAX(G68:G70)-MIN(G68:G70))/MAX(G68:G70)*100))</f>
        <v/>
      </c>
      <c r="I70" s="2047" t="str">
        <f t="shared" ref="I70:I75" si="8">IF(ISBLANK(B70)," ",IF(H70&lt;10,"Yes","No"))</f>
        <v xml:space="preserve"> </v>
      </c>
      <c r="J70" s="2046">
        <v>3</v>
      </c>
      <c r="K70" s="1196"/>
      <c r="L70" s="1196"/>
      <c r="M70" s="2042"/>
      <c r="N70" s="2042"/>
      <c r="O70" s="2043" t="str">
        <f t="shared" si="7"/>
        <v xml:space="preserve"> </v>
      </c>
      <c r="P70" s="2043" t="str">
        <f t="shared" ref="P70:P75" si="9">IF(ISBLANK(K70), "",((MAX(O68:O70)-MIN(O68:O70))/MAX(O68:O70)*100))</f>
        <v/>
      </c>
      <c r="Q70" s="2047" t="str">
        <f>IF(ISBLANK(J70)," ",IF(P70&lt;10,"Yes","No"))</f>
        <v>No</v>
      </c>
    </row>
    <row r="71" spans="1:17">
      <c r="A71" s="2046" t="str">
        <f>IF(ISBLANK(B70)," ",A70+1)</f>
        <v xml:space="preserve"> </v>
      </c>
      <c r="B71" s="3025"/>
      <c r="C71" s="3025"/>
      <c r="D71" s="1196"/>
      <c r="E71" s="2042"/>
      <c r="F71" s="2042"/>
      <c r="G71" s="2043" t="str">
        <f t="shared" si="6"/>
        <v xml:space="preserve"> </v>
      </c>
      <c r="H71" s="2043" t="str">
        <f>IF(ISBLANK(B71), "",((MAX(G69:G71)-MIN(G69:G71))/MAX(G69:G71)*100))</f>
        <v/>
      </c>
      <c r="I71" s="2047" t="str">
        <f t="shared" si="8"/>
        <v xml:space="preserve"> </v>
      </c>
      <c r="J71" s="2046" t="str">
        <f>IF(ISBLANK(K70)," ",J70+1)</f>
        <v xml:space="preserve"> </v>
      </c>
      <c r="K71" s="2044"/>
      <c r="L71" s="2045"/>
      <c r="M71" s="2042"/>
      <c r="N71" s="2042"/>
      <c r="O71" s="2043" t="str">
        <f t="shared" si="7"/>
        <v xml:space="preserve"> </v>
      </c>
      <c r="P71" s="2043" t="str">
        <f t="shared" si="9"/>
        <v/>
      </c>
      <c r="Q71" s="2047" t="str">
        <f>IF(ISBLANK(K71)," ",IF(P71&lt;10,"Yes","No"))</f>
        <v xml:space="preserve"> </v>
      </c>
    </row>
    <row r="72" spans="1:17" ht="14.4" customHeight="1">
      <c r="A72" s="2046" t="str">
        <f>IF(ISBLANK(B71)," ",A71+1)</f>
        <v xml:space="preserve"> </v>
      </c>
      <c r="B72" s="3025"/>
      <c r="C72" s="3025"/>
      <c r="D72" s="1196"/>
      <c r="E72" s="2042"/>
      <c r="F72" s="2042"/>
      <c r="G72" s="2043" t="str">
        <f t="shared" si="6"/>
        <v xml:space="preserve"> </v>
      </c>
      <c r="H72" s="2043" t="str">
        <f>IF(ISBLANK(B72), "",((MAX(G70:G72)-MIN(G70:G72))/MAX(G70:G72)*100))</f>
        <v/>
      </c>
      <c r="I72" s="2047" t="str">
        <f t="shared" si="8"/>
        <v xml:space="preserve"> </v>
      </c>
      <c r="J72" s="2046"/>
      <c r="K72" s="2044"/>
      <c r="L72" s="2045"/>
      <c r="M72" s="2042"/>
      <c r="N72" s="2042"/>
      <c r="O72" s="2043" t="str">
        <f t="shared" si="7"/>
        <v xml:space="preserve"> </v>
      </c>
      <c r="P72" s="2043" t="str">
        <f t="shared" si="9"/>
        <v/>
      </c>
      <c r="Q72" s="2047" t="str">
        <f>IF(ISBLANK(K72)," ",IF(P72&lt;10,"Yes","No"))</f>
        <v xml:space="preserve"> </v>
      </c>
    </row>
    <row r="73" spans="1:17">
      <c r="A73" s="2046" t="str">
        <f>IF(ISBLANK(B72)," ",A72+1)</f>
        <v xml:space="preserve"> </v>
      </c>
      <c r="B73" s="3025"/>
      <c r="C73" s="3025"/>
      <c r="D73" s="1196"/>
      <c r="E73" s="2042"/>
      <c r="F73" s="2042"/>
      <c r="G73" s="2043" t="str">
        <f t="shared" si="6"/>
        <v xml:space="preserve"> </v>
      </c>
      <c r="H73" s="2043" t="str">
        <f>IF(ISBLANK(B73), "",((MAX(G71:G73)-MIN(G71:G73))/MAX(G71:G73)*100))</f>
        <v/>
      </c>
      <c r="I73" s="2047" t="str">
        <f t="shared" si="8"/>
        <v xml:space="preserve"> </v>
      </c>
      <c r="J73" s="2046"/>
      <c r="K73" s="2044"/>
      <c r="L73" s="2045"/>
      <c r="M73" s="2042"/>
      <c r="N73" s="2042"/>
      <c r="O73" s="2043" t="str">
        <f t="shared" si="7"/>
        <v xml:space="preserve"> </v>
      </c>
      <c r="P73" s="2043" t="str">
        <f t="shared" si="9"/>
        <v/>
      </c>
      <c r="Q73" s="2047" t="str">
        <f>IF(ISBLANK(K73)," ",IF(P73&lt;10,"Yes","No"))</f>
        <v xml:space="preserve"> </v>
      </c>
    </row>
    <row r="74" spans="1:17" ht="14.4" customHeight="1">
      <c r="A74" s="2046" t="str">
        <f>IF(ISBLANK(B73)," ",A73+1)</f>
        <v xml:space="preserve"> </v>
      </c>
      <c r="B74" s="3025"/>
      <c r="C74" s="3025"/>
      <c r="D74" s="1196"/>
      <c r="E74" s="2042"/>
      <c r="F74" s="2042"/>
      <c r="G74" s="2043" t="str">
        <f t="shared" si="6"/>
        <v xml:space="preserve"> </v>
      </c>
      <c r="H74" s="2043" t="str">
        <f>IF(ISBLANK(B74), "",((MAX(G72:G74)-MIN(G72:G74))/MAX(G72:G74)*100))</f>
        <v/>
      </c>
      <c r="I74" s="2047" t="str">
        <f t="shared" si="8"/>
        <v xml:space="preserve"> </v>
      </c>
      <c r="J74" s="2046"/>
      <c r="K74" s="2044"/>
      <c r="L74" s="2045"/>
      <c r="M74" s="2042"/>
      <c r="N74" s="2042"/>
      <c r="O74" s="2043" t="str">
        <f t="shared" si="7"/>
        <v xml:space="preserve"> </v>
      </c>
      <c r="P74" s="2043" t="str">
        <f t="shared" si="9"/>
        <v/>
      </c>
      <c r="Q74" s="2047" t="str">
        <f>IF(ISBLANK(K74)," ",IF(P74&lt;10,"Yes","No"))</f>
        <v xml:space="preserve"> </v>
      </c>
    </row>
    <row r="75" spans="1:17">
      <c r="A75" s="2046" t="str">
        <f>IF(ISBLANK(B74)," ",A74+1)</f>
        <v xml:space="preserve"> </v>
      </c>
      <c r="B75" s="3025"/>
      <c r="C75" s="3025"/>
      <c r="D75" s="1196"/>
      <c r="E75" s="2042"/>
      <c r="F75" s="2042"/>
      <c r="G75" s="2043" t="str">
        <f t="shared" si="6"/>
        <v xml:space="preserve"> </v>
      </c>
      <c r="H75" s="2043" t="str">
        <f>IF(ISBLANK(B75), "",(100*(MAX(G73:G75)-MIN(G73:G75))/MAX(G73:G75)))</f>
        <v/>
      </c>
      <c r="I75" s="2047" t="str">
        <f t="shared" si="8"/>
        <v xml:space="preserve"> </v>
      </c>
      <c r="J75" s="2046"/>
      <c r="K75" s="2044"/>
      <c r="L75" s="2045"/>
      <c r="M75" s="2042"/>
      <c r="N75" s="2042"/>
      <c r="O75" s="2043" t="str">
        <f t="shared" si="7"/>
        <v xml:space="preserve"> </v>
      </c>
      <c r="P75" s="2043" t="str">
        <f t="shared" si="9"/>
        <v/>
      </c>
      <c r="Q75" s="2047" t="str">
        <f>IF(ISBLANK(K75)," ",IF(P75&lt;10,"Yes","No"))</f>
        <v xml:space="preserve"> </v>
      </c>
    </row>
    <row r="76" spans="1:17" ht="6.75" customHeight="1">
      <c r="A76" s="1297"/>
      <c r="B76" s="1930"/>
      <c r="C76" s="1930"/>
      <c r="D76" s="1930"/>
      <c r="E76" s="1930"/>
      <c r="F76" s="1930"/>
      <c r="G76" s="1930"/>
      <c r="H76" s="1332"/>
      <c r="I76" s="1936"/>
      <c r="J76" s="1297"/>
      <c r="K76" s="1930"/>
      <c r="L76" s="1930"/>
      <c r="M76" s="1930"/>
      <c r="N76" s="1930"/>
      <c r="O76" s="1930"/>
      <c r="P76" s="1930"/>
      <c r="Q76" s="1935"/>
    </row>
    <row r="77" spans="1:17">
      <c r="A77" s="3017" t="s">
        <v>1210</v>
      </c>
      <c r="B77" s="3047"/>
      <c r="C77" s="3047"/>
      <c r="D77" s="3047"/>
      <c r="E77" s="3047"/>
      <c r="F77" s="1930"/>
      <c r="G77" s="1197"/>
      <c r="H77" s="1937" t="s">
        <v>708</v>
      </c>
      <c r="I77" s="1935"/>
      <c r="J77" s="3017" t="s">
        <v>1524</v>
      </c>
      <c r="K77" s="3018"/>
      <c r="L77" s="3018"/>
      <c r="M77" s="3018"/>
      <c r="N77" s="3018"/>
      <c r="O77" s="1197"/>
      <c r="P77" s="1937" t="s">
        <v>708</v>
      </c>
      <c r="Q77" s="1936"/>
    </row>
    <row r="78" spans="1:17" s="1938" customFormat="1" ht="3.75" customHeight="1" thickBot="1">
      <c r="A78" s="1984"/>
      <c r="B78" s="1948"/>
      <c r="C78" s="1948"/>
      <c r="D78" s="1948"/>
      <c r="E78" s="1948"/>
      <c r="G78" s="1949"/>
      <c r="H78" s="1945"/>
      <c r="I78" s="1941"/>
      <c r="J78" s="1984"/>
      <c r="K78" s="1985"/>
      <c r="L78" s="1985"/>
      <c r="M78" s="1985"/>
      <c r="N78" s="1985"/>
      <c r="O78" s="1949"/>
      <c r="P78" s="1945"/>
      <c r="Q78" s="1939"/>
    </row>
    <row r="79" spans="1:17" ht="6.75" customHeight="1">
      <c r="A79" s="1297"/>
      <c r="B79" s="1956"/>
      <c r="C79" s="1300"/>
      <c r="D79" s="1930"/>
      <c r="E79" s="1298"/>
      <c r="F79" s="1301"/>
      <c r="G79" s="1930"/>
      <c r="H79" s="1958"/>
      <c r="I79" s="1302"/>
      <c r="J79" s="1977"/>
      <c r="K79" s="1981"/>
      <c r="L79" s="1981"/>
      <c r="M79" s="1981"/>
      <c r="N79" s="1981"/>
      <c r="O79" s="1950"/>
      <c r="P79" s="1937"/>
      <c r="Q79" s="1936"/>
    </row>
    <row r="80" spans="1:17" ht="18" customHeight="1">
      <c r="A80" s="3033" t="s">
        <v>1778</v>
      </c>
      <c r="B80" s="2831"/>
      <c r="C80" s="3026"/>
      <c r="D80" s="3026"/>
      <c r="E80" s="3026"/>
      <c r="F80" s="1930"/>
      <c r="G80" s="1930"/>
      <c r="H80" s="1930"/>
      <c r="I80" s="1935"/>
      <c r="J80" s="3033" t="s">
        <v>1778</v>
      </c>
      <c r="K80" s="2831"/>
      <c r="L80" s="3026"/>
      <c r="M80" s="3026"/>
      <c r="N80" s="3026"/>
      <c r="O80" s="1930"/>
      <c r="P80" s="1958"/>
      <c r="Q80" s="1302"/>
    </row>
    <row r="81" spans="1:17" s="1929" customFormat="1" ht="5.25" customHeight="1">
      <c r="A81" s="1963"/>
      <c r="B81" s="1979"/>
      <c r="C81" s="1978"/>
      <c r="D81" s="1978"/>
      <c r="E81" s="1978"/>
      <c r="F81" s="1955"/>
      <c r="G81" s="1955"/>
      <c r="H81" s="1955"/>
      <c r="I81" s="1409"/>
      <c r="J81" s="1963"/>
      <c r="K81" s="1979"/>
      <c r="L81" s="1978"/>
      <c r="M81" s="1978"/>
      <c r="N81" s="1978"/>
      <c r="O81" s="1955"/>
      <c r="P81" s="1961"/>
      <c r="Q81" s="1409"/>
    </row>
    <row r="82" spans="1:17" ht="14.1" customHeight="1">
      <c r="A82" s="1297"/>
      <c r="B82" s="2842" t="s">
        <v>1803</v>
      </c>
      <c r="C82" s="2842"/>
      <c r="D82" s="1956" t="s">
        <v>909</v>
      </c>
      <c r="E82" s="3075"/>
      <c r="F82" s="3075"/>
      <c r="G82" s="1964" t="s">
        <v>1188</v>
      </c>
      <c r="H82" s="1959"/>
      <c r="I82" s="1935" t="s">
        <v>640</v>
      </c>
      <c r="J82" s="3051" t="s">
        <v>1804</v>
      </c>
      <c r="K82" s="3066"/>
      <c r="L82" s="1956" t="s">
        <v>909</v>
      </c>
      <c r="M82" s="3075"/>
      <c r="N82" s="3075"/>
      <c r="O82" s="1964" t="s">
        <v>1188</v>
      </c>
      <c r="P82" s="1959"/>
      <c r="Q82" s="1935" t="s">
        <v>640</v>
      </c>
    </row>
    <row r="83" spans="1:17" ht="5.4" customHeight="1">
      <c r="A83" s="1297"/>
      <c r="B83" s="1956"/>
      <c r="C83" s="1300"/>
      <c r="D83" s="1930"/>
      <c r="E83" s="1298"/>
      <c r="F83" s="1301"/>
      <c r="G83" s="1930"/>
      <c r="H83" s="1958"/>
      <c r="I83" s="1302"/>
      <c r="J83" s="1297"/>
      <c r="K83" s="1956"/>
      <c r="L83" s="1930"/>
      <c r="M83" s="1298"/>
      <c r="N83" s="1301"/>
      <c r="O83" s="1930"/>
      <c r="P83" s="1958"/>
      <c r="Q83" s="1302"/>
    </row>
    <row r="84" spans="1:17">
      <c r="A84" s="1297"/>
      <c r="B84" s="1930" t="s">
        <v>1191</v>
      </c>
      <c r="C84" s="1930"/>
      <c r="D84" s="1982"/>
      <c r="E84" s="1982"/>
      <c r="F84" s="1982"/>
      <c r="G84" s="1956" t="s">
        <v>1187</v>
      </c>
      <c r="H84" s="1959"/>
      <c r="I84" s="1935" t="s">
        <v>629</v>
      </c>
      <c r="J84" s="1297"/>
      <c r="K84" s="1930" t="s">
        <v>1191</v>
      </c>
      <c r="L84" s="1982"/>
      <c r="M84" s="1982"/>
      <c r="N84" s="1982"/>
      <c r="O84" s="1956" t="s">
        <v>1187</v>
      </c>
      <c r="P84" s="1959"/>
      <c r="Q84" s="1935" t="s">
        <v>629</v>
      </c>
    </row>
    <row r="85" spans="1:17" ht="5.4" customHeight="1">
      <c r="A85" s="1297"/>
      <c r="B85" s="1930"/>
      <c r="C85" s="1930"/>
      <c r="D85" s="1930"/>
      <c r="E85" s="1930"/>
      <c r="F85" s="1930"/>
      <c r="G85" s="1955"/>
      <c r="H85" s="1955"/>
      <c r="I85" s="1409"/>
      <c r="J85" s="1297"/>
      <c r="K85" s="1930"/>
      <c r="L85" s="1930"/>
      <c r="M85" s="1930"/>
      <c r="N85" s="1930"/>
      <c r="O85" s="1955"/>
      <c r="P85" s="1955"/>
      <c r="Q85" s="1409"/>
    </row>
    <row r="86" spans="1:17">
      <c r="A86" s="1297"/>
      <c r="B86" s="3020" t="s">
        <v>1144</v>
      </c>
      <c r="C86" s="3020"/>
      <c r="D86" s="3021" t="s">
        <v>692</v>
      </c>
      <c r="E86" s="3021"/>
      <c r="F86" s="1930"/>
      <c r="G86" s="1955"/>
      <c r="H86" s="1955"/>
      <c r="I86" s="1409"/>
      <c r="J86" s="1297"/>
      <c r="K86" s="3020" t="s">
        <v>1144</v>
      </c>
      <c r="L86" s="3021" t="s">
        <v>692</v>
      </c>
      <c r="M86" s="3021"/>
      <c r="N86" s="1930"/>
      <c r="O86" s="1955"/>
      <c r="P86" s="1955"/>
      <c r="Q86" s="1409"/>
    </row>
    <row r="87" spans="1:17">
      <c r="A87" s="1967"/>
      <c r="B87" s="3020"/>
      <c r="C87" s="3020"/>
      <c r="D87" s="3021"/>
      <c r="E87" s="3021"/>
      <c r="F87" s="1930"/>
      <c r="G87" s="3036" t="s">
        <v>1190</v>
      </c>
      <c r="H87" s="3036"/>
      <c r="I87" s="1299"/>
      <c r="J87" s="1967"/>
      <c r="K87" s="3020"/>
      <c r="L87" s="3021"/>
      <c r="M87" s="3021"/>
      <c r="N87" s="1930"/>
      <c r="O87" s="3036" t="s">
        <v>1190</v>
      </c>
      <c r="P87" s="3036"/>
      <c r="Q87" s="1299"/>
    </row>
    <row r="88" spans="1:17">
      <c r="A88" s="1297"/>
      <c r="B88" s="3019"/>
      <c r="C88" s="3019"/>
      <c r="D88" s="3019"/>
      <c r="E88" s="3019"/>
      <c r="F88" s="1930"/>
      <c r="G88" s="3036"/>
      <c r="H88" s="3036"/>
      <c r="I88" s="1299"/>
      <c r="J88" s="1297"/>
      <c r="K88" s="2040"/>
      <c r="L88" s="3019"/>
      <c r="M88" s="3019"/>
      <c r="N88" s="1930"/>
      <c r="O88" s="3036"/>
      <c r="P88" s="3036"/>
      <c r="Q88" s="1299"/>
    </row>
    <row r="89" spans="1:17">
      <c r="A89" s="1297"/>
      <c r="B89" s="3019"/>
      <c r="C89" s="3019"/>
      <c r="D89" s="3019"/>
      <c r="E89" s="3019"/>
      <c r="F89" s="1930"/>
      <c r="G89" s="3036"/>
      <c r="H89" s="3036"/>
      <c r="I89" s="1299"/>
      <c r="J89" s="1297"/>
      <c r="K89" s="2040"/>
      <c r="L89" s="3019"/>
      <c r="M89" s="3019"/>
      <c r="N89" s="1930"/>
      <c r="O89" s="3036"/>
      <c r="P89" s="3036"/>
      <c r="Q89" s="1299"/>
    </row>
    <row r="90" spans="1:17">
      <c r="A90" s="1297"/>
      <c r="B90" s="3019"/>
      <c r="C90" s="3019"/>
      <c r="D90" s="3019"/>
      <c r="E90" s="3019"/>
      <c r="F90" s="1930"/>
      <c r="G90" s="3036"/>
      <c r="H90" s="3036"/>
      <c r="I90" s="1299"/>
      <c r="J90" s="1297"/>
      <c r="K90" s="2040"/>
      <c r="L90" s="3019"/>
      <c r="M90" s="3019"/>
      <c r="N90" s="1930"/>
      <c r="O90" s="3036"/>
      <c r="P90" s="3036"/>
      <c r="Q90" s="1299"/>
    </row>
    <row r="91" spans="1:17" ht="5.0999999999999996" customHeight="1">
      <c r="A91" s="1297"/>
      <c r="B91" s="1930"/>
      <c r="C91" s="1930"/>
      <c r="D91" s="1930"/>
      <c r="E91" s="1930"/>
      <c r="F91" s="1930"/>
      <c r="G91" s="1930"/>
      <c r="H91" s="1930"/>
      <c r="I91" s="1935"/>
      <c r="J91" s="1297"/>
      <c r="K91" s="1930"/>
      <c r="L91" s="1930"/>
      <c r="M91" s="1930"/>
      <c r="N91" s="1930"/>
      <c r="O91" s="1930"/>
      <c r="P91" s="1930"/>
      <c r="Q91" s="1935"/>
    </row>
    <row r="92" spans="1:17">
      <c r="A92" s="3030" t="s">
        <v>1199</v>
      </c>
      <c r="B92" s="3027" t="s">
        <v>1200</v>
      </c>
      <c r="C92" s="3027"/>
      <c r="D92" s="3027" t="s">
        <v>1201</v>
      </c>
      <c r="E92" s="3027" t="s">
        <v>1202</v>
      </c>
      <c r="F92" s="3028" t="s">
        <v>1203</v>
      </c>
      <c r="G92" s="3027" t="s">
        <v>1204</v>
      </c>
      <c r="H92" s="3027" t="s">
        <v>1205</v>
      </c>
      <c r="I92" s="3035" t="s">
        <v>1206</v>
      </c>
      <c r="J92" s="3030" t="s">
        <v>1199</v>
      </c>
      <c r="K92" s="3027" t="s">
        <v>1200</v>
      </c>
      <c r="L92" s="3027" t="s">
        <v>1201</v>
      </c>
      <c r="M92" s="3027" t="s">
        <v>1202</v>
      </c>
      <c r="N92" s="3028" t="s">
        <v>1203</v>
      </c>
      <c r="O92" s="3027" t="s">
        <v>1204</v>
      </c>
      <c r="P92" s="3027" t="s">
        <v>1205</v>
      </c>
      <c r="Q92" s="3035" t="s">
        <v>1206</v>
      </c>
    </row>
    <row r="93" spans="1:17">
      <c r="A93" s="3030"/>
      <c r="B93" s="3027"/>
      <c r="C93" s="3027"/>
      <c r="D93" s="3027"/>
      <c r="E93" s="3027"/>
      <c r="F93" s="3028"/>
      <c r="G93" s="3027"/>
      <c r="H93" s="3027"/>
      <c r="I93" s="3035"/>
      <c r="J93" s="3030"/>
      <c r="K93" s="3027"/>
      <c r="L93" s="3027"/>
      <c r="M93" s="3027"/>
      <c r="N93" s="3028"/>
      <c r="O93" s="3027"/>
      <c r="P93" s="3027"/>
      <c r="Q93" s="3035"/>
    </row>
    <row r="94" spans="1:17">
      <c r="A94" s="2046">
        <f>A93+1</f>
        <v>1</v>
      </c>
      <c r="B94" s="3025"/>
      <c r="C94" s="3025"/>
      <c r="D94" s="1196"/>
      <c r="E94" s="2042"/>
      <c r="F94" s="2042"/>
      <c r="G94" s="2043" t="str">
        <f>IF(ISBLANK(B94)," ",((D94-B94)*1440)/(E94-F94))</f>
        <v xml:space="preserve"> </v>
      </c>
      <c r="H94" s="1537" t="s">
        <v>30</v>
      </c>
      <c r="I94" s="2047" t="s">
        <v>30</v>
      </c>
      <c r="J94" s="2046">
        <f>J93+1</f>
        <v>1</v>
      </c>
      <c r="K94" s="1196"/>
      <c r="L94" s="1196"/>
      <c r="M94" s="2042"/>
      <c r="N94" s="2042"/>
      <c r="O94" s="2043" t="str">
        <f>IF(ISBLANK(K94)," ",((L94-K94)*1440)/(M94-N94))</f>
        <v xml:space="preserve"> </v>
      </c>
      <c r="P94" s="1537" t="s">
        <v>30</v>
      </c>
      <c r="Q94" s="2047" t="s">
        <v>30</v>
      </c>
    </row>
    <row r="95" spans="1:17">
      <c r="A95" s="2046">
        <f>A94+1</f>
        <v>2</v>
      </c>
      <c r="B95" s="3025"/>
      <c r="C95" s="3025"/>
      <c r="D95" s="1196"/>
      <c r="E95" s="2042"/>
      <c r="F95" s="2042"/>
      <c r="G95" s="2043" t="str">
        <f t="shared" ref="G95:G101" si="10">IF(ISBLANK(B95)," ",((D95-B95)*1440)/(E95-F95))</f>
        <v xml:space="preserve"> </v>
      </c>
      <c r="H95" s="1537" t="s">
        <v>30</v>
      </c>
      <c r="I95" s="2047" t="s">
        <v>30</v>
      </c>
      <c r="J95" s="2046">
        <f>J94+1</f>
        <v>2</v>
      </c>
      <c r="K95" s="1196"/>
      <c r="L95" s="1196"/>
      <c r="M95" s="2042"/>
      <c r="N95" s="2042"/>
      <c r="O95" s="2043" t="str">
        <f t="shared" ref="O95:O101" si="11">IF(ISBLANK(K95)," ",((L95-K95)*1440)/(M95-N95))</f>
        <v xml:space="preserve"> </v>
      </c>
      <c r="P95" s="1537" t="s">
        <v>30</v>
      </c>
      <c r="Q95" s="2047" t="s">
        <v>30</v>
      </c>
    </row>
    <row r="96" spans="1:17">
      <c r="A96" s="2046">
        <v>3</v>
      </c>
      <c r="B96" s="3025"/>
      <c r="C96" s="3025"/>
      <c r="D96" s="1196"/>
      <c r="E96" s="2042"/>
      <c r="F96" s="2042"/>
      <c r="G96" s="2043" t="str">
        <f t="shared" si="10"/>
        <v xml:space="preserve"> </v>
      </c>
      <c r="H96" s="2043" t="str">
        <f>IF(ISBLANK(B96), "",((MAX(G94:G96)-MIN(G94:G96))/MAX(G94:G96)*100))</f>
        <v/>
      </c>
      <c r="I96" s="2047" t="str">
        <f t="shared" ref="I96:I101" si="12">IF(ISBLANK(B96)," ",IF(H96&lt;10,"Yes","No"))</f>
        <v xml:space="preserve"> </v>
      </c>
      <c r="J96" s="2046">
        <v>3</v>
      </c>
      <c r="K96" s="1196"/>
      <c r="L96" s="1196"/>
      <c r="M96" s="2042"/>
      <c r="N96" s="2042"/>
      <c r="O96" s="2043" t="str">
        <f t="shared" si="11"/>
        <v xml:space="preserve"> </v>
      </c>
      <c r="P96" s="2043" t="str">
        <f t="shared" ref="P96:P101" si="13">IF(ISBLANK(K96), "",((MAX(O94:O96)-MIN(O94:O96))/MAX(O94:O96)*100))</f>
        <v/>
      </c>
      <c r="Q96" s="2047" t="str">
        <f t="shared" ref="Q96:Q101" si="14">IF(ISBLANK(K96)," ",IF(P96&lt;10,"Yes","No"))</f>
        <v xml:space="preserve"> </v>
      </c>
    </row>
    <row r="97" spans="1:17">
      <c r="A97" s="2046" t="str">
        <f>IF(ISBLANK(B96)," ",A96+1)</f>
        <v xml:space="preserve"> </v>
      </c>
      <c r="B97" s="3071"/>
      <c r="C97" s="3071"/>
      <c r="D97" s="1196"/>
      <c r="E97" s="2042"/>
      <c r="F97" s="2042"/>
      <c r="G97" s="2043" t="str">
        <f t="shared" si="10"/>
        <v xml:space="preserve"> </v>
      </c>
      <c r="H97" s="2043" t="str">
        <f>IF(ISBLANK(B97), "",((MAX(G95:G97)-MIN(G95:G97))/MAX(G95:G97)*100))</f>
        <v/>
      </c>
      <c r="I97" s="2047" t="str">
        <f t="shared" si="12"/>
        <v xml:space="preserve"> </v>
      </c>
      <c r="J97" s="2046" t="str">
        <f>IF(ISBLANK(K96)," ",J96+1)</f>
        <v xml:space="preserve"> </v>
      </c>
      <c r="K97" s="2044"/>
      <c r="L97" s="2045"/>
      <c r="M97" s="2042"/>
      <c r="N97" s="2042"/>
      <c r="O97" s="2043" t="str">
        <f t="shared" si="11"/>
        <v xml:space="preserve"> </v>
      </c>
      <c r="P97" s="2043" t="str">
        <f t="shared" si="13"/>
        <v/>
      </c>
      <c r="Q97" s="2047" t="str">
        <f t="shared" si="14"/>
        <v xml:space="preserve"> </v>
      </c>
    </row>
    <row r="98" spans="1:17">
      <c r="A98" s="2046"/>
      <c r="B98" s="2044"/>
      <c r="C98" s="2044"/>
      <c r="D98" s="1196"/>
      <c r="E98" s="2042"/>
      <c r="F98" s="2042"/>
      <c r="G98" s="2043" t="str">
        <f t="shared" si="10"/>
        <v xml:space="preserve"> </v>
      </c>
      <c r="H98" s="2043" t="str">
        <f>IF(ISBLANK(B98), "",((MAX(G96:G98)-MIN(G96:G98))/MAX(G96:G98)*100))</f>
        <v/>
      </c>
      <c r="I98" s="2047" t="str">
        <f t="shared" si="12"/>
        <v xml:space="preserve"> </v>
      </c>
      <c r="J98" s="2046"/>
      <c r="K98" s="2044"/>
      <c r="L98" s="2045"/>
      <c r="M98" s="2042"/>
      <c r="N98" s="2042"/>
      <c r="O98" s="2043" t="str">
        <f t="shared" si="11"/>
        <v xml:space="preserve"> </v>
      </c>
      <c r="P98" s="2043" t="str">
        <f t="shared" si="13"/>
        <v/>
      </c>
      <c r="Q98" s="2047" t="str">
        <f t="shared" si="14"/>
        <v xml:space="preserve"> </v>
      </c>
    </row>
    <row r="99" spans="1:17">
      <c r="A99" s="2046"/>
      <c r="B99" s="3071"/>
      <c r="C99" s="3071"/>
      <c r="D99" s="1196"/>
      <c r="E99" s="2042"/>
      <c r="F99" s="2042"/>
      <c r="G99" s="2043" t="str">
        <f t="shared" si="10"/>
        <v xml:space="preserve"> </v>
      </c>
      <c r="H99" s="2043" t="str">
        <f>IF(ISBLANK(B99), "",((MAX(G97:G99)-MIN(G97:G99))/MAX(G97:G99)*100))</f>
        <v/>
      </c>
      <c r="I99" s="2047" t="str">
        <f t="shared" si="12"/>
        <v xml:space="preserve"> </v>
      </c>
      <c r="J99" s="2046"/>
      <c r="K99" s="2044"/>
      <c r="L99" s="2045"/>
      <c r="M99" s="2042"/>
      <c r="N99" s="2042"/>
      <c r="O99" s="2043" t="str">
        <f t="shared" si="11"/>
        <v xml:space="preserve"> </v>
      </c>
      <c r="P99" s="2043" t="str">
        <f t="shared" si="13"/>
        <v/>
      </c>
      <c r="Q99" s="2047" t="str">
        <f t="shared" si="14"/>
        <v xml:space="preserve"> </v>
      </c>
    </row>
    <row r="100" spans="1:17">
      <c r="A100" s="2046"/>
      <c r="B100" s="3071"/>
      <c r="C100" s="3071"/>
      <c r="D100" s="1196"/>
      <c r="E100" s="2042"/>
      <c r="F100" s="2042"/>
      <c r="G100" s="2043" t="str">
        <f t="shared" si="10"/>
        <v xml:space="preserve"> </v>
      </c>
      <c r="H100" s="2043" t="str">
        <f>IF(ISBLANK(B100), "",((MAX(G98:G100)-MIN(G98:G100))/MAX(G98:G100)*100))</f>
        <v/>
      </c>
      <c r="I100" s="2047" t="str">
        <f t="shared" si="12"/>
        <v xml:space="preserve"> </v>
      </c>
      <c r="J100" s="2046"/>
      <c r="K100" s="2044"/>
      <c r="L100" s="2045"/>
      <c r="M100" s="2042"/>
      <c r="N100" s="2042"/>
      <c r="O100" s="2043" t="str">
        <f t="shared" si="11"/>
        <v xml:space="preserve"> </v>
      </c>
      <c r="P100" s="2043" t="str">
        <f t="shared" si="13"/>
        <v/>
      </c>
      <c r="Q100" s="2047" t="str">
        <f t="shared" si="14"/>
        <v xml:space="preserve"> </v>
      </c>
    </row>
    <row r="101" spans="1:17">
      <c r="A101" s="2046"/>
      <c r="B101" s="3071"/>
      <c r="C101" s="3071"/>
      <c r="D101" s="1196"/>
      <c r="E101" s="2042"/>
      <c r="F101" s="2042"/>
      <c r="G101" s="2043" t="str">
        <f t="shared" si="10"/>
        <v xml:space="preserve"> </v>
      </c>
      <c r="H101" s="2043" t="str">
        <f>IF(ISBLANK(B101), "",(100*(MAX(G99:G101)-MIN(G99:G101))/MAX(G99:G101)))</f>
        <v/>
      </c>
      <c r="I101" s="2047" t="str">
        <f t="shared" si="12"/>
        <v xml:space="preserve"> </v>
      </c>
      <c r="J101" s="2046"/>
      <c r="K101" s="2044"/>
      <c r="L101" s="2045"/>
      <c r="M101" s="2042"/>
      <c r="N101" s="2042"/>
      <c r="O101" s="2043" t="str">
        <f t="shared" si="11"/>
        <v xml:space="preserve"> </v>
      </c>
      <c r="P101" s="2043" t="str">
        <f t="shared" si="13"/>
        <v/>
      </c>
      <c r="Q101" s="2047" t="str">
        <f t="shared" si="14"/>
        <v xml:space="preserve"> </v>
      </c>
    </row>
    <row r="102" spans="1:17" ht="8.1" customHeight="1">
      <c r="A102" s="1297"/>
      <c r="B102" s="1930"/>
      <c r="C102" s="1930"/>
      <c r="D102" s="1930"/>
      <c r="E102" s="1930"/>
      <c r="F102" s="1930"/>
      <c r="G102" s="1930"/>
      <c r="H102" s="1930"/>
      <c r="I102" s="1936"/>
      <c r="J102" s="1297"/>
      <c r="K102" s="1930"/>
      <c r="L102" s="1930"/>
      <c r="M102" s="1930"/>
      <c r="N102" s="1930"/>
      <c r="O102" s="1930"/>
      <c r="P102" s="1930"/>
      <c r="Q102" s="1935"/>
    </row>
    <row r="103" spans="1:17" s="1930" customFormat="1">
      <c r="A103" s="3017" t="s">
        <v>1208</v>
      </c>
      <c r="B103" s="3018"/>
      <c r="C103" s="3018"/>
      <c r="D103" s="3018"/>
      <c r="E103" s="3018"/>
      <c r="F103" s="3018"/>
      <c r="G103" s="1197"/>
      <c r="H103" s="1937" t="s">
        <v>708</v>
      </c>
      <c r="I103" s="1936"/>
      <c r="J103" s="3017" t="s">
        <v>1525</v>
      </c>
      <c r="K103" s="3018"/>
      <c r="L103" s="3018"/>
      <c r="M103" s="3018"/>
      <c r="N103" s="3018"/>
      <c r="O103" s="1197"/>
      <c r="P103" s="1937" t="s">
        <v>708</v>
      </c>
      <c r="Q103" s="1936"/>
    </row>
    <row r="104" spans="1:17" s="1920" customFormat="1" ht="6.75" customHeight="1" thickBot="1">
      <c r="A104" s="3076"/>
      <c r="B104" s="3077"/>
      <c r="C104" s="3077"/>
      <c r="D104" s="3077"/>
      <c r="E104" s="3077"/>
      <c r="F104" s="3077"/>
      <c r="G104" s="2039"/>
      <c r="H104" s="2037"/>
      <c r="I104" s="2038"/>
      <c r="J104" s="3076"/>
      <c r="K104" s="3077"/>
      <c r="L104" s="3077"/>
      <c r="M104" s="3077"/>
      <c r="N104" s="3077"/>
      <c r="O104" s="2039"/>
      <c r="P104" s="2037"/>
      <c r="Q104" s="2038"/>
    </row>
    <row r="105" spans="1:17">
      <c r="A105" s="1930"/>
      <c r="B105" s="1930"/>
      <c r="C105" s="1930"/>
      <c r="D105" s="1930"/>
      <c r="E105" s="1930"/>
      <c r="F105" s="1930"/>
      <c r="G105" s="1930"/>
      <c r="H105" s="1930"/>
      <c r="I105" s="1958"/>
      <c r="J105" s="1930"/>
      <c r="K105" s="1930"/>
      <c r="L105" s="1930"/>
      <c r="M105" s="1930"/>
      <c r="N105" s="1930"/>
      <c r="O105" s="1930"/>
      <c r="P105" s="1930"/>
      <c r="Q105" s="1930"/>
    </row>
  </sheetData>
  <sheetProtection sheet="1" objects="1" scenarios="1"/>
  <customSheetViews>
    <customSheetView guid="{D1431318-1DB8-4C45-813B-5A8065DFC797}" showPageBreaks="1" showGridLines="0" zeroValues="0" printArea="1" view="pageBreakPreview">
      <selection activeCell="D4" sqref="D4:I4"/>
      <colBreaks count="2" manualBreakCount="2">
        <brk id="9" max="55" man="1"/>
        <brk id="18" max="55" man="1"/>
      </colBreaks>
      <pageMargins left="0.4" right="0.4" top="0.4" bottom="0.4" header="0.5" footer="0.5"/>
      <pageSetup scale="96" orientation="portrait" blackAndWhite="1" r:id="rId1"/>
      <headerFooter alignWithMargins="0"/>
    </customSheetView>
  </customSheetViews>
  <mergeCells count="166">
    <mergeCell ref="O92:O93"/>
    <mergeCell ref="P92:P93"/>
    <mergeCell ref="Q92:Q93"/>
    <mergeCell ref="O36:P38"/>
    <mergeCell ref="J27:N27"/>
    <mergeCell ref="J50:N50"/>
    <mergeCell ref="J77:N77"/>
    <mergeCell ref="M82:N82"/>
    <mergeCell ref="K86:K87"/>
    <mergeCell ref="L86:M87"/>
    <mergeCell ref="J92:J93"/>
    <mergeCell ref="K92:K93"/>
    <mergeCell ref="L92:L93"/>
    <mergeCell ref="M92:M93"/>
    <mergeCell ref="J82:K82"/>
    <mergeCell ref="O87:P90"/>
    <mergeCell ref="Q66:Q67"/>
    <mergeCell ref="O61:P64"/>
    <mergeCell ref="L62:M62"/>
    <mergeCell ref="Q40:Q41"/>
    <mergeCell ref="P40:P41"/>
    <mergeCell ref="M56:N56"/>
    <mergeCell ref="K60:K61"/>
    <mergeCell ref="L60:M61"/>
    <mergeCell ref="J104:N104"/>
    <mergeCell ref="B82:C82"/>
    <mergeCell ref="N66:N67"/>
    <mergeCell ref="D28:E28"/>
    <mergeCell ref="L38:M38"/>
    <mergeCell ref="B71:C71"/>
    <mergeCell ref="B73:C73"/>
    <mergeCell ref="B74:C74"/>
    <mergeCell ref="B75:C75"/>
    <mergeCell ref="B88:C88"/>
    <mergeCell ref="D88:E88"/>
    <mergeCell ref="B86:C87"/>
    <mergeCell ref="D86:E87"/>
    <mergeCell ref="G87:H90"/>
    <mergeCell ref="G66:G67"/>
    <mergeCell ref="H66:H67"/>
    <mergeCell ref="J56:K56"/>
    <mergeCell ref="J32:K32"/>
    <mergeCell ref="N92:N93"/>
    <mergeCell ref="L88:M88"/>
    <mergeCell ref="L89:M89"/>
    <mergeCell ref="L90:M90"/>
    <mergeCell ref="B94:C94"/>
    <mergeCell ref="A104:F104"/>
    <mergeCell ref="B97:C97"/>
    <mergeCell ref="B101:C101"/>
    <mergeCell ref="B99:C99"/>
    <mergeCell ref="B100:C100"/>
    <mergeCell ref="G92:G93"/>
    <mergeCell ref="H92:H93"/>
    <mergeCell ref="I92:I93"/>
    <mergeCell ref="A22:I22"/>
    <mergeCell ref="B89:C89"/>
    <mergeCell ref="D89:E89"/>
    <mergeCell ref="B90:C90"/>
    <mergeCell ref="D90:E90"/>
    <mergeCell ref="A92:A93"/>
    <mergeCell ref="B92:C93"/>
    <mergeCell ref="D92:D93"/>
    <mergeCell ref="E92:E93"/>
    <mergeCell ref="F92:F93"/>
    <mergeCell ref="E82:F82"/>
    <mergeCell ref="A54:B54"/>
    <mergeCell ref="D62:E62"/>
    <mergeCell ref="B66:C67"/>
    <mergeCell ref="G61:H64"/>
    <mergeCell ref="B60:C61"/>
    <mergeCell ref="J80:K80"/>
    <mergeCell ref="L80:N80"/>
    <mergeCell ref="L63:M63"/>
    <mergeCell ref="L64:M64"/>
    <mergeCell ref="I66:I67"/>
    <mergeCell ref="B63:C63"/>
    <mergeCell ref="B62:C62"/>
    <mergeCell ref="D60:E61"/>
    <mergeCell ref="B96:C96"/>
    <mergeCell ref="C1:F1"/>
    <mergeCell ref="C51:F51"/>
    <mergeCell ref="A77:E77"/>
    <mergeCell ref="O66:O67"/>
    <mergeCell ref="P66:P67"/>
    <mergeCell ref="D63:E63"/>
    <mergeCell ref="B64:C64"/>
    <mergeCell ref="D64:E64"/>
    <mergeCell ref="B68:C68"/>
    <mergeCell ref="B69:C69"/>
    <mergeCell ref="B70:C70"/>
    <mergeCell ref="J6:K6"/>
    <mergeCell ref="L1:N1"/>
    <mergeCell ref="D4:H4"/>
    <mergeCell ref="E56:F56"/>
    <mergeCell ref="B56:C56"/>
    <mergeCell ref="J66:J67"/>
    <mergeCell ref="K66:K67"/>
    <mergeCell ref="L66:L67"/>
    <mergeCell ref="M66:M67"/>
    <mergeCell ref="D66:D67"/>
    <mergeCell ref="E66:E67"/>
    <mergeCell ref="F66:F67"/>
    <mergeCell ref="A66:A67"/>
    <mergeCell ref="F2:G2"/>
    <mergeCell ref="E52:F52"/>
    <mergeCell ref="M2:N2"/>
    <mergeCell ref="A6:I6"/>
    <mergeCell ref="E12:G12"/>
    <mergeCell ref="A10:D10"/>
    <mergeCell ref="A13:B14"/>
    <mergeCell ref="E13:E14"/>
    <mergeCell ref="O40:O41"/>
    <mergeCell ref="L37:M37"/>
    <mergeCell ref="A4:B4"/>
    <mergeCell ref="A12:B12"/>
    <mergeCell ref="M6:N6"/>
    <mergeCell ref="E10:H10"/>
    <mergeCell ref="L36:M36"/>
    <mergeCell ref="L35:M35"/>
    <mergeCell ref="L51:N51"/>
    <mergeCell ref="A20:F20"/>
    <mergeCell ref="A24:I24"/>
    <mergeCell ref="A27:B27"/>
    <mergeCell ref="D27:E27"/>
    <mergeCell ref="A28:B28"/>
    <mergeCell ref="J29:K29"/>
    <mergeCell ref="K40:K41"/>
    <mergeCell ref="Q16:Q17"/>
    <mergeCell ref="O10:P14"/>
    <mergeCell ref="J4:K4"/>
    <mergeCell ref="L4:N4"/>
    <mergeCell ref="D8:F8"/>
    <mergeCell ref="G8:H8"/>
    <mergeCell ref="J16:J17"/>
    <mergeCell ref="K16:K17"/>
    <mergeCell ref="L16:L17"/>
    <mergeCell ref="M16:M17"/>
    <mergeCell ref="N16:N17"/>
    <mergeCell ref="O16:O17"/>
    <mergeCell ref="P16:P17"/>
    <mergeCell ref="A16:E16"/>
    <mergeCell ref="A103:F103"/>
    <mergeCell ref="J103:N103"/>
    <mergeCell ref="L12:M12"/>
    <mergeCell ref="L13:M13"/>
    <mergeCell ref="L14:M14"/>
    <mergeCell ref="K9:K11"/>
    <mergeCell ref="L9:M11"/>
    <mergeCell ref="A18:I18"/>
    <mergeCell ref="F16:H16"/>
    <mergeCell ref="B72:C72"/>
    <mergeCell ref="C54:E54"/>
    <mergeCell ref="B95:C95"/>
    <mergeCell ref="L40:L41"/>
    <mergeCell ref="M40:M41"/>
    <mergeCell ref="N40:N41"/>
    <mergeCell ref="M29:N29"/>
    <mergeCell ref="J40:J41"/>
    <mergeCell ref="M32:N32"/>
    <mergeCell ref="J30:K30"/>
    <mergeCell ref="L30:N30"/>
    <mergeCell ref="L54:N54"/>
    <mergeCell ref="J54:K54"/>
    <mergeCell ref="A80:B80"/>
    <mergeCell ref="C80:E80"/>
  </mergeCells>
  <conditionalFormatting sqref="K97:K101">
    <cfRule type="cellIs" dxfId="14" priority="21" stopIfTrue="1" operator="equal">
      <formula>0</formula>
    </cfRule>
  </conditionalFormatting>
  <conditionalFormatting sqref="B100">
    <cfRule type="cellIs" dxfId="13" priority="5" stopIfTrue="1" operator="equal">
      <formula>0</formula>
    </cfRule>
  </conditionalFormatting>
  <conditionalFormatting sqref="B101">
    <cfRule type="cellIs" dxfId="12" priority="8" stopIfTrue="1" operator="equal">
      <formula>0</formula>
    </cfRule>
  </conditionalFormatting>
  <conditionalFormatting sqref="B97:B98">
    <cfRule type="cellIs" dxfId="11" priority="7" stopIfTrue="1" operator="equal">
      <formula>0</formula>
    </cfRule>
  </conditionalFormatting>
  <conditionalFormatting sqref="B99">
    <cfRule type="cellIs" dxfId="10" priority="6" stopIfTrue="1" operator="equal">
      <formula>0</formula>
    </cfRule>
  </conditionalFormatting>
  <conditionalFormatting sqref="K71:K75">
    <cfRule type="cellIs" dxfId="9" priority="3" stopIfTrue="1" operator="equal">
      <formula>0</formula>
    </cfRule>
  </conditionalFormatting>
  <conditionalFormatting sqref="K45:K49">
    <cfRule type="cellIs" dxfId="8" priority="2" stopIfTrue="1" operator="equal">
      <formula>0</formula>
    </cfRule>
  </conditionalFormatting>
  <conditionalFormatting sqref="K21:K25">
    <cfRule type="cellIs" dxfId="7" priority="1" stopIfTrue="1" operator="equal">
      <formula>0</formula>
    </cfRule>
  </conditionalFormatting>
  <dataValidations count="1">
    <dataValidation type="list" allowBlank="1" showInputMessage="1" showErrorMessage="1" sqref="L12:L14 L36:L38 D62:D64 L62:L64 D88:D90 L88:L90">
      <formula1>SoilTexture7080</formula1>
    </dataValidation>
  </dataValidations>
  <pageMargins left="0.4" right="0.4" top="0.15" bottom="0.15" header="0.5" footer="0.5"/>
  <pageSetup orientation="portrait" blackAndWhite="1" r:id="rId2"/>
  <headerFooter alignWithMargins="0"/>
  <drawing r:id="rId3"/>
  <extLst>
    <ext xmlns:x14="http://schemas.microsoft.com/office/spreadsheetml/2009/9/main" uri="{CCE6A557-97BC-4b89-ADB6-D9C93CAAB3DF}">
      <x14:dataValidations xmlns:xm="http://schemas.microsoft.com/office/excel/2006/main" count="1">
        <x14:dataValidation type="list" errorStyle="information" allowBlank="1" showInputMessage="1" showErrorMessage="1">
          <x14:formula1>
            <xm:f>'Drop-Down Lists'!$H$30:$H$32</xm:f>
          </x14:formula1>
          <xm:sqref>D12</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C00000"/>
    <pageSetUpPr autoPageBreaks="0"/>
  </sheetPr>
  <dimension ref="A1:AQ208"/>
  <sheetViews>
    <sheetView showGridLines="0" showRuler="0" view="pageBreakPreview" zoomScaleNormal="100" zoomScaleSheetLayoutView="100" workbookViewId="0">
      <selection activeCell="S5" sqref="S5:U5"/>
    </sheetView>
  </sheetViews>
  <sheetFormatPr defaultColWidth="9.109375" defaultRowHeight="14.1" customHeight="1"/>
  <cols>
    <col min="1" max="1" width="1.109375" style="1675" customWidth="1"/>
    <col min="2" max="2" width="4.88671875" style="1694" customWidth="1"/>
    <col min="3" max="3" width="4.88671875" style="1695" customWidth="1"/>
    <col min="4" max="21" width="4.88671875" style="1675" customWidth="1"/>
    <col min="22" max="22" width="1.109375" style="1674" customWidth="1"/>
    <col min="23" max="43" width="4.88671875" style="1674" customWidth="1"/>
    <col min="44" max="48" width="4.88671875" style="1675" customWidth="1"/>
    <col min="49" max="16384" width="9.109375" style="1675"/>
  </cols>
  <sheetData>
    <row r="1" spans="1:43" ht="15.75" customHeight="1">
      <c r="A1" s="1717"/>
      <c r="B1" s="1718" t="s">
        <v>88</v>
      </c>
      <c r="C1" s="1719" t="s">
        <v>1734</v>
      </c>
      <c r="D1" s="1719"/>
      <c r="E1" s="1719"/>
      <c r="F1" s="1719"/>
      <c r="G1" s="1719"/>
      <c r="H1" s="1719"/>
      <c r="I1" s="1719"/>
      <c r="J1" s="1720"/>
      <c r="K1" s="1719"/>
      <c r="L1" s="1719"/>
      <c r="M1" s="1719"/>
      <c r="N1" s="1719"/>
      <c r="O1" s="1719"/>
      <c r="P1" s="1719"/>
      <c r="Q1" s="1719"/>
      <c r="R1" s="1719"/>
      <c r="S1" s="1721" t="str">
        <f>'Drop-Down Lists'!J40</f>
        <v>v 04.01.2021</v>
      </c>
      <c r="T1" s="1721"/>
      <c r="U1" s="1719"/>
      <c r="V1" s="1722"/>
    </row>
    <row r="2" spans="1:43" ht="6" customHeight="1">
      <c r="A2" s="1558"/>
      <c r="B2" s="1548"/>
      <c r="C2" s="1531"/>
      <c r="D2" s="1531"/>
      <c r="E2" s="1531"/>
      <c r="F2" s="1559"/>
      <c r="G2" s="1559"/>
      <c r="H2" s="1559"/>
      <c r="I2" s="1559"/>
      <c r="J2" s="1559"/>
      <c r="K2" s="1559"/>
      <c r="L2" s="1559"/>
      <c r="M2" s="1559"/>
      <c r="N2" s="1559"/>
      <c r="O2" s="1559"/>
      <c r="P2" s="1531"/>
      <c r="Q2" s="1531"/>
      <c r="R2" s="1531"/>
      <c r="S2" s="1531"/>
      <c r="T2" s="2602"/>
      <c r="U2" s="2602"/>
      <c r="V2" s="1560"/>
      <c r="W2" s="1676"/>
    </row>
    <row r="3" spans="1:43" ht="18" customHeight="1">
      <c r="A3" s="1558"/>
      <c r="B3" s="1548"/>
      <c r="C3" s="1561"/>
      <c r="D3" s="1561"/>
      <c r="E3" s="1561"/>
      <c r="F3" s="1672" t="s">
        <v>29</v>
      </c>
      <c r="G3" s="3093" t="str">
        <f>IF(ISBLANK(Prelim!G3), "",Prelim!G3)</f>
        <v/>
      </c>
      <c r="H3" s="3094"/>
      <c r="I3" s="3094"/>
      <c r="J3" s="3094"/>
      <c r="K3" s="3094"/>
      <c r="L3" s="3094"/>
      <c r="M3" s="3094"/>
      <c r="N3" s="3094"/>
      <c r="O3" s="3094"/>
      <c r="P3" s="3095"/>
      <c r="Q3" s="1548"/>
      <c r="R3" s="2595" t="s">
        <v>1015</v>
      </c>
      <c r="S3" s="3087" t="str">
        <f>IF(ISBLANK(Prelim!S5)," ",Prelim!S5)</f>
        <v xml:space="preserve"> </v>
      </c>
      <c r="T3" s="3088"/>
      <c r="U3" s="3089"/>
      <c r="V3" s="1560"/>
      <c r="AA3" s="1677"/>
    </row>
    <row r="4" spans="1:43" ht="6" customHeight="1">
      <c r="A4" s="1558"/>
      <c r="B4" s="1548"/>
      <c r="C4" s="1531"/>
      <c r="D4" s="1531"/>
      <c r="E4" s="1531"/>
      <c r="F4" s="1559"/>
      <c r="G4" s="2602"/>
      <c r="H4" s="2602"/>
      <c r="I4" s="2602"/>
      <c r="J4" s="2602"/>
      <c r="K4" s="2602"/>
      <c r="L4" s="2602"/>
      <c r="M4" s="2602"/>
      <c r="N4" s="2602"/>
      <c r="O4" s="2602"/>
      <c r="P4" s="2602"/>
      <c r="Q4" s="1531"/>
      <c r="R4" s="1531"/>
      <c r="S4" s="2602"/>
      <c r="T4" s="2602"/>
      <c r="U4" s="1531"/>
      <c r="V4" s="1560"/>
      <c r="W4" s="1676"/>
    </row>
    <row r="5" spans="1:43" ht="18" customHeight="1">
      <c r="A5" s="1558"/>
      <c r="B5" s="1548"/>
      <c r="C5" s="2602"/>
      <c r="D5" s="2602"/>
      <c r="E5" s="2602"/>
      <c r="F5" s="2596" t="s">
        <v>782</v>
      </c>
      <c r="G5" s="3093" t="str">
        <f>IF(ISBLANK(Prelim!G5),"",Prelim!G5)</f>
        <v/>
      </c>
      <c r="H5" s="3094"/>
      <c r="I5" s="3094"/>
      <c r="J5" s="3094"/>
      <c r="K5" s="3094"/>
      <c r="L5" s="3094"/>
      <c r="M5" s="3094"/>
      <c r="N5" s="3094"/>
      <c r="O5" s="3094"/>
      <c r="P5" s="3095"/>
      <c r="Q5" s="1548"/>
      <c r="R5" s="2596" t="s">
        <v>1086</v>
      </c>
      <c r="S5" s="3090"/>
      <c r="T5" s="3091"/>
      <c r="U5" s="3092"/>
      <c r="V5" s="1560"/>
      <c r="W5" s="1676"/>
    </row>
    <row r="6" spans="1:43" s="1680" customFormat="1" ht="6" customHeight="1">
      <c r="A6" s="1562"/>
      <c r="B6" s="1413"/>
      <c r="C6" s="1530"/>
      <c r="D6" s="1530"/>
      <c r="E6" s="1412"/>
      <c r="F6" s="1158"/>
      <c r="G6" s="1158"/>
      <c r="H6" s="1158"/>
      <c r="I6" s="1158"/>
      <c r="J6" s="1158"/>
      <c r="K6" s="1158"/>
      <c r="L6" s="1158"/>
      <c r="M6" s="1158"/>
      <c r="N6" s="1158"/>
      <c r="O6" s="1158"/>
      <c r="P6" s="1158"/>
      <c r="Q6" s="1413"/>
      <c r="R6" s="1414"/>
      <c r="S6" s="1414"/>
      <c r="T6" s="1549"/>
      <c r="U6" s="1531"/>
      <c r="V6" s="1563"/>
      <c r="W6" s="1678"/>
      <c r="X6" s="1679"/>
      <c r="Y6" s="1679"/>
      <c r="Z6" s="1679"/>
      <c r="AA6" s="1679"/>
      <c r="AB6" s="1679"/>
      <c r="AC6" s="1679"/>
      <c r="AD6" s="1679"/>
      <c r="AE6" s="1679"/>
      <c r="AF6" s="1679"/>
      <c r="AG6" s="1679"/>
      <c r="AH6" s="1679"/>
      <c r="AI6" s="1679"/>
      <c r="AJ6" s="1679"/>
      <c r="AK6" s="1679"/>
      <c r="AL6" s="1679"/>
      <c r="AM6" s="1679"/>
      <c r="AN6" s="1679"/>
      <c r="AO6" s="1679"/>
      <c r="AP6" s="1679"/>
      <c r="AQ6" s="1679"/>
    </row>
    <row r="7" spans="1:43" ht="18" customHeight="1">
      <c r="A7" s="1558"/>
      <c r="B7" s="1548"/>
      <c r="C7" s="2602"/>
      <c r="D7" s="1190"/>
      <c r="E7" s="2602"/>
      <c r="F7" s="2596" t="s">
        <v>1483</v>
      </c>
      <c r="G7" s="3093" t="str">
        <f>IF(ISBLANK(Prelim!G7), "", Prelim!G7)</f>
        <v/>
      </c>
      <c r="H7" s="3094"/>
      <c r="I7" s="3094"/>
      <c r="J7" s="3094"/>
      <c r="K7" s="3094"/>
      <c r="L7" s="3094"/>
      <c r="M7" s="3094"/>
      <c r="N7" s="3094"/>
      <c r="O7" s="3094"/>
      <c r="P7" s="3095"/>
      <c r="Q7" s="1534"/>
      <c r="R7" s="1672" t="s">
        <v>1511</v>
      </c>
      <c r="S7" s="3087" t="str">
        <f>IF(ISBLANK(Prelim!S7),"", Prelim!S7)</f>
        <v/>
      </c>
      <c r="T7" s="3088"/>
      <c r="U7" s="3089"/>
      <c r="V7" s="1560"/>
      <c r="W7" s="1676"/>
    </row>
    <row r="8" spans="1:43" ht="6" customHeight="1">
      <c r="A8" s="1558"/>
      <c r="B8" s="1548"/>
      <c r="C8" s="1531"/>
      <c r="D8" s="1531"/>
      <c r="E8" s="1531"/>
      <c r="F8" s="1559"/>
      <c r="G8" s="2602"/>
      <c r="H8" s="2602"/>
      <c r="I8" s="2602"/>
      <c r="J8" s="2602"/>
      <c r="K8" s="2602"/>
      <c r="L8" s="2602"/>
      <c r="M8" s="2602"/>
      <c r="N8" s="2602"/>
      <c r="O8" s="2602"/>
      <c r="P8" s="2602"/>
      <c r="Q8" s="1531"/>
      <c r="R8" s="1531"/>
      <c r="S8" s="2602"/>
      <c r="T8" s="2602"/>
      <c r="U8" s="2602"/>
      <c r="V8" s="1560"/>
      <c r="W8" s="1676"/>
    </row>
    <row r="9" spans="1:43" ht="15.75" customHeight="1">
      <c r="A9" s="1723"/>
      <c r="B9" s="1724" t="s">
        <v>89</v>
      </c>
      <c r="C9" s="2603" t="s">
        <v>1681</v>
      </c>
      <c r="D9" s="2603"/>
      <c r="E9" s="2603"/>
      <c r="F9" s="2603"/>
      <c r="G9" s="2603"/>
      <c r="H9" s="2603"/>
      <c r="I9" s="2603"/>
      <c r="J9" s="1725" t="s">
        <v>1684</v>
      </c>
      <c r="K9" s="2603"/>
      <c r="L9" s="2603"/>
      <c r="M9" s="2603"/>
      <c r="N9" s="2603"/>
      <c r="O9" s="2603"/>
      <c r="P9" s="2603"/>
      <c r="Q9" s="2603"/>
      <c r="R9" s="2603"/>
      <c r="S9" s="1726"/>
      <c r="T9" s="1726"/>
      <c r="U9" s="2603"/>
      <c r="V9" s="1727"/>
      <c r="W9" s="1676"/>
    </row>
    <row r="10" spans="1:43" ht="6" customHeight="1">
      <c r="A10" s="1558"/>
      <c r="B10" s="1564"/>
      <c r="C10" s="1548"/>
      <c r="D10" s="2602"/>
      <c r="E10" s="2602"/>
      <c r="F10" s="2602"/>
      <c r="G10" s="2602"/>
      <c r="H10" s="2602"/>
      <c r="I10" s="2602"/>
      <c r="J10" s="2602"/>
      <c r="K10" s="2602"/>
      <c r="L10" s="2644"/>
      <c r="M10" s="2644"/>
      <c r="N10" s="2644"/>
      <c r="O10" s="2644"/>
      <c r="P10" s="2644"/>
      <c r="Q10" s="2644"/>
      <c r="R10" s="2644"/>
      <c r="S10" s="2644"/>
      <c r="T10" s="2644"/>
      <c r="U10" s="1262"/>
      <c r="V10" s="1560"/>
      <c r="W10" s="1676"/>
      <c r="AC10" s="1262"/>
    </row>
    <row r="11" spans="1:43" s="535" customFormat="1" ht="18" customHeight="1">
      <c r="A11" s="1558"/>
      <c r="B11" s="1565"/>
      <c r="C11" s="2602"/>
      <c r="D11" s="2602"/>
      <c r="H11" s="2596" t="s">
        <v>312</v>
      </c>
      <c r="I11" s="2754" t="str">
        <f>IF(ISBLANK(Prelim!I40)," ",Prelim!I40)</f>
        <v xml:space="preserve"> </v>
      </c>
      <c r="J11" s="2755"/>
      <c r="K11" s="2602" t="s">
        <v>313</v>
      </c>
      <c r="L11" s="2644"/>
      <c r="M11" s="2644"/>
      <c r="N11" s="2644"/>
      <c r="O11" s="2644"/>
      <c r="P11" s="2644"/>
      <c r="Q11" s="2602"/>
      <c r="R11" s="1944" t="s">
        <v>1683</v>
      </c>
      <c r="S11" s="3172" t="str">
        <f>IF(ISBLANK(Prelim!R40), "",Prelim!R40)</f>
        <v/>
      </c>
      <c r="T11" s="3173"/>
      <c r="U11" s="3174"/>
      <c r="V11" s="1560"/>
      <c r="W11" s="1676"/>
      <c r="X11" s="1676"/>
      <c r="Y11" s="1676"/>
      <c r="Z11" s="1676"/>
      <c r="AA11" s="1676"/>
      <c r="AB11" s="1676"/>
      <c r="AC11" s="1262"/>
      <c r="AD11" s="1676"/>
      <c r="AE11" s="1676"/>
      <c r="AF11" s="1676"/>
      <c r="AG11" s="1676"/>
      <c r="AH11" s="1676"/>
      <c r="AI11" s="1676"/>
      <c r="AJ11" s="1676"/>
      <c r="AK11" s="1676"/>
      <c r="AL11" s="1676"/>
      <c r="AM11" s="1676"/>
      <c r="AN11" s="1676"/>
      <c r="AO11" s="1676"/>
      <c r="AP11" s="1676"/>
      <c r="AQ11" s="1676"/>
    </row>
    <row r="12" spans="1:43" s="535" customFormat="1" ht="4.3499999999999996" customHeight="1">
      <c r="A12" s="1558"/>
      <c r="B12" s="1548"/>
      <c r="C12" s="2602"/>
      <c r="D12" s="2602"/>
      <c r="E12" s="2602"/>
      <c r="F12" s="2602"/>
      <c r="G12" s="2602"/>
      <c r="H12" s="2602"/>
      <c r="I12" s="2602"/>
      <c r="J12" s="2602"/>
      <c r="K12" s="2602"/>
      <c r="L12" s="2602"/>
      <c r="M12" s="2602"/>
      <c r="N12" s="2602"/>
      <c r="O12" s="2602"/>
      <c r="P12" s="2602"/>
      <c r="Q12" s="2602"/>
      <c r="R12" s="2602"/>
      <c r="S12" s="2602"/>
      <c r="T12" s="2602"/>
      <c r="U12" s="2602"/>
      <c r="V12" s="1560"/>
      <c r="W12" s="1673"/>
      <c r="X12" s="1676"/>
      <c r="Y12" s="1676"/>
      <c r="Z12" s="1676"/>
      <c r="AA12" s="1676"/>
      <c r="AB12" s="1676"/>
      <c r="AC12" s="1262"/>
      <c r="AD12" s="1676"/>
      <c r="AE12" s="1676"/>
      <c r="AF12" s="1676"/>
      <c r="AG12" s="1676"/>
      <c r="AH12" s="1676"/>
      <c r="AI12" s="1676"/>
      <c r="AJ12" s="1676"/>
      <c r="AK12" s="1676"/>
      <c r="AL12" s="1676"/>
      <c r="AM12" s="1676"/>
      <c r="AN12" s="1676"/>
      <c r="AO12" s="1676"/>
      <c r="AP12" s="1676"/>
      <c r="AQ12" s="1676"/>
    </row>
    <row r="13" spans="1:43" s="535" customFormat="1" ht="18" customHeight="1">
      <c r="A13" s="1558"/>
      <c r="B13" s="1548"/>
      <c r="C13" s="2602"/>
      <c r="D13" s="1158"/>
      <c r="E13" s="2602"/>
      <c r="F13" s="2602"/>
      <c r="G13" s="2602"/>
      <c r="H13" s="2576" t="s">
        <v>1129</v>
      </c>
      <c r="I13" s="2754" t="str">
        <f>IF(ISBLANK(Prelim!I42), "",Prelim!I42)</f>
        <v xml:space="preserve"> </v>
      </c>
      <c r="J13" s="2755"/>
      <c r="K13" s="1930" t="s">
        <v>1130</v>
      </c>
      <c r="L13" s="2576" t="s">
        <v>1509</v>
      </c>
      <c r="M13" s="2754" t="str">
        <f>IF(ISBLANK(Prelim!M42), "", Prelim!M42)</f>
        <v xml:space="preserve"> </v>
      </c>
      <c r="N13" s="2755"/>
      <c r="O13" s="1930" t="s">
        <v>1130</v>
      </c>
      <c r="P13" s="2575"/>
      <c r="Q13" s="1930"/>
      <c r="R13" s="2576" t="s">
        <v>1628</v>
      </c>
      <c r="S13" s="2754" t="str">
        <f>IF(ISBLANK(Prelim!S42),"",Prelim!S42)</f>
        <v xml:space="preserve"> </v>
      </c>
      <c r="T13" s="2755"/>
      <c r="U13" s="1930" t="s">
        <v>1130</v>
      </c>
      <c r="V13" s="1560"/>
      <c r="W13" s="1676"/>
      <c r="X13" s="1676"/>
      <c r="Y13" s="1676"/>
      <c r="Z13" s="1676"/>
      <c r="AA13" s="1676"/>
      <c r="AB13" s="1676"/>
      <c r="AC13" s="1262"/>
      <c r="AD13" s="1676"/>
      <c r="AE13" s="1676"/>
      <c r="AF13" s="1676"/>
      <c r="AG13" s="1676"/>
      <c r="AH13" s="1676"/>
      <c r="AI13" s="1676"/>
      <c r="AJ13" s="1676"/>
      <c r="AK13" s="1676"/>
      <c r="AL13" s="1676"/>
      <c r="AM13" s="1676"/>
      <c r="AN13" s="1676"/>
      <c r="AO13" s="1676"/>
      <c r="AP13" s="1676"/>
      <c r="AQ13" s="1676"/>
    </row>
    <row r="14" spans="1:43" s="535" customFormat="1" ht="4.3499999999999996" customHeight="1">
      <c r="A14" s="1558"/>
      <c r="B14" s="1548"/>
      <c r="C14" s="2602"/>
      <c r="D14" s="2602"/>
      <c r="E14" s="2602"/>
      <c r="F14" s="2602"/>
      <c r="G14" s="2602"/>
      <c r="H14" s="2602"/>
      <c r="I14" s="2602"/>
      <c r="J14" s="2602"/>
      <c r="K14" s="2602"/>
      <c r="L14" s="2602"/>
      <c r="M14" s="2602"/>
      <c r="N14" s="2602"/>
      <c r="O14" s="2602"/>
      <c r="P14" s="2602"/>
      <c r="Q14" s="2602"/>
      <c r="R14" s="2602"/>
      <c r="S14" s="2602"/>
      <c r="T14" s="2602"/>
      <c r="U14" s="2602"/>
      <c r="V14" s="1560"/>
      <c r="W14" s="1676"/>
      <c r="X14" s="1676"/>
      <c r="Y14" s="1676"/>
      <c r="Z14" s="1676"/>
      <c r="AA14" s="1676"/>
      <c r="AB14" s="1676"/>
      <c r="AC14" s="1262"/>
      <c r="AD14" s="1676"/>
      <c r="AE14" s="1676"/>
      <c r="AF14" s="1676"/>
      <c r="AG14" s="1676"/>
      <c r="AH14" s="1676"/>
      <c r="AI14" s="1676"/>
      <c r="AJ14" s="1676"/>
      <c r="AK14" s="1676"/>
      <c r="AL14" s="1676"/>
      <c r="AM14" s="1676"/>
      <c r="AN14" s="1676"/>
      <c r="AO14" s="1676"/>
      <c r="AP14" s="1676"/>
      <c r="AQ14" s="1676"/>
    </row>
    <row r="15" spans="1:43" s="535" customFormat="1" ht="18" customHeight="1">
      <c r="A15" s="1558"/>
      <c r="B15" s="2602"/>
      <c r="C15" s="2602"/>
      <c r="D15" s="2602"/>
      <c r="E15" s="2602"/>
      <c r="F15" s="2602"/>
      <c r="G15" s="2602"/>
      <c r="H15" s="1566" t="s">
        <v>1435</v>
      </c>
      <c r="I15" s="3100"/>
      <c r="J15" s="3101"/>
      <c r="K15" s="1567" t="s">
        <v>1682</v>
      </c>
      <c r="L15" s="2644"/>
      <c r="M15" s="2644"/>
      <c r="N15" s="2644"/>
      <c r="O15" s="2644"/>
      <c r="P15" s="2644"/>
      <c r="Q15" s="2644"/>
      <c r="R15" s="2644"/>
      <c r="S15" s="2644"/>
      <c r="T15" s="1262"/>
      <c r="U15" s="2602"/>
      <c r="V15" s="1560"/>
      <c r="W15" s="1676"/>
      <c r="X15" s="1676"/>
      <c r="Y15" s="1676"/>
      <c r="Z15" s="1676"/>
      <c r="AA15" s="1676"/>
      <c r="AB15" s="1676"/>
      <c r="AC15" s="1262"/>
      <c r="AD15" s="1676"/>
      <c r="AE15" s="1676"/>
      <c r="AF15" s="1676"/>
      <c r="AG15" s="1676"/>
      <c r="AH15" s="1676"/>
      <c r="AI15" s="1676"/>
      <c r="AJ15" s="1676"/>
      <c r="AK15" s="1676"/>
      <c r="AL15" s="1676"/>
      <c r="AM15" s="1676"/>
      <c r="AN15" s="1676"/>
      <c r="AO15" s="1676"/>
      <c r="AP15" s="1676"/>
      <c r="AQ15" s="1676"/>
    </row>
    <row r="16" spans="1:43" s="535" customFormat="1" ht="6" customHeight="1">
      <c r="A16" s="1558"/>
      <c r="B16" s="2602"/>
      <c r="C16" s="2602"/>
      <c r="D16" s="2602"/>
      <c r="E16" s="2602"/>
      <c r="F16" s="2602"/>
      <c r="G16" s="2602"/>
      <c r="H16" s="1568"/>
      <c r="I16" s="2602"/>
      <c r="J16" s="2602"/>
      <c r="K16" s="2644"/>
      <c r="L16" s="2644"/>
      <c r="M16" s="2644"/>
      <c r="N16" s="2644"/>
      <c r="O16" s="2644"/>
      <c r="P16" s="2644"/>
      <c r="Q16" s="2644"/>
      <c r="R16" s="2644"/>
      <c r="S16" s="2644"/>
      <c r="T16" s="1262"/>
      <c r="U16" s="2602"/>
      <c r="V16" s="1560"/>
      <c r="W16" s="1676"/>
      <c r="X16" s="1676"/>
      <c r="Y16" s="1676"/>
      <c r="Z16" s="1676"/>
      <c r="AA16" s="1676"/>
      <c r="AB16" s="1676"/>
      <c r="AC16" s="1262"/>
      <c r="AD16" s="1676"/>
      <c r="AE16" s="1676"/>
      <c r="AF16" s="1676"/>
      <c r="AG16" s="1676"/>
      <c r="AH16" s="1676"/>
      <c r="AI16" s="1676"/>
      <c r="AJ16" s="1676"/>
      <c r="AK16" s="1676"/>
      <c r="AL16" s="1676"/>
      <c r="AM16" s="1676"/>
      <c r="AN16" s="1676"/>
      <c r="AO16" s="1676"/>
      <c r="AP16" s="1676"/>
      <c r="AQ16" s="1676"/>
    </row>
    <row r="17" spans="1:43" s="535" customFormat="1" ht="15.75" customHeight="1">
      <c r="A17" s="1723"/>
      <c r="B17" s="1728" t="s">
        <v>141</v>
      </c>
      <c r="C17" s="2598" t="s">
        <v>1691</v>
      </c>
      <c r="D17" s="1726"/>
      <c r="E17" s="1726"/>
      <c r="F17" s="1726"/>
      <c r="G17" s="1726"/>
      <c r="H17" s="1726"/>
      <c r="I17" s="1726"/>
      <c r="J17" s="1726"/>
      <c r="K17" s="1729"/>
      <c r="L17" s="1729"/>
      <c r="M17" s="1729"/>
      <c r="N17" s="1729"/>
      <c r="O17" s="1729"/>
      <c r="P17" s="1729"/>
      <c r="Q17" s="1729"/>
      <c r="R17" s="1729"/>
      <c r="S17" s="1729"/>
      <c r="T17" s="1730"/>
      <c r="U17" s="1731"/>
      <c r="V17" s="1727"/>
      <c r="AG17" s="1676"/>
      <c r="AH17" s="1676"/>
      <c r="AI17" s="1676"/>
      <c r="AJ17" s="1676"/>
      <c r="AK17" s="1676"/>
      <c r="AL17" s="1676"/>
      <c r="AM17" s="1676"/>
      <c r="AN17" s="1676"/>
      <c r="AO17" s="1676"/>
      <c r="AP17" s="1676"/>
      <c r="AQ17" s="1676"/>
    </row>
    <row r="18" spans="1:43" s="535" customFormat="1" ht="6" customHeight="1">
      <c r="A18" s="1558"/>
      <c r="B18" s="1564"/>
      <c r="C18" s="1548"/>
      <c r="D18" s="2602"/>
      <c r="E18" s="2602"/>
      <c r="F18" s="2602"/>
      <c r="G18" s="2602"/>
      <c r="H18" s="2602"/>
      <c r="I18" s="2602"/>
      <c r="J18" s="2602"/>
      <c r="K18" s="2602"/>
      <c r="L18" s="2644"/>
      <c r="M18" s="2644"/>
      <c r="N18" s="2644"/>
      <c r="O18" s="2644"/>
      <c r="P18" s="2644"/>
      <c r="Q18" s="2644"/>
      <c r="R18" s="2644"/>
      <c r="S18" s="2644"/>
      <c r="T18" s="2644"/>
      <c r="U18" s="1262"/>
      <c r="V18" s="1560"/>
      <c r="AG18" s="1676"/>
      <c r="AH18" s="1676"/>
      <c r="AI18" s="1676"/>
      <c r="AJ18" s="1676"/>
      <c r="AK18" s="1676"/>
      <c r="AL18" s="1676"/>
      <c r="AM18" s="1676"/>
      <c r="AN18" s="1676"/>
      <c r="AO18" s="1676"/>
      <c r="AP18" s="1676"/>
      <c r="AQ18" s="1676"/>
    </row>
    <row r="19" spans="1:43" s="535" customFormat="1" ht="18" customHeight="1">
      <c r="A19" s="1558"/>
      <c r="B19" s="1564"/>
      <c r="C19" s="1569" t="s">
        <v>1476</v>
      </c>
      <c r="D19" s="2602"/>
      <c r="E19" s="2602"/>
      <c r="F19" s="2602"/>
      <c r="G19" s="2602"/>
      <c r="H19" s="2602"/>
      <c r="I19" s="2602"/>
      <c r="J19" s="2602"/>
      <c r="K19" s="2602"/>
      <c r="L19" s="2644"/>
      <c r="M19" s="2644"/>
      <c r="N19" s="2644"/>
      <c r="O19" s="2644"/>
      <c r="P19" s="2644"/>
      <c r="Q19" s="2644"/>
      <c r="R19" s="2644"/>
      <c r="S19" s="2644"/>
      <c r="T19" s="2644"/>
      <c r="U19" s="1262"/>
      <c r="V19" s="1560"/>
      <c r="AG19" s="1676"/>
      <c r="AH19" s="1676"/>
      <c r="AI19" s="1676"/>
      <c r="AJ19" s="1676"/>
      <c r="AK19" s="1676"/>
      <c r="AL19" s="1676"/>
      <c r="AM19" s="1676"/>
      <c r="AN19" s="1676"/>
      <c r="AO19" s="1676"/>
      <c r="AP19" s="1676"/>
      <c r="AQ19" s="1676"/>
    </row>
    <row r="20" spans="1:43" s="535" customFormat="1" ht="4.3499999999999996" customHeight="1">
      <c r="A20" s="1558"/>
      <c r="B20" s="1564"/>
      <c r="C20" s="1548"/>
      <c r="D20" s="2602"/>
      <c r="E20" s="2602"/>
      <c r="F20" s="2602"/>
      <c r="G20" s="2602"/>
      <c r="H20" s="2602"/>
      <c r="I20" s="2602"/>
      <c r="J20" s="2602"/>
      <c r="K20" s="2602"/>
      <c r="L20" s="2644"/>
      <c r="M20" s="2644"/>
      <c r="N20" s="2644"/>
      <c r="O20" s="2644"/>
      <c r="P20" s="2644"/>
      <c r="Q20" s="2644"/>
      <c r="R20" s="2644"/>
      <c r="S20" s="2644"/>
      <c r="T20" s="2644"/>
      <c r="U20" s="1262"/>
      <c r="V20" s="1560"/>
      <c r="AG20" s="1676"/>
      <c r="AH20" s="1676"/>
      <c r="AI20" s="1676"/>
      <c r="AJ20" s="1676"/>
      <c r="AK20" s="1676"/>
      <c r="AL20" s="1676"/>
      <c r="AM20" s="1676"/>
      <c r="AN20" s="1676"/>
      <c r="AO20" s="1676"/>
      <c r="AP20" s="1676"/>
      <c r="AQ20" s="1676"/>
    </row>
    <row r="21" spans="1:43" s="535" customFormat="1" ht="18" customHeight="1">
      <c r="A21" s="1558"/>
      <c r="B21" s="1564"/>
      <c r="C21" s="1548"/>
      <c r="D21" s="2602"/>
      <c r="E21" s="2602"/>
      <c r="F21" s="2602"/>
      <c r="G21" s="2602"/>
      <c r="H21" s="2596" t="s">
        <v>1835</v>
      </c>
      <c r="I21" s="3098"/>
      <c r="J21" s="3099"/>
      <c r="K21" s="2602" t="s">
        <v>96</v>
      </c>
      <c r="L21" s="2644"/>
      <c r="M21" s="2104" t="s">
        <v>94</v>
      </c>
      <c r="N21" s="3100"/>
      <c r="O21" s="3101"/>
      <c r="P21" s="2602" t="s">
        <v>1080</v>
      </c>
      <c r="Q21" s="2644"/>
      <c r="R21" s="2644"/>
      <c r="S21" s="2644"/>
      <c r="T21" s="2644"/>
      <c r="U21" s="1262"/>
      <c r="V21" s="1560"/>
      <c r="AG21" s="1676"/>
      <c r="AH21" s="1676"/>
      <c r="AI21" s="1676"/>
      <c r="AJ21" s="1676"/>
      <c r="AK21" s="1676"/>
      <c r="AL21" s="1676"/>
      <c r="AM21" s="1676"/>
      <c r="AN21" s="1676"/>
      <c r="AO21" s="1676"/>
      <c r="AP21" s="1676"/>
      <c r="AQ21" s="1676"/>
    </row>
    <row r="22" spans="1:43" s="535" customFormat="1" ht="4.3499999999999996" customHeight="1">
      <c r="A22" s="1558"/>
      <c r="B22" s="1564"/>
      <c r="C22" s="1548"/>
      <c r="D22" s="2602"/>
      <c r="E22" s="2602"/>
      <c r="F22" s="2602"/>
      <c r="G22" s="2602"/>
      <c r="H22" s="1158"/>
      <c r="I22" s="2602"/>
      <c r="J22" s="2602"/>
      <c r="K22" s="2602"/>
      <c r="L22" s="2644"/>
      <c r="M22" s="1570"/>
      <c r="N22" s="2602"/>
      <c r="O22" s="2602"/>
      <c r="P22" s="1571"/>
      <c r="Q22" s="2644"/>
      <c r="R22" s="2644"/>
      <c r="S22" s="2644"/>
      <c r="T22" s="2644"/>
      <c r="U22" s="1262"/>
      <c r="V22" s="1560"/>
      <c r="AG22" s="1676"/>
      <c r="AH22" s="1676"/>
      <c r="AI22" s="1676"/>
      <c r="AJ22" s="1676"/>
      <c r="AK22" s="1676"/>
      <c r="AL22" s="1676"/>
      <c r="AM22" s="1676"/>
      <c r="AN22" s="1676"/>
      <c r="AO22" s="1676"/>
      <c r="AP22" s="1676"/>
      <c r="AQ22" s="1676"/>
    </row>
    <row r="23" spans="1:43" s="535" customFormat="1" ht="18" customHeight="1">
      <c r="A23" s="1558"/>
      <c r="B23" s="1564"/>
      <c r="C23" s="1548"/>
      <c r="D23" s="2602"/>
      <c r="E23" s="2602"/>
      <c r="F23" s="2602"/>
      <c r="G23" s="2602"/>
      <c r="H23" s="2596" t="s">
        <v>1836</v>
      </c>
      <c r="I23" s="3098"/>
      <c r="J23" s="3099"/>
      <c r="K23" s="2602" t="s">
        <v>96</v>
      </c>
      <c r="L23" s="2644"/>
      <c r="M23" s="2104" t="s">
        <v>94</v>
      </c>
      <c r="N23" s="3100"/>
      <c r="O23" s="3101"/>
      <c r="P23" s="2602" t="s">
        <v>1080</v>
      </c>
      <c r="Q23" s="2644"/>
      <c r="R23" s="2644"/>
      <c r="S23" s="2644"/>
      <c r="T23" s="2644"/>
      <c r="U23" s="1262"/>
      <c r="V23" s="1560"/>
      <c r="AG23" s="1676"/>
      <c r="AH23" s="1676"/>
      <c r="AI23" s="1676"/>
      <c r="AJ23" s="1676"/>
      <c r="AK23" s="1676"/>
      <c r="AL23" s="1676"/>
      <c r="AM23" s="1676"/>
      <c r="AN23" s="1676"/>
      <c r="AO23" s="1676"/>
      <c r="AP23" s="1676"/>
      <c r="AQ23" s="1676"/>
    </row>
    <row r="24" spans="1:43" s="535" customFormat="1" ht="4.3499999999999996" customHeight="1">
      <c r="A24" s="1558"/>
      <c r="B24" s="1564"/>
      <c r="C24" s="1548"/>
      <c r="D24" s="2602"/>
      <c r="E24" s="2602"/>
      <c r="F24" s="2602"/>
      <c r="G24" s="2602"/>
      <c r="H24" s="2602"/>
      <c r="I24" s="2602"/>
      <c r="J24" s="2602"/>
      <c r="K24" s="2602"/>
      <c r="L24" s="2644"/>
      <c r="M24" s="2644"/>
      <c r="N24" s="2644"/>
      <c r="O24" s="2644"/>
      <c r="P24" s="2644"/>
      <c r="Q24" s="2644"/>
      <c r="R24" s="2644"/>
      <c r="S24" s="2644"/>
      <c r="T24" s="2644"/>
      <c r="U24" s="1262"/>
      <c r="V24" s="1560"/>
      <c r="AG24" s="1676"/>
      <c r="AH24" s="1676"/>
      <c r="AI24" s="1676"/>
      <c r="AJ24" s="1676"/>
      <c r="AK24" s="1676"/>
      <c r="AL24" s="1676"/>
      <c r="AM24" s="1676"/>
      <c r="AN24" s="1676"/>
      <c r="AO24" s="1676"/>
      <c r="AP24" s="1676"/>
      <c r="AQ24" s="1676"/>
    </row>
    <row r="25" spans="1:43" s="535" customFormat="1" ht="18" customHeight="1">
      <c r="A25" s="1558"/>
      <c r="B25" s="1564"/>
      <c r="C25" s="1548"/>
      <c r="D25" s="2602"/>
      <c r="E25" s="2602"/>
      <c r="F25" s="2602"/>
      <c r="G25" s="2602"/>
      <c r="H25" s="2596" t="s">
        <v>1058</v>
      </c>
      <c r="I25" s="3184"/>
      <c r="J25" s="3185"/>
      <c r="K25" s="3185"/>
      <c r="L25" s="3185"/>
      <c r="M25" s="3185"/>
      <c r="N25" s="3185"/>
      <c r="O25" s="3186"/>
      <c r="P25" s="1189" t="s">
        <v>1692</v>
      </c>
      <c r="Q25" s="2644"/>
      <c r="R25" s="2644"/>
      <c r="S25" s="2644"/>
      <c r="T25" s="2644"/>
      <c r="U25" s="1262"/>
      <c r="V25" s="1560"/>
      <c r="W25" s="1676"/>
      <c r="X25" s="1676"/>
      <c r="Y25" s="1676"/>
      <c r="Z25" s="1676"/>
      <c r="AA25" s="1676"/>
      <c r="AB25" s="1676"/>
      <c r="AC25" s="1262"/>
      <c r="AD25" s="1676"/>
      <c r="AE25" s="1676"/>
      <c r="AF25" s="1676"/>
      <c r="AG25" s="1676"/>
      <c r="AH25" s="1676"/>
      <c r="AI25" s="1676"/>
      <c r="AJ25" s="1676"/>
      <c r="AK25" s="1676"/>
      <c r="AL25" s="1676"/>
      <c r="AM25" s="1676"/>
      <c r="AN25" s="1676"/>
      <c r="AO25" s="1676"/>
      <c r="AP25" s="1676"/>
      <c r="AQ25" s="1676"/>
    </row>
    <row r="26" spans="1:43" s="535" customFormat="1" ht="4.3499999999999996" customHeight="1">
      <c r="A26" s="1558"/>
      <c r="B26" s="2602"/>
      <c r="C26" s="2602"/>
      <c r="D26" s="2602"/>
      <c r="E26" s="1550"/>
      <c r="F26" s="1047"/>
      <c r="G26" s="1047"/>
      <c r="H26" s="1047"/>
      <c r="I26" s="1047"/>
      <c r="J26" s="1047"/>
      <c r="K26" s="1047"/>
      <c r="L26" s="1551"/>
      <c r="M26" s="1551"/>
      <c r="N26" s="1550"/>
      <c r="O26" s="1047"/>
      <c r="P26" s="1047"/>
      <c r="Q26" s="1047"/>
      <c r="R26" s="1047"/>
      <c r="S26" s="1047"/>
      <c r="T26" s="2602"/>
      <c r="U26" s="1262"/>
      <c r="V26" s="1560"/>
      <c r="W26" s="1676"/>
      <c r="X26" s="1676"/>
      <c r="Y26" s="1676"/>
      <c r="Z26" s="1676"/>
      <c r="AA26" s="1676"/>
      <c r="AB26" s="1676"/>
      <c r="AC26" s="1262"/>
      <c r="AD26" s="1676"/>
      <c r="AE26" s="1676"/>
      <c r="AF26" s="1676"/>
      <c r="AG26" s="1676"/>
      <c r="AH26" s="1676"/>
      <c r="AI26" s="1676"/>
      <c r="AJ26" s="1676"/>
      <c r="AK26" s="1676"/>
      <c r="AL26" s="1676"/>
      <c r="AM26" s="1676"/>
      <c r="AN26" s="1676"/>
      <c r="AO26" s="1676"/>
      <c r="AP26" s="1676"/>
      <c r="AQ26" s="1676"/>
    </row>
    <row r="27" spans="1:43" s="535" customFormat="1" ht="18" customHeight="1">
      <c r="A27" s="1558"/>
      <c r="B27" s="2602"/>
      <c r="C27" s="2602"/>
      <c r="D27" s="2602"/>
      <c r="E27" s="1550"/>
      <c r="F27" s="1047"/>
      <c r="G27" s="1047"/>
      <c r="H27" s="2618" t="s">
        <v>31</v>
      </c>
      <c r="I27" s="3190"/>
      <c r="J27" s="3191"/>
      <c r="K27" s="3191"/>
      <c r="L27" s="3191"/>
      <c r="M27" s="3191"/>
      <c r="N27" s="3191"/>
      <c r="O27" s="3191"/>
      <c r="P27" s="3191"/>
      <c r="Q27" s="3191"/>
      <c r="R27" s="3191"/>
      <c r="S27" s="3191"/>
      <c r="T27" s="3191"/>
      <c r="U27" s="3192"/>
      <c r="V27" s="1560"/>
      <c r="W27" s="1676"/>
      <c r="X27" s="1676"/>
      <c r="Y27" s="1676"/>
      <c r="Z27" s="1676"/>
      <c r="AA27" s="1676"/>
      <c r="AB27" s="1676"/>
      <c r="AC27" s="1262"/>
      <c r="AD27" s="1676"/>
      <c r="AE27" s="1676"/>
      <c r="AF27" s="1676"/>
      <c r="AG27" s="1676"/>
      <c r="AH27" s="1676"/>
      <c r="AI27" s="1676"/>
      <c r="AJ27" s="1676"/>
      <c r="AK27" s="1676"/>
      <c r="AL27" s="1676"/>
      <c r="AM27" s="1676"/>
      <c r="AN27" s="1676"/>
      <c r="AO27" s="1676"/>
      <c r="AP27" s="1676"/>
      <c r="AQ27" s="1676"/>
    </row>
    <row r="28" spans="1:43" s="535" customFormat="1" ht="6" customHeight="1">
      <c r="A28" s="1558"/>
      <c r="B28" s="2602"/>
      <c r="C28" s="2602"/>
      <c r="D28" s="2602"/>
      <c r="E28" s="1550"/>
      <c r="F28" s="1047"/>
      <c r="G28" s="1047"/>
      <c r="H28" s="1047"/>
      <c r="I28" s="1047"/>
      <c r="J28" s="1047"/>
      <c r="K28" s="1047"/>
      <c r="L28" s="1551"/>
      <c r="M28" s="1551"/>
      <c r="N28" s="1550"/>
      <c r="O28" s="1047"/>
      <c r="P28" s="1047"/>
      <c r="Q28" s="1047"/>
      <c r="R28" s="1047"/>
      <c r="S28" s="1047"/>
      <c r="T28" s="2602"/>
      <c r="U28" s="1262"/>
      <c r="V28" s="1560"/>
      <c r="W28" s="1676"/>
      <c r="X28" s="1676"/>
      <c r="Y28" s="1676"/>
      <c r="Z28" s="1676"/>
      <c r="AA28" s="1676"/>
      <c r="AB28" s="1676"/>
      <c r="AC28" s="1262"/>
      <c r="AD28" s="1676"/>
      <c r="AE28" s="1676"/>
      <c r="AF28" s="1676"/>
      <c r="AG28" s="1676"/>
      <c r="AH28" s="1676"/>
      <c r="AI28" s="1676"/>
      <c r="AJ28" s="1676"/>
      <c r="AK28" s="1676"/>
      <c r="AL28" s="1676"/>
      <c r="AM28" s="1676"/>
      <c r="AN28" s="1676"/>
      <c r="AO28" s="1676"/>
      <c r="AP28" s="1676"/>
      <c r="AQ28" s="1676"/>
    </row>
    <row r="29" spans="1:43" s="535" customFormat="1" ht="15.75" customHeight="1">
      <c r="A29" s="1723"/>
      <c r="B29" s="1728" t="s">
        <v>142</v>
      </c>
      <c r="C29" s="2598" t="s">
        <v>1686</v>
      </c>
      <c r="D29" s="1726"/>
      <c r="E29" s="1726"/>
      <c r="F29" s="1726"/>
      <c r="G29" s="1726"/>
      <c r="H29" s="1726"/>
      <c r="I29" s="1726"/>
      <c r="J29" s="1726"/>
      <c r="K29" s="1729"/>
      <c r="L29" s="1729"/>
      <c r="M29" s="1729"/>
      <c r="N29" s="1729"/>
      <c r="O29" s="1729"/>
      <c r="P29" s="1729"/>
      <c r="Q29" s="1729"/>
      <c r="R29" s="1729"/>
      <c r="S29" s="1729"/>
      <c r="T29" s="1730"/>
      <c r="U29" s="1731"/>
      <c r="V29" s="1727"/>
      <c r="W29" s="1676"/>
      <c r="X29" s="1676"/>
      <c r="Y29" s="1676"/>
      <c r="Z29" s="1676"/>
      <c r="AA29" s="1676"/>
      <c r="AB29" s="1676"/>
      <c r="AC29" s="1262"/>
      <c r="AD29" s="1676"/>
      <c r="AE29" s="1676"/>
      <c r="AF29" s="1676"/>
      <c r="AG29" s="1676"/>
      <c r="AH29" s="1676"/>
      <c r="AI29" s="1676"/>
      <c r="AJ29" s="1676"/>
      <c r="AK29" s="1676"/>
      <c r="AL29" s="1676"/>
      <c r="AM29" s="1676"/>
      <c r="AN29" s="1676"/>
      <c r="AO29" s="1676"/>
      <c r="AP29" s="1676"/>
      <c r="AQ29" s="1676"/>
    </row>
    <row r="30" spans="1:43" s="1677" customFormat="1" ht="6" customHeight="1">
      <c r="A30" s="1562"/>
      <c r="B30" s="1531"/>
      <c r="C30" s="1258"/>
      <c r="D30" s="1158"/>
      <c r="E30" s="1158"/>
      <c r="F30" s="1158"/>
      <c r="G30" s="1158"/>
      <c r="H30" s="1158"/>
      <c r="I30" s="1158"/>
      <c r="J30" s="1158"/>
      <c r="K30" s="1572"/>
      <c r="L30" s="1572"/>
      <c r="M30" s="1572"/>
      <c r="N30" s="1572"/>
      <c r="O30" s="1572"/>
      <c r="P30" s="1572"/>
      <c r="Q30" s="1572"/>
      <c r="R30" s="1572"/>
      <c r="S30" s="1572"/>
      <c r="T30" s="1573"/>
      <c r="U30" s="1552"/>
      <c r="V30" s="1563"/>
      <c r="W30" s="1678"/>
      <c r="X30" s="1678"/>
      <c r="Y30" s="1678"/>
      <c r="Z30" s="1678"/>
      <c r="AA30" s="1678"/>
      <c r="AB30" s="1678"/>
      <c r="AC30" s="1552"/>
      <c r="AD30" s="1678"/>
      <c r="AE30" s="1678"/>
      <c r="AF30" s="1678"/>
      <c r="AG30" s="1678"/>
      <c r="AH30" s="1678"/>
      <c r="AI30" s="1678"/>
      <c r="AJ30" s="1678"/>
      <c r="AK30" s="1678"/>
      <c r="AL30" s="1678"/>
      <c r="AM30" s="1678"/>
      <c r="AN30" s="1678"/>
      <c r="AO30" s="1678"/>
      <c r="AP30" s="1678"/>
      <c r="AQ30" s="1678"/>
    </row>
    <row r="31" spans="1:43" s="535" customFormat="1" ht="18" customHeight="1">
      <c r="A31" s="1558"/>
      <c r="B31" s="1574" t="s">
        <v>147</v>
      </c>
      <c r="C31" s="1575" t="s">
        <v>1688</v>
      </c>
      <c r="D31" s="1576"/>
      <c r="E31" s="1576"/>
      <c r="F31" s="1576"/>
      <c r="G31" s="1576"/>
      <c r="H31" s="1576"/>
      <c r="I31" s="1576"/>
      <c r="J31" s="1576"/>
      <c r="K31" s="1576"/>
      <c r="L31" s="1577"/>
      <c r="M31" s="1577"/>
      <c r="N31" s="1577"/>
      <c r="O31" s="1577"/>
      <c r="P31" s="1577"/>
      <c r="Q31" s="1577"/>
      <c r="R31" s="1577"/>
      <c r="S31" s="1577"/>
      <c r="T31" s="1577"/>
      <c r="U31" s="1578"/>
      <c r="V31" s="1560"/>
      <c r="W31" s="1676"/>
      <c r="X31" s="1676"/>
      <c r="Y31" s="1676"/>
      <c r="Z31" s="1676"/>
      <c r="AA31" s="1676"/>
      <c r="AB31" s="1676"/>
      <c r="AC31" s="1262"/>
      <c r="AD31" s="1676"/>
      <c r="AE31" s="1676"/>
      <c r="AF31" s="1676"/>
      <c r="AG31" s="1676"/>
      <c r="AH31" s="1676"/>
      <c r="AI31" s="1676"/>
      <c r="AJ31" s="1676"/>
      <c r="AK31" s="1676"/>
      <c r="AL31" s="1676"/>
      <c r="AM31" s="1676"/>
      <c r="AN31" s="1676"/>
      <c r="AO31" s="1676"/>
      <c r="AP31" s="1676"/>
      <c r="AQ31" s="1676"/>
    </row>
    <row r="32" spans="1:43" s="535" customFormat="1" ht="18" customHeight="1">
      <c r="A32" s="1558"/>
      <c r="B32" s="1580"/>
      <c r="C32" s="2601"/>
      <c r="D32" s="2602"/>
      <c r="E32" s="2602"/>
      <c r="F32" s="2602"/>
      <c r="G32" s="2602"/>
      <c r="H32" s="1530" t="s">
        <v>1445</v>
      </c>
      <c r="I32" s="3100" t="str">
        <f>IF(ISBLANK(Prelim!I21),"",Prelim!I21)</f>
        <v/>
      </c>
      <c r="J32" s="3101"/>
      <c r="K32" s="2602"/>
      <c r="L32" s="1572"/>
      <c r="M32" s="2602"/>
      <c r="N32" s="2602"/>
      <c r="O32" s="2602"/>
      <c r="P32" s="2602"/>
      <c r="Q32" s="2602"/>
      <c r="R32" s="2602"/>
      <c r="S32" s="1572"/>
      <c r="T32" s="1581"/>
      <c r="U32" s="1582"/>
      <c r="V32" s="1560"/>
      <c r="W32" s="1676"/>
      <c r="X32" s="1676"/>
      <c r="Y32" s="1676"/>
      <c r="Z32" s="1676"/>
      <c r="AA32" s="1676"/>
      <c r="AB32" s="1676"/>
      <c r="AC32" s="1262"/>
      <c r="AD32" s="1676"/>
      <c r="AE32" s="1676"/>
      <c r="AF32" s="1676"/>
      <c r="AG32" s="1676"/>
      <c r="AH32" s="1676"/>
      <c r="AI32" s="1676"/>
      <c r="AJ32" s="1676"/>
      <c r="AK32" s="1676"/>
      <c r="AL32" s="1676"/>
      <c r="AM32" s="1676"/>
      <c r="AN32" s="1676"/>
      <c r="AO32" s="1676"/>
      <c r="AP32" s="1676"/>
      <c r="AQ32" s="1676"/>
    </row>
    <row r="33" spans="1:43" s="535" customFormat="1" ht="4.3499999999999996" customHeight="1">
      <c r="A33" s="1558"/>
      <c r="B33" s="1580"/>
      <c r="C33" s="2601"/>
      <c r="D33" s="2602"/>
      <c r="E33" s="2602"/>
      <c r="F33" s="2602"/>
      <c r="G33" s="2602"/>
      <c r="H33" s="1530"/>
      <c r="I33" s="2293"/>
      <c r="J33" s="1583"/>
      <c r="K33" s="2602"/>
      <c r="L33" s="1572"/>
      <c r="M33" s="1530"/>
      <c r="N33" s="2293"/>
      <c r="O33" s="2293"/>
      <c r="P33" s="1572"/>
      <c r="Q33" s="1572"/>
      <c r="R33" s="1572"/>
      <c r="S33" s="1572"/>
      <c r="T33" s="1581"/>
      <c r="U33" s="1582"/>
      <c r="V33" s="1560"/>
      <c r="W33" s="1676"/>
      <c r="X33" s="1676"/>
      <c r="Y33" s="1676"/>
      <c r="Z33" s="1676"/>
      <c r="AA33" s="1676"/>
      <c r="AB33" s="1676"/>
      <c r="AC33" s="1262"/>
      <c r="AD33" s="1676"/>
      <c r="AE33" s="1676"/>
      <c r="AF33" s="1676"/>
      <c r="AG33" s="1676"/>
      <c r="AH33" s="1676"/>
      <c r="AI33" s="1676"/>
      <c r="AJ33" s="1676"/>
      <c r="AK33" s="1676"/>
      <c r="AL33" s="1676"/>
      <c r="AM33" s="1676"/>
      <c r="AN33" s="1676"/>
      <c r="AO33" s="1676"/>
      <c r="AP33" s="1676"/>
      <c r="AQ33" s="1676"/>
    </row>
    <row r="34" spans="1:43" s="535" customFormat="1" ht="18" customHeight="1">
      <c r="A34" s="1558"/>
      <c r="B34" s="1580"/>
      <c r="C34" s="2602"/>
      <c r="D34" s="2602"/>
      <c r="E34" s="2602"/>
      <c r="F34" s="2602"/>
      <c r="G34" s="2602"/>
      <c r="H34" s="2596" t="s">
        <v>1837</v>
      </c>
      <c r="I34" s="3098"/>
      <c r="J34" s="3099"/>
      <c r="K34" s="2602" t="s">
        <v>96</v>
      </c>
      <c r="L34" s="2602"/>
      <c r="M34" s="2104" t="s">
        <v>94</v>
      </c>
      <c r="N34" s="3100"/>
      <c r="O34" s="3101"/>
      <c r="P34" s="2602" t="s">
        <v>1080</v>
      </c>
      <c r="Q34" s="2602"/>
      <c r="R34" s="2602"/>
      <c r="S34" s="2602"/>
      <c r="T34" s="1581"/>
      <c r="U34" s="1584"/>
      <c r="V34" s="1560"/>
      <c r="W34" s="1676"/>
      <c r="X34" s="1676"/>
      <c r="Y34" s="1676"/>
      <c r="Z34" s="1676"/>
      <c r="AA34" s="1676"/>
      <c r="AB34" s="1676"/>
      <c r="AC34" s="1262"/>
      <c r="AD34" s="1676"/>
      <c r="AE34" s="1676"/>
      <c r="AF34" s="1676"/>
      <c r="AG34" s="1676"/>
      <c r="AH34" s="1676"/>
      <c r="AI34" s="1676"/>
      <c r="AJ34" s="1676"/>
      <c r="AK34" s="1676"/>
      <c r="AL34" s="1676"/>
      <c r="AM34" s="1676"/>
      <c r="AN34" s="1676"/>
      <c r="AO34" s="1676"/>
      <c r="AP34" s="1676"/>
      <c r="AQ34" s="1676"/>
    </row>
    <row r="35" spans="1:43" s="535" customFormat="1" ht="4.3499999999999996" customHeight="1">
      <c r="A35" s="1558"/>
      <c r="B35" s="1580"/>
      <c r="C35" s="1158"/>
      <c r="D35" s="1158"/>
      <c r="E35" s="1158"/>
      <c r="F35" s="1158"/>
      <c r="G35" s="1158"/>
      <c r="H35" s="1158"/>
      <c r="I35" s="2602"/>
      <c r="J35" s="2602"/>
      <c r="K35" s="2602"/>
      <c r="L35" s="1571"/>
      <c r="M35" s="1570"/>
      <c r="N35" s="2602"/>
      <c r="O35" s="2602"/>
      <c r="P35" s="1571"/>
      <c r="Q35" s="1571"/>
      <c r="R35" s="2602"/>
      <c r="S35" s="1571"/>
      <c r="T35" s="1571"/>
      <c r="U35" s="1585"/>
      <c r="V35" s="1560"/>
      <c r="W35" s="1676"/>
      <c r="X35" s="1676"/>
      <c r="Y35" s="1676"/>
      <c r="Z35" s="1676"/>
      <c r="AA35" s="1676"/>
      <c r="AB35" s="1676"/>
      <c r="AC35" s="1262"/>
      <c r="AD35" s="1676"/>
      <c r="AE35" s="1676"/>
      <c r="AF35" s="1676"/>
      <c r="AG35" s="1676"/>
      <c r="AH35" s="1676"/>
      <c r="AI35" s="1676"/>
      <c r="AJ35" s="1676"/>
      <c r="AK35" s="1676"/>
      <c r="AL35" s="1676"/>
      <c r="AM35" s="1676"/>
      <c r="AN35" s="1676"/>
      <c r="AO35" s="1676"/>
      <c r="AP35" s="1676"/>
      <c r="AQ35" s="1676"/>
    </row>
    <row r="36" spans="1:43" s="535" customFormat="1" ht="18" customHeight="1">
      <c r="A36" s="1558"/>
      <c r="B36" s="1586"/>
      <c r="C36" s="2602"/>
      <c r="D36" s="2602"/>
      <c r="E36" s="2602"/>
      <c r="F36" s="2602"/>
      <c r="G36" s="2602"/>
      <c r="H36" s="2596" t="s">
        <v>1838</v>
      </c>
      <c r="I36" s="3098"/>
      <c r="J36" s="3099"/>
      <c r="K36" s="2602" t="s">
        <v>96</v>
      </c>
      <c r="L36" s="2602"/>
      <c r="M36" s="2104" t="s">
        <v>94</v>
      </c>
      <c r="N36" s="3100"/>
      <c r="O36" s="3101"/>
      <c r="P36" s="2602" t="s">
        <v>1080</v>
      </c>
      <c r="Q36" s="2602"/>
      <c r="R36" s="2602"/>
      <c r="S36" s="2602"/>
      <c r="T36" s="2602"/>
      <c r="U36" s="1585"/>
      <c r="V36" s="1560"/>
      <c r="W36" s="1676"/>
      <c r="X36" s="1676"/>
      <c r="Y36" s="1676"/>
      <c r="Z36" s="1676"/>
      <c r="AA36" s="1676"/>
      <c r="AB36" s="1676"/>
      <c r="AC36" s="1262"/>
      <c r="AD36" s="1676"/>
      <c r="AE36" s="1676"/>
      <c r="AF36" s="1676"/>
      <c r="AG36" s="1676"/>
      <c r="AH36" s="1676"/>
      <c r="AI36" s="1676"/>
      <c r="AJ36" s="1676"/>
      <c r="AK36" s="1676"/>
      <c r="AL36" s="1676"/>
      <c r="AM36" s="1676"/>
      <c r="AN36" s="1676"/>
      <c r="AO36" s="1676"/>
      <c r="AP36" s="1676"/>
      <c r="AQ36" s="1676"/>
    </row>
    <row r="37" spans="1:43" s="535" customFormat="1" ht="4.3499999999999996" customHeight="1">
      <c r="A37" s="1558"/>
      <c r="B37" s="1580"/>
      <c r="C37" s="1158"/>
      <c r="D37" s="1158"/>
      <c r="E37" s="1158"/>
      <c r="F37" s="1158"/>
      <c r="G37" s="1158"/>
      <c r="H37" s="1158"/>
      <c r="I37" s="2602"/>
      <c r="J37" s="2602"/>
      <c r="K37" s="2602"/>
      <c r="L37" s="1571"/>
      <c r="M37" s="1570"/>
      <c r="N37" s="2602"/>
      <c r="O37" s="2602"/>
      <c r="P37" s="1571"/>
      <c r="Q37" s="1571"/>
      <c r="R37" s="2602"/>
      <c r="S37" s="1571"/>
      <c r="T37" s="1571"/>
      <c r="U37" s="1585"/>
      <c r="V37" s="1560"/>
      <c r="W37" s="1676"/>
      <c r="X37" s="1676"/>
      <c r="Y37" s="1676"/>
      <c r="Z37" s="1676"/>
      <c r="AA37" s="1676"/>
      <c r="AB37" s="1676"/>
      <c r="AC37" s="1262"/>
      <c r="AD37" s="1676"/>
      <c r="AE37" s="1676"/>
      <c r="AF37" s="1676"/>
      <c r="AG37" s="1676"/>
      <c r="AH37" s="1676"/>
      <c r="AI37" s="1676"/>
      <c r="AJ37" s="1676"/>
      <c r="AK37" s="1676"/>
      <c r="AL37" s="1676"/>
      <c r="AM37" s="1676"/>
      <c r="AN37" s="1676"/>
      <c r="AO37" s="1676"/>
      <c r="AP37" s="1676"/>
      <c r="AQ37" s="1676"/>
    </row>
    <row r="38" spans="1:43" s="535" customFormat="1" ht="18" customHeight="1">
      <c r="A38" s="1558"/>
      <c r="B38" s="1587"/>
      <c r="C38" s="2602"/>
      <c r="D38" s="2602"/>
      <c r="E38" s="2602"/>
      <c r="F38" s="2602"/>
      <c r="G38" s="2596" t="s">
        <v>1693</v>
      </c>
      <c r="H38" s="2752"/>
      <c r="I38" s="2769"/>
      <c r="J38" s="2753"/>
      <c r="K38" s="2602"/>
      <c r="L38" s="1262"/>
      <c r="M38" s="2596" t="s">
        <v>1694</v>
      </c>
      <c r="N38" s="3187"/>
      <c r="O38" s="3188"/>
      <c r="P38" s="3188"/>
      <c r="Q38" s="3188"/>
      <c r="R38" s="3188"/>
      <c r="S38" s="3188"/>
      <c r="T38" s="3188"/>
      <c r="U38" s="3189"/>
      <c r="V38" s="1560"/>
      <c r="W38" s="1676"/>
      <c r="X38" s="1676"/>
      <c r="Y38" s="1676"/>
      <c r="Z38" s="1676"/>
      <c r="AA38" s="1676"/>
      <c r="AB38" s="1676"/>
      <c r="AC38" s="1262"/>
      <c r="AD38" s="1676"/>
      <c r="AE38" s="1676"/>
      <c r="AF38" s="1676"/>
      <c r="AG38" s="1676"/>
      <c r="AH38" s="1676"/>
      <c r="AI38" s="1676"/>
      <c r="AJ38" s="1676"/>
      <c r="AK38" s="1676"/>
      <c r="AL38" s="1676"/>
      <c r="AM38" s="1676"/>
      <c r="AN38" s="1676"/>
      <c r="AO38" s="1676"/>
      <c r="AP38" s="1676"/>
      <c r="AQ38" s="1676"/>
    </row>
    <row r="39" spans="1:43" s="535" customFormat="1" ht="6" customHeight="1">
      <c r="A39" s="1558"/>
      <c r="B39" s="1588"/>
      <c r="C39" s="1589"/>
      <c r="D39" s="1589"/>
      <c r="E39" s="1589"/>
      <c r="F39" s="1589"/>
      <c r="G39" s="1589"/>
      <c r="H39" s="1589"/>
      <c r="I39" s="1589"/>
      <c r="J39" s="1589"/>
      <c r="K39" s="1589"/>
      <c r="L39" s="1589"/>
      <c r="M39" s="1589"/>
      <c r="N39" s="1589"/>
      <c r="O39" s="1589"/>
      <c r="P39" s="1589"/>
      <c r="Q39" s="1589"/>
      <c r="R39" s="1589"/>
      <c r="S39" s="1589"/>
      <c r="T39" s="1589"/>
      <c r="U39" s="1590"/>
      <c r="V39" s="1560"/>
      <c r="W39" s="1676"/>
      <c r="X39" s="1676"/>
      <c r="Y39" s="1676"/>
      <c r="Z39" s="1676"/>
      <c r="AA39" s="1676"/>
      <c r="AB39" s="1676"/>
      <c r="AC39" s="1262"/>
      <c r="AD39" s="1676"/>
      <c r="AE39" s="1676"/>
      <c r="AF39" s="1676"/>
      <c r="AG39" s="1676"/>
      <c r="AH39" s="1676"/>
      <c r="AI39" s="1676"/>
      <c r="AJ39" s="1676"/>
      <c r="AK39" s="1676"/>
      <c r="AL39" s="1676"/>
      <c r="AM39" s="1676"/>
      <c r="AN39" s="1676"/>
      <c r="AO39" s="1676"/>
      <c r="AP39" s="1676"/>
      <c r="AQ39" s="1676"/>
    </row>
    <row r="40" spans="1:43" s="535" customFormat="1" ht="6" customHeight="1">
      <c r="A40" s="1558"/>
      <c r="B40" s="2602"/>
      <c r="C40" s="2602"/>
      <c r="D40" s="2602"/>
      <c r="E40" s="2602"/>
      <c r="F40" s="2602"/>
      <c r="G40" s="2602"/>
      <c r="H40" s="2602"/>
      <c r="I40" s="2602"/>
      <c r="J40" s="2602"/>
      <c r="K40" s="2602"/>
      <c r="L40" s="2602"/>
      <c r="M40" s="2602"/>
      <c r="N40" s="2602"/>
      <c r="O40" s="2602"/>
      <c r="P40" s="2602"/>
      <c r="Q40" s="2602"/>
      <c r="R40" s="2602"/>
      <c r="S40" s="2602"/>
      <c r="T40" s="2602"/>
      <c r="U40" s="2602"/>
      <c r="V40" s="1560"/>
      <c r="W40" s="1676"/>
      <c r="X40" s="1676"/>
      <c r="Y40" s="1676"/>
      <c r="Z40" s="1676"/>
      <c r="AA40" s="1676"/>
      <c r="AB40" s="1676"/>
      <c r="AC40" s="1262"/>
      <c r="AD40" s="1676"/>
      <c r="AE40" s="1676"/>
      <c r="AF40" s="1676"/>
      <c r="AG40" s="1676"/>
      <c r="AH40" s="1676"/>
      <c r="AI40" s="1676"/>
      <c r="AJ40" s="1676"/>
      <c r="AK40" s="1676"/>
      <c r="AL40" s="1676"/>
      <c r="AM40" s="1676"/>
      <c r="AN40" s="1676"/>
      <c r="AO40" s="1676"/>
      <c r="AP40" s="1676"/>
      <c r="AQ40" s="1676"/>
    </row>
    <row r="41" spans="1:43" s="535" customFormat="1" ht="18" customHeight="1">
      <c r="A41" s="1558"/>
      <c r="B41" s="1574" t="s">
        <v>631</v>
      </c>
      <c r="C41" s="1575" t="s">
        <v>1687</v>
      </c>
      <c r="D41" s="1577"/>
      <c r="E41" s="1577"/>
      <c r="F41" s="1577"/>
      <c r="G41" s="1577"/>
      <c r="H41" s="1577"/>
      <c r="I41" s="1577"/>
      <c r="J41" s="1577"/>
      <c r="K41" s="1576"/>
      <c r="L41" s="1576"/>
      <c r="M41" s="1576"/>
      <c r="N41" s="1576"/>
      <c r="O41" s="1576"/>
      <c r="P41" s="1576"/>
      <c r="Q41" s="1591"/>
      <c r="R41" s="1591"/>
      <c r="S41" s="1591"/>
      <c r="T41" s="1591"/>
      <c r="U41" s="1592"/>
      <c r="V41" s="1560"/>
      <c r="W41" s="1676"/>
      <c r="X41" s="1676"/>
      <c r="Y41" s="1676"/>
      <c r="Z41" s="1676"/>
      <c r="AA41" s="1676"/>
      <c r="AB41" s="1676"/>
      <c r="AC41" s="1262"/>
      <c r="AD41" s="1676"/>
      <c r="AE41" s="1676"/>
      <c r="AF41" s="1676"/>
      <c r="AG41" s="1676"/>
      <c r="AH41" s="1676"/>
      <c r="AI41" s="1676"/>
      <c r="AJ41" s="1676"/>
      <c r="AK41" s="1676"/>
      <c r="AL41" s="1676"/>
      <c r="AM41" s="1676"/>
      <c r="AN41" s="1676"/>
      <c r="AO41" s="1676"/>
      <c r="AP41" s="1676"/>
      <c r="AQ41" s="1676"/>
    </row>
    <row r="42" spans="1:43" s="535" customFormat="1" ht="14.4">
      <c r="A42" s="1558"/>
      <c r="B42" s="1580"/>
      <c r="C42" s="2602"/>
      <c r="D42" s="2602"/>
      <c r="E42" s="2602"/>
      <c r="F42" s="2602"/>
      <c r="G42" s="2602"/>
      <c r="H42" s="2596" t="s">
        <v>1475</v>
      </c>
      <c r="I42" s="3100"/>
      <c r="J42" s="3101"/>
      <c r="K42" s="2602"/>
      <c r="L42" s="3102" t="str">
        <f>IF(ISBLANK(I42),"",I11)</f>
        <v/>
      </c>
      <c r="M42" s="3103"/>
      <c r="N42" s="3182" t="s">
        <v>1689</v>
      </c>
      <c r="O42" s="3183"/>
      <c r="P42" s="2593" t="str">
        <f>IF(I42="Gravity",3,IF(I42="Pressure",4,""))</f>
        <v/>
      </c>
      <c r="Q42" s="1189" t="s">
        <v>1696</v>
      </c>
      <c r="R42" s="1571"/>
      <c r="S42" s="1571"/>
      <c r="T42" s="1571"/>
      <c r="U42" s="1585"/>
      <c r="V42" s="1560"/>
      <c r="W42" s="1676"/>
      <c r="X42" s="1676"/>
      <c r="Y42" s="1676"/>
      <c r="Z42" s="1676"/>
      <c r="AA42" s="1676"/>
      <c r="AB42" s="1676"/>
      <c r="AC42" s="1262"/>
      <c r="AD42" s="1676"/>
      <c r="AE42" s="1676"/>
      <c r="AF42" s="1676"/>
      <c r="AG42" s="1676"/>
      <c r="AH42" s="1676"/>
      <c r="AI42" s="1676"/>
      <c r="AJ42" s="1676"/>
      <c r="AK42" s="1676"/>
      <c r="AL42" s="1676"/>
      <c r="AM42" s="1676"/>
      <c r="AN42" s="1676"/>
      <c r="AO42" s="1676"/>
      <c r="AP42" s="1676"/>
      <c r="AQ42" s="1676"/>
    </row>
    <row r="43" spans="1:43" s="535" customFormat="1" ht="4.3499999999999996" customHeight="1">
      <c r="A43" s="1558"/>
      <c r="B43" s="1580"/>
      <c r="C43" s="2602"/>
      <c r="D43" s="2602"/>
      <c r="E43" s="2602"/>
      <c r="F43" s="2602"/>
      <c r="G43" s="2602"/>
      <c r="H43" s="2596"/>
      <c r="I43" s="1269"/>
      <c r="J43" s="1269"/>
      <c r="K43" s="2602"/>
      <c r="L43" s="2602"/>
      <c r="M43" s="2602"/>
      <c r="N43" s="2602"/>
      <c r="O43" s="2602"/>
      <c r="P43" s="2602"/>
      <c r="Q43" s="1571"/>
      <c r="R43" s="1571"/>
      <c r="S43" s="1571"/>
      <c r="T43" s="1571"/>
      <c r="U43" s="1585"/>
      <c r="V43" s="1560"/>
      <c r="W43" s="1676"/>
      <c r="X43" s="1676"/>
      <c r="Y43" s="1676"/>
      <c r="Z43" s="1676"/>
      <c r="AA43" s="1676"/>
      <c r="AB43" s="1676"/>
      <c r="AC43" s="1262"/>
      <c r="AD43" s="1676"/>
      <c r="AE43" s="1676"/>
      <c r="AF43" s="1676"/>
      <c r="AG43" s="1676"/>
      <c r="AH43" s="1676"/>
      <c r="AI43" s="1676"/>
      <c r="AJ43" s="1676"/>
      <c r="AK43" s="1676"/>
      <c r="AL43" s="1676"/>
      <c r="AM43" s="1676"/>
      <c r="AN43" s="1676"/>
      <c r="AO43" s="1676"/>
      <c r="AP43" s="1676"/>
      <c r="AQ43" s="1676"/>
    </row>
    <row r="44" spans="1:43" s="535" customFormat="1" ht="18" customHeight="1">
      <c r="A44" s="1558"/>
      <c r="B44" s="1580"/>
      <c r="C44" s="1158"/>
      <c r="D44" s="2602"/>
      <c r="E44" s="2602"/>
      <c r="F44" s="2602"/>
      <c r="G44" s="2602"/>
      <c r="H44" s="2596" t="s">
        <v>1839</v>
      </c>
      <c r="I44" s="3106" t="str">
        <f>IF(ISBLANK(I42)," ",IF((L42*P42)&gt;1000,(L42*P42),1000))</f>
        <v xml:space="preserve"> </v>
      </c>
      <c r="J44" s="3107"/>
      <c r="K44" s="2602" t="s">
        <v>96</v>
      </c>
      <c r="L44" s="2602"/>
      <c r="M44" s="2104" t="s">
        <v>1690</v>
      </c>
      <c r="N44" s="3100"/>
      <c r="O44" s="3101"/>
      <c r="P44" s="2602" t="s">
        <v>1080</v>
      </c>
      <c r="Q44" s="2602"/>
      <c r="R44" s="2602"/>
      <c r="S44" s="2602"/>
      <c r="T44" s="2602"/>
      <c r="U44" s="1585"/>
      <c r="V44" s="1560"/>
      <c r="W44" s="1676"/>
      <c r="X44" s="1676"/>
      <c r="Y44" s="1676"/>
      <c r="Z44" s="1676"/>
      <c r="AA44" s="1676"/>
      <c r="AB44" s="1676"/>
      <c r="AC44" s="1262"/>
      <c r="AD44" s="1676"/>
      <c r="AE44" s="1676"/>
      <c r="AF44" s="1676"/>
      <c r="AG44" s="1676"/>
      <c r="AH44" s="1676"/>
      <c r="AI44" s="1676"/>
      <c r="AJ44" s="1676"/>
      <c r="AK44" s="1676"/>
      <c r="AL44" s="1676"/>
      <c r="AM44" s="1676"/>
      <c r="AN44" s="1676"/>
      <c r="AO44" s="1676"/>
      <c r="AP44" s="1676"/>
      <c r="AQ44" s="1676"/>
    </row>
    <row r="45" spans="1:43" s="535" customFormat="1" ht="4.3499999999999996" customHeight="1">
      <c r="A45" s="1558"/>
      <c r="B45" s="1580"/>
      <c r="C45" s="1158"/>
      <c r="D45" s="1158"/>
      <c r="E45" s="1158"/>
      <c r="F45" s="1158"/>
      <c r="G45" s="1158"/>
      <c r="H45" s="2602"/>
      <c r="I45" s="1158"/>
      <c r="J45" s="1158"/>
      <c r="K45" s="2602"/>
      <c r="L45" s="2602"/>
      <c r="M45" s="2602"/>
      <c r="N45" s="2602"/>
      <c r="O45" s="2602"/>
      <c r="P45" s="2602"/>
      <c r="Q45" s="1571"/>
      <c r="R45" s="1571"/>
      <c r="S45" s="1571"/>
      <c r="T45" s="1571"/>
      <c r="U45" s="1585"/>
      <c r="V45" s="1560"/>
      <c r="W45" s="1676"/>
      <c r="X45" s="1676"/>
      <c r="Y45" s="1676"/>
      <c r="Z45" s="1676"/>
      <c r="AA45" s="1676"/>
      <c r="AB45" s="1676"/>
      <c r="AC45" s="1262"/>
      <c r="AD45" s="1676"/>
      <c r="AE45" s="1676"/>
      <c r="AF45" s="1676"/>
      <c r="AG45" s="1676"/>
      <c r="AH45" s="1676"/>
      <c r="AI45" s="1676"/>
      <c r="AJ45" s="1676"/>
      <c r="AK45" s="1676"/>
      <c r="AL45" s="1676"/>
      <c r="AM45" s="1676"/>
      <c r="AN45" s="1676"/>
      <c r="AO45" s="1676"/>
      <c r="AP45" s="1676"/>
      <c r="AQ45" s="1676"/>
    </row>
    <row r="46" spans="1:43" s="535" customFormat="1" ht="18" customHeight="1">
      <c r="A46" s="1558"/>
      <c r="B46" s="1580"/>
      <c r="C46" s="2602"/>
      <c r="D46" s="2602"/>
      <c r="E46" s="2602"/>
      <c r="F46" s="2602"/>
      <c r="G46" s="2602"/>
      <c r="H46" s="2596" t="s">
        <v>1840</v>
      </c>
      <c r="I46" s="3193"/>
      <c r="J46" s="3194"/>
      <c r="K46" s="2602" t="s">
        <v>96</v>
      </c>
      <c r="L46" s="2602"/>
      <c r="M46" s="2597" t="s">
        <v>1690</v>
      </c>
      <c r="N46" s="3100"/>
      <c r="O46" s="3101"/>
      <c r="P46" s="2602" t="s">
        <v>1080</v>
      </c>
      <c r="Q46" s="2602"/>
      <c r="R46" s="1552"/>
      <c r="S46" s="1571"/>
      <c r="T46" s="2602"/>
      <c r="U46" s="1585"/>
      <c r="V46" s="1560"/>
      <c r="W46" s="1676"/>
      <c r="X46" s="1676"/>
      <c r="Y46" s="1676"/>
      <c r="Z46" s="1676"/>
      <c r="AA46" s="1676"/>
      <c r="AB46" s="1676"/>
      <c r="AC46" s="1262"/>
      <c r="AD46" s="1676"/>
      <c r="AE46" s="1676"/>
      <c r="AF46" s="1676"/>
      <c r="AG46" s="1676"/>
      <c r="AH46" s="1676"/>
      <c r="AI46" s="1676"/>
      <c r="AJ46" s="1676"/>
      <c r="AK46" s="1676"/>
      <c r="AL46" s="1676"/>
      <c r="AM46" s="1676"/>
      <c r="AN46" s="1676"/>
      <c r="AO46" s="1676"/>
      <c r="AP46" s="1676"/>
      <c r="AQ46" s="1676"/>
    </row>
    <row r="47" spans="1:43" s="535" customFormat="1" ht="4.3499999999999996" customHeight="1">
      <c r="A47" s="1558"/>
      <c r="B47" s="1580"/>
      <c r="C47" s="1158"/>
      <c r="D47" s="1158"/>
      <c r="E47" s="1158"/>
      <c r="F47" s="1158"/>
      <c r="G47" s="1158"/>
      <c r="H47" s="1158"/>
      <c r="I47" s="2602"/>
      <c r="J47" s="2602"/>
      <c r="K47" s="2602"/>
      <c r="L47" s="2602"/>
      <c r="M47" s="2602"/>
      <c r="N47" s="2602"/>
      <c r="O47" s="2602"/>
      <c r="P47" s="2602"/>
      <c r="Q47" s="1571"/>
      <c r="R47" s="1571"/>
      <c r="S47" s="1571"/>
      <c r="T47" s="1571"/>
      <c r="U47" s="1585"/>
      <c r="V47" s="1560"/>
      <c r="W47" s="1676"/>
      <c r="X47" s="1676"/>
      <c r="Y47" s="1676"/>
      <c r="Z47" s="1676"/>
      <c r="AA47" s="1676"/>
      <c r="AB47" s="1676"/>
      <c r="AC47" s="1262"/>
      <c r="AD47" s="1676"/>
      <c r="AE47" s="1676"/>
      <c r="AF47" s="1676"/>
      <c r="AG47" s="1676"/>
      <c r="AH47" s="1676"/>
      <c r="AI47" s="1676"/>
      <c r="AJ47" s="1676"/>
      <c r="AK47" s="1676"/>
      <c r="AL47" s="1676"/>
      <c r="AM47" s="1676"/>
      <c r="AN47" s="1676"/>
      <c r="AO47" s="1676"/>
      <c r="AP47" s="1676"/>
      <c r="AQ47" s="1676"/>
    </row>
    <row r="48" spans="1:43" s="535" customFormat="1" ht="18" customHeight="1">
      <c r="A48" s="1558"/>
      <c r="B48" s="1579"/>
      <c r="C48" s="2602"/>
      <c r="D48" s="2602"/>
      <c r="E48" s="2602"/>
      <c r="F48" s="2602"/>
      <c r="G48" s="2596" t="s">
        <v>1693</v>
      </c>
      <c r="H48" s="2752"/>
      <c r="I48" s="2769"/>
      <c r="J48" s="2753"/>
      <c r="K48" s="2602"/>
      <c r="L48" s="1262"/>
      <c r="M48" s="2596" t="s">
        <v>1694</v>
      </c>
      <c r="N48" s="3187"/>
      <c r="O48" s="3188"/>
      <c r="P48" s="3188"/>
      <c r="Q48" s="3188"/>
      <c r="R48" s="3188"/>
      <c r="S48" s="3188"/>
      <c r="T48" s="3188"/>
      <c r="U48" s="3189"/>
      <c r="V48" s="1560"/>
      <c r="W48" s="1676"/>
      <c r="X48" s="1676"/>
      <c r="Y48" s="1676"/>
      <c r="Z48" s="1676"/>
      <c r="AA48" s="1676"/>
      <c r="AB48" s="1676"/>
      <c r="AC48" s="1262"/>
      <c r="AD48" s="1676"/>
      <c r="AE48" s="1676"/>
      <c r="AF48" s="1676"/>
      <c r="AG48" s="1676"/>
      <c r="AH48" s="1676"/>
      <c r="AI48" s="1676"/>
      <c r="AJ48" s="1676"/>
      <c r="AK48" s="1676"/>
      <c r="AL48" s="1676"/>
      <c r="AM48" s="1676"/>
      <c r="AN48" s="1676"/>
      <c r="AO48" s="1676"/>
      <c r="AP48" s="1676"/>
      <c r="AQ48" s="1676"/>
    </row>
    <row r="49" spans="1:43" s="535" customFormat="1" ht="6" customHeight="1">
      <c r="A49" s="1558"/>
      <c r="B49" s="1593"/>
      <c r="C49" s="1594"/>
      <c r="D49" s="1594"/>
      <c r="E49" s="1594"/>
      <c r="F49" s="1594"/>
      <c r="G49" s="1594"/>
      <c r="H49" s="1594"/>
      <c r="I49" s="1589"/>
      <c r="J49" s="1589"/>
      <c r="K49" s="1589"/>
      <c r="L49" s="1589"/>
      <c r="M49" s="1589"/>
      <c r="N49" s="1595"/>
      <c r="O49" s="1595"/>
      <c r="P49" s="1595"/>
      <c r="Q49" s="1595"/>
      <c r="R49" s="1595"/>
      <c r="S49" s="1595"/>
      <c r="T49" s="1595"/>
      <c r="U49" s="1590"/>
      <c r="V49" s="1560"/>
      <c r="W49" s="1676"/>
      <c r="X49" s="1676"/>
      <c r="Y49" s="1676"/>
      <c r="Z49" s="1676"/>
      <c r="AA49" s="1676"/>
      <c r="AB49" s="1676"/>
      <c r="AC49" s="1262"/>
      <c r="AD49" s="1676"/>
      <c r="AE49" s="1676"/>
      <c r="AF49" s="1676"/>
      <c r="AG49" s="1676"/>
      <c r="AH49" s="1676"/>
      <c r="AI49" s="1676"/>
      <c r="AJ49" s="1676"/>
      <c r="AK49" s="1676"/>
      <c r="AL49" s="1676"/>
      <c r="AM49" s="1676"/>
      <c r="AN49" s="1676"/>
      <c r="AO49" s="1676"/>
      <c r="AP49" s="1676"/>
      <c r="AQ49" s="1676"/>
    </row>
    <row r="50" spans="1:43" s="535" customFormat="1" ht="6" customHeight="1">
      <c r="A50" s="1558"/>
      <c r="B50" s="2602"/>
      <c r="C50" s="2602"/>
      <c r="D50" s="2602"/>
      <c r="E50" s="2602"/>
      <c r="F50" s="2602"/>
      <c r="G50" s="2602"/>
      <c r="H50" s="2602"/>
      <c r="I50" s="2602"/>
      <c r="J50" s="2602"/>
      <c r="K50" s="2602"/>
      <c r="L50" s="2602"/>
      <c r="M50" s="2602"/>
      <c r="N50" s="2602"/>
      <c r="O50" s="2602"/>
      <c r="P50" s="2602"/>
      <c r="Q50" s="2602"/>
      <c r="R50" s="2602"/>
      <c r="S50" s="2602"/>
      <c r="T50" s="2602"/>
      <c r="U50" s="2602"/>
      <c r="V50" s="1560"/>
      <c r="W50" s="1676"/>
      <c r="X50" s="1676"/>
      <c r="Y50" s="1676"/>
      <c r="Z50" s="1676"/>
      <c r="AA50" s="1676"/>
      <c r="AB50" s="1676"/>
      <c r="AC50" s="1262"/>
      <c r="AD50" s="1676"/>
      <c r="AE50" s="1676"/>
      <c r="AF50" s="1676"/>
      <c r="AG50" s="1676"/>
      <c r="AH50" s="1676"/>
      <c r="AI50" s="1676"/>
      <c r="AJ50" s="1676"/>
      <c r="AK50" s="1676"/>
      <c r="AL50" s="1676"/>
      <c r="AM50" s="1676"/>
      <c r="AN50" s="1676"/>
      <c r="AO50" s="1676"/>
      <c r="AP50" s="1676"/>
      <c r="AQ50" s="1676"/>
    </row>
    <row r="51" spans="1:43" s="535" customFormat="1" ht="15.75" customHeight="1">
      <c r="A51" s="1723"/>
      <c r="B51" s="1728" t="s">
        <v>91</v>
      </c>
      <c r="C51" s="2598" t="s">
        <v>1695</v>
      </c>
      <c r="D51" s="1726"/>
      <c r="E51" s="1726"/>
      <c r="F51" s="1726"/>
      <c r="G51" s="1726"/>
      <c r="H51" s="1726"/>
      <c r="I51" s="1726"/>
      <c r="J51" s="1726"/>
      <c r="K51" s="1729"/>
      <c r="L51" s="1729"/>
      <c r="M51" s="1729"/>
      <c r="N51" s="1729"/>
      <c r="O51" s="1729"/>
      <c r="P51" s="1729"/>
      <c r="Q51" s="1729"/>
      <c r="R51" s="1729"/>
      <c r="S51" s="1729"/>
      <c r="T51" s="1730"/>
      <c r="U51" s="1731"/>
      <c r="V51" s="1727"/>
      <c r="W51" s="1676"/>
      <c r="X51" s="1676"/>
      <c r="Y51" s="1676"/>
      <c r="Z51" s="1676"/>
      <c r="AA51" s="1676"/>
      <c r="AB51" s="1676"/>
      <c r="AC51" s="1262"/>
      <c r="AD51" s="1676"/>
      <c r="AE51" s="1676"/>
      <c r="AF51" s="1676"/>
      <c r="AG51" s="1676"/>
      <c r="AH51" s="1676"/>
      <c r="AI51" s="1676"/>
      <c r="AJ51" s="1676"/>
      <c r="AK51" s="1676"/>
      <c r="AL51" s="1676"/>
      <c r="AM51" s="1676"/>
      <c r="AN51" s="1676"/>
      <c r="AO51" s="1676"/>
      <c r="AP51" s="1676"/>
      <c r="AQ51" s="1676"/>
    </row>
    <row r="52" spans="1:43" s="535" customFormat="1" ht="6" customHeight="1">
      <c r="A52" s="1558"/>
      <c r="B52" s="2602"/>
      <c r="C52" s="2602"/>
      <c r="D52" s="2602"/>
      <c r="E52" s="2602"/>
      <c r="F52" s="2602"/>
      <c r="G52" s="2602"/>
      <c r="H52" s="2602"/>
      <c r="I52" s="2602"/>
      <c r="J52" s="2602"/>
      <c r="K52" s="1585"/>
      <c r="L52" s="2602"/>
      <c r="M52" s="2602"/>
      <c r="N52" s="2602"/>
      <c r="O52" s="2602"/>
      <c r="P52" s="2602"/>
      <c r="Q52" s="2602"/>
      <c r="R52" s="2602"/>
      <c r="S52" s="2602"/>
      <c r="T52" s="2602"/>
      <c r="U52" s="2602"/>
      <c r="V52" s="1560"/>
      <c r="W52" s="1676"/>
      <c r="X52" s="1676"/>
      <c r="Y52" s="1676"/>
      <c r="Z52" s="1676"/>
      <c r="AA52" s="1676"/>
      <c r="AB52" s="1676"/>
      <c r="AC52" s="1262"/>
      <c r="AD52" s="1676"/>
      <c r="AE52" s="1676"/>
      <c r="AF52" s="1676"/>
      <c r="AG52" s="1676"/>
      <c r="AH52" s="1676"/>
      <c r="AI52" s="1676"/>
      <c r="AJ52" s="1676"/>
      <c r="AK52" s="1676"/>
      <c r="AL52" s="1676"/>
      <c r="AM52" s="1676"/>
      <c r="AN52" s="1676"/>
      <c r="AO52" s="1676"/>
      <c r="AP52" s="1676"/>
      <c r="AQ52" s="1676"/>
    </row>
    <row r="53" spans="1:43" s="535" customFormat="1" ht="18" customHeight="1">
      <c r="A53" s="1558"/>
      <c r="B53" s="1533"/>
      <c r="C53" s="2602"/>
      <c r="D53" s="2602"/>
      <c r="E53" s="2602"/>
      <c r="F53" s="2602"/>
      <c r="G53" s="2602"/>
      <c r="H53" s="2596" t="s">
        <v>1699</v>
      </c>
      <c r="I53" s="3108" t="str">
        <f>IF(ISBLANK('Pump-Basic(1) '!F28),"",MAX('Pump Tank(1)Demand'!I6,'Pump-Tank(1)Time'!I8))</f>
        <v/>
      </c>
      <c r="J53" s="3107"/>
      <c r="K53" s="1585" t="s">
        <v>741</v>
      </c>
      <c r="L53" s="2602"/>
      <c r="M53" s="2602"/>
      <c r="N53" s="2602"/>
      <c r="O53" s="2602"/>
      <c r="P53" s="2602"/>
      <c r="Q53" s="2602"/>
      <c r="R53" s="2596" t="s">
        <v>1697</v>
      </c>
      <c r="S53" s="3150" t="str">
        <f>IF(ISBLANK('Pump-Basic(2)'!F28),"",MAX('Pump Tank (2)Demand'!I6,'Pump-Tank(2)Time'!I8:J8))</f>
        <v/>
      </c>
      <c r="T53" s="3151"/>
      <c r="U53" s="1262" t="s">
        <v>741</v>
      </c>
      <c r="V53" s="1560"/>
      <c r="W53" s="1676"/>
      <c r="X53" s="1676"/>
      <c r="Y53" s="1676"/>
      <c r="Z53" s="1676"/>
      <c r="AA53" s="1676"/>
      <c r="AB53" s="1676"/>
      <c r="AC53" s="1262"/>
      <c r="AD53" s="1676"/>
      <c r="AE53" s="1676"/>
      <c r="AF53" s="1676"/>
      <c r="AG53" s="1676"/>
      <c r="AH53" s="1676"/>
      <c r="AI53" s="1676"/>
      <c r="AJ53" s="1676"/>
      <c r="AK53" s="1676"/>
      <c r="AL53" s="1676"/>
      <c r="AM53" s="1676"/>
      <c r="AN53" s="1676"/>
      <c r="AO53" s="1676"/>
      <c r="AP53" s="1676"/>
      <c r="AQ53" s="1676"/>
    </row>
    <row r="54" spans="1:43" s="535" customFormat="1" ht="4.3499999999999996" customHeight="1">
      <c r="A54" s="1558"/>
      <c r="B54" s="2596"/>
      <c r="C54" s="2602"/>
      <c r="D54" s="2602"/>
      <c r="E54" s="2602"/>
      <c r="F54" s="2602"/>
      <c r="G54" s="2602"/>
      <c r="H54" s="2602"/>
      <c r="I54" s="2602"/>
      <c r="J54" s="2602"/>
      <c r="K54" s="1585"/>
      <c r="L54" s="2602"/>
      <c r="M54" s="2594"/>
      <c r="N54" s="2594"/>
      <c r="O54" s="2594"/>
      <c r="P54" s="2594"/>
      <c r="Q54" s="2594"/>
      <c r="R54" s="2594"/>
      <c r="S54" s="2602"/>
      <c r="T54" s="2602"/>
      <c r="U54" s="2602"/>
      <c r="V54" s="1560"/>
      <c r="W54" s="1676"/>
      <c r="X54" s="1676"/>
      <c r="Y54" s="1676"/>
      <c r="Z54" s="1676"/>
      <c r="AA54" s="1676"/>
      <c r="AB54" s="1676"/>
      <c r="AC54" s="1262"/>
      <c r="AD54" s="1676"/>
      <c r="AE54" s="1676"/>
      <c r="AF54" s="1676"/>
      <c r="AG54" s="1676"/>
      <c r="AH54" s="1676"/>
      <c r="AI54" s="1676"/>
      <c r="AJ54" s="1676"/>
      <c r="AK54" s="1676"/>
      <c r="AL54" s="1676"/>
      <c r="AM54" s="1676"/>
      <c r="AN54" s="1676"/>
      <c r="AO54" s="1676"/>
      <c r="AP54" s="1676"/>
      <c r="AQ54" s="1676"/>
    </row>
    <row r="55" spans="1:43" s="535" customFormat="1" ht="18" customHeight="1">
      <c r="A55" s="1558"/>
      <c r="B55" s="2596"/>
      <c r="C55" s="2602"/>
      <c r="D55" s="2602"/>
      <c r="E55" s="2602"/>
      <c r="F55" s="2602"/>
      <c r="G55" s="2602"/>
      <c r="H55" s="2596" t="s">
        <v>1700</v>
      </c>
      <c r="I55" s="3108" t="str">
        <f>IF(ISBLANK('Pump-Basic(1) '!F28),"",MAX('Pump Tank(1)Demand'!R6,'Pump-Tank(1)Time'!Q8))</f>
        <v/>
      </c>
      <c r="J55" s="3107"/>
      <c r="K55" s="1585" t="s">
        <v>741</v>
      </c>
      <c r="L55" s="2602"/>
      <c r="M55" s="2602"/>
      <c r="N55" s="2602"/>
      <c r="O55" s="2602"/>
      <c r="P55" s="2602"/>
      <c r="Q55" s="2602"/>
      <c r="R55" s="2596" t="s">
        <v>1698</v>
      </c>
      <c r="S55" s="3150" t="str">
        <f>IF(ISBLANK('Pump-Basic(2)'!F28),"",MAX('Pump Tank (2)Demand'!R6,'Pump-Tank(2)Time'!Q8:R8))</f>
        <v/>
      </c>
      <c r="T55" s="3151"/>
      <c r="U55" s="1262" t="s">
        <v>741</v>
      </c>
      <c r="V55" s="1560"/>
      <c r="W55" s="1676"/>
      <c r="X55" s="1676"/>
      <c r="Y55" s="1676"/>
      <c r="Z55" s="1676"/>
      <c r="AA55" s="1676"/>
      <c r="AB55" s="1676"/>
      <c r="AC55" s="1262"/>
      <c r="AD55" s="1676"/>
      <c r="AE55" s="1676"/>
      <c r="AF55" s="1676"/>
      <c r="AG55" s="1676"/>
      <c r="AH55" s="1676"/>
      <c r="AI55" s="1676"/>
      <c r="AJ55" s="1676"/>
      <c r="AK55" s="1676"/>
      <c r="AL55" s="1676"/>
      <c r="AM55" s="1676"/>
      <c r="AN55" s="1676"/>
      <c r="AO55" s="1676"/>
      <c r="AP55" s="1676"/>
      <c r="AQ55" s="1676"/>
    </row>
    <row r="56" spans="1:43" s="535" customFormat="1" ht="4.3499999999999996" customHeight="1">
      <c r="A56" s="1558"/>
      <c r="B56" s="2596"/>
      <c r="C56" s="2602"/>
      <c r="D56" s="2602"/>
      <c r="E56" s="2602"/>
      <c r="F56" s="2602"/>
      <c r="G56" s="2602"/>
      <c r="H56" s="2602"/>
      <c r="I56" s="2602"/>
      <c r="J56" s="2602"/>
      <c r="K56" s="1585"/>
      <c r="L56" s="2602"/>
      <c r="M56" s="2594"/>
      <c r="N56" s="2594"/>
      <c r="O56" s="2594"/>
      <c r="P56" s="2594"/>
      <c r="Q56" s="2594"/>
      <c r="R56" s="2594"/>
      <c r="S56" s="2594"/>
      <c r="T56" s="2594"/>
      <c r="U56" s="2602"/>
      <c r="V56" s="1560"/>
      <c r="W56" s="1676"/>
      <c r="X56" s="1676"/>
      <c r="Y56" s="1676"/>
      <c r="Z56" s="1676"/>
      <c r="AA56" s="1676"/>
      <c r="AB56" s="1676"/>
      <c r="AC56" s="1262"/>
      <c r="AD56" s="1676"/>
      <c r="AE56" s="1676"/>
      <c r="AF56" s="1676"/>
      <c r="AG56" s="1676"/>
      <c r="AH56" s="1676"/>
      <c r="AI56" s="1676"/>
      <c r="AJ56" s="1676"/>
      <c r="AK56" s="1676"/>
      <c r="AL56" s="1676"/>
      <c r="AM56" s="1676"/>
      <c r="AN56" s="1676"/>
      <c r="AO56" s="1676"/>
      <c r="AP56" s="1676"/>
      <c r="AQ56" s="1676"/>
    </row>
    <row r="57" spans="1:43" s="535" customFormat="1" ht="18" customHeight="1">
      <c r="A57" s="1558"/>
      <c r="B57" s="2596"/>
      <c r="C57" s="2596" t="s">
        <v>1404</v>
      </c>
      <c r="D57" s="3096" t="str">
        <f>IF(ISBLANK(I53), " ", 'Pump-Basic(1) '!H51)</f>
        <v/>
      </c>
      <c r="E57" s="3097"/>
      <c r="F57" s="2602" t="s">
        <v>134</v>
      </c>
      <c r="G57" s="2602"/>
      <c r="H57" s="1596" t="s">
        <v>14</v>
      </c>
      <c r="I57" s="3096" t="str">
        <f>IF(ISBLANK(I53), "", 'Pump-Basic(1) '!O51)</f>
        <v xml:space="preserve">  </v>
      </c>
      <c r="J57" s="3097"/>
      <c r="K57" s="1597" t="s">
        <v>92</v>
      </c>
      <c r="L57" s="2602"/>
      <c r="M57" s="2596" t="s">
        <v>1405</v>
      </c>
      <c r="N57" s="3096" t="str">
        <f>IF(ISBLANK(S53), " ", 'Pump-Basic(2)'!H51)</f>
        <v/>
      </c>
      <c r="O57" s="3097"/>
      <c r="P57" s="2602" t="s">
        <v>134</v>
      </c>
      <c r="Q57" s="1598"/>
      <c r="R57" s="1596" t="s">
        <v>14</v>
      </c>
      <c r="S57" s="3096" t="str">
        <f>IF(ISBLANK(S53), "", 'Pump-Basic(2)'!O51)</f>
        <v xml:space="preserve">  </v>
      </c>
      <c r="T57" s="3097"/>
      <c r="U57" s="2601" t="s">
        <v>92</v>
      </c>
      <c r="V57" s="1560"/>
      <c r="W57" s="1676"/>
      <c r="X57" s="1676"/>
      <c r="Y57" s="1676"/>
      <c r="Z57" s="1676"/>
      <c r="AA57" s="1676"/>
      <c r="AB57" s="1676"/>
      <c r="AC57" s="1262"/>
      <c r="AD57" s="1676"/>
      <c r="AE57" s="1676"/>
      <c r="AF57" s="1676"/>
      <c r="AG57" s="1676"/>
      <c r="AH57" s="1676"/>
      <c r="AI57" s="1676"/>
      <c r="AJ57" s="1676"/>
      <c r="AK57" s="1676"/>
      <c r="AL57" s="1676"/>
      <c r="AM57" s="1676"/>
      <c r="AN57" s="1676"/>
      <c r="AO57" s="1676"/>
      <c r="AP57" s="1676"/>
      <c r="AQ57" s="1676"/>
    </row>
    <row r="58" spans="1:43" s="535" customFormat="1" ht="6.75" customHeight="1">
      <c r="A58" s="1558"/>
      <c r="B58" s="2596"/>
      <c r="C58" s="2602"/>
      <c r="D58" s="2602"/>
      <c r="E58" s="2602"/>
      <c r="F58" s="2602"/>
      <c r="G58" s="2602"/>
      <c r="H58" s="2602"/>
      <c r="I58" s="2602"/>
      <c r="J58" s="2602"/>
      <c r="K58" s="1585"/>
      <c r="L58" s="2602"/>
      <c r="M58" s="2594"/>
      <c r="N58" s="2602"/>
      <c r="O58" s="2602"/>
      <c r="P58" s="2594"/>
      <c r="Q58" s="2594"/>
      <c r="R58" s="2594"/>
      <c r="S58" s="2602"/>
      <c r="T58" s="2602"/>
      <c r="U58" s="2602"/>
      <c r="V58" s="1560"/>
      <c r="W58" s="1676"/>
      <c r="X58" s="1676"/>
      <c r="Y58" s="1676"/>
      <c r="Z58" s="1676"/>
      <c r="AA58" s="1676"/>
      <c r="AB58" s="1676"/>
      <c r="AC58" s="1262"/>
      <c r="AD58" s="1676"/>
      <c r="AE58" s="1676"/>
      <c r="AF58" s="1676"/>
      <c r="AG58" s="1676"/>
      <c r="AH58" s="1676"/>
      <c r="AI58" s="1676"/>
      <c r="AJ58" s="1676"/>
      <c r="AK58" s="1676"/>
      <c r="AL58" s="1676"/>
      <c r="AM58" s="1676"/>
      <c r="AN58" s="1676"/>
      <c r="AO58" s="1676"/>
      <c r="AP58" s="1676"/>
      <c r="AQ58" s="1676"/>
    </row>
    <row r="59" spans="1:43" s="535" customFormat="1" ht="18" customHeight="1">
      <c r="A59" s="1558"/>
      <c r="B59" s="2596"/>
      <c r="C59" s="2602"/>
      <c r="D59" s="2596" t="s">
        <v>1288</v>
      </c>
      <c r="E59" s="1732" t="str">
        <f>IF(ISBLANK('Pump-Basic(1) '!F28), "", 'Pump-Basic(1) '!F28)</f>
        <v/>
      </c>
      <c r="F59" s="1189" t="s">
        <v>94</v>
      </c>
      <c r="G59" s="2602"/>
      <c r="H59" s="2596" t="s">
        <v>1701</v>
      </c>
      <c r="I59" s="3096" t="str">
        <f>IF(ISBLANK('Pump-Basic(1) '!F28),"",MAX('Pump Tank(1)Demand'!K28,'Pump-Tank(1)Time'!L28))</f>
        <v/>
      </c>
      <c r="J59" s="3097"/>
      <c r="K59" s="1585" t="s">
        <v>1087</v>
      </c>
      <c r="L59" s="3168" t="s">
        <v>1288</v>
      </c>
      <c r="M59" s="3168"/>
      <c r="N59" s="3168"/>
      <c r="O59" s="1733" t="str">
        <f>IF(ISBLANK('Pump-Basic(2)'!F28), "", 'Pump-Basic(2)'!F28)</f>
        <v/>
      </c>
      <c r="P59" s="1599"/>
      <c r="Q59" s="2602"/>
      <c r="R59" s="1530" t="s">
        <v>1701</v>
      </c>
      <c r="S59" s="3096" t="str">
        <f>IF(ISBLANK('Pump-Basic(2)'!F28),"",MAX('Pump Tank (2)Demand'!K28,'Pump-Tank(2)Time'!L28:M28))</f>
        <v/>
      </c>
      <c r="T59" s="3097"/>
      <c r="U59" s="2602" t="s">
        <v>741</v>
      </c>
      <c r="V59" s="1560"/>
      <c r="W59" s="1676"/>
      <c r="X59" s="1676"/>
      <c r="Y59" s="1676"/>
      <c r="Z59" s="1676"/>
      <c r="AA59" s="1676"/>
      <c r="AB59" s="1676"/>
      <c r="AC59" s="1262"/>
      <c r="AD59" s="1676"/>
      <c r="AE59" s="1676"/>
      <c r="AF59" s="1676"/>
      <c r="AG59" s="1676"/>
      <c r="AH59" s="1676"/>
      <c r="AI59" s="1676"/>
      <c r="AJ59" s="1676"/>
      <c r="AK59" s="1676"/>
      <c r="AL59" s="1676"/>
      <c r="AM59" s="1676"/>
      <c r="AN59" s="1676"/>
      <c r="AO59" s="1676"/>
      <c r="AP59" s="1676"/>
      <c r="AQ59" s="1676"/>
    </row>
    <row r="60" spans="1:43" s="535" customFormat="1" ht="18" customHeight="1" thickBot="1">
      <c r="A60" s="1600"/>
      <c r="B60" s="1601"/>
      <c r="C60" s="1601"/>
      <c r="D60" s="1601"/>
      <c r="E60" s="1601"/>
      <c r="F60" s="1601"/>
      <c r="G60" s="1601"/>
      <c r="H60" s="1601"/>
      <c r="I60" s="1601"/>
      <c r="J60" s="1601"/>
      <c r="K60" s="1602"/>
      <c r="L60" s="1601"/>
      <c r="M60" s="1601"/>
      <c r="N60" s="1601"/>
      <c r="O60" s="1601"/>
      <c r="P60" s="1601"/>
      <c r="Q60" s="1601"/>
      <c r="R60" s="1601"/>
      <c r="S60" s="1601"/>
      <c r="T60" s="1601"/>
      <c r="U60" s="1601"/>
      <c r="V60" s="1603"/>
      <c r="W60" s="1676"/>
      <c r="X60" s="1676"/>
      <c r="Y60" s="1676"/>
      <c r="Z60" s="1676"/>
      <c r="AA60" s="1676"/>
      <c r="AB60" s="1676"/>
      <c r="AC60" s="1262"/>
      <c r="AD60" s="1676"/>
      <c r="AE60" s="1676"/>
      <c r="AF60" s="1676"/>
      <c r="AG60" s="1676"/>
      <c r="AH60" s="1676"/>
      <c r="AI60" s="1676"/>
      <c r="AJ60" s="1676"/>
      <c r="AK60" s="1676"/>
      <c r="AL60" s="1676"/>
      <c r="AM60" s="1676"/>
      <c r="AN60" s="1676"/>
      <c r="AO60" s="1676"/>
      <c r="AP60" s="1676"/>
      <c r="AQ60" s="1676"/>
    </row>
    <row r="61" spans="1:43" s="535" customFormat="1" ht="15.75" customHeight="1">
      <c r="A61" s="1717"/>
      <c r="B61" s="1734" t="s">
        <v>93</v>
      </c>
      <c r="C61" s="1719" t="s">
        <v>1450</v>
      </c>
      <c r="D61" s="1721"/>
      <c r="E61" s="1721"/>
      <c r="F61" s="1721"/>
      <c r="G61" s="1721"/>
      <c r="H61" s="1721"/>
      <c r="I61" s="1721"/>
      <c r="J61" s="1721"/>
      <c r="K61" s="1721"/>
      <c r="L61" s="3118" t="s">
        <v>1819</v>
      </c>
      <c r="M61" s="3118"/>
      <c r="N61" s="3119" t="str">
        <f>IF(ISBLANK(Prelim!S5)," ",Prelim!S5)</f>
        <v xml:space="preserve"> </v>
      </c>
      <c r="O61" s="3119"/>
      <c r="P61" s="3119"/>
      <c r="Q61" s="1721"/>
      <c r="R61" s="1721"/>
      <c r="S61" s="1721"/>
      <c r="T61" s="1721"/>
      <c r="U61" s="1721"/>
      <c r="V61" s="1722"/>
      <c r="W61" s="1676"/>
      <c r="X61" s="1676"/>
      <c r="Y61" s="1676"/>
      <c r="Z61" s="1676"/>
      <c r="AA61" s="1676"/>
      <c r="AB61" s="1676"/>
      <c r="AC61" s="1262"/>
      <c r="AD61" s="1676"/>
      <c r="AE61" s="1676"/>
      <c r="AF61" s="1676"/>
      <c r="AG61" s="1676"/>
      <c r="AH61" s="1676"/>
      <c r="AI61" s="1676"/>
      <c r="AJ61" s="1676"/>
      <c r="AK61" s="1676"/>
      <c r="AL61" s="1676"/>
      <c r="AM61" s="1676"/>
      <c r="AN61" s="1676"/>
      <c r="AO61" s="1676"/>
      <c r="AP61" s="1676"/>
      <c r="AQ61" s="1676"/>
    </row>
    <row r="62" spans="1:43" s="535" customFormat="1" ht="6" customHeight="1">
      <c r="A62" s="1558"/>
      <c r="B62" s="2602"/>
      <c r="C62" s="2602"/>
      <c r="D62" s="2602"/>
      <c r="E62" s="2602"/>
      <c r="F62" s="2602"/>
      <c r="G62" s="2602"/>
      <c r="H62" s="2602"/>
      <c r="I62" s="2602"/>
      <c r="J62" s="2602"/>
      <c r="K62" s="2602"/>
      <c r="L62" s="2602"/>
      <c r="M62" s="2602"/>
      <c r="N62" s="2602"/>
      <c r="O62" s="2602"/>
      <c r="P62" s="2602"/>
      <c r="Q62" s="2602"/>
      <c r="R62" s="2602"/>
      <c r="S62" s="2602"/>
      <c r="T62" s="2602"/>
      <c r="U62" s="2602"/>
      <c r="V62" s="1700"/>
      <c r="W62" s="1676"/>
      <c r="X62" s="1676"/>
      <c r="Y62" s="1676"/>
      <c r="Z62" s="1676"/>
      <c r="AA62" s="1676"/>
      <c r="AB62" s="1676"/>
      <c r="AC62" s="1262"/>
      <c r="AD62" s="1676"/>
      <c r="AE62" s="1676"/>
      <c r="AF62" s="1676"/>
      <c r="AG62" s="1676"/>
      <c r="AH62" s="1676"/>
      <c r="AI62" s="1676"/>
      <c r="AJ62" s="1676"/>
      <c r="AK62" s="1676"/>
      <c r="AL62" s="1676"/>
      <c r="AM62" s="1676"/>
      <c r="AN62" s="1676"/>
      <c r="AO62" s="1676"/>
      <c r="AP62" s="1676"/>
      <c r="AQ62" s="1676"/>
    </row>
    <row r="63" spans="1:43" s="535" customFormat="1" ht="18" customHeight="1">
      <c r="A63" s="1558"/>
      <c r="B63" s="2602"/>
      <c r="C63" s="2602"/>
      <c r="D63" s="2602"/>
      <c r="E63" s="2596" t="s">
        <v>1704</v>
      </c>
      <c r="F63" s="3100"/>
      <c r="G63" s="3112"/>
      <c r="H63" s="3101"/>
      <c r="I63" s="2602"/>
      <c r="J63" s="2602"/>
      <c r="K63" s="2602"/>
      <c r="L63" s="2602"/>
      <c r="M63" s="2602"/>
      <c r="N63" s="2596" t="s">
        <v>1451</v>
      </c>
      <c r="O63" s="3134"/>
      <c r="P63" s="3135"/>
      <c r="Q63" s="3135"/>
      <c r="R63" s="3135"/>
      <c r="S63" s="3135"/>
      <c r="T63" s="3136"/>
      <c r="U63" s="1158"/>
      <c r="V63" s="1560"/>
      <c r="W63" s="1676"/>
      <c r="X63" s="1676"/>
      <c r="Y63" s="1676"/>
      <c r="Z63" s="1676"/>
      <c r="AA63" s="1702">
        <f>IF(F63="Trench",1,IF(F63="Bed",2,IF(F63="Mound",4,IF(F63="At-Grade",3,IF(F63="Drip",4,0)))))</f>
        <v>0</v>
      </c>
      <c r="AB63" s="1676"/>
      <c r="AC63" s="1703">
        <f>IF(O63="Gravity Distribution",1,IF(O63="Pressure Distribution-Level",2,IF(O63="Pressure Distribution-Unlevel",3,0)))</f>
        <v>0</v>
      </c>
      <c r="AD63" s="1676"/>
      <c r="AE63" s="1676"/>
      <c r="AF63" s="1676"/>
      <c r="AG63" s="1676"/>
      <c r="AH63" s="1676"/>
      <c r="AI63" s="1676"/>
      <c r="AJ63" s="1676"/>
      <c r="AK63" s="1676"/>
      <c r="AL63" s="1676"/>
      <c r="AM63" s="1676"/>
      <c r="AN63" s="1676"/>
      <c r="AO63" s="1676"/>
      <c r="AP63" s="1676"/>
      <c r="AQ63" s="1676"/>
    </row>
    <row r="64" spans="1:43" s="535" customFormat="1" ht="4.3499999999999996" customHeight="1">
      <c r="A64" s="1558"/>
      <c r="B64" s="2602"/>
      <c r="C64" s="2602"/>
      <c r="D64" s="2602"/>
      <c r="E64" s="2602"/>
      <c r="F64" s="2602"/>
      <c r="G64" s="2602"/>
      <c r="H64" s="2602"/>
      <c r="I64" s="2602"/>
      <c r="J64" s="2602"/>
      <c r="K64" s="2602"/>
      <c r="L64" s="2602"/>
      <c r="M64" s="2602"/>
      <c r="N64" s="2602"/>
      <c r="O64" s="2293"/>
      <c r="P64" s="2293"/>
      <c r="Q64" s="2293"/>
      <c r="R64" s="2293"/>
      <c r="S64" s="2293"/>
      <c r="T64" s="2293"/>
      <c r="U64" s="2293"/>
      <c r="V64" s="1560"/>
      <c r="W64" s="1676"/>
      <c r="X64" s="1676"/>
      <c r="Y64" s="1676"/>
      <c r="Z64" s="1676"/>
      <c r="AA64" s="1676"/>
      <c r="AB64" s="1676"/>
      <c r="AC64" s="1262"/>
      <c r="AD64" s="1676"/>
      <c r="AE64" s="1676"/>
      <c r="AF64" s="1676"/>
      <c r="AG64" s="1676"/>
      <c r="AH64" s="1676"/>
      <c r="AI64" s="1676"/>
      <c r="AJ64" s="1676"/>
      <c r="AK64" s="1676"/>
      <c r="AL64" s="1676"/>
      <c r="AM64" s="1676"/>
      <c r="AN64" s="1676"/>
      <c r="AO64" s="1676"/>
      <c r="AP64" s="1676"/>
      <c r="AQ64" s="1676"/>
    </row>
    <row r="65" spans="1:43" s="535" customFormat="1" ht="18" customHeight="1">
      <c r="A65" s="1558"/>
      <c r="B65" s="2602"/>
      <c r="C65" s="2602"/>
      <c r="D65" s="2602"/>
      <c r="E65" s="1530" t="s">
        <v>1703</v>
      </c>
      <c r="F65" s="3169" t="str">
        <f>IF(ISBLANK(Field!G48)," ",(Field!G48))</f>
        <v xml:space="preserve"> </v>
      </c>
      <c r="G65" s="3170"/>
      <c r="H65" s="3171"/>
      <c r="I65" s="2602" t="s">
        <v>92</v>
      </c>
      <c r="J65" s="1158"/>
      <c r="K65" s="2602"/>
      <c r="L65" s="2602"/>
      <c r="M65" s="2602"/>
      <c r="N65" s="1530" t="s">
        <v>1400</v>
      </c>
      <c r="O65" s="3157" t="str">
        <f>IF(ISBLANK(Field!H50)," ",(Field!H50))</f>
        <v xml:space="preserve"> </v>
      </c>
      <c r="P65" s="3158"/>
      <c r="Q65" s="3158"/>
      <c r="R65" s="3158"/>
      <c r="S65" s="3158"/>
      <c r="T65" s="3159"/>
      <c r="U65" s="1158"/>
      <c r="V65" s="1560"/>
      <c r="W65" s="1676"/>
      <c r="X65" s="1676"/>
      <c r="Y65" s="1676"/>
      <c r="Z65" s="1676"/>
      <c r="AA65" s="1676"/>
      <c r="AB65" s="1676"/>
      <c r="AC65" s="1262"/>
      <c r="AD65" s="1676"/>
      <c r="AE65" s="1676"/>
      <c r="AF65" s="1676"/>
      <c r="AG65" s="1676"/>
      <c r="AH65" s="1676"/>
      <c r="AI65" s="1676"/>
      <c r="AJ65" s="1676"/>
      <c r="AK65" s="1676"/>
      <c r="AL65" s="1676"/>
      <c r="AM65" s="1676"/>
      <c r="AN65" s="1676"/>
      <c r="AO65" s="1676"/>
      <c r="AP65" s="1676"/>
      <c r="AQ65" s="1676"/>
    </row>
    <row r="66" spans="1:43" s="535" customFormat="1" ht="4.3499999999999996" customHeight="1">
      <c r="A66" s="1558"/>
      <c r="B66" s="2602"/>
      <c r="C66" s="2602"/>
      <c r="D66" s="2602"/>
      <c r="E66" s="2602"/>
      <c r="F66" s="2602"/>
      <c r="G66" s="2602"/>
      <c r="H66" s="2602"/>
      <c r="I66" s="2602"/>
      <c r="J66" s="2602"/>
      <c r="K66" s="2602"/>
      <c r="L66" s="2602"/>
      <c r="M66" s="2602"/>
      <c r="N66" s="2602"/>
      <c r="O66" s="1530"/>
      <c r="P66" s="1530"/>
      <c r="Q66" s="1530"/>
      <c r="R66" s="983"/>
      <c r="S66" s="983"/>
      <c r="T66" s="850"/>
      <c r="U66" s="711"/>
      <c r="V66" s="1560"/>
      <c r="W66" s="1676"/>
      <c r="X66" s="1676"/>
      <c r="Y66" s="1676"/>
      <c r="Z66" s="1676"/>
      <c r="AA66" s="1676"/>
      <c r="AB66" s="1676"/>
      <c r="AC66" s="1262"/>
      <c r="AD66" s="1676"/>
      <c r="AE66" s="1676"/>
      <c r="AF66" s="1676"/>
      <c r="AG66" s="1676"/>
      <c r="AH66" s="1676"/>
      <c r="AI66" s="1676"/>
      <c r="AJ66" s="1676"/>
      <c r="AK66" s="1676"/>
      <c r="AL66" s="1676"/>
      <c r="AM66" s="1676"/>
      <c r="AN66" s="1676"/>
      <c r="AO66" s="1676"/>
      <c r="AP66" s="1676"/>
      <c r="AQ66" s="1676"/>
    </row>
    <row r="67" spans="1:43" s="535" customFormat="1" ht="18" customHeight="1">
      <c r="A67" s="1558"/>
      <c r="B67" s="2602"/>
      <c r="C67" s="2602"/>
      <c r="D67" s="2602"/>
      <c r="E67" s="1530" t="s">
        <v>1485</v>
      </c>
      <c r="F67" s="3100"/>
      <c r="G67" s="3112"/>
      <c r="H67" s="3101"/>
      <c r="I67" s="2602"/>
      <c r="J67" s="2602"/>
      <c r="K67" s="2602"/>
      <c r="L67" s="2602"/>
      <c r="M67" s="2602"/>
      <c r="N67" s="2596" t="s">
        <v>1702</v>
      </c>
      <c r="O67" s="3134"/>
      <c r="P67" s="3135"/>
      <c r="Q67" s="3135"/>
      <c r="R67" s="3135"/>
      <c r="S67" s="3135"/>
      <c r="T67" s="3136"/>
      <c r="U67" s="1158"/>
      <c r="V67" s="1560"/>
      <c r="W67" s="1676"/>
      <c r="X67" s="1676"/>
      <c r="Y67" s="1676"/>
      <c r="Z67" s="1676"/>
      <c r="AA67" s="1676"/>
      <c r="AB67" s="1676"/>
      <c r="AC67" s="1262"/>
      <c r="AD67" s="1676"/>
      <c r="AE67" s="1676"/>
      <c r="AF67" s="1676"/>
      <c r="AG67" s="1676"/>
      <c r="AH67" s="1676"/>
      <c r="AI67" s="1676"/>
      <c r="AJ67" s="1676"/>
      <c r="AK67" s="1676"/>
      <c r="AL67" s="1676"/>
      <c r="AM67" s="1676"/>
      <c r="AN67" s="1676"/>
      <c r="AO67" s="1676"/>
      <c r="AP67" s="1676"/>
      <c r="AQ67" s="1676"/>
    </row>
    <row r="68" spans="1:43" ht="4.3499999999999996" customHeight="1">
      <c r="A68" s="1558"/>
      <c r="B68" s="1565"/>
      <c r="C68" s="1605"/>
      <c r="D68" s="1605"/>
      <c r="E68" s="1605"/>
      <c r="F68" s="1605"/>
      <c r="G68" s="1605"/>
      <c r="H68" s="1605"/>
      <c r="I68" s="1605"/>
      <c r="J68" s="1605"/>
      <c r="K68" s="1605"/>
      <c r="L68" s="1605"/>
      <c r="M68" s="1605"/>
      <c r="N68" s="1605"/>
      <c r="O68" s="2602"/>
      <c r="P68" s="2602"/>
      <c r="Q68" s="2602"/>
      <c r="R68" s="2602"/>
      <c r="S68" s="2602"/>
      <c r="T68" s="2602"/>
      <c r="U68" s="1158"/>
      <c r="V68" s="1560"/>
      <c r="W68" s="1676"/>
      <c r="Y68" s="1681"/>
      <c r="Z68" s="1681"/>
      <c r="AA68" s="1604"/>
      <c r="AB68" s="1604"/>
      <c r="AC68" s="1262"/>
      <c r="AD68" s="1262"/>
      <c r="AE68" s="1262"/>
      <c r="AF68" s="1262"/>
      <c r="AG68" s="1262"/>
      <c r="AH68" s="1262"/>
    </row>
    <row r="69" spans="1:43" ht="18" customHeight="1">
      <c r="A69" s="1558"/>
      <c r="B69" s="1565"/>
      <c r="C69" s="2602"/>
      <c r="D69" s="1158"/>
      <c r="E69" s="1530" t="s">
        <v>2149</v>
      </c>
      <c r="F69" s="3134"/>
      <c r="G69" s="3135"/>
      <c r="H69" s="3135"/>
      <c r="I69" s="3135"/>
      <c r="J69" s="3135"/>
      <c r="K69" s="3135"/>
      <c r="L69" s="3135"/>
      <c r="M69" s="3136"/>
      <c r="N69" s="2602"/>
      <c r="O69" s="3134"/>
      <c r="P69" s="3135"/>
      <c r="Q69" s="3135"/>
      <c r="R69" s="3135"/>
      <c r="S69" s="3135"/>
      <c r="T69" s="3136"/>
      <c r="U69" s="1158"/>
      <c r="V69" s="1560"/>
      <c r="W69" s="1676"/>
      <c r="Y69" s="1681"/>
      <c r="AC69" s="1262"/>
      <c r="AD69" s="1262"/>
      <c r="AE69" s="1262"/>
      <c r="AF69" s="1262"/>
      <c r="AG69" s="1262"/>
      <c r="AH69" s="1262"/>
    </row>
    <row r="70" spans="1:43" ht="4.3499999999999996" customHeight="1">
      <c r="A70" s="1558"/>
      <c r="B70" s="1565"/>
      <c r="C70" s="1606"/>
      <c r="D70" s="1606"/>
      <c r="E70" s="1606"/>
      <c r="F70" s="1606"/>
      <c r="G70" s="1606"/>
      <c r="H70" s="1606"/>
      <c r="I70" s="1606"/>
      <c r="J70" s="1606"/>
      <c r="K70" s="1606"/>
      <c r="L70" s="1606"/>
      <c r="M70" s="1606"/>
      <c r="N70" s="1606"/>
      <c r="O70" s="1606"/>
      <c r="P70" s="1606"/>
      <c r="Q70" s="1606"/>
      <c r="R70" s="1606"/>
      <c r="S70" s="1606"/>
      <c r="T70" s="1606"/>
      <c r="U70" s="2602"/>
      <c r="V70" s="1560"/>
      <c r="W70" s="1676"/>
      <c r="Y70" s="1681"/>
      <c r="Z70" s="1681"/>
      <c r="AA70" s="1604"/>
      <c r="AB70" s="1604"/>
      <c r="AC70" s="1262"/>
      <c r="AD70" s="1262"/>
      <c r="AE70" s="1262"/>
      <c r="AF70" s="1262"/>
      <c r="AG70" s="1262"/>
      <c r="AH70" s="1262"/>
    </row>
    <row r="71" spans="1:43" ht="15.75" customHeight="1">
      <c r="A71" s="1723"/>
      <c r="B71" s="1728" t="s">
        <v>95</v>
      </c>
      <c r="C71" s="2603" t="s">
        <v>1597</v>
      </c>
      <c r="D71" s="1726"/>
      <c r="E71" s="1726"/>
      <c r="F71" s="1726"/>
      <c r="G71" s="1726"/>
      <c r="H71" s="1726"/>
      <c r="I71" s="1726"/>
      <c r="J71" s="1726"/>
      <c r="K71" s="1726"/>
      <c r="L71" s="1726"/>
      <c r="M71" s="1726"/>
      <c r="N71" s="1726"/>
      <c r="O71" s="1726"/>
      <c r="P71" s="1726"/>
      <c r="Q71" s="1726"/>
      <c r="R71" s="1726"/>
      <c r="S71" s="1726"/>
      <c r="T71" s="1726"/>
      <c r="U71" s="1726"/>
      <c r="V71" s="1727"/>
      <c r="AD71" s="1675"/>
      <c r="AE71" s="1675"/>
      <c r="AF71" s="1675"/>
      <c r="AG71" s="1675"/>
      <c r="AM71" s="1679"/>
      <c r="AN71" s="1679"/>
      <c r="AO71" s="1679"/>
      <c r="AP71" s="1679"/>
    </row>
    <row r="72" spans="1:43" ht="6" customHeight="1">
      <c r="A72" s="1558"/>
      <c r="B72" s="1548"/>
      <c r="C72" s="1548"/>
      <c r="D72" s="2602"/>
      <c r="E72" s="2602"/>
      <c r="F72" s="2602"/>
      <c r="G72" s="2602"/>
      <c r="H72" s="2602"/>
      <c r="I72" s="2602"/>
      <c r="J72" s="2602"/>
      <c r="K72" s="2602"/>
      <c r="L72" s="2602"/>
      <c r="M72" s="2602"/>
      <c r="N72" s="2602"/>
      <c r="O72" s="2602"/>
      <c r="P72" s="2602"/>
      <c r="Q72" s="2602"/>
      <c r="R72" s="2602"/>
      <c r="S72" s="2602"/>
      <c r="T72" s="2602"/>
      <c r="U72" s="2602"/>
      <c r="V72" s="1560"/>
      <c r="AD72" s="1675"/>
      <c r="AE72" s="1675"/>
      <c r="AF72" s="1675"/>
      <c r="AG72" s="1675"/>
      <c r="AM72" s="1679"/>
      <c r="AN72" s="1679"/>
      <c r="AO72" s="1679"/>
      <c r="AP72" s="1679"/>
    </row>
    <row r="73" spans="1:43" ht="6" customHeight="1">
      <c r="A73" s="1558"/>
      <c r="B73" s="1553"/>
      <c r="C73" s="1540"/>
      <c r="D73" s="1540"/>
      <c r="E73" s="1540"/>
      <c r="F73" s="1540"/>
      <c r="G73" s="1540"/>
      <c r="H73" s="1540"/>
      <c r="I73" s="1540"/>
      <c r="J73" s="1540"/>
      <c r="K73" s="1541"/>
      <c r="L73" s="1540"/>
      <c r="M73" s="1542"/>
      <c r="N73" s="1540"/>
      <c r="O73" s="1540"/>
      <c r="P73" s="1540"/>
      <c r="Q73" s="1540"/>
      <c r="R73" s="1540"/>
      <c r="S73" s="1540"/>
      <c r="T73" s="1540"/>
      <c r="U73" s="1607"/>
      <c r="V73" s="1560"/>
      <c r="X73" s="2411"/>
      <c r="Y73" s="2411"/>
      <c r="Z73" s="2411"/>
      <c r="AA73" s="2411"/>
      <c r="AB73" s="2411"/>
      <c r="AC73" s="2411"/>
      <c r="AD73" s="2411"/>
      <c r="AE73" s="2411"/>
      <c r="AF73" s="2411"/>
      <c r="AG73" s="2411"/>
      <c r="AH73" s="2411"/>
      <c r="AI73" s="2411"/>
      <c r="AJ73" s="2411"/>
      <c r="AK73" s="2411"/>
      <c r="AM73" s="1679"/>
      <c r="AN73" s="1679"/>
      <c r="AO73" s="1679"/>
      <c r="AP73" s="1679"/>
    </row>
    <row r="74" spans="1:43" ht="18" customHeight="1">
      <c r="A74" s="1558"/>
      <c r="B74" s="1554"/>
      <c r="C74" s="2602"/>
      <c r="D74" s="2602"/>
      <c r="E74" s="2602"/>
      <c r="F74" s="2574" t="s">
        <v>1708</v>
      </c>
      <c r="G74" s="3175"/>
      <c r="H74" s="3176"/>
      <c r="I74" s="3176"/>
      <c r="J74" s="3176"/>
      <c r="K74" s="3176"/>
      <c r="L74" s="3176"/>
      <c r="M74" s="3176"/>
      <c r="N74" s="3176"/>
      <c r="O74" s="3176"/>
      <c r="P74" s="3176"/>
      <c r="Q74" s="3176"/>
      <c r="R74" s="3176"/>
      <c r="S74" s="3176"/>
      <c r="T74" s="3177"/>
      <c r="U74" s="1608"/>
      <c r="V74" s="1560"/>
      <c r="X74" s="2411"/>
      <c r="Y74" s="2411"/>
      <c r="Z74" s="2411"/>
      <c r="AA74" s="2411"/>
      <c r="AB74" s="2411"/>
      <c r="AC74" s="2411"/>
      <c r="AD74" s="2411"/>
      <c r="AE74" s="2411"/>
      <c r="AF74" s="2411"/>
      <c r="AG74" s="2411"/>
      <c r="AH74" s="2411"/>
      <c r="AI74" s="2411"/>
      <c r="AJ74" s="2411"/>
      <c r="AK74" s="2411"/>
      <c r="AM74" s="1679"/>
      <c r="AN74" s="1679"/>
      <c r="AO74" s="1679"/>
      <c r="AP74" s="1679"/>
    </row>
    <row r="75" spans="1:43" ht="5.85" customHeight="1">
      <c r="A75" s="1558"/>
      <c r="B75" s="1554"/>
      <c r="C75" s="2602"/>
      <c r="D75" s="2602"/>
      <c r="E75" s="2602"/>
      <c r="F75" s="2574"/>
      <c r="G75" s="1954"/>
      <c r="H75" s="1954"/>
      <c r="I75" s="1954"/>
      <c r="J75" s="1954"/>
      <c r="K75" s="1954"/>
      <c r="L75" s="1954"/>
      <c r="M75" s="1954"/>
      <c r="N75" s="1954"/>
      <c r="O75" s="1954"/>
      <c r="P75" s="1954"/>
      <c r="Q75" s="1954"/>
      <c r="R75" s="1954"/>
      <c r="S75" s="1954"/>
      <c r="T75" s="1954"/>
      <c r="U75" s="1608"/>
      <c r="V75" s="1560"/>
      <c r="X75" s="2411"/>
      <c r="Y75" s="2411"/>
      <c r="Z75" s="2411"/>
      <c r="AA75" s="2411"/>
      <c r="AB75" s="2411"/>
      <c r="AC75" s="2411"/>
      <c r="AD75" s="2411"/>
      <c r="AE75" s="2411"/>
      <c r="AF75" s="2411"/>
      <c r="AG75" s="2411"/>
      <c r="AH75" s="2411"/>
      <c r="AI75" s="2411"/>
      <c r="AJ75" s="2411"/>
      <c r="AK75" s="2411"/>
      <c r="AM75" s="1679"/>
      <c r="AN75" s="1679"/>
      <c r="AO75" s="1679"/>
      <c r="AP75" s="1679"/>
    </row>
    <row r="76" spans="1:43" ht="15" customHeight="1">
      <c r="A76" s="1558"/>
      <c r="B76" s="1554"/>
      <c r="C76" s="2602"/>
      <c r="D76" s="2602"/>
      <c r="E76" s="1930"/>
      <c r="F76" s="535"/>
      <c r="G76" s="535"/>
      <c r="H76" s="535"/>
      <c r="I76" s="2596" t="s">
        <v>1706</v>
      </c>
      <c r="J76" s="2573"/>
      <c r="K76" s="3160" t="s">
        <v>1794</v>
      </c>
      <c r="L76" s="3161"/>
      <c r="M76" s="3161"/>
      <c r="N76" s="3161"/>
      <c r="O76" s="3161"/>
      <c r="P76" s="3161"/>
      <c r="Q76" s="3161"/>
      <c r="R76" s="3161"/>
      <c r="S76" s="3161"/>
      <c r="T76" s="3161"/>
      <c r="U76" s="3162"/>
      <c r="V76" s="1560"/>
      <c r="X76" s="2411"/>
      <c r="Y76" s="2411"/>
      <c r="Z76" s="2411"/>
      <c r="AA76" s="2411"/>
      <c r="AB76" s="2411"/>
      <c r="AC76" s="2411"/>
      <c r="AD76" s="2411"/>
      <c r="AE76" s="2411"/>
      <c r="AF76" s="2411"/>
      <c r="AG76" s="2411"/>
      <c r="AH76" s="2411"/>
      <c r="AI76" s="2411"/>
      <c r="AJ76" s="2411"/>
      <c r="AK76" s="2411"/>
      <c r="AM76" s="1679"/>
      <c r="AN76" s="1679"/>
      <c r="AO76" s="1679"/>
      <c r="AP76" s="1679"/>
    </row>
    <row r="77" spans="1:43" s="1680" customFormat="1" ht="15" customHeight="1">
      <c r="A77" s="1562"/>
      <c r="B77" s="1900"/>
      <c r="C77" s="3163" t="s">
        <v>1795</v>
      </c>
      <c r="D77" s="3163"/>
      <c r="E77" s="3163"/>
      <c r="F77" s="3163"/>
      <c r="G77" s="3163"/>
      <c r="H77" s="3163"/>
      <c r="I77" s="3163"/>
      <c r="J77" s="3163"/>
      <c r="K77" s="3163"/>
      <c r="L77" s="3163"/>
      <c r="M77" s="3163"/>
      <c r="N77" s="3163"/>
      <c r="O77" s="3163"/>
      <c r="P77" s="3163"/>
      <c r="Q77" s="3163"/>
      <c r="R77" s="3163"/>
      <c r="S77" s="3163"/>
      <c r="T77" s="3163"/>
      <c r="U77" s="3164"/>
      <c r="V77" s="1563"/>
      <c r="W77" s="1679"/>
      <c r="X77" s="2412"/>
      <c r="Y77" s="2412"/>
      <c r="Z77" s="2412"/>
      <c r="AA77" s="2412"/>
      <c r="AB77" s="2412"/>
      <c r="AC77" s="2412"/>
      <c r="AD77" s="2412"/>
      <c r="AE77" s="2412"/>
      <c r="AF77" s="2412"/>
      <c r="AG77" s="2412"/>
      <c r="AH77" s="2412"/>
      <c r="AI77" s="2412"/>
      <c r="AJ77" s="2412"/>
      <c r="AK77" s="2412"/>
      <c r="AL77" s="1679"/>
      <c r="AM77" s="1679"/>
      <c r="AN77" s="1679"/>
      <c r="AO77" s="1679"/>
      <c r="AP77" s="1679"/>
      <c r="AQ77" s="1679"/>
    </row>
    <row r="78" spans="1:43" s="1680" customFormat="1" ht="30" customHeight="1">
      <c r="A78" s="1562"/>
      <c r="B78" s="1903" t="s">
        <v>1744</v>
      </c>
      <c r="C78" s="3165"/>
      <c r="D78" s="3166"/>
      <c r="E78" s="3166"/>
      <c r="F78" s="3166"/>
      <c r="G78" s="3166"/>
      <c r="H78" s="3166"/>
      <c r="I78" s="3166"/>
      <c r="J78" s="3166"/>
      <c r="K78" s="3166"/>
      <c r="L78" s="3166"/>
      <c r="M78" s="3166"/>
      <c r="N78" s="3166"/>
      <c r="O78" s="3166"/>
      <c r="P78" s="3166"/>
      <c r="Q78" s="3166"/>
      <c r="R78" s="3166"/>
      <c r="S78" s="3166"/>
      <c r="T78" s="3167"/>
      <c r="U78" s="1902"/>
      <c r="V78" s="1563"/>
      <c r="W78" s="1679"/>
      <c r="X78" s="2412"/>
      <c r="Y78" s="2412"/>
      <c r="Z78" s="2412"/>
      <c r="AA78" s="2412"/>
      <c r="AB78" s="2412"/>
      <c r="AC78" s="2412"/>
      <c r="AD78" s="2412"/>
      <c r="AE78" s="2412"/>
      <c r="AF78" s="2412"/>
      <c r="AG78" s="2412"/>
      <c r="AH78" s="2412"/>
      <c r="AI78" s="2412"/>
      <c r="AJ78" s="2412"/>
      <c r="AK78" s="2412"/>
      <c r="AL78" s="1679"/>
      <c r="AM78" s="1679"/>
      <c r="AN78" s="1679"/>
      <c r="AO78" s="1679"/>
      <c r="AP78" s="1679"/>
      <c r="AQ78" s="1679"/>
    </row>
    <row r="79" spans="1:43" s="1911" customFormat="1" ht="17.25" customHeight="1">
      <c r="A79" s="1904"/>
      <c r="B79" s="1905"/>
      <c r="C79" s="1906"/>
      <c r="D79" s="1906"/>
      <c r="E79" s="1906"/>
      <c r="F79" s="1906"/>
      <c r="G79" s="3152" t="s">
        <v>1549</v>
      </c>
      <c r="H79" s="3152"/>
      <c r="I79" s="1906"/>
      <c r="J79" s="1906"/>
      <c r="K79" s="1273" t="s">
        <v>1549</v>
      </c>
      <c r="L79" s="1273"/>
      <c r="M79" s="2163" t="s">
        <v>1926</v>
      </c>
      <c r="N79" s="2163"/>
      <c r="O79" s="1906"/>
      <c r="P79" s="1907"/>
      <c r="Q79" s="1907"/>
      <c r="R79" s="1907"/>
      <c r="S79" s="1907"/>
      <c r="T79" s="1907"/>
      <c r="U79" s="1908"/>
      <c r="V79" s="1909"/>
      <c r="W79" s="1910"/>
      <c r="X79" s="2413"/>
      <c r="Y79" s="2413"/>
      <c r="Z79" s="2413"/>
      <c r="AA79" s="2413"/>
      <c r="AB79" s="2413"/>
      <c r="AC79" s="2413"/>
      <c r="AD79" s="2413"/>
      <c r="AE79" s="2413"/>
      <c r="AF79" s="2413"/>
      <c r="AG79" s="2413"/>
      <c r="AH79" s="2413"/>
      <c r="AI79" s="2413"/>
      <c r="AJ79" s="2413"/>
      <c r="AK79" s="2413"/>
      <c r="AL79" s="1910"/>
      <c r="AM79" s="1910"/>
      <c r="AN79" s="1910"/>
      <c r="AO79" s="1910"/>
      <c r="AP79" s="1910"/>
      <c r="AQ79" s="1910"/>
    </row>
    <row r="80" spans="1:43" ht="18" customHeight="1">
      <c r="A80" s="1558"/>
      <c r="B80" s="2444"/>
      <c r="C80" s="2575"/>
      <c r="D80" s="2575"/>
      <c r="E80" s="1930"/>
      <c r="F80" s="2576" t="s">
        <v>1707</v>
      </c>
      <c r="G80" s="3153" t="str">
        <f>IF(ISBLANK(Field!G44)," ",(Field!G44))</f>
        <v xml:space="preserve"> </v>
      </c>
      <c r="H80" s="3154"/>
      <c r="I80" s="2575" t="s">
        <v>640</v>
      </c>
      <c r="J80" s="1930"/>
      <c r="K80" s="1735" t="str">
        <f>IF(ISBLANK(G82),"",G80/12)</f>
        <v/>
      </c>
      <c r="L80" s="2602" t="s">
        <v>92</v>
      </c>
      <c r="M80" s="3155" t="str">
        <f>IF(ISBLANK(Field!J44)," ",(Field!J44))</f>
        <v xml:space="preserve"> </v>
      </c>
      <c r="N80" s="3156"/>
      <c r="O80" s="1930" t="s">
        <v>92</v>
      </c>
      <c r="P80" s="2445"/>
      <c r="Q80" s="1901"/>
      <c r="R80" s="1901"/>
      <c r="S80" s="1901"/>
      <c r="T80" s="1901"/>
      <c r="U80" s="1902"/>
      <c r="V80" s="1560"/>
      <c r="W80" s="1675"/>
      <c r="X80" s="2411"/>
      <c r="Y80" s="2411"/>
      <c r="Z80" s="2411"/>
      <c r="AA80" s="2411"/>
      <c r="AB80" s="2411"/>
      <c r="AC80" s="2411"/>
      <c r="AD80" s="2411"/>
      <c r="AE80" s="2411"/>
      <c r="AF80" s="2411"/>
      <c r="AG80" s="2411"/>
      <c r="AH80" s="2411"/>
      <c r="AI80" s="2411"/>
      <c r="AJ80" s="2411"/>
      <c r="AK80" s="2411"/>
    </row>
    <row r="81" spans="1:37" ht="4.5" customHeight="1">
      <c r="A81" s="1558"/>
      <c r="B81" s="1539"/>
      <c r="C81" s="2575"/>
      <c r="D81" s="2575"/>
      <c r="E81" s="1930"/>
      <c r="F81" s="2576"/>
      <c r="G81" s="2588"/>
      <c r="H81" s="2588"/>
      <c r="I81" s="2575"/>
      <c r="J81" s="1930"/>
      <c r="K81" s="2602"/>
      <c r="L81" s="2602"/>
      <c r="M81" s="2588"/>
      <c r="N81" s="2588"/>
      <c r="O81" s="1930"/>
      <c r="P81" s="1901"/>
      <c r="Q81" s="1901"/>
      <c r="R81" s="1901"/>
      <c r="S81" s="1901"/>
      <c r="T81" s="1901"/>
      <c r="U81" s="1902"/>
      <c r="V81" s="1560"/>
      <c r="W81" s="1675"/>
      <c r="X81" s="2411"/>
      <c r="Y81" s="2411"/>
      <c r="Z81" s="2411"/>
      <c r="AA81" s="2411"/>
      <c r="AB81" s="2411"/>
      <c r="AC81" s="2411"/>
      <c r="AD81" s="2411"/>
      <c r="AE81" s="2411"/>
      <c r="AF81" s="2411"/>
      <c r="AG81" s="2411"/>
      <c r="AH81" s="2411"/>
      <c r="AI81" s="2411"/>
      <c r="AJ81" s="2411"/>
      <c r="AK81" s="2411"/>
    </row>
    <row r="82" spans="1:37" ht="18" customHeight="1">
      <c r="A82" s="1558"/>
      <c r="B82" s="1539"/>
      <c r="C82" s="1930"/>
      <c r="D82" s="1930"/>
      <c r="E82" s="1930"/>
      <c r="F82" s="2576" t="s">
        <v>1705</v>
      </c>
      <c r="G82" s="3178"/>
      <c r="H82" s="3179"/>
      <c r="I82" s="1930" t="s">
        <v>640</v>
      </c>
      <c r="J82" s="1930"/>
      <c r="K82" s="1735" t="str">
        <f>IF(ISBLANK(G82),"",G82/12)</f>
        <v/>
      </c>
      <c r="L82" s="2601" t="s">
        <v>92</v>
      </c>
      <c r="M82" s="3152" t="s">
        <v>1550</v>
      </c>
      <c r="N82" s="3152"/>
      <c r="O82" s="1930"/>
      <c r="P82" s="1610" t="s">
        <v>1710</v>
      </c>
      <c r="Q82" s="2602"/>
      <c r="R82" s="2602"/>
      <c r="S82" s="2602"/>
      <c r="T82" s="2602"/>
      <c r="U82" s="1609"/>
      <c r="V82" s="1560"/>
      <c r="W82" s="1675"/>
      <c r="X82" s="2411"/>
      <c r="Y82" s="2411"/>
      <c r="Z82" s="2411"/>
      <c r="AA82" s="2411"/>
      <c r="AB82" s="2411"/>
      <c r="AC82" s="2411"/>
      <c r="AD82" s="2411"/>
      <c r="AE82" s="2411"/>
      <c r="AF82" s="2411"/>
      <c r="AG82" s="2411"/>
      <c r="AH82" s="2411"/>
      <c r="AI82" s="2411"/>
      <c r="AJ82" s="2411"/>
      <c r="AK82" s="2411"/>
    </row>
    <row r="83" spans="1:37" ht="4.3499999999999996" customHeight="1">
      <c r="A83" s="1558"/>
      <c r="B83" s="1539"/>
      <c r="C83" s="1930"/>
      <c r="D83" s="1930"/>
      <c r="E83" s="1930"/>
      <c r="F83" s="2574"/>
      <c r="G83" s="2588"/>
      <c r="H83" s="2588"/>
      <c r="I83" s="1930"/>
      <c r="J83" s="1930"/>
      <c r="K83" s="2602"/>
      <c r="L83" s="2602"/>
      <c r="M83" s="3198"/>
      <c r="N83" s="3198"/>
      <c r="O83" s="1930"/>
      <c r="P83" s="2602"/>
      <c r="Q83" s="2602"/>
      <c r="R83" s="2602"/>
      <c r="S83" s="2602"/>
      <c r="T83" s="2602"/>
      <c r="U83" s="1609"/>
      <c r="V83" s="1560"/>
      <c r="W83" s="1675"/>
      <c r="X83" s="2411"/>
      <c r="Y83" s="2411"/>
      <c r="Z83" s="2411"/>
      <c r="AA83" s="2411"/>
      <c r="AB83" s="2411"/>
      <c r="AC83" s="2411"/>
      <c r="AD83" s="2411"/>
      <c r="AE83" s="2411"/>
      <c r="AF83" s="2411"/>
      <c r="AG83" s="2411"/>
      <c r="AH83" s="2411"/>
      <c r="AI83" s="2411"/>
      <c r="AJ83" s="2411"/>
      <c r="AK83" s="2411"/>
    </row>
    <row r="84" spans="1:37" ht="18" customHeight="1">
      <c r="A84" s="1558"/>
      <c r="B84" s="1539"/>
      <c r="C84" s="1930"/>
      <c r="D84" s="1930"/>
      <c r="E84" s="1930"/>
      <c r="F84" s="2576" t="s">
        <v>1709</v>
      </c>
      <c r="G84" s="3180" t="str">
        <f>IF(ISBLANK(G82),"", IF((G80-G82)&lt;0, "Mound", (G80-G82)))</f>
        <v/>
      </c>
      <c r="H84" s="3181"/>
      <c r="I84" s="1930" t="s">
        <v>640</v>
      </c>
      <c r="J84" s="1930"/>
      <c r="K84" s="1891" t="str">
        <f>IF(ISBLANK(G82),"",K80 -K82)</f>
        <v/>
      </c>
      <c r="L84" s="1930" t="s">
        <v>92</v>
      </c>
      <c r="M84" s="3155" t="str">
        <f>IFERROR(M80+K82,"")</f>
        <v/>
      </c>
      <c r="N84" s="3156"/>
      <c r="O84" s="535" t="s">
        <v>92</v>
      </c>
      <c r="P84" s="2602"/>
      <c r="Q84" s="2602"/>
      <c r="R84" s="2602"/>
      <c r="S84" s="2602"/>
      <c r="T84" s="2602"/>
      <c r="U84" s="1609"/>
      <c r="V84" s="1560"/>
      <c r="X84" s="2411"/>
      <c r="Y84" s="2411"/>
      <c r="Z84" s="2411"/>
      <c r="AA84" s="2411"/>
      <c r="AB84" s="2411"/>
      <c r="AC84" s="2411"/>
      <c r="AD84" s="2411"/>
      <c r="AE84" s="2411"/>
      <c r="AF84" s="2411"/>
      <c r="AG84" s="2411"/>
      <c r="AH84" s="2411"/>
      <c r="AI84" s="2411"/>
      <c r="AJ84" s="2411"/>
      <c r="AK84" s="2411"/>
    </row>
    <row r="85" spans="1:37" ht="11.25" customHeight="1">
      <c r="A85" s="1558"/>
      <c r="B85" s="2420" t="s">
        <v>2065</v>
      </c>
      <c r="C85" s="1895"/>
      <c r="D85" s="1895"/>
      <c r="E85" s="1895"/>
      <c r="F85" s="1895"/>
      <c r="G85" s="1895"/>
      <c r="H85" s="1895"/>
      <c r="I85" s="1895"/>
      <c r="J85" s="1895"/>
      <c r="K85" s="1895"/>
      <c r="L85" s="1895"/>
      <c r="M85" s="1895"/>
      <c r="N85" s="1895"/>
      <c r="O85" s="1895"/>
      <c r="P85" s="1895"/>
      <c r="Q85" s="1895"/>
      <c r="R85" s="1895"/>
      <c r="S85" s="1895"/>
      <c r="T85" s="1895"/>
      <c r="U85" s="2421"/>
      <c r="V85" s="1560"/>
      <c r="X85" s="2411"/>
      <c r="Y85" s="2411"/>
      <c r="Z85" s="2411"/>
      <c r="AA85" s="2411"/>
      <c r="AB85" s="2411"/>
      <c r="AC85" s="2411"/>
      <c r="AD85" s="2411"/>
      <c r="AE85" s="2411"/>
      <c r="AF85" s="2411"/>
      <c r="AG85" s="2411"/>
      <c r="AH85" s="2411"/>
      <c r="AI85" s="2411"/>
      <c r="AJ85" s="2411"/>
      <c r="AK85" s="2411"/>
    </row>
    <row r="86" spans="1:37" ht="4.3499999999999996" customHeight="1">
      <c r="A86" s="1558"/>
      <c r="B86" s="1930"/>
      <c r="C86" s="1930"/>
      <c r="D86" s="1930"/>
      <c r="E86" s="1930"/>
      <c r="F86" s="2602"/>
      <c r="G86" s="2602"/>
      <c r="H86" s="2602"/>
      <c r="I86" s="2602"/>
      <c r="J86" s="2602"/>
      <c r="K86" s="2602"/>
      <c r="L86" s="2602"/>
      <c r="M86" s="2602"/>
      <c r="N86" s="2602"/>
      <c r="O86" s="2602"/>
      <c r="P86" s="1930"/>
      <c r="Q86" s="2602"/>
      <c r="R86" s="2602"/>
      <c r="S86" s="2602"/>
      <c r="T86" s="2602"/>
      <c r="U86" s="2602"/>
      <c r="V86" s="1560"/>
      <c r="X86" s="2411"/>
      <c r="Y86" s="2411"/>
      <c r="Z86" s="2411"/>
      <c r="AA86" s="2411"/>
      <c r="AB86" s="2411"/>
      <c r="AC86" s="2411"/>
      <c r="AD86" s="2411"/>
      <c r="AE86" s="2411"/>
      <c r="AF86" s="2411"/>
      <c r="AG86" s="2411"/>
      <c r="AH86" s="2411"/>
      <c r="AI86" s="2411"/>
      <c r="AJ86" s="2411"/>
      <c r="AK86" s="2411"/>
    </row>
    <row r="87" spans="1:37" ht="18" customHeight="1">
      <c r="A87" s="1558"/>
      <c r="B87" s="1930"/>
      <c r="C87" s="535"/>
      <c r="D87" s="535"/>
      <c r="E87" s="2576" t="s">
        <v>298</v>
      </c>
      <c r="F87" s="535"/>
      <c r="G87" s="3178"/>
      <c r="H87" s="3197"/>
      <c r="I87" s="3197"/>
      <c r="J87" s="3197"/>
      <c r="K87" s="3179"/>
      <c r="L87" s="2575"/>
      <c r="M87" s="1901"/>
      <c r="N87" s="1901"/>
      <c r="O87" s="1901"/>
      <c r="P87" s="1901"/>
      <c r="Q87" s="1901"/>
      <c r="R87" s="1901"/>
      <c r="S87" s="1901"/>
      <c r="T87" s="1901"/>
      <c r="U87" s="1901"/>
      <c r="V87" s="1557">
        <v>0</v>
      </c>
      <c r="X87" s="2411"/>
      <c r="Y87" s="2411"/>
      <c r="Z87" s="2411"/>
      <c r="AA87" s="2411"/>
      <c r="AB87" s="2411"/>
      <c r="AC87" s="2411"/>
      <c r="AD87" s="2411"/>
      <c r="AE87" s="2411"/>
      <c r="AF87" s="2411"/>
      <c r="AG87" s="2411"/>
      <c r="AH87" s="2411"/>
      <c r="AI87" s="2411"/>
      <c r="AJ87" s="2411"/>
      <c r="AK87" s="2411"/>
    </row>
    <row r="88" spans="1:37" ht="4.3499999999999996" customHeight="1">
      <c r="A88" s="1558"/>
      <c r="B88" s="2602"/>
      <c r="C88" s="2602"/>
      <c r="D88" s="2602"/>
      <c r="E88" s="2602"/>
      <c r="F88" s="2576"/>
      <c r="G88" s="2602"/>
      <c r="H88" s="2602"/>
      <c r="I88" s="2602"/>
      <c r="J88" s="2602"/>
      <c r="K88" s="2602"/>
      <c r="L88" s="2602"/>
      <c r="M88" s="1901"/>
      <c r="N88" s="1901"/>
      <c r="O88" s="1901"/>
      <c r="P88" s="1901"/>
      <c r="Q88" s="1901"/>
      <c r="R88" s="1901"/>
      <c r="S88" s="1901"/>
      <c r="T88" s="1901"/>
      <c r="U88" s="1901"/>
      <c r="V88" s="1612"/>
      <c r="X88" s="2411"/>
      <c r="Y88" s="2411"/>
      <c r="Z88" s="2411"/>
      <c r="AA88" s="2411"/>
      <c r="AB88" s="2411"/>
      <c r="AC88" s="2411"/>
      <c r="AD88" s="2411"/>
      <c r="AE88" s="2411"/>
      <c r="AF88" s="2411"/>
      <c r="AG88" s="2411"/>
      <c r="AH88" s="2411"/>
      <c r="AI88" s="2411"/>
      <c r="AJ88" s="2411"/>
      <c r="AK88" s="2411"/>
    </row>
    <row r="89" spans="1:37" ht="18" customHeight="1">
      <c r="A89" s="1558"/>
      <c r="B89" s="1158"/>
      <c r="C89" s="2602"/>
      <c r="D89" s="2602"/>
      <c r="E89" s="2602"/>
      <c r="F89" s="2576" t="s">
        <v>1401</v>
      </c>
      <c r="G89" s="3113"/>
      <c r="H89" s="3114"/>
      <c r="I89" s="1613" t="s">
        <v>86</v>
      </c>
      <c r="J89" s="2602"/>
      <c r="K89" s="2602"/>
      <c r="L89" s="1930"/>
      <c r="M89" s="1930"/>
      <c r="N89" s="2576" t="s">
        <v>1665</v>
      </c>
      <c r="O89" s="3116" t="str">
        <f>IF(ISBLANK(Field!R46),"",Field!R46)</f>
        <v/>
      </c>
      <c r="P89" s="3117"/>
      <c r="Q89" s="1611" t="s">
        <v>924</v>
      </c>
      <c r="R89" s="2445"/>
      <c r="S89" s="1901"/>
      <c r="T89" s="1901"/>
      <c r="U89" s="1901"/>
      <c r="V89" s="1614"/>
      <c r="X89" s="2411"/>
      <c r="Y89" s="2411"/>
      <c r="Z89" s="2411"/>
      <c r="AA89" s="2411"/>
      <c r="AB89" s="2411"/>
      <c r="AC89" s="2411"/>
      <c r="AD89" s="2411"/>
      <c r="AE89" s="2411"/>
      <c r="AF89" s="2411"/>
      <c r="AG89" s="2411"/>
      <c r="AH89" s="2411"/>
      <c r="AI89" s="2411"/>
      <c r="AJ89" s="2411"/>
      <c r="AK89" s="2411"/>
    </row>
    <row r="90" spans="1:37" ht="4.3499999999999996" customHeight="1">
      <c r="A90" s="1558"/>
      <c r="B90" s="2602"/>
      <c r="C90" s="2602"/>
      <c r="D90" s="2602"/>
      <c r="E90" s="2602"/>
      <c r="F90" s="2576"/>
      <c r="G90" s="2602"/>
      <c r="H90" s="2602"/>
      <c r="I90" s="2602"/>
      <c r="J90" s="2602"/>
      <c r="K90" s="2602"/>
      <c r="L90" s="1701"/>
      <c r="M90" s="1701"/>
      <c r="N90" s="1701"/>
      <c r="O90" s="1701"/>
      <c r="P90" s="1701"/>
      <c r="Q90" s="1701"/>
      <c r="R90" s="1701"/>
      <c r="S90" s="1701"/>
      <c r="T90" s="1701"/>
      <c r="U90" s="1701"/>
      <c r="V90" s="1612"/>
      <c r="X90" s="2411"/>
      <c r="Y90" s="2411"/>
      <c r="Z90" s="2411"/>
      <c r="AA90" s="2411"/>
      <c r="AB90" s="2411"/>
      <c r="AC90" s="2411"/>
      <c r="AD90" s="2411"/>
      <c r="AE90" s="2411"/>
      <c r="AF90" s="2411"/>
      <c r="AG90" s="2411"/>
      <c r="AH90" s="2411"/>
      <c r="AI90" s="2411"/>
      <c r="AJ90" s="2411"/>
      <c r="AK90" s="2411"/>
    </row>
    <row r="91" spans="1:37" ht="18" customHeight="1">
      <c r="A91" s="1558"/>
      <c r="B91" s="2602"/>
      <c r="C91" s="2602"/>
      <c r="D91" s="2602"/>
      <c r="E91" s="2602"/>
      <c r="F91" s="2576" t="s">
        <v>280</v>
      </c>
      <c r="G91" s="2771"/>
      <c r="H91" s="2773"/>
      <c r="I91" s="2602"/>
      <c r="J91" s="2602"/>
      <c r="K91" s="2596" t="s">
        <v>1744</v>
      </c>
      <c r="L91" s="3134"/>
      <c r="M91" s="3135"/>
      <c r="N91" s="3135"/>
      <c r="O91" s="3135"/>
      <c r="P91" s="3135"/>
      <c r="Q91" s="3135"/>
      <c r="R91" s="3135"/>
      <c r="S91" s="3135"/>
      <c r="T91" s="3135"/>
      <c r="U91" s="3136"/>
      <c r="V91" s="1560"/>
      <c r="X91" s="2411"/>
      <c r="Y91" s="2411"/>
      <c r="Z91" s="2411"/>
      <c r="AA91" s="2411"/>
      <c r="AB91" s="2411"/>
      <c r="AC91" s="2411"/>
      <c r="AD91" s="2411"/>
      <c r="AE91" s="2411"/>
      <c r="AF91" s="2411"/>
      <c r="AG91" s="2411"/>
      <c r="AH91" s="2411"/>
      <c r="AI91" s="2411"/>
      <c r="AJ91" s="2411"/>
      <c r="AK91" s="2411"/>
    </row>
    <row r="92" spans="1:37" ht="4.3499999999999996" customHeight="1">
      <c r="A92" s="1558"/>
      <c r="B92" s="2602"/>
      <c r="C92" s="2602"/>
      <c r="D92" s="2602"/>
      <c r="E92" s="2602"/>
      <c r="F92" s="2602"/>
      <c r="G92" s="2602"/>
      <c r="H92" s="2602"/>
      <c r="I92" s="2602"/>
      <c r="J92" s="2602"/>
      <c r="K92" s="2602"/>
      <c r="L92" s="101"/>
      <c r="M92" s="101"/>
      <c r="N92" s="101"/>
      <c r="O92" s="101"/>
      <c r="P92" s="101"/>
      <c r="Q92" s="101"/>
      <c r="R92" s="101"/>
      <c r="S92" s="101"/>
      <c r="T92" s="101"/>
      <c r="U92" s="101"/>
      <c r="V92" s="1560"/>
      <c r="X92" s="2411"/>
      <c r="Y92" s="2411"/>
      <c r="Z92" s="2411"/>
      <c r="AA92" s="2411"/>
      <c r="AB92" s="2411"/>
      <c r="AC92" s="2411"/>
      <c r="AD92" s="2411"/>
      <c r="AE92" s="2411"/>
      <c r="AF92" s="2411"/>
      <c r="AG92" s="2411"/>
      <c r="AH92" s="2411"/>
      <c r="AI92" s="2411"/>
      <c r="AJ92" s="2411"/>
      <c r="AK92" s="2411"/>
    </row>
    <row r="93" spans="1:37" ht="18" customHeight="1">
      <c r="A93" s="1558"/>
      <c r="B93" s="2602"/>
      <c r="C93" s="2602"/>
      <c r="D93" s="2602"/>
      <c r="E93" s="2602"/>
      <c r="F93" s="1615" t="s">
        <v>1598</v>
      </c>
      <c r="G93" s="3110"/>
      <c r="H93" s="3111"/>
      <c r="I93" s="1611" t="s">
        <v>630</v>
      </c>
      <c r="J93" s="1158"/>
      <c r="K93" s="2596" t="s">
        <v>1744</v>
      </c>
      <c r="L93" s="3134"/>
      <c r="M93" s="3135"/>
      <c r="N93" s="3135"/>
      <c r="O93" s="3135"/>
      <c r="P93" s="3135"/>
      <c r="Q93" s="3135"/>
      <c r="R93" s="3135"/>
      <c r="S93" s="3135"/>
      <c r="T93" s="3135"/>
      <c r="U93" s="3136"/>
      <c r="V93" s="1560"/>
      <c r="X93" s="2411"/>
      <c r="Y93" s="2411"/>
      <c r="Z93" s="2411"/>
      <c r="AA93" s="2411"/>
      <c r="AB93" s="2411"/>
      <c r="AC93" s="2411"/>
      <c r="AD93" s="2411"/>
      <c r="AE93" s="2411"/>
      <c r="AF93" s="2411"/>
      <c r="AG93" s="2411"/>
      <c r="AH93" s="2411"/>
      <c r="AI93" s="2411"/>
      <c r="AJ93" s="2411"/>
      <c r="AK93" s="2411"/>
    </row>
    <row r="94" spans="1:37" ht="4.3499999999999996" customHeight="1">
      <c r="A94" s="1558"/>
      <c r="B94" s="2602"/>
      <c r="C94" s="2602"/>
      <c r="D94" s="2602"/>
      <c r="E94" s="2602"/>
      <c r="F94" s="2602"/>
      <c r="G94" s="2602"/>
      <c r="H94" s="2602"/>
      <c r="I94" s="2602"/>
      <c r="J94" s="2602"/>
      <c r="K94" s="2602"/>
      <c r="L94" s="2602"/>
      <c r="M94" s="2602"/>
      <c r="N94" s="2602"/>
      <c r="O94" s="2602"/>
      <c r="P94" s="2602"/>
      <c r="Q94" s="2602"/>
      <c r="R94" s="2588"/>
      <c r="S94" s="2588"/>
      <c r="T94" s="1930"/>
      <c r="U94" s="1930"/>
      <c r="V94" s="1560"/>
      <c r="X94" s="2411"/>
      <c r="Y94" s="2411"/>
      <c r="Z94" s="2411"/>
      <c r="AA94" s="2411"/>
      <c r="AB94" s="2411"/>
      <c r="AC94" s="2411"/>
      <c r="AD94" s="2411"/>
      <c r="AE94" s="2411"/>
      <c r="AF94" s="2411"/>
      <c r="AG94" s="2411"/>
      <c r="AH94" s="2411"/>
      <c r="AI94" s="2411"/>
      <c r="AJ94" s="2411"/>
      <c r="AK94" s="2411"/>
    </row>
    <row r="95" spans="1:37" ht="18" customHeight="1">
      <c r="A95" s="1558"/>
      <c r="B95" s="2602"/>
      <c r="C95" s="2602"/>
      <c r="D95" s="2602"/>
      <c r="E95" s="2602"/>
      <c r="F95" s="2596" t="s">
        <v>31</v>
      </c>
      <c r="G95" s="3134"/>
      <c r="H95" s="3135"/>
      <c r="I95" s="3135"/>
      <c r="J95" s="3135"/>
      <c r="K95" s="3135"/>
      <c r="L95" s="3135"/>
      <c r="M95" s="3135"/>
      <c r="N95" s="3135"/>
      <c r="O95" s="3135"/>
      <c r="P95" s="3135"/>
      <c r="Q95" s="3135"/>
      <c r="R95" s="3135"/>
      <c r="S95" s="3135"/>
      <c r="T95" s="3135"/>
      <c r="U95" s="3136"/>
      <c r="V95" s="1560"/>
      <c r="X95" s="2411"/>
      <c r="Y95" s="2411"/>
      <c r="Z95" s="2411"/>
      <c r="AA95" s="2411"/>
      <c r="AB95" s="2411"/>
      <c r="AC95" s="2411"/>
      <c r="AD95" s="2411"/>
      <c r="AE95" s="2411"/>
      <c r="AF95" s="2411"/>
      <c r="AG95" s="2411"/>
      <c r="AH95" s="2411"/>
      <c r="AI95" s="2411"/>
      <c r="AJ95" s="2411"/>
      <c r="AK95" s="2411"/>
    </row>
    <row r="96" spans="1:37" ht="6" customHeight="1">
      <c r="A96" s="1558"/>
      <c r="B96" s="1533"/>
      <c r="C96" s="1548"/>
      <c r="D96" s="2602"/>
      <c r="E96" s="2602"/>
      <c r="F96" s="2602"/>
      <c r="G96" s="2602"/>
      <c r="H96" s="2602"/>
      <c r="I96" s="2602"/>
      <c r="J96" s="2602"/>
      <c r="K96" s="2602"/>
      <c r="L96" s="2602"/>
      <c r="M96" s="2602"/>
      <c r="N96" s="1262"/>
      <c r="O96" s="1262"/>
      <c r="P96" s="1262"/>
      <c r="Q96" s="1262"/>
      <c r="R96" s="1262"/>
      <c r="S96" s="2602"/>
      <c r="T96" s="1616"/>
      <c r="U96" s="1616"/>
      <c r="V96" s="1560"/>
      <c r="X96" s="2411"/>
      <c r="Y96" s="2411"/>
      <c r="Z96" s="2411"/>
      <c r="AA96" s="2411"/>
      <c r="AB96" s="2411"/>
      <c r="AC96" s="2411"/>
      <c r="AD96" s="2411"/>
      <c r="AE96" s="2411"/>
      <c r="AF96" s="2411"/>
      <c r="AG96" s="2411"/>
      <c r="AH96" s="2411"/>
      <c r="AI96" s="2411"/>
      <c r="AJ96" s="2411"/>
      <c r="AK96" s="2411"/>
    </row>
    <row r="97" spans="1:37" ht="15.75" customHeight="1">
      <c r="A97" s="1723"/>
      <c r="B97" s="1724" t="s">
        <v>97</v>
      </c>
      <c r="C97" s="3115" t="s">
        <v>1592</v>
      </c>
      <c r="D97" s="3115"/>
      <c r="E97" s="3115"/>
      <c r="F97" s="3115"/>
      <c r="G97" s="3115"/>
      <c r="H97" s="3115"/>
      <c r="I97" s="3115"/>
      <c r="J97" s="3115"/>
      <c r="K97" s="3115"/>
      <c r="L97" s="3115"/>
      <c r="M97" s="3115"/>
      <c r="N97" s="3115"/>
      <c r="O97" s="3115"/>
      <c r="P97" s="3115"/>
      <c r="Q97" s="3115"/>
      <c r="R97" s="3115"/>
      <c r="S97" s="3115"/>
      <c r="T97" s="3115"/>
      <c r="U97" s="3115"/>
      <c r="V97" s="1727"/>
      <c r="X97" s="2411"/>
      <c r="Y97" s="2411"/>
      <c r="Z97" s="2411"/>
      <c r="AA97" s="2411"/>
      <c r="AB97" s="2411"/>
      <c r="AC97" s="2411"/>
      <c r="AD97" s="2411"/>
      <c r="AE97" s="2411"/>
      <c r="AF97" s="2411"/>
      <c r="AG97" s="2411"/>
      <c r="AH97" s="2411"/>
      <c r="AI97" s="2411"/>
      <c r="AJ97" s="2411"/>
      <c r="AK97" s="2411"/>
    </row>
    <row r="98" spans="1:37" ht="6" customHeight="1">
      <c r="A98" s="1558"/>
      <c r="B98" s="1617"/>
      <c r="C98" s="1617"/>
      <c r="D98" s="1617"/>
      <c r="E98" s="1617"/>
      <c r="F98" s="2602"/>
      <c r="G98" s="2602"/>
      <c r="H98" s="1617"/>
      <c r="I98" s="1617"/>
      <c r="J98" s="1617"/>
      <c r="K98" s="1617"/>
      <c r="L98" s="2602"/>
      <c r="M98" s="2602"/>
      <c r="N98" s="1617"/>
      <c r="O98" s="1617"/>
      <c r="P98" s="1617"/>
      <c r="Q98" s="2602"/>
      <c r="R98" s="2602"/>
      <c r="S98" s="2602"/>
      <c r="T98" s="2602"/>
      <c r="U98" s="2602"/>
      <c r="V98" s="1560"/>
      <c r="X98" s="2411"/>
      <c r="Y98" s="2411"/>
      <c r="Z98" s="2411"/>
      <c r="AA98" s="2411"/>
      <c r="AB98" s="2411"/>
      <c r="AC98" s="2411"/>
      <c r="AD98" s="2411"/>
      <c r="AE98" s="2411"/>
      <c r="AF98" s="2411"/>
      <c r="AG98" s="2411"/>
      <c r="AH98" s="2411"/>
      <c r="AI98" s="2411"/>
      <c r="AJ98" s="2411"/>
      <c r="AK98" s="2411"/>
    </row>
    <row r="99" spans="1:37" ht="13.5" customHeight="1">
      <c r="A99" s="1558"/>
      <c r="B99" s="1618" t="s">
        <v>1716</v>
      </c>
      <c r="C99" s="1619"/>
      <c r="D99" s="1620"/>
      <c r="E99" s="1620"/>
      <c r="F99" s="1620"/>
      <c r="G99" s="1620"/>
      <c r="H99" s="1620"/>
      <c r="I99" s="1620"/>
      <c r="J99" s="1620"/>
      <c r="K99" s="1620"/>
      <c r="L99" s="1620"/>
      <c r="M99" s="1620"/>
      <c r="N99" s="1620"/>
      <c r="O99" s="1620"/>
      <c r="P99" s="1620"/>
      <c r="Q99" s="1620"/>
      <c r="R99" s="1620"/>
      <c r="S99" s="1620"/>
      <c r="T99" s="1620"/>
      <c r="U99" s="1621"/>
      <c r="V99" s="1560"/>
      <c r="X99" s="2411"/>
      <c r="Y99" s="2411"/>
      <c r="Z99" s="2411"/>
      <c r="AA99" s="2411"/>
      <c r="AB99" s="2411"/>
      <c r="AC99" s="2411"/>
      <c r="AD99" s="2411"/>
      <c r="AE99" s="2411"/>
      <c r="AF99" s="2411"/>
      <c r="AG99" s="2411"/>
      <c r="AH99" s="2411"/>
      <c r="AI99" s="2411"/>
      <c r="AJ99" s="2411"/>
      <c r="AK99" s="2411"/>
    </row>
    <row r="100" spans="1:37" ht="18" customHeight="1">
      <c r="A100" s="1558"/>
      <c r="B100" s="1622"/>
      <c r="C100" s="2602"/>
      <c r="D100" s="2602"/>
      <c r="E100" s="2596" t="s">
        <v>925</v>
      </c>
      <c r="F100" s="3106" t="str">
        <f>IF(AA63=1,Trench!G34,"")</f>
        <v/>
      </c>
      <c r="G100" s="3107"/>
      <c r="H100" s="2601" t="s">
        <v>22</v>
      </c>
      <c r="I100" s="2602"/>
      <c r="J100" s="1598"/>
      <c r="K100" s="1596" t="s">
        <v>1</v>
      </c>
      <c r="L100" s="3108" t="str">
        <f>IF(AA63=1,Trench!G32,"")</f>
        <v/>
      </c>
      <c r="M100" s="3109"/>
      <c r="N100" s="2644" t="s">
        <v>94</v>
      </c>
      <c r="O100" s="2602"/>
      <c r="P100" s="2602"/>
      <c r="Q100" s="2602"/>
      <c r="R100" s="2596" t="s">
        <v>299</v>
      </c>
      <c r="S100" s="3108" t="str">
        <f>IF(AA63=1,Trench!H36,"")</f>
        <v/>
      </c>
      <c r="T100" s="3109"/>
      <c r="U100" s="2600" t="s">
        <v>92</v>
      </c>
      <c r="V100" s="1560"/>
      <c r="X100" s="2411"/>
      <c r="Y100" s="2411"/>
      <c r="Z100" s="2411"/>
      <c r="AA100" s="2411"/>
      <c r="AB100" s="2411"/>
      <c r="AC100" s="2411"/>
      <c r="AD100" s="2411"/>
      <c r="AE100" s="2411"/>
      <c r="AF100" s="2411"/>
      <c r="AG100" s="2411"/>
      <c r="AH100" s="2411"/>
      <c r="AI100" s="2411"/>
      <c r="AJ100" s="2411"/>
      <c r="AK100" s="2411"/>
    </row>
    <row r="101" spans="1:37" ht="4.3499999999999996" customHeight="1">
      <c r="A101" s="1558"/>
      <c r="B101" s="1622"/>
      <c r="C101" s="1623"/>
      <c r="D101" s="2601"/>
      <c r="E101" s="2601"/>
      <c r="F101" s="2601"/>
      <c r="G101" s="2601"/>
      <c r="H101" s="2602"/>
      <c r="I101" s="2602"/>
      <c r="J101" s="1624"/>
      <c r="K101" s="1624"/>
      <c r="L101" s="1189"/>
      <c r="M101" s="1530"/>
      <c r="N101" s="2293"/>
      <c r="O101" s="2602"/>
      <c r="P101" s="2602"/>
      <c r="Q101" s="2602"/>
      <c r="R101" s="2602"/>
      <c r="S101" s="2602"/>
      <c r="T101" s="2602"/>
      <c r="U101" s="1190"/>
      <c r="V101" s="1560"/>
      <c r="X101" s="2411"/>
      <c r="Y101" s="2411"/>
      <c r="Z101" s="2411"/>
      <c r="AA101" s="2411"/>
      <c r="AB101" s="2411"/>
      <c r="AC101" s="2411"/>
      <c r="AD101" s="2411"/>
      <c r="AE101" s="2411"/>
      <c r="AF101" s="2411"/>
      <c r="AG101" s="2411"/>
      <c r="AH101" s="2411"/>
      <c r="AI101" s="2411"/>
      <c r="AJ101" s="2411"/>
      <c r="AK101" s="2411"/>
    </row>
    <row r="102" spans="1:37" ht="18" customHeight="1">
      <c r="A102" s="1558"/>
      <c r="B102" s="1622"/>
      <c r="C102" s="2602"/>
      <c r="D102" s="1598"/>
      <c r="E102" s="1596" t="s">
        <v>300</v>
      </c>
      <c r="F102" s="3108" t="str">
        <f>IF(AA63=1, MAX(Trench!M39, Trench!H76),"")</f>
        <v/>
      </c>
      <c r="G102" s="3109"/>
      <c r="H102" s="1272" t="s">
        <v>92</v>
      </c>
      <c r="I102" s="2602"/>
      <c r="J102" s="1598"/>
      <c r="K102" s="1596" t="s">
        <v>1713</v>
      </c>
      <c r="L102" s="3108" t="str">
        <f>IF(AA63=1,Trench!I52,"")</f>
        <v/>
      </c>
      <c r="M102" s="3109"/>
      <c r="N102" s="2602"/>
      <c r="O102" s="2602"/>
      <c r="P102" s="1623"/>
      <c r="Q102" s="1623"/>
      <c r="R102" s="1625" t="s">
        <v>1714</v>
      </c>
      <c r="S102" s="3096" t="str">
        <f>IF(AA63=1,G84,"")</f>
        <v/>
      </c>
      <c r="T102" s="3097"/>
      <c r="U102" s="1626" t="s">
        <v>94</v>
      </c>
      <c r="V102" s="1560"/>
      <c r="X102" s="2411"/>
      <c r="Y102" s="2411"/>
      <c r="Z102" s="2411"/>
      <c r="AA102" s="2411"/>
      <c r="AB102" s="2411"/>
      <c r="AC102" s="2411"/>
      <c r="AD102" s="2411"/>
      <c r="AE102" s="2411"/>
      <c r="AF102" s="2411"/>
      <c r="AG102" s="2411"/>
      <c r="AH102" s="2411"/>
      <c r="AI102" s="2411"/>
      <c r="AJ102" s="2411"/>
      <c r="AK102" s="2411"/>
    </row>
    <row r="103" spans="1:37" ht="4.3499999999999996" customHeight="1">
      <c r="A103" s="1558"/>
      <c r="B103" s="1622"/>
      <c r="C103" s="1623"/>
      <c r="D103" s="2601"/>
      <c r="E103" s="2601"/>
      <c r="F103" s="2601"/>
      <c r="G103" s="2601"/>
      <c r="H103" s="2602"/>
      <c r="I103" s="2602"/>
      <c r="J103" s="1624"/>
      <c r="K103" s="1624"/>
      <c r="L103" s="2602"/>
      <c r="M103" s="2602"/>
      <c r="N103" s="2602"/>
      <c r="O103" s="2602"/>
      <c r="P103" s="2602"/>
      <c r="Q103" s="2602"/>
      <c r="R103" s="2602"/>
      <c r="S103" s="2602"/>
      <c r="T103" s="2602"/>
      <c r="U103" s="1190"/>
      <c r="V103" s="1560"/>
      <c r="X103" s="2411"/>
      <c r="Y103" s="2411"/>
      <c r="Z103" s="2411"/>
      <c r="AA103" s="2411"/>
      <c r="AB103" s="2411"/>
      <c r="AC103" s="2411"/>
      <c r="AD103" s="2411"/>
      <c r="AE103" s="2411"/>
      <c r="AF103" s="2411"/>
      <c r="AG103" s="2411"/>
      <c r="AH103" s="2411"/>
      <c r="AI103" s="2411"/>
      <c r="AJ103" s="2411"/>
      <c r="AK103" s="2411"/>
    </row>
    <row r="104" spans="1:37" ht="18" customHeight="1">
      <c r="A104" s="1558"/>
      <c r="B104" s="1622"/>
      <c r="C104" s="1548"/>
      <c r="D104" s="2601"/>
      <c r="E104" s="1625" t="s">
        <v>1290</v>
      </c>
      <c r="F104" s="3096" t="str">
        <f>IF(AA63=1, Trench!P8,"")</f>
        <v/>
      </c>
      <c r="G104" s="3097"/>
      <c r="H104" s="1272" t="s">
        <v>92</v>
      </c>
      <c r="I104" s="2602"/>
      <c r="J104" s="1158"/>
      <c r="K104" s="1530" t="s">
        <v>2116</v>
      </c>
      <c r="L104" s="3108" t="str">
        <f>IF(AA63=1, IF(Trench!M21="Serial distribution in 15% sections",Trench!J49,Trench!N42),"")</f>
        <v/>
      </c>
      <c r="M104" s="3109"/>
      <c r="N104" s="1627" t="s">
        <v>2078</v>
      </c>
      <c r="O104" s="1623"/>
      <c r="P104" s="1623"/>
      <c r="Q104" s="1623"/>
      <c r="R104" s="1625" t="s">
        <v>2077</v>
      </c>
      <c r="S104" s="3104" t="str">
        <f>IF(AA63=1,IF(ISBLANK(Trench!P6),"", Trench!P6), "")</f>
        <v/>
      </c>
      <c r="T104" s="3105"/>
      <c r="U104" s="1628" t="s">
        <v>94</v>
      </c>
      <c r="V104" s="1560"/>
      <c r="X104" s="2411"/>
      <c r="Y104" s="2411"/>
      <c r="Z104" s="2411"/>
      <c r="AA104" s="2411"/>
      <c r="AB104" s="2411"/>
      <c r="AC104" s="2411"/>
      <c r="AD104" s="2411"/>
      <c r="AE104" s="2411"/>
      <c r="AF104" s="2411"/>
      <c r="AG104" s="2411"/>
      <c r="AH104" s="2411"/>
      <c r="AI104" s="2411"/>
      <c r="AJ104" s="2411"/>
      <c r="AK104" s="2411"/>
    </row>
    <row r="105" spans="1:37" ht="4.3499999999999996" customHeight="1">
      <c r="A105" s="1558"/>
      <c r="B105" s="1629"/>
      <c r="C105" s="1630"/>
      <c r="D105" s="1266"/>
      <c r="E105" s="1266"/>
      <c r="F105" s="1266"/>
      <c r="G105" s="1266"/>
      <c r="H105" s="1631"/>
      <c r="I105" s="1631"/>
      <c r="J105" s="1632"/>
      <c r="K105" s="1632"/>
      <c r="L105" s="1270"/>
      <c r="M105" s="1633"/>
      <c r="N105" s="1271"/>
      <c r="O105" s="1632"/>
      <c r="P105" s="1632"/>
      <c r="Q105" s="1634"/>
      <c r="R105" s="1632"/>
      <c r="S105" s="1632"/>
      <c r="T105" s="1267"/>
      <c r="U105" s="1635"/>
      <c r="V105" s="1560"/>
      <c r="X105" s="2411"/>
      <c r="Y105" s="2411"/>
      <c r="Z105" s="2411"/>
      <c r="AA105" s="2411"/>
      <c r="AB105" s="2411"/>
      <c r="AC105" s="2411"/>
      <c r="AD105" s="2411"/>
      <c r="AE105" s="2411"/>
      <c r="AF105" s="2411"/>
      <c r="AG105" s="2411"/>
      <c r="AH105" s="2411"/>
      <c r="AI105" s="2411"/>
      <c r="AJ105" s="2411"/>
      <c r="AK105" s="2411"/>
    </row>
    <row r="106" spans="1:37" ht="6" customHeight="1">
      <c r="A106" s="1558"/>
      <c r="B106" s="2602"/>
      <c r="C106" s="1623"/>
      <c r="D106" s="2601"/>
      <c r="E106" s="2601"/>
      <c r="F106" s="2601"/>
      <c r="G106" s="2601"/>
      <c r="H106" s="2602"/>
      <c r="I106" s="2602"/>
      <c r="J106" s="1624"/>
      <c r="K106" s="1624"/>
      <c r="L106" s="1189"/>
      <c r="M106" s="1530"/>
      <c r="N106" s="2293"/>
      <c r="O106" s="1624"/>
      <c r="P106" s="1624"/>
      <c r="Q106" s="1636"/>
      <c r="R106" s="1624"/>
      <c r="S106" s="1624"/>
      <c r="T106" s="2104"/>
      <c r="U106" s="2104"/>
      <c r="V106" s="1560"/>
      <c r="X106" s="2411"/>
      <c r="Y106" s="2411"/>
      <c r="Z106" s="2411"/>
      <c r="AA106" s="2411"/>
      <c r="AB106" s="2411"/>
      <c r="AC106" s="2411"/>
      <c r="AD106" s="2411"/>
      <c r="AE106" s="2411"/>
      <c r="AF106" s="2411"/>
      <c r="AG106" s="2411"/>
      <c r="AH106" s="2411"/>
      <c r="AI106" s="2411"/>
      <c r="AJ106" s="2411"/>
      <c r="AK106" s="2411"/>
    </row>
    <row r="107" spans="1:37" ht="14.25" customHeight="1">
      <c r="A107" s="1558"/>
      <c r="B107" s="1618" t="s">
        <v>1717</v>
      </c>
      <c r="C107" s="1620"/>
      <c r="D107" s="1620"/>
      <c r="E107" s="1620"/>
      <c r="F107" s="1620"/>
      <c r="G107" s="1620"/>
      <c r="H107" s="1620"/>
      <c r="I107" s="1620"/>
      <c r="J107" s="1620"/>
      <c r="K107" s="1620"/>
      <c r="L107" s="1620"/>
      <c r="M107" s="1620"/>
      <c r="N107" s="1620"/>
      <c r="O107" s="1620"/>
      <c r="P107" s="1620"/>
      <c r="Q107" s="1620"/>
      <c r="R107" s="1620"/>
      <c r="S107" s="1620"/>
      <c r="T107" s="1620"/>
      <c r="U107" s="1621"/>
      <c r="V107" s="1560"/>
      <c r="X107" s="2411"/>
      <c r="Y107" s="2411"/>
      <c r="Z107" s="2411"/>
      <c r="AA107" s="2411"/>
      <c r="AB107" s="2411"/>
      <c r="AC107" s="2411"/>
      <c r="AD107" s="2411"/>
      <c r="AE107" s="2411"/>
      <c r="AF107" s="2411"/>
      <c r="AG107" s="2411"/>
      <c r="AH107" s="2411"/>
      <c r="AI107" s="2411"/>
      <c r="AJ107" s="2411"/>
      <c r="AK107" s="2411"/>
    </row>
    <row r="108" spans="1:37" ht="18" customHeight="1">
      <c r="A108" s="1558"/>
      <c r="B108" s="1622"/>
      <c r="C108" s="2602"/>
      <c r="D108" s="2596"/>
      <c r="E108" s="2596" t="s">
        <v>925</v>
      </c>
      <c r="F108" s="3108" t="str">
        <f>IF(AA63=2,'Bed '!R75,"")</f>
        <v/>
      </c>
      <c r="G108" s="3107"/>
      <c r="H108" s="2601" t="s">
        <v>22</v>
      </c>
      <c r="I108" s="2602"/>
      <c r="J108" s="1596"/>
      <c r="K108" s="1596" t="s">
        <v>1</v>
      </c>
      <c r="L108" s="3096" t="str">
        <f>IF(AA63=2,MAX('Bed '!G34,'Bed '!L49),"")</f>
        <v/>
      </c>
      <c r="M108" s="3097"/>
      <c r="N108" s="2644" t="s">
        <v>94</v>
      </c>
      <c r="O108" s="2602"/>
      <c r="P108" s="1625"/>
      <c r="Q108" s="1625"/>
      <c r="R108" s="1625" t="s">
        <v>1711</v>
      </c>
      <c r="S108" s="3096" t="str">
        <f>IF(AA63=2,G84,"")</f>
        <v/>
      </c>
      <c r="T108" s="3097"/>
      <c r="U108" s="1628" t="s">
        <v>94</v>
      </c>
      <c r="V108" s="1560"/>
      <c r="W108" s="1682"/>
      <c r="X108" s="2411"/>
      <c r="Y108" s="2411"/>
      <c r="Z108" s="2411"/>
      <c r="AA108" s="2411"/>
      <c r="AB108" s="2411"/>
      <c r="AC108" s="2411"/>
      <c r="AD108" s="2411"/>
      <c r="AE108" s="2411"/>
      <c r="AF108" s="2411"/>
      <c r="AG108" s="2411"/>
      <c r="AH108" s="2411"/>
      <c r="AI108" s="2411"/>
      <c r="AJ108" s="2411"/>
      <c r="AK108" s="2411"/>
    </row>
    <row r="109" spans="1:37" ht="4.3499999999999996" customHeight="1">
      <c r="A109" s="1558"/>
      <c r="B109" s="1622"/>
      <c r="C109" s="1623"/>
      <c r="D109" s="2601"/>
      <c r="E109" s="2601"/>
      <c r="F109" s="2602"/>
      <c r="G109" s="2602"/>
      <c r="H109" s="2602"/>
      <c r="I109" s="2602"/>
      <c r="J109" s="1624"/>
      <c r="K109" s="1624"/>
      <c r="L109" s="1189"/>
      <c r="M109" s="2602"/>
      <c r="N109" s="2602"/>
      <c r="O109" s="2602"/>
      <c r="P109" s="1624"/>
      <c r="Q109" s="1636"/>
      <c r="R109" s="1624"/>
      <c r="S109" s="1624"/>
      <c r="T109" s="2104"/>
      <c r="U109" s="2597"/>
      <c r="V109" s="1560"/>
      <c r="W109" s="1682"/>
      <c r="X109" s="2411"/>
      <c r="Y109" s="2411"/>
      <c r="Z109" s="2411"/>
      <c r="AA109" s="2411"/>
      <c r="AB109" s="2411"/>
      <c r="AC109" s="2411"/>
      <c r="AD109" s="2411"/>
      <c r="AE109" s="2411"/>
      <c r="AF109" s="2411"/>
      <c r="AG109" s="2411"/>
      <c r="AH109" s="2411"/>
      <c r="AI109" s="2411"/>
      <c r="AJ109" s="2411"/>
      <c r="AK109" s="2411"/>
    </row>
    <row r="110" spans="1:37" ht="18" customHeight="1">
      <c r="A110" s="1558"/>
      <c r="B110" s="1622"/>
      <c r="C110" s="2602"/>
      <c r="D110" s="1625"/>
      <c r="E110" s="1625" t="s">
        <v>302</v>
      </c>
      <c r="F110" s="3106" t="str">
        <f>IF(AA63=2,'Bed '!G28,"")</f>
        <v/>
      </c>
      <c r="G110" s="3107"/>
      <c r="H110" s="2601" t="s">
        <v>92</v>
      </c>
      <c r="I110" s="2602"/>
      <c r="J110" s="2602"/>
      <c r="K110" s="1596" t="s">
        <v>301</v>
      </c>
      <c r="L110" s="3096" t="str">
        <f>IF(AA63=2,MAX('Bed '!M30,'Bed '!L47),"")</f>
        <v/>
      </c>
      <c r="M110" s="3097"/>
      <c r="N110" s="2601" t="s">
        <v>92</v>
      </c>
      <c r="O110" s="2602"/>
      <c r="P110" s="1625"/>
      <c r="Q110" s="1625"/>
      <c r="R110" s="1625" t="s">
        <v>1712</v>
      </c>
      <c r="S110" s="3104" t="str">
        <f>IF(AA63=2,IF(ISBLANK('Bed '!P6), "", 'Bed '!P6), "")</f>
        <v/>
      </c>
      <c r="T110" s="3105"/>
      <c r="U110" s="1637" t="s">
        <v>94</v>
      </c>
      <c r="V110" s="1638"/>
      <c r="W110" s="1682"/>
      <c r="X110" s="2411"/>
      <c r="Y110" s="2411"/>
      <c r="Z110" s="2411"/>
      <c r="AA110" s="2411"/>
      <c r="AB110" s="2411"/>
      <c r="AC110" s="2411"/>
      <c r="AD110" s="2411"/>
      <c r="AE110" s="2411"/>
      <c r="AF110" s="2411"/>
      <c r="AG110" s="2411"/>
      <c r="AH110" s="2411"/>
      <c r="AI110" s="2411"/>
      <c r="AJ110" s="2411"/>
      <c r="AK110" s="2411"/>
    </row>
    <row r="111" spans="1:37" ht="4.3499999999999996" customHeight="1">
      <c r="A111" s="1558"/>
      <c r="B111" s="1629"/>
      <c r="C111" s="1630"/>
      <c r="D111" s="1266"/>
      <c r="E111" s="1266"/>
      <c r="F111" s="1266"/>
      <c r="G111" s="1266"/>
      <c r="H111" s="1631"/>
      <c r="I111" s="1631"/>
      <c r="J111" s="1632"/>
      <c r="K111" s="1632"/>
      <c r="L111" s="1270"/>
      <c r="M111" s="1633"/>
      <c r="N111" s="1271"/>
      <c r="O111" s="1632"/>
      <c r="P111" s="1632"/>
      <c r="Q111" s="1634"/>
      <c r="R111" s="1632"/>
      <c r="S111" s="1632"/>
      <c r="T111" s="1267"/>
      <c r="U111" s="1635"/>
      <c r="V111" s="1560"/>
      <c r="W111" s="1682"/>
      <c r="X111" s="2411"/>
      <c r="Y111" s="2411"/>
      <c r="Z111" s="2411"/>
      <c r="AA111" s="2411"/>
      <c r="AB111" s="2411"/>
      <c r="AC111" s="2411"/>
      <c r="AD111" s="2411"/>
      <c r="AE111" s="2411"/>
      <c r="AF111" s="2411"/>
      <c r="AG111" s="2411"/>
      <c r="AH111" s="2411"/>
      <c r="AI111" s="2411"/>
      <c r="AJ111" s="2411"/>
      <c r="AK111" s="2411"/>
    </row>
    <row r="112" spans="1:37" ht="4.3499999999999996" customHeight="1">
      <c r="A112" s="1558"/>
      <c r="B112" s="1639"/>
      <c r="C112" s="1561"/>
      <c r="D112" s="1561"/>
      <c r="E112" s="1561"/>
      <c r="F112" s="1561"/>
      <c r="G112" s="1561"/>
      <c r="H112" s="1561"/>
      <c r="I112" s="1561"/>
      <c r="J112" s="1561"/>
      <c r="K112" s="1561"/>
      <c r="L112" s="1561"/>
      <c r="M112" s="1561"/>
      <c r="N112" s="1561"/>
      <c r="O112" s="1561"/>
      <c r="P112" s="1561"/>
      <c r="Q112" s="1561"/>
      <c r="R112" s="2602"/>
      <c r="S112" s="2602"/>
      <c r="T112" s="2602"/>
      <c r="U112" s="2602"/>
      <c r="V112" s="1560"/>
      <c r="W112" s="1682"/>
      <c r="X112" s="2411"/>
      <c r="Y112" s="2411"/>
      <c r="Z112" s="2411"/>
      <c r="AA112" s="2411"/>
      <c r="AB112" s="2411"/>
      <c r="AC112" s="2411"/>
      <c r="AD112" s="2411"/>
      <c r="AE112" s="2411"/>
      <c r="AF112" s="2411"/>
      <c r="AG112" s="2411"/>
      <c r="AH112" s="2411"/>
      <c r="AI112" s="2411"/>
      <c r="AJ112" s="2411"/>
      <c r="AK112" s="2411"/>
    </row>
    <row r="113" spans="1:33" ht="14.25" customHeight="1">
      <c r="A113" s="1558"/>
      <c r="B113" s="1640" t="s">
        <v>1718</v>
      </c>
      <c r="C113" s="1641"/>
      <c r="D113" s="1261"/>
      <c r="E113" s="1261"/>
      <c r="F113" s="1619"/>
      <c r="G113" s="1619"/>
      <c r="H113" s="1619"/>
      <c r="I113" s="1619"/>
      <c r="J113" s="1642"/>
      <c r="K113" s="1642"/>
      <c r="L113" s="1643"/>
      <c r="M113" s="1644"/>
      <c r="N113" s="1645"/>
      <c r="O113" s="1642"/>
      <c r="P113" s="1642"/>
      <c r="Q113" s="1619"/>
      <c r="R113" s="1619"/>
      <c r="S113" s="1619"/>
      <c r="T113" s="1619"/>
      <c r="U113" s="1646"/>
      <c r="V113" s="1560"/>
      <c r="W113" s="1682"/>
      <c r="AD113" s="1675"/>
      <c r="AE113" s="1675"/>
      <c r="AF113" s="1675"/>
      <c r="AG113" s="1675"/>
    </row>
    <row r="114" spans="1:33" ht="18" customHeight="1">
      <c r="A114" s="1558"/>
      <c r="B114" s="1622"/>
      <c r="C114" s="2602"/>
      <c r="D114" s="2602"/>
      <c r="E114" s="2596" t="s">
        <v>925</v>
      </c>
      <c r="F114" s="3096" t="str">
        <f>IF(AA63&lt;4," ",IF(AA63&gt;4," ",IF(AA63=4,IF(G93&lt;1,'Mound&lt;1%'!K106,IF(G93&gt;=1,'Mound&gt;1%'!J107)))))</f>
        <v xml:space="preserve"> </v>
      </c>
      <c r="G114" s="3097"/>
      <c r="H114" s="2602" t="s">
        <v>22</v>
      </c>
      <c r="I114" s="2602"/>
      <c r="J114" s="2602"/>
      <c r="K114" s="2596" t="s">
        <v>301</v>
      </c>
      <c r="L114" s="3096" t="str">
        <f>IF(AA63&lt;4," ",IF(AA63&gt;4," ",IF(AA63=4,IF(G93&lt;1,'Mound&lt;1%'!F89,IF(G93&gt;=1,'Mound&gt;1%'!J94)))))</f>
        <v xml:space="preserve"> </v>
      </c>
      <c r="M114" s="3097"/>
      <c r="N114" s="2602" t="s">
        <v>92</v>
      </c>
      <c r="O114" s="2602"/>
      <c r="P114" s="2602"/>
      <c r="Q114" s="2602"/>
      <c r="R114" s="2596" t="s">
        <v>302</v>
      </c>
      <c r="S114" s="3096" t="str">
        <f>IF(AA63&lt;4," ",IF(AA63&gt;4," ",IF(AA63=4,IF(G93&lt;1,'Mound&lt;1%'!H32,IF(G93&gt;=1,'Mound&gt;1%'!H29)))))</f>
        <v xml:space="preserve"> </v>
      </c>
      <c r="T114" s="3097"/>
      <c r="U114" s="1190" t="s">
        <v>92</v>
      </c>
      <c r="V114" s="1560"/>
      <c r="AD114" s="1675"/>
      <c r="AE114" s="1675"/>
      <c r="AF114" s="1675"/>
      <c r="AG114" s="1675"/>
    </row>
    <row r="115" spans="1:33" ht="4.3499999999999996" customHeight="1">
      <c r="A115" s="1558"/>
      <c r="B115" s="1622"/>
      <c r="C115" s="2602"/>
      <c r="D115" s="2602"/>
      <c r="E115" s="2602"/>
      <c r="F115" s="2602"/>
      <c r="G115" s="2602"/>
      <c r="H115" s="2602"/>
      <c r="I115" s="2602"/>
      <c r="J115" s="2602"/>
      <c r="K115" s="2602"/>
      <c r="L115" s="2602"/>
      <c r="M115" s="2602"/>
      <c r="N115" s="2602"/>
      <c r="O115" s="2602"/>
      <c r="P115" s="2602"/>
      <c r="Q115" s="2602"/>
      <c r="R115" s="2602"/>
      <c r="S115" s="2602"/>
      <c r="T115" s="2602"/>
      <c r="U115" s="1190"/>
      <c r="V115" s="1560"/>
      <c r="W115" s="1682"/>
      <c r="AD115" s="1675"/>
      <c r="AE115" s="1675"/>
      <c r="AF115" s="1675"/>
      <c r="AG115" s="1675"/>
    </row>
    <row r="116" spans="1:33" ht="18" customHeight="1">
      <c r="A116" s="1558"/>
      <c r="B116" s="1622"/>
      <c r="C116" s="2602"/>
      <c r="D116" s="2602"/>
      <c r="E116" s="2596" t="s">
        <v>296</v>
      </c>
      <c r="F116" s="3096" t="str">
        <f>IF(AA63&lt;4," ",IF(AA63&gt;4," ",IF(AA63=4,IF(G93&lt;1,'Mound&lt;1%'!J43,IF(G93&gt;=1,'Mound&gt;1%'!J40)))))</f>
        <v xml:space="preserve"> </v>
      </c>
      <c r="G116" s="3097"/>
      <c r="H116" s="2602" t="s">
        <v>92</v>
      </c>
      <c r="I116" s="2602"/>
      <c r="J116" s="2602"/>
      <c r="K116" s="2596" t="s">
        <v>297</v>
      </c>
      <c r="L116" s="3096" t="str">
        <f>IF(AA63&lt;4," ",IF(AA63&gt;4," ",IF(AA63=4,MAX(MAX('Mound&lt;1%'!H68,'Mound&lt;1%'!P68),MAX('Mound&gt;1%'!H62,'Mound&gt;1%'!P62)),"")))</f>
        <v xml:space="preserve"> </v>
      </c>
      <c r="M116" s="3097"/>
      <c r="N116" s="2602" t="s">
        <v>92</v>
      </c>
      <c r="O116" s="2602"/>
      <c r="P116" s="2602"/>
      <c r="Q116" s="2602"/>
      <c r="R116" s="2596" t="s">
        <v>1291</v>
      </c>
      <c r="S116" s="3096" t="str">
        <f>IF(AA63&lt;4,"",IF(AA63=5,"",IF(AA63=6,"",IF(AA63=4,IF(I87&gt;1,"",'Mound&lt;1%'!I83)))))</f>
        <v/>
      </c>
      <c r="T116" s="3097"/>
      <c r="U116" s="1190" t="s">
        <v>92</v>
      </c>
      <c r="V116" s="1560"/>
      <c r="AE116" s="1675"/>
      <c r="AF116" s="1675"/>
      <c r="AG116" s="1675"/>
    </row>
    <row r="117" spans="1:33" ht="4.3499999999999996" customHeight="1">
      <c r="A117" s="1558"/>
      <c r="B117" s="1622"/>
      <c r="C117" s="2602"/>
      <c r="D117" s="2602"/>
      <c r="E117" s="2602"/>
      <c r="F117" s="2602"/>
      <c r="G117" s="2602"/>
      <c r="H117" s="2602"/>
      <c r="I117" s="2602"/>
      <c r="J117" s="2602"/>
      <c r="K117" s="2602"/>
      <c r="L117" s="2602"/>
      <c r="M117" s="2602"/>
      <c r="N117" s="2602"/>
      <c r="O117" s="2602"/>
      <c r="P117" s="2602"/>
      <c r="Q117" s="2602"/>
      <c r="R117" s="2602"/>
      <c r="S117" s="2602"/>
      <c r="T117" s="2602"/>
      <c r="U117" s="2597"/>
      <c r="V117" s="1560"/>
      <c r="W117" s="1682"/>
      <c r="AD117" s="1675"/>
      <c r="AE117" s="1675"/>
      <c r="AF117" s="1675"/>
      <c r="AG117" s="1675"/>
    </row>
    <row r="118" spans="1:33" ht="18" customHeight="1">
      <c r="A118" s="1558"/>
      <c r="B118" s="1622"/>
      <c r="C118" s="2602"/>
      <c r="D118" s="2602"/>
      <c r="E118" s="2596" t="s">
        <v>12</v>
      </c>
      <c r="F118" s="3096" t="str">
        <f>IF(AA63&lt;4,"",IF(AA63=5,"",IF(AA63=6,"",IF(AA63=4,IF(G93&gt;=1,'Mound&gt;1%'!N71,IF(G93&lt;1,'Mound&lt;1%'!I74,""))))))</f>
        <v/>
      </c>
      <c r="G118" s="3097"/>
      <c r="H118" s="2602" t="s">
        <v>92</v>
      </c>
      <c r="I118" s="2602"/>
      <c r="J118" s="2602"/>
      <c r="K118" s="1647" t="s">
        <v>1715</v>
      </c>
      <c r="L118" s="3096" t="str">
        <f>IF(AA63&lt;4,"",IF(AA63=5,"",IF(AA63=6,"",IF(AA63=4,IF(G93&gt;=1,'Mound&gt;1%'!K86,IF(G93&lt;1,'Mound&lt;1%'!I74,""))))))</f>
        <v/>
      </c>
      <c r="M118" s="3097"/>
      <c r="N118" s="2602" t="s">
        <v>92</v>
      </c>
      <c r="O118" s="2602"/>
      <c r="P118" s="2602"/>
      <c r="Q118" s="2602"/>
      <c r="R118" s="2596" t="s">
        <v>9</v>
      </c>
      <c r="S118" s="3096" t="str">
        <f>IF(AA63=4,MAX('Mound&lt;1%'!I74,'Mound&gt;1%'!N90),"")</f>
        <v/>
      </c>
      <c r="T118" s="3097"/>
      <c r="U118" s="1190" t="s">
        <v>92</v>
      </c>
      <c r="V118" s="1560"/>
      <c r="AD118" s="1675"/>
      <c r="AE118" s="1675"/>
      <c r="AF118" s="1675"/>
      <c r="AG118" s="1675"/>
    </row>
    <row r="119" spans="1:33" ht="4.3499999999999996" customHeight="1">
      <c r="A119" s="1558"/>
      <c r="B119" s="1622"/>
      <c r="C119" s="2602"/>
      <c r="D119" s="2602"/>
      <c r="E119" s="2602"/>
      <c r="F119" s="2602"/>
      <c r="G119" s="2602"/>
      <c r="H119" s="2602"/>
      <c r="I119" s="2602"/>
      <c r="J119" s="2602"/>
      <c r="K119" s="2602"/>
      <c r="L119" s="2602"/>
      <c r="M119" s="2602"/>
      <c r="N119" s="2602"/>
      <c r="O119" s="2602"/>
      <c r="P119" s="2602"/>
      <c r="Q119" s="2602"/>
      <c r="R119" s="2602"/>
      <c r="S119" s="2602"/>
      <c r="T119" s="2602"/>
      <c r="U119" s="1190"/>
      <c r="V119" s="1560"/>
      <c r="W119" s="1682"/>
      <c r="AD119" s="1675"/>
      <c r="AE119" s="1675"/>
      <c r="AF119" s="1675"/>
      <c r="AG119" s="1675"/>
    </row>
    <row r="120" spans="1:33" ht="18" customHeight="1">
      <c r="A120" s="1558"/>
      <c r="B120" s="1622"/>
      <c r="C120" s="2602"/>
      <c r="D120" s="2602"/>
      <c r="E120" s="2596" t="s">
        <v>2</v>
      </c>
      <c r="F120" s="3096" t="str">
        <f>IF(AA63&lt;4," ",IF(AA63&gt;4," ",IF(AA63=4,IF(G93&lt;1,'Mound&lt;1%'!L89,IF(G93&gt;=1,'Mound&gt;1%'!P94,"")))))</f>
        <v xml:space="preserve"> </v>
      </c>
      <c r="G120" s="3097"/>
      <c r="H120" s="2602" t="s">
        <v>92</v>
      </c>
      <c r="I120" s="2602"/>
      <c r="J120" s="2602"/>
      <c r="K120" s="2596" t="s">
        <v>11</v>
      </c>
      <c r="L120" s="3096" t="str">
        <f>IF(AA63&lt;4," ",IF(AA63&gt;4," ",IF(AA63=4,IF(G93&lt;1,'Mound&lt;1%'!L86,IF(G93&gt;=1,'Mound&gt;1%'!P92)))))</f>
        <v xml:space="preserve"> </v>
      </c>
      <c r="M120" s="3097"/>
      <c r="N120" s="2602" t="s">
        <v>92</v>
      </c>
      <c r="O120" s="2602"/>
      <c r="P120" s="2602"/>
      <c r="Q120" s="2602"/>
      <c r="R120" s="1625" t="s">
        <v>1290</v>
      </c>
      <c r="S120" s="3096" t="str">
        <f>IF(AA63=4,MAX('Mound&lt;1%'!K34,'Mound&gt;1%'!K31),"")</f>
        <v/>
      </c>
      <c r="T120" s="3097"/>
      <c r="U120" s="1648" t="s">
        <v>1292</v>
      </c>
      <c r="V120" s="1560"/>
      <c r="AD120" s="1675"/>
      <c r="AE120" s="1675"/>
      <c r="AF120" s="1675"/>
      <c r="AG120" s="1675"/>
    </row>
    <row r="121" spans="1:33" ht="6" customHeight="1">
      <c r="A121" s="1558"/>
      <c r="B121" s="1629"/>
      <c r="C121" s="1630"/>
      <c r="D121" s="1266"/>
      <c r="E121" s="1266"/>
      <c r="F121" s="1266"/>
      <c r="G121" s="1266"/>
      <c r="H121" s="1631"/>
      <c r="I121" s="1631"/>
      <c r="J121" s="1632"/>
      <c r="K121" s="1632"/>
      <c r="L121" s="1270"/>
      <c r="M121" s="1633"/>
      <c r="N121" s="1271"/>
      <c r="O121" s="1632"/>
      <c r="P121" s="1632"/>
      <c r="Q121" s="1634"/>
      <c r="R121" s="1632"/>
      <c r="S121" s="1632"/>
      <c r="T121" s="1649"/>
      <c r="U121" s="1635"/>
      <c r="V121" s="1560"/>
      <c r="W121" s="1682"/>
      <c r="AD121" s="1675"/>
      <c r="AE121" s="1675"/>
      <c r="AF121" s="1675"/>
      <c r="AG121" s="1675"/>
    </row>
    <row r="122" spans="1:33" ht="6" customHeight="1" thickBot="1">
      <c r="A122" s="1600"/>
      <c r="B122" s="1601"/>
      <c r="C122" s="1650"/>
      <c r="D122" s="1650"/>
      <c r="E122" s="1650"/>
      <c r="F122" s="1650"/>
      <c r="G122" s="1650"/>
      <c r="H122" s="1650"/>
      <c r="I122" s="1650"/>
      <c r="J122" s="1650"/>
      <c r="K122" s="1650"/>
      <c r="L122" s="1650"/>
      <c r="M122" s="1650"/>
      <c r="N122" s="1650"/>
      <c r="O122" s="1650"/>
      <c r="P122" s="1650"/>
      <c r="Q122" s="1650"/>
      <c r="R122" s="1650"/>
      <c r="S122" s="1650"/>
      <c r="T122" s="1650"/>
      <c r="U122" s="1650"/>
      <c r="V122" s="1603"/>
      <c r="W122" s="1682"/>
      <c r="AD122" s="1675"/>
      <c r="AE122" s="1675"/>
      <c r="AF122" s="1675"/>
      <c r="AG122" s="1675"/>
    </row>
    <row r="123" spans="1:33" ht="12" customHeight="1">
      <c r="A123" s="1651"/>
      <c r="B123" s="1721"/>
      <c r="C123" s="1721"/>
      <c r="D123" s="1721"/>
      <c r="E123" s="1721"/>
      <c r="F123" s="1721"/>
      <c r="G123" s="1721"/>
      <c r="H123" s="1721"/>
      <c r="I123" s="1721"/>
      <c r="J123" s="1721"/>
      <c r="K123" s="1721"/>
      <c r="L123" s="1721"/>
      <c r="M123" s="1721"/>
      <c r="N123" s="3118" t="s">
        <v>1015</v>
      </c>
      <c r="O123" s="3118"/>
      <c r="P123" s="3119" t="str">
        <f>IF(ISBLANK(Prelim!S5)," ",Prelim!S5)</f>
        <v xml:space="preserve"> </v>
      </c>
      <c r="Q123" s="3119"/>
      <c r="R123" s="3119"/>
      <c r="S123" s="1721"/>
      <c r="T123" s="1721"/>
      <c r="U123" s="1721"/>
      <c r="V123" s="1652"/>
      <c r="W123" s="1683"/>
      <c r="AD123" s="1675"/>
      <c r="AE123" s="1675"/>
      <c r="AF123" s="1675"/>
      <c r="AG123" s="1675"/>
    </row>
    <row r="124" spans="1:33" ht="14.25" customHeight="1">
      <c r="A124" s="1558"/>
      <c r="B124" s="1640" t="s">
        <v>1719</v>
      </c>
      <c r="C124" s="1641"/>
      <c r="D124" s="1261"/>
      <c r="E124" s="1261"/>
      <c r="F124" s="1261"/>
      <c r="G124" s="1261"/>
      <c r="H124" s="1619"/>
      <c r="I124" s="1619"/>
      <c r="J124" s="1642"/>
      <c r="K124" s="1642"/>
      <c r="L124" s="1619"/>
      <c r="M124" s="1619"/>
      <c r="N124" s="1619"/>
      <c r="O124" s="1642"/>
      <c r="P124" s="1642"/>
      <c r="Q124" s="1619"/>
      <c r="R124" s="1619"/>
      <c r="S124" s="1619"/>
      <c r="T124" s="1619"/>
      <c r="U124" s="1646"/>
      <c r="V124" s="1560"/>
      <c r="W124" s="1682"/>
      <c r="AD124" s="1675"/>
      <c r="AE124" s="1675"/>
      <c r="AF124" s="1675"/>
      <c r="AG124" s="1675"/>
    </row>
    <row r="125" spans="1:33" ht="18" customHeight="1">
      <c r="A125" s="1558"/>
      <c r="B125" s="1622"/>
      <c r="C125" s="2602"/>
      <c r="D125" s="1623"/>
      <c r="E125" s="1625" t="s">
        <v>302</v>
      </c>
      <c r="F125" s="3096" t="str">
        <f>IF(AA63=3,'At-Grade'!K8,"")</f>
        <v/>
      </c>
      <c r="G125" s="3097"/>
      <c r="H125" s="2602" t="s">
        <v>92</v>
      </c>
      <c r="I125" s="2602"/>
      <c r="J125" s="1653"/>
      <c r="K125" s="1654" t="s">
        <v>301</v>
      </c>
      <c r="L125" s="3108" t="str">
        <f>IF(AA63=3,'At-Grade'!K10,"")</f>
        <v/>
      </c>
      <c r="M125" s="3109"/>
      <c r="N125" s="1272" t="s">
        <v>92</v>
      </c>
      <c r="O125" s="2602"/>
      <c r="P125" s="2602"/>
      <c r="Q125" s="1158"/>
      <c r="R125" s="1530" t="s">
        <v>1724</v>
      </c>
      <c r="S125" s="3096" t="str">
        <f>IF(AA63=3,'At-Grade'!L20,"")</f>
        <v/>
      </c>
      <c r="T125" s="3097"/>
      <c r="U125" s="1190" t="s">
        <v>92</v>
      </c>
      <c r="V125" s="1560"/>
      <c r="W125" s="1682"/>
      <c r="AD125" s="1675"/>
      <c r="AE125" s="1675"/>
      <c r="AF125" s="1675"/>
      <c r="AG125" s="1675"/>
    </row>
    <row r="126" spans="1:33" ht="4.3499999999999996" customHeight="1">
      <c r="A126" s="1558"/>
      <c r="B126" s="1622"/>
      <c r="C126" s="1625"/>
      <c r="D126" s="2596"/>
      <c r="E126" s="2596"/>
      <c r="F126" s="2601"/>
      <c r="G126" s="2601"/>
      <c r="H126" s="2602"/>
      <c r="I126" s="2596"/>
      <c r="J126" s="1596"/>
      <c r="K126" s="1596"/>
      <c r="L126" s="1189"/>
      <c r="M126" s="1530"/>
      <c r="N126" s="2293"/>
      <c r="O126" s="1624"/>
      <c r="P126" s="1624"/>
      <c r="Q126" s="1636"/>
      <c r="R126" s="1624"/>
      <c r="S126" s="1624"/>
      <c r="T126" s="2104"/>
      <c r="U126" s="2597"/>
      <c r="V126" s="1560"/>
      <c r="W126" s="1682"/>
      <c r="AD126" s="1675"/>
      <c r="AE126" s="1675"/>
      <c r="AF126" s="1675"/>
      <c r="AG126" s="1675"/>
    </row>
    <row r="127" spans="1:33" ht="18" customHeight="1">
      <c r="A127" s="1558"/>
      <c r="B127" s="1622"/>
      <c r="C127" s="1548"/>
      <c r="D127" s="1625"/>
      <c r="E127" s="1625" t="s">
        <v>1290</v>
      </c>
      <c r="F127" s="3108" t="str">
        <f>IF(AA63=3,'At-Grade'!M6,"")</f>
        <v/>
      </c>
      <c r="G127" s="3107"/>
      <c r="H127" s="2601" t="s">
        <v>1292</v>
      </c>
      <c r="I127" s="2602"/>
      <c r="J127" s="2602"/>
      <c r="K127" s="2596" t="s">
        <v>1722</v>
      </c>
      <c r="L127" s="3096" t="str">
        <f>IF(AA63=3,'At-Grade'!K29,"")</f>
        <v/>
      </c>
      <c r="M127" s="3097"/>
      <c r="N127" s="2602" t="s">
        <v>92</v>
      </c>
      <c r="O127" s="2602"/>
      <c r="P127" s="2602"/>
      <c r="Q127" s="2602"/>
      <c r="R127" s="2596" t="s">
        <v>1715</v>
      </c>
      <c r="S127" s="3096" t="str">
        <f>IF(AA63=3,'At-Grade'!K42,"")</f>
        <v/>
      </c>
      <c r="T127" s="3097"/>
      <c r="U127" s="1190" t="s">
        <v>92</v>
      </c>
      <c r="V127" s="1560"/>
      <c r="W127" s="1682"/>
      <c r="AD127" s="1675"/>
      <c r="AE127" s="1675"/>
      <c r="AF127" s="1675"/>
      <c r="AG127" s="1675"/>
    </row>
    <row r="128" spans="1:33" ht="4.3499999999999996" customHeight="1">
      <c r="A128" s="1558"/>
      <c r="B128" s="1622"/>
      <c r="C128" s="1625"/>
      <c r="D128" s="2596"/>
      <c r="E128" s="2596"/>
      <c r="F128" s="2601"/>
      <c r="G128" s="2601"/>
      <c r="H128" s="2602"/>
      <c r="I128" s="2596"/>
      <c r="J128" s="1596"/>
      <c r="K128" s="1596"/>
      <c r="L128" s="1189"/>
      <c r="M128" s="1530"/>
      <c r="N128" s="2293"/>
      <c r="O128" s="1596"/>
      <c r="P128" s="2596"/>
      <c r="Q128" s="2596"/>
      <c r="R128" s="2596"/>
      <c r="S128" s="2602"/>
      <c r="T128" s="2602"/>
      <c r="U128" s="1190"/>
      <c r="V128" s="1560"/>
      <c r="W128" s="1682"/>
      <c r="AD128" s="1675"/>
      <c r="AE128" s="1675"/>
      <c r="AF128" s="1675"/>
      <c r="AG128" s="1675"/>
    </row>
    <row r="129" spans="1:43" ht="18" customHeight="1">
      <c r="A129" s="1558"/>
      <c r="B129" s="1622"/>
      <c r="C129" s="2602"/>
      <c r="D129" s="2602"/>
      <c r="E129" s="2596" t="s">
        <v>1723</v>
      </c>
      <c r="F129" s="3096" t="str">
        <f>IF(AA63=3,'At-Grade'!K47,"")</f>
        <v/>
      </c>
      <c r="G129" s="3097"/>
      <c r="H129" s="2602" t="s">
        <v>92</v>
      </c>
      <c r="I129" s="2602"/>
      <c r="J129" s="2602"/>
      <c r="K129" s="2596" t="s">
        <v>10</v>
      </c>
      <c r="L129" s="3096" t="str">
        <f>IF(AA63=3,'At-Grade'!L51,"")</f>
        <v/>
      </c>
      <c r="M129" s="3097"/>
      <c r="N129" s="2602" t="s">
        <v>92</v>
      </c>
      <c r="O129" s="2596"/>
      <c r="P129" s="2602"/>
      <c r="Q129" s="2602"/>
      <c r="R129" s="2596" t="s">
        <v>11</v>
      </c>
      <c r="S129" s="3096" t="str">
        <f>IF(AA63=3,'At-Grade'!I49,"")</f>
        <v/>
      </c>
      <c r="T129" s="3097"/>
      <c r="U129" s="1190" t="s">
        <v>92</v>
      </c>
      <c r="V129" s="1560"/>
      <c r="W129" s="1682"/>
      <c r="AD129" s="1675"/>
      <c r="AE129" s="1675"/>
      <c r="AF129" s="1675"/>
      <c r="AG129" s="1675"/>
    </row>
    <row r="130" spans="1:43" ht="4.3499999999999996" customHeight="1">
      <c r="A130" s="1558"/>
      <c r="B130" s="1629"/>
      <c r="C130" s="1630"/>
      <c r="D130" s="1266"/>
      <c r="E130" s="1266"/>
      <c r="F130" s="1266"/>
      <c r="G130" s="1266"/>
      <c r="H130" s="1631"/>
      <c r="I130" s="1631"/>
      <c r="J130" s="1632"/>
      <c r="K130" s="1632"/>
      <c r="L130" s="1270"/>
      <c r="M130" s="1633"/>
      <c r="N130" s="1271"/>
      <c r="O130" s="1632"/>
      <c r="P130" s="1632"/>
      <c r="Q130" s="1634"/>
      <c r="R130" s="1632"/>
      <c r="S130" s="1632"/>
      <c r="T130" s="1267"/>
      <c r="U130" s="1635"/>
      <c r="V130" s="1560"/>
      <c r="W130" s="1684"/>
      <c r="AD130" s="1675"/>
      <c r="AE130" s="1675"/>
      <c r="AF130" s="1675"/>
      <c r="AG130" s="1675"/>
    </row>
    <row r="131" spans="1:43" ht="4.3499999999999996" customHeight="1">
      <c r="A131" s="1558"/>
      <c r="B131" s="2602"/>
      <c r="C131" s="1623"/>
      <c r="D131" s="2601"/>
      <c r="E131" s="2601"/>
      <c r="F131" s="2601"/>
      <c r="G131" s="2601"/>
      <c r="H131" s="2602"/>
      <c r="I131" s="2602"/>
      <c r="J131" s="1624"/>
      <c r="K131" s="1624"/>
      <c r="L131" s="1189"/>
      <c r="M131" s="1530"/>
      <c r="N131" s="2293"/>
      <c r="O131" s="1624"/>
      <c r="P131" s="1624"/>
      <c r="Q131" s="1636"/>
      <c r="R131" s="1624"/>
      <c r="S131" s="1624"/>
      <c r="T131" s="2104"/>
      <c r="U131" s="2104"/>
      <c r="V131" s="1560"/>
      <c r="W131" s="1684"/>
      <c r="AD131" s="1675"/>
      <c r="AE131" s="1675"/>
      <c r="AF131" s="1675"/>
      <c r="AG131" s="1675"/>
    </row>
    <row r="132" spans="1:43" ht="14.25" customHeight="1">
      <c r="A132" s="1558"/>
      <c r="B132" s="1640" t="s">
        <v>1720</v>
      </c>
      <c r="C132" s="1620"/>
      <c r="D132" s="1620"/>
      <c r="E132" s="1620"/>
      <c r="F132" s="1620"/>
      <c r="G132" s="1620"/>
      <c r="H132" s="1620"/>
      <c r="I132" s="1620"/>
      <c r="J132" s="1620"/>
      <c r="K132" s="1620"/>
      <c r="L132" s="1620"/>
      <c r="M132" s="1620"/>
      <c r="N132" s="1620"/>
      <c r="O132" s="1620"/>
      <c r="P132" s="1620"/>
      <c r="Q132" s="1620"/>
      <c r="R132" s="1620"/>
      <c r="S132" s="1620"/>
      <c r="T132" s="1620"/>
      <c r="U132" s="1621"/>
      <c r="V132" s="1560"/>
      <c r="AD132" s="1675"/>
      <c r="AE132" s="1675"/>
      <c r="AF132" s="1675"/>
      <c r="AG132" s="1675"/>
    </row>
    <row r="133" spans="1:43" ht="18" customHeight="1">
      <c r="A133" s="1558"/>
      <c r="B133" s="1622"/>
      <c r="C133" s="1623"/>
      <c r="D133" s="1623"/>
      <c r="E133" s="1625" t="s">
        <v>1725</v>
      </c>
      <c r="F133" s="3106" t="str">
        <f>IF(AC63=2,'Pres. Dist.'!J9,"")</f>
        <v/>
      </c>
      <c r="G133" s="3107"/>
      <c r="H133" s="1624"/>
      <c r="I133" s="2602"/>
      <c r="J133" s="1598"/>
      <c r="K133" s="1596" t="s">
        <v>13</v>
      </c>
      <c r="L133" s="3106" t="str">
        <f>IF(AC63=2,'Pres. Dist.'!J11,"")</f>
        <v/>
      </c>
      <c r="M133" s="3107"/>
      <c r="N133" s="2602" t="s">
        <v>92</v>
      </c>
      <c r="O133" s="2602"/>
      <c r="P133" s="2602"/>
      <c r="Q133" s="1623"/>
      <c r="R133" s="1625" t="s">
        <v>132</v>
      </c>
      <c r="S133" s="3106" t="str">
        <f>IF(AC63=2,'Pres. Dist.'!J13,"")</f>
        <v/>
      </c>
      <c r="T133" s="3107"/>
      <c r="U133" s="1190" t="s">
        <v>94</v>
      </c>
      <c r="V133" s="1560"/>
      <c r="AD133" s="1675"/>
      <c r="AE133" s="1675"/>
      <c r="AF133" s="1675"/>
      <c r="AG133" s="1675"/>
    </row>
    <row r="134" spans="1:43" ht="4.3499999999999996" customHeight="1">
      <c r="A134" s="1558"/>
      <c r="B134" s="2595"/>
      <c r="C134" s="1625"/>
      <c r="D134" s="2596"/>
      <c r="E134" s="2596"/>
      <c r="F134" s="2601"/>
      <c r="G134" s="2601"/>
      <c r="H134" s="2602"/>
      <c r="I134" s="2596"/>
      <c r="J134" s="2596"/>
      <c r="K134" s="2596"/>
      <c r="L134" s="2602"/>
      <c r="M134" s="2602"/>
      <c r="N134" s="2602"/>
      <c r="O134" s="1624"/>
      <c r="P134" s="1596"/>
      <c r="Q134" s="1655"/>
      <c r="R134" s="1596"/>
      <c r="S134" s="1624"/>
      <c r="T134" s="2104"/>
      <c r="U134" s="2597"/>
      <c r="V134" s="1560"/>
      <c r="AD134" s="1675"/>
      <c r="AE134" s="1675"/>
      <c r="AF134" s="1675"/>
      <c r="AG134" s="1675"/>
    </row>
    <row r="135" spans="1:43" ht="18" customHeight="1">
      <c r="A135" s="1558"/>
      <c r="B135" s="2595"/>
      <c r="C135" s="2602"/>
      <c r="D135" s="2602"/>
      <c r="E135" s="2596" t="s">
        <v>793</v>
      </c>
      <c r="F135" s="3121" t="str">
        <f>IF(AC63=2,'Pres. Dist.'!K43,"")</f>
        <v/>
      </c>
      <c r="G135" s="3122"/>
      <c r="H135" s="2602" t="s">
        <v>94</v>
      </c>
      <c r="I135" s="2602"/>
      <c r="J135" s="2602"/>
      <c r="K135" s="2596" t="s">
        <v>1737</v>
      </c>
      <c r="L135" s="3108" t="str">
        <f>IF(AC63=2,(MAX('Pump Tank(1)Demand'!K23,'Non-Level '!K189)),"")</f>
        <v/>
      </c>
      <c r="M135" s="3109"/>
      <c r="N135" s="2601" t="s">
        <v>1087</v>
      </c>
      <c r="O135" s="2602"/>
      <c r="P135" s="2602"/>
      <c r="Q135" s="2602"/>
      <c r="R135" s="2596" t="s">
        <v>1738</v>
      </c>
      <c r="S135" s="3108" t="str">
        <f>IF(AC63=2,I11*0.25,"")</f>
        <v/>
      </c>
      <c r="T135" s="3109"/>
      <c r="U135" s="2600" t="s">
        <v>1087</v>
      </c>
      <c r="V135" s="1560"/>
      <c r="X135" s="1675"/>
      <c r="Y135" s="1675"/>
      <c r="Z135" s="1675"/>
      <c r="AA135" s="1675"/>
      <c r="AB135" s="1675"/>
      <c r="AC135" s="1675"/>
      <c r="AD135" s="1675"/>
      <c r="AE135" s="1675"/>
      <c r="AF135" s="1675"/>
      <c r="AG135" s="1675"/>
    </row>
    <row r="136" spans="1:43" ht="4.3499999999999996" customHeight="1">
      <c r="A136" s="1558"/>
      <c r="B136" s="1656"/>
      <c r="C136" s="1657"/>
      <c r="D136" s="1657"/>
      <c r="E136" s="1657"/>
      <c r="F136" s="1631"/>
      <c r="G136" s="1631"/>
      <c r="H136" s="1631"/>
      <c r="I136" s="1657"/>
      <c r="J136" s="1657"/>
      <c r="K136" s="1657"/>
      <c r="L136" s="1631"/>
      <c r="M136" s="1631"/>
      <c r="N136" s="1631"/>
      <c r="O136" s="1632"/>
      <c r="P136" s="1631"/>
      <c r="Q136" s="1658"/>
      <c r="R136" s="1658"/>
      <c r="S136" s="1659"/>
      <c r="T136" s="1266"/>
      <c r="U136" s="1660"/>
      <c r="V136" s="1560"/>
      <c r="AD136" s="1675"/>
      <c r="AE136" s="1675"/>
      <c r="AF136" s="1675"/>
      <c r="AG136" s="1675"/>
    </row>
    <row r="137" spans="1:43" ht="4.3499999999999996" customHeight="1">
      <c r="A137" s="1558"/>
      <c r="B137" s="2596"/>
      <c r="C137" s="2596"/>
      <c r="D137" s="2596"/>
      <c r="E137" s="2596"/>
      <c r="F137" s="2602"/>
      <c r="G137" s="2602"/>
      <c r="H137" s="2602"/>
      <c r="I137" s="2596"/>
      <c r="J137" s="2596"/>
      <c r="K137" s="2596"/>
      <c r="L137" s="2602"/>
      <c r="M137" s="2602"/>
      <c r="N137" s="2602"/>
      <c r="O137" s="1624"/>
      <c r="P137" s="2602"/>
      <c r="Q137" s="1596"/>
      <c r="R137" s="1596"/>
      <c r="S137" s="1263"/>
      <c r="T137" s="2601"/>
      <c r="U137" s="2601"/>
      <c r="V137" s="1560"/>
      <c r="AD137" s="1675"/>
      <c r="AE137" s="1675"/>
      <c r="AF137" s="1675"/>
      <c r="AG137" s="1675"/>
    </row>
    <row r="138" spans="1:43" ht="14.25" customHeight="1">
      <c r="A138" s="1558"/>
      <c r="B138" s="1618" t="s">
        <v>1721</v>
      </c>
      <c r="C138" s="1619"/>
      <c r="D138" s="1620"/>
      <c r="E138" s="1620"/>
      <c r="F138" s="1620"/>
      <c r="G138" s="1620"/>
      <c r="H138" s="1620"/>
      <c r="I138" s="1620"/>
      <c r="J138" s="1620"/>
      <c r="K138" s="1620"/>
      <c r="L138" s="1620"/>
      <c r="M138" s="1620"/>
      <c r="N138" s="1620"/>
      <c r="O138" s="1620"/>
      <c r="P138" s="1620"/>
      <c r="Q138" s="1620"/>
      <c r="R138" s="1620"/>
      <c r="S138" s="1620"/>
      <c r="T138" s="1620"/>
      <c r="U138" s="1621"/>
      <c r="V138" s="1560"/>
      <c r="AD138" s="1675"/>
      <c r="AE138" s="1675"/>
      <c r="AF138" s="1675"/>
      <c r="AG138" s="1675"/>
    </row>
    <row r="139" spans="1:43" ht="6" customHeight="1">
      <c r="A139" s="1558"/>
      <c r="B139" s="1661"/>
      <c r="C139" s="2601"/>
      <c r="D139" s="3196" t="s">
        <v>1282</v>
      </c>
      <c r="E139" s="3196"/>
      <c r="F139" s="3196" t="s">
        <v>602</v>
      </c>
      <c r="G139" s="3196"/>
      <c r="H139" s="3196" t="s">
        <v>603</v>
      </c>
      <c r="I139" s="3196"/>
      <c r="J139" s="3196" t="s">
        <v>604</v>
      </c>
      <c r="K139" s="3196"/>
      <c r="L139" s="3196" t="s">
        <v>1726</v>
      </c>
      <c r="M139" s="3196"/>
      <c r="N139" s="3196" t="s">
        <v>607</v>
      </c>
      <c r="O139" s="3196"/>
      <c r="P139" s="3196" t="s">
        <v>1280</v>
      </c>
      <c r="Q139" s="3196"/>
      <c r="R139" s="2602"/>
      <c r="S139" s="2602"/>
      <c r="T139" s="2602"/>
      <c r="U139" s="1190"/>
      <c r="V139" s="1560"/>
      <c r="AD139" s="1675"/>
      <c r="AE139" s="1675"/>
      <c r="AF139" s="1675"/>
      <c r="AG139" s="1675"/>
    </row>
    <row r="140" spans="1:43" ht="18" customHeight="1">
      <c r="A140" s="1558"/>
      <c r="B140" s="1622"/>
      <c r="C140" s="2602"/>
      <c r="D140" s="3196"/>
      <c r="E140" s="3196"/>
      <c r="F140" s="3196"/>
      <c r="G140" s="3196"/>
      <c r="H140" s="3196"/>
      <c r="I140" s="3196"/>
      <c r="J140" s="3196"/>
      <c r="K140" s="3196"/>
      <c r="L140" s="3196"/>
      <c r="M140" s="3196"/>
      <c r="N140" s="3196"/>
      <c r="O140" s="3196"/>
      <c r="P140" s="3196"/>
      <c r="Q140" s="3196"/>
      <c r="R140" s="2602"/>
      <c r="S140" s="1662"/>
      <c r="T140" s="1662"/>
      <c r="U140" s="1663"/>
      <c r="V140" s="1560"/>
      <c r="AP140" s="1675"/>
      <c r="AQ140" s="1675"/>
    </row>
    <row r="141" spans="1:43" ht="18.600000000000001" customHeight="1">
      <c r="A141" s="1558"/>
      <c r="B141" s="1622"/>
      <c r="C141" s="2602"/>
      <c r="D141" s="3196"/>
      <c r="E141" s="3196"/>
      <c r="F141" s="3196"/>
      <c r="G141" s="3196"/>
      <c r="H141" s="3196"/>
      <c r="I141" s="3196"/>
      <c r="J141" s="3196"/>
      <c r="K141" s="3196"/>
      <c r="L141" s="3196"/>
      <c r="M141" s="3196"/>
      <c r="N141" s="3196"/>
      <c r="O141" s="3196"/>
      <c r="P141" s="3196"/>
      <c r="Q141" s="3196"/>
      <c r="R141" s="2602"/>
      <c r="S141" s="3147" t="s">
        <v>1739</v>
      </c>
      <c r="T141" s="3147"/>
      <c r="U141" s="3148"/>
      <c r="V141" s="1560"/>
      <c r="AP141" s="1675"/>
      <c r="AQ141" s="1675"/>
    </row>
    <row r="142" spans="1:43" ht="18.600000000000001" customHeight="1">
      <c r="A142" s="1558"/>
      <c r="B142" s="3195" t="s">
        <v>315</v>
      </c>
      <c r="C142" s="3168"/>
      <c r="D142" s="3106" t="str">
        <f>IF(AC63=0,"",IF(AC63=1,"",IF(AC63=2,"",IF(AC63=3, 'Non-Level '!F6))))</f>
        <v/>
      </c>
      <c r="E142" s="3107"/>
      <c r="F142" s="3106" t="str">
        <f>IF(AC63=0,"",IF(AC63=1,"",IF(AC63=2,"",IF(AC63=3, 'Non-Level '!D182))))</f>
        <v/>
      </c>
      <c r="G142" s="3107"/>
      <c r="H142" s="3144" t="str">
        <f>IF(AC63=0,"",IF(AC63=1,"",IF(AC63=2,"",IF(AC63=3, 'Non-Level '!F182))))</f>
        <v/>
      </c>
      <c r="I142" s="3144"/>
      <c r="J142" s="3144" t="str">
        <f>IF(AC63=0,"",IF(AC63=1,"",IF(AC63=2,"",IF(AC63=3, 'Non-Level '!H182))))</f>
        <v/>
      </c>
      <c r="K142" s="3144"/>
      <c r="L142" s="3144" t="str">
        <f>IF(AC63=0,"",IF(AC63=1,"",IF(AC63=2,"",IF(AC63=3, 'Non-Level '!L182))))</f>
        <v/>
      </c>
      <c r="M142" s="3144"/>
      <c r="N142" s="3149" t="str">
        <f>IF(AC63=0,"",IF(AC63=1,"",IF(AC63=2,"",IF(AC63=3, 'Non-Level '!N182))))</f>
        <v/>
      </c>
      <c r="O142" s="3149"/>
      <c r="P142" s="3149" t="str">
        <f>IF(AC63=0,"",IF(AC63=1,"",IF(AC63=2,"",IF(AC63=3, 'Non-Level '!O182))))</f>
        <v/>
      </c>
      <c r="Q142" s="3149"/>
      <c r="R142" s="2602"/>
      <c r="S142" s="3147"/>
      <c r="T142" s="3147"/>
      <c r="U142" s="3148"/>
      <c r="V142" s="1560"/>
      <c r="AP142" s="1675"/>
      <c r="AQ142" s="1675"/>
    </row>
    <row r="143" spans="1:43" ht="18.600000000000001" customHeight="1">
      <c r="A143" s="1558"/>
      <c r="B143" s="3195" t="s">
        <v>316</v>
      </c>
      <c r="C143" s="3168"/>
      <c r="D143" s="3106" t="str">
        <f>IF(AC63=0,"",IF(AC63=1,"",IF(AC63=2,"",IF(AC63=3, 'Non-Level '!F8))))</f>
        <v/>
      </c>
      <c r="E143" s="3107"/>
      <c r="F143" s="3106" t="str">
        <f>IF(AC63=0,"",IF(AC63=1,"",IF(AC63=2,"",IF(AC63=3, 'Non-Level '!D183))))</f>
        <v/>
      </c>
      <c r="G143" s="3107"/>
      <c r="H143" s="3144" t="str">
        <f>IF(AC63=0,"",IF(AC63=1,"",IF(AC63=2,"",IF(AC63=3, 'Non-Level '!F183))))</f>
        <v/>
      </c>
      <c r="I143" s="3144"/>
      <c r="J143" s="3144" t="str">
        <f>IF(AC63=0,"",IF(AC63=1,"",IF(AC63=2,"",IF(AC63=3, 'Non-Level '!H183))))</f>
        <v/>
      </c>
      <c r="K143" s="3144"/>
      <c r="L143" s="3144" t="str">
        <f>IF(AC63=0,"",IF(AC63=1,"",IF(AC63=2,"",IF(AC63=3, 'Non-Level '!L183))))</f>
        <v/>
      </c>
      <c r="M143" s="3144"/>
      <c r="N143" s="3149" t="str">
        <f>IF(AC63=0,"",IF(AC63=1,"",IF(AC63=2,"",IF(AC63=3, 'Non-Level '!N183))))</f>
        <v/>
      </c>
      <c r="O143" s="3149"/>
      <c r="P143" s="3149" t="str">
        <f>IF(AC63=0,"",IF(AC63=1,"",IF(AC63=2,"",IF(AC63=3, 'Non-Level '!O183))))</f>
        <v/>
      </c>
      <c r="Q143" s="3149"/>
      <c r="R143" s="2602"/>
      <c r="S143" s="3108" t="str">
        <f>IF(AC63=3,'Non-Level '!K189,"")</f>
        <v/>
      </c>
      <c r="T143" s="3109"/>
      <c r="U143" s="1664" t="s">
        <v>1087</v>
      </c>
      <c r="V143" s="1560"/>
      <c r="AP143" s="1675"/>
      <c r="AQ143" s="1675"/>
    </row>
    <row r="144" spans="1:43" ht="18.600000000000001" customHeight="1">
      <c r="A144" s="1558"/>
      <c r="B144" s="3195" t="s">
        <v>317</v>
      </c>
      <c r="C144" s="3168"/>
      <c r="D144" s="3106" t="str">
        <f>IF(AC63=0,"",IF(AC63=1,"",IF(AC63=2,"",IF(AC63=3, 'Non-Level '!F10))))</f>
        <v/>
      </c>
      <c r="E144" s="3107"/>
      <c r="F144" s="3106" t="str">
        <f>IF(AC63=0,"",IF(AC63=1,"",IF(AC63=2,"",IF(AC63=3, 'Non-Level '!D184))))</f>
        <v/>
      </c>
      <c r="G144" s="3107"/>
      <c r="H144" s="3144" t="str">
        <f>IF(AC63=0,"",IF(AC63=1,"",IF(AC63=2,"",IF(AC63=3, 'Non-Level '!F184))))</f>
        <v/>
      </c>
      <c r="I144" s="3144"/>
      <c r="J144" s="3144" t="str">
        <f>IF(AC63=0,"",IF(AC63=1,"",IF(AC63=2,"",IF(AC63=3, 'Non-Level '!H184))))</f>
        <v/>
      </c>
      <c r="K144" s="3144"/>
      <c r="L144" s="3144" t="str">
        <f>IF(AC63=0,"",IF(AC63=1,"",IF(AC63=2,"",IF(AC63=3, 'Non-Level '!L184))))</f>
        <v/>
      </c>
      <c r="M144" s="3144"/>
      <c r="N144" s="3149" t="str">
        <f>IF(AC63=0,"",IF(AC63=1,"",IF(AC63=2,"",IF(AC63=3, 'Non-Level '!N184))))</f>
        <v/>
      </c>
      <c r="O144" s="3149"/>
      <c r="P144" s="3149" t="str">
        <f>IF(AC63=0,"",IF(AC63=1,"",IF(AC63=2,"",IF(AC63=3, 'Non-Level '!O184))))</f>
        <v/>
      </c>
      <c r="Q144" s="3149"/>
      <c r="R144" s="2602"/>
      <c r="S144" s="2602"/>
      <c r="T144" s="2602"/>
      <c r="U144" s="1190"/>
      <c r="V144" s="1560"/>
      <c r="AP144" s="1675"/>
      <c r="AQ144" s="1675"/>
    </row>
    <row r="145" spans="1:43" ht="18.600000000000001" customHeight="1">
      <c r="A145" s="1558"/>
      <c r="B145" s="3195" t="s">
        <v>318</v>
      </c>
      <c r="C145" s="3168"/>
      <c r="D145" s="3106" t="str">
        <f>IF(AC63=0,"",IF(AC63=1,"",IF(AC63=2,"",IF(AC63=3, 'Non-Level '!F12))))</f>
        <v/>
      </c>
      <c r="E145" s="3107"/>
      <c r="F145" s="3106" t="str">
        <f>IF(AC63=0,"",IF(AC63=1,"",IF(AC63=2,"",IF(AC63=3, 'Non-Level '!D185))))</f>
        <v/>
      </c>
      <c r="G145" s="3107"/>
      <c r="H145" s="3144" t="str">
        <f>IF(AC63=0,"",IF(AC63=1,"",IF(AC63=2,"",IF(AC63=3, 'Non-Level '!F185))))</f>
        <v/>
      </c>
      <c r="I145" s="3144"/>
      <c r="J145" s="3144" t="str">
        <f>IF(AC63=0,"",IF(AC63=1,"",IF(AC63=2,"",IF(AC63=3, 'Non-Level '!H185))))</f>
        <v/>
      </c>
      <c r="K145" s="3144"/>
      <c r="L145" s="3144" t="str">
        <f>IF(AC63=0,"",IF(AC63=1,"",IF(AC63=2,"",IF(AC63=3, 'Non-Level '!L185))))</f>
        <v/>
      </c>
      <c r="M145" s="3144"/>
      <c r="N145" s="3149" t="str">
        <f>IF(AC63=0,"",IF(AC63=1,"",IF(AC63=2,"",IF(AC63=3, 'Non-Level '!N185))))</f>
        <v/>
      </c>
      <c r="O145" s="3149"/>
      <c r="P145" s="3149" t="str">
        <f>IF(AC63=0,"",IF(AC63=1,"",IF(AC63=2,"",IF(AC63=3, 'Non-Level '!O185))))</f>
        <v/>
      </c>
      <c r="Q145" s="3149"/>
      <c r="R145" s="2602"/>
      <c r="S145" s="3147" t="s">
        <v>1740</v>
      </c>
      <c r="T145" s="3147"/>
      <c r="U145" s="3148"/>
      <c r="V145" s="1638"/>
      <c r="W145" s="1675"/>
      <c r="AP145" s="1675"/>
      <c r="AQ145" s="1675"/>
    </row>
    <row r="146" spans="1:43" ht="18.600000000000001" customHeight="1">
      <c r="A146" s="1558"/>
      <c r="B146" s="3195" t="s">
        <v>319</v>
      </c>
      <c r="C146" s="3168"/>
      <c r="D146" s="3106" t="str">
        <f>IF(AC63=0,"",IF(AC63=1,"",IF(AC63=2,"",IF(AC63=3, 'Non-Level '!F14))))</f>
        <v/>
      </c>
      <c r="E146" s="3107"/>
      <c r="F146" s="3106" t="str">
        <f>IF(AC63=0,"",IF(AC63=1,"",IF(AC63=2,"",IF(AC63=3, 'Non-Level '!D186))))</f>
        <v/>
      </c>
      <c r="G146" s="3107"/>
      <c r="H146" s="3144" t="str">
        <f>IF(AC63=0,"",IF(AC63=1,"",IF(AC63=2,"",IF(AC63=3, 'Non-Level '!F186))))</f>
        <v/>
      </c>
      <c r="I146" s="3144"/>
      <c r="J146" s="3144" t="str">
        <f>IF(AC63=0,"",IF(AC63=1,"",IF(AC63=2,"",IF(AC63=3, 'Non-Level '!H186))))</f>
        <v/>
      </c>
      <c r="K146" s="3144"/>
      <c r="L146" s="3144" t="str">
        <f>IF(AC63=0,"",IF(AC63=1,"",IF(AC63=2,"",IF(AC63=3, 'Non-Level '!L186))))</f>
        <v/>
      </c>
      <c r="M146" s="3144"/>
      <c r="N146" s="3149" t="str">
        <f>IF(AC63=0,"",IF(AC63=1,"",IF(AC63=2,"",IF(AC63=3, 'Non-Level '!N186))))</f>
        <v/>
      </c>
      <c r="O146" s="3149"/>
      <c r="P146" s="3149" t="str">
        <f>IF(AC63=0,"",IF(AC63=1,"",IF(AC63=2,"",IF(AC63=3, 'Non-Level '!O186))))</f>
        <v/>
      </c>
      <c r="Q146" s="3149"/>
      <c r="R146" s="2602"/>
      <c r="S146" s="3147"/>
      <c r="T146" s="3147"/>
      <c r="U146" s="3148"/>
      <c r="V146" s="1638"/>
      <c r="W146" s="1675"/>
      <c r="AP146" s="1675"/>
      <c r="AQ146" s="1675"/>
    </row>
    <row r="147" spans="1:43" ht="18.600000000000001" customHeight="1">
      <c r="A147" s="1558"/>
      <c r="B147" s="3195" t="s">
        <v>794</v>
      </c>
      <c r="C147" s="3168"/>
      <c r="D147" s="3106" t="str">
        <f>IF(AC63=0,"",IF(AC63=1,"",IF(AC63=2,"",IF(AC63=3, 'Non-Level '!F16))))</f>
        <v/>
      </c>
      <c r="E147" s="3107"/>
      <c r="F147" s="3106" t="str">
        <f>IF(AC63=0,"",IF(AC63=1,"",IF(AC63=2,"",IF(AC63=3, 'Non-Level '!D187))))</f>
        <v/>
      </c>
      <c r="G147" s="3107"/>
      <c r="H147" s="3144" t="str">
        <f>IF(AC63=0,"",IF(AC63=1,"",IF(AC63=2,"",IF(AC63=3, 'Non-Level '!F187))))</f>
        <v/>
      </c>
      <c r="I147" s="3144"/>
      <c r="J147" s="3144" t="str">
        <f>IF(AC63=0,"",IF(AC63=1,"",IF(AC63=2,"",IF(AC63=3, 'Non-Level '!H187))))</f>
        <v/>
      </c>
      <c r="K147" s="3144"/>
      <c r="L147" s="3144" t="str">
        <f>IF(AC63=0,"",IF(AC63=1,"",IF(AC63=2,"",IF(AC63=3, 'Non-Level '!L187))))</f>
        <v/>
      </c>
      <c r="M147" s="3144"/>
      <c r="N147" s="3149" t="str">
        <f>IF(AC63=0,"",IF(AC63=1,"",IF(AC63=2,"",IF(AC63=3, 'Non-Level '!N187))))</f>
        <v/>
      </c>
      <c r="O147" s="3149"/>
      <c r="P147" s="3149" t="str">
        <f>IF(AC63=0,"",IF(AC63=1,"",IF(AC63=2,"",IF(AC63=3, 'Non-Level '!O187))))</f>
        <v/>
      </c>
      <c r="Q147" s="3149"/>
      <c r="R147" s="2602"/>
      <c r="S147" s="3108" t="str">
        <f>IF(AC63=3,'Non-Level '!K190,"")</f>
        <v/>
      </c>
      <c r="T147" s="3109"/>
      <c r="U147" s="1664" t="s">
        <v>1087</v>
      </c>
      <c r="V147" s="1638"/>
      <c r="W147" s="1675"/>
      <c r="AP147" s="1675"/>
      <c r="AQ147" s="1675"/>
    </row>
    <row r="148" spans="1:43" ht="6" customHeight="1">
      <c r="A148" s="1558"/>
      <c r="B148" s="1665"/>
      <c r="C148" s="1666"/>
      <c r="D148" s="1631"/>
      <c r="E148" s="1631"/>
      <c r="F148" s="1631"/>
      <c r="G148" s="1631"/>
      <c r="H148" s="1631"/>
      <c r="I148" s="1631"/>
      <c r="J148" s="1631"/>
      <c r="K148" s="1631"/>
      <c r="L148" s="1631"/>
      <c r="M148" s="1631"/>
      <c r="N148" s="1631"/>
      <c r="O148" s="1631"/>
      <c r="P148" s="1631"/>
      <c r="Q148" s="1631"/>
      <c r="R148" s="1631"/>
      <c r="S148" s="1270"/>
      <c r="T148" s="1270"/>
      <c r="U148" s="1667"/>
      <c r="V148" s="1560"/>
      <c r="W148" s="1675"/>
      <c r="X148" s="1675"/>
    </row>
    <row r="149" spans="1:43" ht="6" customHeight="1">
      <c r="A149" s="1558"/>
      <c r="B149" s="1548"/>
      <c r="C149" s="1548"/>
      <c r="D149" s="2602"/>
      <c r="E149" s="2602"/>
      <c r="F149" s="2602"/>
      <c r="G149" s="2602"/>
      <c r="H149" s="2602"/>
      <c r="I149" s="2602"/>
      <c r="J149" s="2602"/>
      <c r="K149" s="2602"/>
      <c r="L149" s="2602"/>
      <c r="M149" s="2602"/>
      <c r="N149" s="2602"/>
      <c r="O149" s="2602"/>
      <c r="P149" s="2602"/>
      <c r="Q149" s="2602"/>
      <c r="R149" s="2602"/>
      <c r="S149" s="1189"/>
      <c r="T149" s="1189"/>
      <c r="U149" s="1189"/>
      <c r="V149" s="1560"/>
      <c r="W149" s="1675"/>
      <c r="X149" s="1675"/>
    </row>
    <row r="150" spans="1:43" ht="15.75" customHeight="1">
      <c r="A150" s="1723"/>
      <c r="B150" s="1728" t="s">
        <v>99</v>
      </c>
      <c r="C150" s="3143" t="s">
        <v>1593</v>
      </c>
      <c r="D150" s="3143"/>
      <c r="E150" s="3143"/>
      <c r="F150" s="3143"/>
      <c r="G150" s="3143"/>
      <c r="H150" s="3143"/>
      <c r="I150" s="3143"/>
      <c r="J150" s="3143"/>
      <c r="K150" s="3143"/>
      <c r="L150" s="3143"/>
      <c r="M150" s="3143"/>
      <c r="N150" s="3143"/>
      <c r="O150" s="3143"/>
      <c r="P150" s="3143"/>
      <c r="Q150" s="3143"/>
      <c r="R150" s="3143"/>
      <c r="S150" s="3143"/>
      <c r="T150" s="3143"/>
      <c r="U150" s="3143"/>
      <c r="V150" s="1736"/>
      <c r="W150" s="1675"/>
      <c r="X150" s="1675"/>
      <c r="Y150" s="1675"/>
      <c r="Z150" s="1675"/>
      <c r="AA150" s="1675"/>
      <c r="AB150" s="1675"/>
      <c r="AC150" s="1675"/>
      <c r="AD150" s="1675"/>
      <c r="AE150" s="1675"/>
      <c r="AF150" s="1675"/>
      <c r="AG150" s="1675"/>
      <c r="AH150" s="1675"/>
      <c r="AI150" s="1675"/>
      <c r="AJ150" s="1675"/>
    </row>
    <row r="151" spans="1:43" ht="6" customHeight="1">
      <c r="A151" s="1558"/>
      <c r="B151" s="1548"/>
      <c r="C151" s="1548"/>
      <c r="D151" s="2602"/>
      <c r="E151" s="2602"/>
      <c r="F151" s="2602"/>
      <c r="G151" s="2602"/>
      <c r="H151" s="2602"/>
      <c r="I151" s="2602"/>
      <c r="J151" s="2602"/>
      <c r="K151" s="2602"/>
      <c r="L151" s="2602"/>
      <c r="M151" s="2602"/>
      <c r="N151" s="2602"/>
      <c r="O151" s="2602"/>
      <c r="P151" s="2602"/>
      <c r="Q151" s="2602"/>
      <c r="R151" s="2602"/>
      <c r="S151" s="1189"/>
      <c r="T151" s="1189"/>
      <c r="U151" s="1189"/>
      <c r="V151" s="1560"/>
      <c r="W151" s="1675"/>
      <c r="X151" s="1675"/>
      <c r="Y151" s="1675"/>
      <c r="Z151" s="1675"/>
      <c r="AA151" s="1675"/>
      <c r="AB151" s="1675"/>
      <c r="AC151" s="1675"/>
      <c r="AD151" s="1675"/>
      <c r="AE151" s="1675"/>
      <c r="AF151" s="1675"/>
      <c r="AG151" s="1675"/>
      <c r="AH151" s="1675"/>
      <c r="AI151" s="1675"/>
      <c r="AJ151" s="1675"/>
    </row>
    <row r="152" spans="1:43" ht="14.25" customHeight="1">
      <c r="A152" s="1558"/>
      <c r="B152" s="1668" t="s">
        <v>147</v>
      </c>
      <c r="C152" s="1264" t="s">
        <v>1727</v>
      </c>
      <c r="D152" s="1669"/>
      <c r="E152" s="1669"/>
      <c r="F152" s="1669"/>
      <c r="G152" s="1669"/>
      <c r="H152" s="1669"/>
      <c r="I152" s="1669"/>
      <c r="J152" s="1669"/>
      <c r="K152" s="1669"/>
      <c r="L152" s="1669"/>
      <c r="M152" s="1669"/>
      <c r="N152" s="1669"/>
      <c r="O152" s="1669"/>
      <c r="P152" s="1669"/>
      <c r="Q152" s="1669"/>
      <c r="R152" s="1669"/>
      <c r="S152" s="1669"/>
      <c r="T152" s="1189"/>
      <c r="U152" s="1189"/>
      <c r="V152" s="1560"/>
    </row>
    <row r="153" spans="1:43" ht="4.3499999999999996" customHeight="1">
      <c r="A153" s="1558"/>
      <c r="B153" s="2596"/>
      <c r="C153" s="1548"/>
      <c r="D153" s="2602"/>
      <c r="E153" s="2602"/>
      <c r="F153" s="2602"/>
      <c r="G153" s="2602"/>
      <c r="H153" s="2602"/>
      <c r="I153" s="2602"/>
      <c r="J153" s="2602"/>
      <c r="K153" s="2602"/>
      <c r="L153" s="2602"/>
      <c r="M153" s="2602"/>
      <c r="N153" s="2602"/>
      <c r="O153" s="2602"/>
      <c r="P153" s="2602"/>
      <c r="Q153" s="2602"/>
      <c r="R153" s="2602"/>
      <c r="S153" s="2602"/>
      <c r="T153" s="2104"/>
      <c r="U153" s="2104"/>
      <c r="V153" s="1560"/>
      <c r="AD153" s="1675"/>
      <c r="AE153" s="1675"/>
      <c r="AF153" s="1675"/>
      <c r="AG153" s="1675"/>
    </row>
    <row r="154" spans="1:43" ht="18" customHeight="1">
      <c r="A154" s="1558"/>
      <c r="B154" s="1533"/>
      <c r="C154" s="3108" t="str">
        <f>IF(ISBLANK(G154),"",I11)</f>
        <v/>
      </c>
      <c r="D154" s="3109"/>
      <c r="E154" s="3130" t="s">
        <v>309</v>
      </c>
      <c r="F154" s="3131"/>
      <c r="G154" s="3100"/>
      <c r="H154" s="3101"/>
      <c r="I154" s="3132" t="s">
        <v>287</v>
      </c>
      <c r="J154" s="3133"/>
      <c r="K154" s="3133"/>
      <c r="L154" s="3133"/>
      <c r="M154" s="2104" t="s">
        <v>102</v>
      </c>
      <c r="N154" s="3121" t="str">
        <f>IF(ISBLANK(G154),"",(C154*G154*8.35)/1000000)</f>
        <v/>
      </c>
      <c r="O154" s="3122"/>
      <c r="P154" s="2601" t="s">
        <v>1594</v>
      </c>
      <c r="Q154" s="1636"/>
      <c r="R154" s="1624"/>
      <c r="S154" s="1624"/>
      <c r="T154" s="1189"/>
      <c r="U154" s="1189"/>
      <c r="V154" s="1560"/>
    </row>
    <row r="155" spans="1:43" s="1680" customFormat="1" ht="4.3499999999999996" customHeight="1">
      <c r="A155" s="1562"/>
      <c r="B155" s="1413"/>
      <c r="C155" s="1260"/>
      <c r="D155" s="1260"/>
      <c r="E155" s="1189"/>
      <c r="F155" s="1189"/>
      <c r="G155" s="2293"/>
      <c r="H155" s="2293"/>
      <c r="I155" s="1189"/>
      <c r="J155" s="1158"/>
      <c r="K155" s="1158"/>
      <c r="L155" s="1158"/>
      <c r="M155" s="1259"/>
      <c r="N155" s="1259"/>
      <c r="O155" s="1189"/>
      <c r="P155" s="1189"/>
      <c r="Q155" s="1636"/>
      <c r="R155" s="1624"/>
      <c r="S155" s="1624"/>
      <c r="T155" s="1189"/>
      <c r="U155" s="1189"/>
      <c r="V155" s="1563"/>
      <c r="W155" s="1679"/>
      <c r="X155" s="1679"/>
      <c r="Y155" s="1679"/>
      <c r="Z155" s="1679"/>
      <c r="AA155" s="1679"/>
      <c r="AB155" s="1679"/>
      <c r="AC155" s="1679"/>
      <c r="AD155" s="1679"/>
      <c r="AE155" s="1679"/>
      <c r="AF155" s="1679"/>
      <c r="AG155" s="1679"/>
      <c r="AH155" s="1679"/>
      <c r="AI155" s="1679"/>
      <c r="AJ155" s="1679"/>
      <c r="AK155" s="1679"/>
      <c r="AL155" s="1679"/>
      <c r="AM155" s="1679"/>
      <c r="AN155" s="1679"/>
      <c r="AO155" s="1679"/>
      <c r="AP155" s="1679"/>
      <c r="AQ155" s="1679"/>
    </row>
    <row r="156" spans="1:43" s="1680" customFormat="1" ht="18" customHeight="1">
      <c r="A156" s="1562"/>
      <c r="B156" s="1668" t="s">
        <v>631</v>
      </c>
      <c r="C156" s="1670" t="s">
        <v>1728</v>
      </c>
      <c r="D156" s="1260"/>
      <c r="E156" s="1189"/>
      <c r="F156" s="1189"/>
      <c r="G156" s="2293"/>
      <c r="H156" s="2293"/>
      <c r="I156" s="1189"/>
      <c r="J156" s="1158"/>
      <c r="K156" s="1158"/>
      <c r="L156" s="1158"/>
      <c r="M156" s="1259"/>
      <c r="N156" s="1259"/>
      <c r="O156" s="1158"/>
      <c r="P156" s="1158"/>
      <c r="Q156" s="1158"/>
      <c r="R156" s="1624"/>
      <c r="S156" s="1624"/>
      <c r="T156" s="1189"/>
      <c r="U156" s="1189"/>
      <c r="V156" s="1563"/>
      <c r="W156" s="1679"/>
      <c r="X156" s="1679"/>
      <c r="Y156" s="1679"/>
      <c r="Z156" s="1679"/>
      <c r="AA156" s="1679"/>
      <c r="AB156" s="1679"/>
      <c r="AC156" s="1679"/>
      <c r="AD156" s="1679"/>
      <c r="AE156" s="1679"/>
      <c r="AF156" s="1679"/>
      <c r="AG156" s="1679"/>
      <c r="AH156" s="1679"/>
      <c r="AI156" s="1679"/>
      <c r="AJ156" s="1679"/>
      <c r="AK156" s="1679"/>
      <c r="AL156" s="1679"/>
      <c r="AM156" s="1679"/>
      <c r="AN156" s="1679"/>
      <c r="AO156" s="1679"/>
      <c r="AP156" s="1679"/>
      <c r="AQ156" s="1679"/>
    </row>
    <row r="157" spans="1:43" s="1680" customFormat="1" ht="18" customHeight="1">
      <c r="A157" s="1562"/>
      <c r="B157" s="1158"/>
      <c r="C157" s="3108" t="str">
        <f>IF(ISBLANK(G157),"",I11)</f>
        <v/>
      </c>
      <c r="D157" s="3109"/>
      <c r="E157" s="3130" t="s">
        <v>309</v>
      </c>
      <c r="F157" s="3131"/>
      <c r="G157" s="3100"/>
      <c r="H157" s="3101"/>
      <c r="I157" s="3132" t="s">
        <v>287</v>
      </c>
      <c r="J157" s="3133"/>
      <c r="K157" s="3133"/>
      <c r="L157" s="3133"/>
      <c r="M157" s="2104" t="s">
        <v>102</v>
      </c>
      <c r="N157" s="3121" t="str">
        <f>IF(ISBLANK(G157),"",(C157*G157*8.35)/1000000)</f>
        <v/>
      </c>
      <c r="O157" s="3122"/>
      <c r="P157" s="2601" t="s">
        <v>1594</v>
      </c>
      <c r="Q157" s="1636"/>
      <c r="R157" s="1624"/>
      <c r="S157" s="1624"/>
      <c r="T157" s="1189"/>
      <c r="U157" s="1189"/>
      <c r="V157" s="1563"/>
      <c r="W157" s="1679"/>
      <c r="X157" s="1679"/>
      <c r="Y157" s="1679"/>
      <c r="Z157" s="1679"/>
      <c r="AA157" s="1679"/>
      <c r="AB157" s="1679"/>
      <c r="AC157" s="1679"/>
      <c r="AD157" s="1679"/>
      <c r="AE157" s="1679"/>
      <c r="AF157" s="1679"/>
      <c r="AG157" s="1679"/>
      <c r="AH157" s="1679"/>
      <c r="AI157" s="1679"/>
      <c r="AJ157" s="1679"/>
      <c r="AK157" s="1679"/>
      <c r="AL157" s="1679"/>
      <c r="AM157" s="1679"/>
      <c r="AN157" s="1679"/>
      <c r="AO157" s="1679"/>
      <c r="AP157" s="1679"/>
      <c r="AQ157" s="1679"/>
    </row>
    <row r="158" spans="1:43" ht="4.3499999999999996" customHeight="1">
      <c r="A158" s="1558"/>
      <c r="B158" s="2596"/>
      <c r="C158" s="1548"/>
      <c r="D158" s="2602"/>
      <c r="E158" s="2602"/>
      <c r="F158" s="2602"/>
      <c r="G158" s="2602"/>
      <c r="H158" s="2602"/>
      <c r="I158" s="2602"/>
      <c r="J158" s="2602"/>
      <c r="K158" s="2602"/>
      <c r="L158" s="2602"/>
      <c r="M158" s="2602"/>
      <c r="N158" s="2602"/>
      <c r="O158" s="2602"/>
      <c r="P158" s="2602"/>
      <c r="Q158" s="2602"/>
      <c r="R158" s="2602"/>
      <c r="S158" s="2602"/>
      <c r="T158" s="2104"/>
      <c r="U158" s="2104"/>
      <c r="V158" s="1560"/>
      <c r="AD158" s="1675"/>
      <c r="AE158" s="1675"/>
      <c r="AF158" s="1675"/>
      <c r="AG158" s="1675"/>
    </row>
    <row r="159" spans="1:43" ht="18" customHeight="1">
      <c r="A159" s="1558"/>
      <c r="B159" s="2596"/>
      <c r="C159" s="1548"/>
      <c r="D159" s="2602"/>
      <c r="E159" s="2602"/>
      <c r="F159" s="2602"/>
      <c r="G159" s="2602"/>
      <c r="H159" s="2602"/>
      <c r="I159" s="2602"/>
      <c r="J159" s="2602"/>
      <c r="K159" s="2602"/>
      <c r="L159" s="2602"/>
      <c r="M159" s="2596" t="s">
        <v>1729</v>
      </c>
      <c r="N159" s="3121" t="str">
        <f>IF(ISBLANK(G157),"",(N154-N157))</f>
        <v/>
      </c>
      <c r="O159" s="3122"/>
      <c r="P159" s="2602"/>
      <c r="Q159" s="2602"/>
      <c r="R159" s="2602"/>
      <c r="S159" s="2602"/>
      <c r="T159" s="2104"/>
      <c r="U159" s="2104"/>
      <c r="V159" s="1560"/>
      <c r="AD159" s="1675"/>
      <c r="AE159" s="1675"/>
      <c r="AF159" s="1675"/>
      <c r="AG159" s="1675"/>
    </row>
    <row r="160" spans="1:43" ht="4.3499999999999996" customHeight="1">
      <c r="A160" s="1558"/>
      <c r="B160" s="2596"/>
      <c r="C160" s="1548"/>
      <c r="D160" s="2602"/>
      <c r="E160" s="2602"/>
      <c r="F160" s="2602"/>
      <c r="G160" s="2602"/>
      <c r="H160" s="2602"/>
      <c r="I160" s="2602"/>
      <c r="J160" s="2602"/>
      <c r="K160" s="2602"/>
      <c r="L160" s="2602"/>
      <c r="M160" s="2602"/>
      <c r="N160" s="2602"/>
      <c r="O160" s="2602"/>
      <c r="P160" s="2602"/>
      <c r="Q160" s="2602"/>
      <c r="R160" s="2602"/>
      <c r="S160" s="2602"/>
      <c r="T160" s="2104"/>
      <c r="U160" s="2104"/>
      <c r="V160" s="1560"/>
      <c r="AD160" s="1675"/>
      <c r="AE160" s="1675"/>
      <c r="AF160" s="1675"/>
      <c r="AG160" s="1675"/>
    </row>
    <row r="161" spans="1:43" ht="18" customHeight="1">
      <c r="A161" s="1558"/>
      <c r="B161" s="2596"/>
      <c r="C161" s="1548"/>
      <c r="D161" s="2602"/>
      <c r="E161" s="2602"/>
      <c r="F161" s="2602"/>
      <c r="G161" s="2596" t="s">
        <v>1730</v>
      </c>
      <c r="H161" s="3134"/>
      <c r="I161" s="3135"/>
      <c r="J161" s="3135"/>
      <c r="K161" s="3135"/>
      <c r="L161" s="3135"/>
      <c r="M161" s="3135"/>
      <c r="N161" s="3135"/>
      <c r="O161" s="3135"/>
      <c r="P161" s="3136"/>
      <c r="Q161" s="1158" t="s">
        <v>1733</v>
      </c>
      <c r="R161" s="2602"/>
      <c r="S161" s="1158"/>
      <c r="T161" s="2104"/>
      <c r="U161" s="2104"/>
      <c r="V161" s="1560"/>
      <c r="AD161" s="1675"/>
      <c r="AE161" s="1675"/>
      <c r="AF161" s="1675"/>
      <c r="AG161" s="1675"/>
    </row>
    <row r="162" spans="1:43" ht="4.3499999999999996" customHeight="1">
      <c r="A162" s="1558"/>
      <c r="B162" s="2596"/>
      <c r="C162" s="1548"/>
      <c r="D162" s="2602"/>
      <c r="E162" s="2602"/>
      <c r="F162" s="2602"/>
      <c r="G162" s="2602"/>
      <c r="H162" s="2602"/>
      <c r="I162" s="2602"/>
      <c r="J162" s="2602"/>
      <c r="K162" s="2602"/>
      <c r="L162" s="2602"/>
      <c r="M162" s="2602"/>
      <c r="N162" s="2602"/>
      <c r="O162" s="2602"/>
      <c r="P162" s="2602"/>
      <c r="Q162" s="2602"/>
      <c r="R162" s="2602"/>
      <c r="S162" s="2602"/>
      <c r="T162" s="2104"/>
      <c r="U162" s="2104"/>
      <c r="V162" s="1560"/>
      <c r="AD162" s="1675"/>
      <c r="AE162" s="1675"/>
      <c r="AF162" s="1675"/>
      <c r="AG162" s="1675"/>
    </row>
    <row r="163" spans="1:43" ht="18" customHeight="1">
      <c r="A163" s="1558"/>
      <c r="B163" s="2602"/>
      <c r="C163" s="2602"/>
      <c r="D163" s="1265"/>
      <c r="E163" s="1265"/>
      <c r="F163" s="1265"/>
      <c r="G163" s="2596" t="s">
        <v>1685</v>
      </c>
      <c r="H163" s="3134"/>
      <c r="I163" s="3135"/>
      <c r="J163" s="3135"/>
      <c r="K163" s="3135"/>
      <c r="L163" s="3135"/>
      <c r="M163" s="3135"/>
      <c r="N163" s="3135"/>
      <c r="O163" s="3135"/>
      <c r="P163" s="3136"/>
      <c r="Q163" s="2602" t="s">
        <v>1731</v>
      </c>
      <c r="R163" s="2602"/>
      <c r="S163" s="2602"/>
      <c r="T163" s="1189"/>
      <c r="U163" s="1189"/>
      <c r="V163" s="1560"/>
    </row>
    <row r="164" spans="1:43" ht="4.3499999999999996" customHeight="1">
      <c r="A164" s="1558"/>
      <c r="B164" s="2596"/>
      <c r="C164" s="1548"/>
      <c r="D164" s="2602"/>
      <c r="E164" s="2602"/>
      <c r="F164" s="2602"/>
      <c r="G164" s="2602"/>
      <c r="H164" s="2602"/>
      <c r="I164" s="2602"/>
      <c r="J164" s="2602"/>
      <c r="K164" s="2602"/>
      <c r="L164" s="2602"/>
      <c r="M164" s="2602"/>
      <c r="N164" s="2602"/>
      <c r="O164" s="2602"/>
      <c r="P164" s="2602"/>
      <c r="Q164" s="2602"/>
      <c r="R164" s="2602"/>
      <c r="S164" s="2602"/>
      <c r="T164" s="2104"/>
      <c r="U164" s="2104"/>
      <c r="V164" s="1560"/>
      <c r="AD164" s="1675"/>
      <c r="AE164" s="1675"/>
      <c r="AF164" s="1675"/>
      <c r="AG164" s="1675"/>
    </row>
    <row r="165" spans="1:43" ht="18" customHeight="1">
      <c r="A165" s="1558"/>
      <c r="B165" s="1668" t="s">
        <v>149</v>
      </c>
      <c r="C165" s="1670" t="s">
        <v>1732</v>
      </c>
      <c r="D165" s="1274"/>
      <c r="E165" s="2293"/>
      <c r="F165" s="2293"/>
      <c r="G165" s="1269"/>
      <c r="H165" s="1269"/>
      <c r="I165" s="1189"/>
      <c r="J165" s="535"/>
      <c r="K165" s="535"/>
      <c r="L165" s="535"/>
      <c r="M165" s="535"/>
      <c r="N165" s="535"/>
      <c r="O165" s="535"/>
      <c r="P165" s="535"/>
      <c r="Q165" s="535"/>
      <c r="R165" s="2602"/>
      <c r="S165" s="2602"/>
      <c r="T165" s="1189"/>
      <c r="U165" s="1189"/>
      <c r="V165" s="1560"/>
    </row>
    <row r="166" spans="1:43" ht="4.3499999999999996" customHeight="1">
      <c r="A166" s="1558"/>
      <c r="B166" s="1533"/>
      <c r="C166" s="1548"/>
      <c r="D166" s="1269"/>
      <c r="E166" s="2293"/>
      <c r="F166" s="1269"/>
      <c r="G166" s="1269"/>
      <c r="H166" s="2293"/>
      <c r="I166" s="2293"/>
      <c r="J166" s="2602"/>
      <c r="K166" s="2602"/>
      <c r="L166" s="1269"/>
      <c r="M166" s="1269"/>
      <c r="N166" s="2104"/>
      <c r="O166" s="2602"/>
      <c r="P166" s="2602"/>
      <c r="Q166" s="2602"/>
      <c r="R166" s="2602"/>
      <c r="S166" s="2602"/>
      <c r="T166" s="1189"/>
      <c r="U166" s="1189"/>
      <c r="V166" s="1560"/>
    </row>
    <row r="167" spans="1:43" ht="18" customHeight="1">
      <c r="A167" s="1558"/>
      <c r="B167" s="1533"/>
      <c r="C167" s="3098"/>
      <c r="D167" s="3099"/>
      <c r="E167" s="2601" t="s">
        <v>1741</v>
      </c>
      <c r="F167" s="2601"/>
      <c r="G167" s="3108" t="str">
        <f>IF(ISBLANK(C167),"",C154)</f>
        <v/>
      </c>
      <c r="H167" s="3109"/>
      <c r="I167" s="2602" t="s">
        <v>117</v>
      </c>
      <c r="J167" s="535" t="s">
        <v>1742</v>
      </c>
      <c r="K167" s="535"/>
      <c r="L167" s="535"/>
      <c r="M167" s="535"/>
      <c r="N167" s="3106" t="str">
        <f>IF(ISBLANK(C167),"",MAX(F100,F108,F114,F127))</f>
        <v/>
      </c>
      <c r="O167" s="3107"/>
      <c r="P167" s="2601" t="s">
        <v>22</v>
      </c>
      <c r="Q167" s="1268" t="s">
        <v>102</v>
      </c>
      <c r="R167" s="3145" t="str">
        <f>IF(ISBLANK(C167),"",C167*G167*8.35/1000000/N167)</f>
        <v/>
      </c>
      <c r="S167" s="3146"/>
      <c r="T167" s="2602" t="s">
        <v>1595</v>
      </c>
      <c r="U167" s="2602"/>
      <c r="V167" s="1560"/>
    </row>
    <row r="168" spans="1:43" ht="6" customHeight="1">
      <c r="A168" s="1558"/>
      <c r="B168" s="1533"/>
      <c r="C168" s="1548"/>
      <c r="D168" s="2602"/>
      <c r="E168" s="2602"/>
      <c r="F168" s="2602"/>
      <c r="G168" s="2602"/>
      <c r="H168" s="2602"/>
      <c r="I168" s="2602"/>
      <c r="J168" s="2602"/>
      <c r="K168" s="2602"/>
      <c r="L168" s="2602"/>
      <c r="M168" s="2602"/>
      <c r="N168" s="2602"/>
      <c r="O168" s="2602"/>
      <c r="P168" s="2602"/>
      <c r="Q168" s="2602"/>
      <c r="R168" s="2602"/>
      <c r="S168" s="2602"/>
      <c r="T168" s="1189"/>
      <c r="U168" s="1189"/>
      <c r="V168" s="1560"/>
    </row>
    <row r="169" spans="1:43" ht="15.75" customHeight="1">
      <c r="A169" s="1723"/>
      <c r="B169" s="1724" t="s">
        <v>103</v>
      </c>
      <c r="C169" s="2603" t="s">
        <v>291</v>
      </c>
      <c r="D169" s="1726"/>
      <c r="E169" s="1726"/>
      <c r="F169" s="1726"/>
      <c r="G169" s="1726"/>
      <c r="H169" s="1726"/>
      <c r="I169" s="1726"/>
      <c r="J169" s="1726"/>
      <c r="K169" s="1726"/>
      <c r="L169" s="1726"/>
      <c r="M169" s="1726"/>
      <c r="N169" s="1726"/>
      <c r="O169" s="1726"/>
      <c r="P169" s="1726"/>
      <c r="Q169" s="1726"/>
      <c r="R169" s="1726"/>
      <c r="S169" s="1726"/>
      <c r="T169" s="1737"/>
      <c r="U169" s="1737"/>
      <c r="V169" s="1727"/>
    </row>
    <row r="170" spans="1:43" ht="6" customHeight="1">
      <c r="A170" s="1558"/>
      <c r="B170" s="1533"/>
      <c r="C170" s="1548"/>
      <c r="D170" s="2602"/>
      <c r="E170" s="2602"/>
      <c r="F170" s="2602"/>
      <c r="G170" s="2602"/>
      <c r="H170" s="2602"/>
      <c r="I170" s="2602"/>
      <c r="J170" s="2602"/>
      <c r="K170" s="2602"/>
      <c r="L170" s="2602"/>
      <c r="M170" s="2602"/>
      <c r="N170" s="2602"/>
      <c r="O170" s="2602"/>
      <c r="P170" s="2602"/>
      <c r="Q170" s="2602"/>
      <c r="R170" s="2602"/>
      <c r="S170" s="2602"/>
      <c r="T170" s="1189"/>
      <c r="U170" s="1189"/>
      <c r="V170" s="1560"/>
      <c r="AD170" s="1675"/>
      <c r="AE170" s="1675"/>
      <c r="AF170" s="1675"/>
      <c r="AG170" s="1675"/>
    </row>
    <row r="171" spans="1:43" ht="28.5" customHeight="1">
      <c r="A171" s="1558"/>
      <c r="B171" s="3137"/>
      <c r="C171" s="3138"/>
      <c r="D171" s="3138"/>
      <c r="E171" s="3138"/>
      <c r="F171" s="3138"/>
      <c r="G171" s="3138"/>
      <c r="H171" s="3138"/>
      <c r="I171" s="3138"/>
      <c r="J171" s="3138"/>
      <c r="K171" s="3138"/>
      <c r="L171" s="3138"/>
      <c r="M171" s="3138"/>
      <c r="N171" s="3138"/>
      <c r="O171" s="3138"/>
      <c r="P171" s="3138"/>
      <c r="Q171" s="3138"/>
      <c r="R171" s="3138"/>
      <c r="S171" s="3138"/>
      <c r="T171" s="3138"/>
      <c r="U171" s="3139"/>
      <c r="V171" s="1560"/>
    </row>
    <row r="172" spans="1:43" ht="12" customHeight="1">
      <c r="A172" s="1558"/>
      <c r="B172" s="3140"/>
      <c r="C172" s="3141"/>
      <c r="D172" s="3141"/>
      <c r="E172" s="3141"/>
      <c r="F172" s="3141"/>
      <c r="G172" s="3141"/>
      <c r="H172" s="3141"/>
      <c r="I172" s="3141"/>
      <c r="J172" s="3141"/>
      <c r="K172" s="3141"/>
      <c r="L172" s="3141"/>
      <c r="M172" s="3141"/>
      <c r="N172" s="3141"/>
      <c r="O172" s="3141"/>
      <c r="P172" s="3141"/>
      <c r="Q172" s="3141"/>
      <c r="R172" s="3141"/>
      <c r="S172" s="3141"/>
      <c r="T172" s="3141"/>
      <c r="U172" s="3142"/>
      <c r="V172" s="1560"/>
    </row>
    <row r="173" spans="1:43" s="980" customFormat="1" ht="6" customHeight="1">
      <c r="A173" s="1555"/>
      <c r="B173" s="1544"/>
      <c r="C173" s="1545"/>
      <c r="D173" s="1545"/>
      <c r="E173" s="1545"/>
      <c r="F173" s="1545"/>
      <c r="G173" s="1545"/>
      <c r="H173" s="1424"/>
      <c r="I173" s="1545"/>
      <c r="J173" s="1545"/>
      <c r="K173" s="1545"/>
      <c r="L173" s="1545"/>
      <c r="M173" s="1424"/>
      <c r="N173" s="1545"/>
      <c r="O173" s="1545"/>
      <c r="P173" s="1545"/>
      <c r="Q173" s="1424"/>
      <c r="R173" s="1546"/>
      <c r="S173" s="1547"/>
      <c r="T173" s="1547"/>
      <c r="U173" s="1544"/>
      <c r="V173" s="1556"/>
      <c r="W173" s="979"/>
      <c r="X173" s="979"/>
      <c r="Y173" s="979"/>
      <c r="Z173" s="979"/>
      <c r="AA173" s="979"/>
      <c r="AB173" s="979"/>
      <c r="AC173" s="979"/>
      <c r="AD173" s="979"/>
      <c r="AE173" s="979"/>
      <c r="AF173" s="979"/>
      <c r="AG173" s="979"/>
      <c r="AH173" s="979"/>
      <c r="AI173" s="979"/>
      <c r="AJ173" s="979"/>
      <c r="AK173" s="979"/>
      <c r="AL173" s="979"/>
      <c r="AM173" s="979"/>
      <c r="AN173" s="979"/>
      <c r="AO173" s="979"/>
      <c r="AP173" s="979"/>
      <c r="AQ173" s="979"/>
    </row>
    <row r="174" spans="1:43" s="980" customFormat="1" ht="18" customHeight="1">
      <c r="A174" s="1555"/>
      <c r="B174" s="1544"/>
      <c r="C174" s="2601" t="s">
        <v>135</v>
      </c>
      <c r="D174" s="652"/>
      <c r="E174" s="2601"/>
      <c r="F174" s="2601"/>
      <c r="G174" s="2601"/>
      <c r="H174" s="2601"/>
      <c r="I174" s="2601"/>
      <c r="J174" s="2601"/>
      <c r="K174" s="2601"/>
      <c r="L174" s="2602"/>
      <c r="M174" s="2602"/>
      <c r="N174" s="2602"/>
      <c r="O174" s="2602"/>
      <c r="P174" s="2602"/>
      <c r="Q174" s="2602"/>
      <c r="R174" s="2602"/>
      <c r="S174" s="2601"/>
      <c r="T174" s="2644"/>
      <c r="U174" s="1544"/>
      <c r="V174" s="1556"/>
      <c r="W174" s="979"/>
      <c r="X174" s="979"/>
      <c r="Y174" s="979"/>
      <c r="Z174" s="979"/>
      <c r="AA174" s="979"/>
      <c r="AB174" s="979"/>
      <c r="AC174" s="979"/>
      <c r="AD174" s="979"/>
      <c r="AE174" s="979"/>
      <c r="AF174" s="979"/>
      <c r="AG174" s="979"/>
      <c r="AH174" s="979"/>
      <c r="AI174" s="979"/>
      <c r="AJ174" s="979"/>
      <c r="AK174" s="979"/>
      <c r="AL174" s="979"/>
      <c r="AM174" s="979"/>
      <c r="AN174" s="979"/>
      <c r="AO174" s="979"/>
      <c r="AP174" s="979"/>
      <c r="AQ174" s="979"/>
    </row>
    <row r="175" spans="1:43" ht="6" customHeight="1">
      <c r="A175" s="1558"/>
      <c r="B175" s="3124"/>
      <c r="C175" s="3125"/>
      <c r="D175" s="3125"/>
      <c r="E175" s="3125"/>
      <c r="F175" s="3125"/>
      <c r="G175" s="3126"/>
      <c r="H175" s="850"/>
      <c r="I175" s="3124"/>
      <c r="J175" s="3125"/>
      <c r="K175" s="3125"/>
      <c r="L175" s="3125"/>
      <c r="M175" s="3126"/>
      <c r="N175" s="978"/>
      <c r="O175" s="3124"/>
      <c r="P175" s="3125"/>
      <c r="Q175" s="3126"/>
      <c r="R175" s="978"/>
      <c r="S175" s="3124"/>
      <c r="T175" s="3125"/>
      <c r="U175" s="3126"/>
      <c r="V175" s="1560"/>
    </row>
    <row r="176" spans="1:43" ht="18" customHeight="1">
      <c r="A176" s="1558"/>
      <c r="B176" s="3127"/>
      <c r="C176" s="3128"/>
      <c r="D176" s="3128"/>
      <c r="E176" s="3128"/>
      <c r="F176" s="3128"/>
      <c r="G176" s="3129"/>
      <c r="H176" s="1424"/>
      <c r="I176" s="3127"/>
      <c r="J176" s="3128"/>
      <c r="K176" s="3128"/>
      <c r="L176" s="3128"/>
      <c r="M176" s="3129"/>
      <c r="N176" s="2602"/>
      <c r="O176" s="3127"/>
      <c r="P176" s="3128"/>
      <c r="Q176" s="3129"/>
      <c r="R176" s="2602"/>
      <c r="S176" s="3127" t="str">
        <f>IF(ISBLANK(O176)," ",S5)</f>
        <v xml:space="preserve"> </v>
      </c>
      <c r="T176" s="3128"/>
      <c r="U176" s="3129"/>
      <c r="V176" s="1560"/>
    </row>
    <row r="177" spans="1:40" ht="18" customHeight="1" thickBot="1">
      <c r="A177" s="1600"/>
      <c r="B177" s="3123" t="s">
        <v>136</v>
      </c>
      <c r="C177" s="3123"/>
      <c r="D177" s="3123"/>
      <c r="E177" s="3123"/>
      <c r="F177" s="3123"/>
      <c r="G177" s="3123"/>
      <c r="H177" s="2599"/>
      <c r="I177" s="3120" t="s">
        <v>137</v>
      </c>
      <c r="J177" s="3120"/>
      <c r="K177" s="3120"/>
      <c r="L177" s="3120"/>
      <c r="M177" s="3120"/>
      <c r="N177" s="1601"/>
      <c r="O177" s="3123" t="s">
        <v>138</v>
      </c>
      <c r="P177" s="3123"/>
      <c r="Q177" s="3123"/>
      <c r="R177" s="1601"/>
      <c r="S177" s="3120" t="s">
        <v>139</v>
      </c>
      <c r="T177" s="3120"/>
      <c r="U177" s="3120"/>
      <c r="V177" s="1603"/>
      <c r="Z177" s="1685"/>
      <c r="AA177" s="1685"/>
      <c r="AB177" s="1685"/>
      <c r="AC177" s="1685"/>
      <c r="AD177" s="1685"/>
      <c r="AE177" s="1685"/>
      <c r="AF177" s="1685"/>
      <c r="AG177" s="1685"/>
    </row>
    <row r="178" spans="1:40" ht="18" customHeight="1">
      <c r="B178" s="1532"/>
      <c r="C178" s="1425"/>
      <c r="D178" s="535"/>
      <c r="E178" s="535"/>
      <c r="F178" s="535"/>
      <c r="G178" s="535"/>
      <c r="H178" s="535"/>
      <c r="I178" s="535"/>
      <c r="J178" s="535"/>
      <c r="K178" s="535"/>
      <c r="L178" s="535"/>
      <c r="M178" s="535"/>
      <c r="N178" s="535"/>
      <c r="O178" s="535"/>
      <c r="P178" s="535"/>
      <c r="Q178" s="535"/>
      <c r="R178" s="535"/>
      <c r="S178" s="535"/>
      <c r="T178" s="535"/>
      <c r="U178" s="1543"/>
      <c r="V178" s="1676"/>
      <c r="Z178" s="1685"/>
      <c r="AA178" s="1685"/>
      <c r="AB178" s="1685"/>
      <c r="AC178" s="1685"/>
      <c r="AD178" s="1685"/>
      <c r="AE178" s="1685"/>
      <c r="AF178" s="1685"/>
      <c r="AG178" s="1685"/>
    </row>
    <row r="179" spans="1:40" ht="18" customHeight="1">
      <c r="B179" s="1532"/>
      <c r="C179" s="1425"/>
      <c r="D179" s="535"/>
      <c r="E179" s="535"/>
      <c r="F179" s="535"/>
      <c r="G179" s="535"/>
      <c r="H179" s="535"/>
      <c r="I179" s="535"/>
      <c r="J179" s="535"/>
      <c r="K179" s="535"/>
      <c r="L179" s="535"/>
      <c r="M179" s="535"/>
      <c r="Q179" s="535"/>
      <c r="R179" s="535"/>
      <c r="V179" s="1676"/>
      <c r="X179" s="1686"/>
      <c r="Z179" s="1687"/>
      <c r="AA179" s="1685"/>
      <c r="AB179" s="1687"/>
      <c r="AC179" s="1688"/>
      <c r="AD179" s="1689"/>
      <c r="AE179" s="1689"/>
      <c r="AF179" s="1685"/>
      <c r="AG179" s="1690"/>
      <c r="AI179" s="1691"/>
      <c r="AJ179" s="1692"/>
      <c r="AK179" s="1675"/>
      <c r="AL179" s="1675"/>
      <c r="AM179" s="1693"/>
      <c r="AN179" s="1675"/>
    </row>
    <row r="180" spans="1:40" ht="18" customHeight="1">
      <c r="Z180" s="1687"/>
      <c r="AA180" s="1685"/>
      <c r="AB180" s="1696"/>
      <c r="AC180" s="1697"/>
      <c r="AD180" s="1698"/>
      <c r="AE180" s="1689"/>
      <c r="AF180" s="1685"/>
      <c r="AG180" s="1690"/>
      <c r="AI180" s="1691"/>
      <c r="AJ180" s="1675"/>
      <c r="AK180" s="1675"/>
      <c r="AL180" s="1675"/>
      <c r="AM180" s="1675"/>
      <c r="AN180" s="1675"/>
    </row>
    <row r="181" spans="1:40" ht="18" customHeight="1">
      <c r="Z181" s="1699"/>
      <c r="AA181" s="1685"/>
      <c r="AB181" s="1696"/>
      <c r="AC181" s="1697"/>
      <c r="AD181" s="1698"/>
      <c r="AE181" s="1685"/>
      <c r="AF181" s="1685"/>
      <c r="AG181" s="1690"/>
      <c r="AI181" s="1691"/>
      <c r="AJ181" s="1675"/>
      <c r="AK181" s="1675"/>
      <c r="AL181" s="1675"/>
      <c r="AM181" s="1675"/>
      <c r="AN181" s="1675"/>
    </row>
    <row r="182" spans="1:40" ht="18" customHeight="1">
      <c r="Z182" s="1699"/>
      <c r="AA182" s="1685"/>
      <c r="AB182" s="1696"/>
      <c r="AC182" s="1688"/>
      <c r="AD182" s="1689"/>
      <c r="AE182" s="1685"/>
      <c r="AF182" s="1685"/>
      <c r="AG182" s="1690"/>
    </row>
    <row r="183" spans="1:40" ht="14.1" customHeight="1">
      <c r="Z183" s="1699"/>
      <c r="AA183" s="1685"/>
      <c r="AB183" s="1696"/>
      <c r="AC183" s="1697"/>
      <c r="AD183" s="1698"/>
      <c r="AE183" s="1685"/>
      <c r="AF183" s="1685"/>
      <c r="AG183" s="1690"/>
    </row>
    <row r="184" spans="1:40" ht="14.1" customHeight="1">
      <c r="Z184" s="1685"/>
      <c r="AA184" s="1685"/>
      <c r="AB184" s="1696"/>
      <c r="AC184" s="1688"/>
      <c r="AD184" s="1689"/>
      <c r="AE184" s="1685"/>
      <c r="AF184" s="1685"/>
      <c r="AG184" s="1690"/>
    </row>
    <row r="185" spans="1:40" ht="14.1" customHeight="1">
      <c r="Z185" s="1685"/>
      <c r="AA185" s="1685"/>
      <c r="AB185" s="1696"/>
      <c r="AC185" s="1697"/>
      <c r="AD185" s="1698"/>
      <c r="AE185" s="1685"/>
      <c r="AF185" s="1685"/>
      <c r="AG185" s="1690"/>
    </row>
    <row r="186" spans="1:40" ht="14.1" customHeight="1">
      <c r="Z186" s="1685"/>
      <c r="AA186" s="1685"/>
      <c r="AB186" s="1696"/>
      <c r="AC186" s="1688"/>
      <c r="AD186" s="1698"/>
      <c r="AE186" s="1685"/>
      <c r="AF186" s="1685"/>
      <c r="AG186" s="1685"/>
    </row>
    <row r="187" spans="1:40" ht="14.1" customHeight="1">
      <c r="Z187" s="1685"/>
      <c r="AA187" s="1685"/>
      <c r="AB187" s="1696"/>
      <c r="AC187" s="1688"/>
      <c r="AD187" s="1698"/>
      <c r="AE187" s="1685"/>
      <c r="AF187" s="1685"/>
      <c r="AG187" s="1685"/>
    </row>
    <row r="188" spans="1:40" ht="14.1" customHeight="1">
      <c r="Z188" s="1685"/>
      <c r="AA188" s="1685"/>
      <c r="AB188" s="1696"/>
      <c r="AC188" s="1688"/>
      <c r="AD188" s="1698"/>
      <c r="AE188" s="1685"/>
      <c r="AF188" s="1685"/>
      <c r="AG188" s="1685"/>
    </row>
    <row r="189" spans="1:40" ht="14.1" customHeight="1">
      <c r="Z189" s="1685"/>
      <c r="AA189" s="1685"/>
      <c r="AB189" s="1696"/>
      <c r="AC189" s="1688"/>
      <c r="AD189" s="1685"/>
      <c r="AE189" s="1685"/>
      <c r="AF189" s="1685"/>
      <c r="AG189" s="1685"/>
    </row>
    <row r="190" spans="1:40" ht="14.1" customHeight="1">
      <c r="Z190" s="1685"/>
      <c r="AA190" s="1685"/>
      <c r="AB190" s="1696"/>
      <c r="AC190" s="1688"/>
      <c r="AD190" s="1685"/>
      <c r="AE190" s="1685"/>
      <c r="AF190" s="1685"/>
      <c r="AG190" s="1685"/>
    </row>
    <row r="191" spans="1:40" ht="14.1" customHeight="1">
      <c r="Z191" s="1685"/>
      <c r="AA191" s="1685"/>
      <c r="AB191" s="1696"/>
      <c r="AC191" s="1697"/>
      <c r="AD191" s="1685"/>
      <c r="AE191" s="1685"/>
      <c r="AF191" s="1685"/>
      <c r="AG191" s="1685"/>
    </row>
    <row r="192" spans="1:40" ht="14.1" customHeight="1">
      <c r="Z192" s="1685"/>
      <c r="AA192" s="1685"/>
      <c r="AB192" s="1696"/>
      <c r="AC192" s="1697"/>
      <c r="AD192" s="1685"/>
      <c r="AE192" s="1685"/>
      <c r="AF192" s="1685"/>
      <c r="AG192" s="1685"/>
    </row>
    <row r="193" spans="26:33" ht="14.1" customHeight="1">
      <c r="Z193" s="1685"/>
      <c r="AA193" s="1685"/>
      <c r="AB193" s="1696"/>
      <c r="AC193" s="1697"/>
      <c r="AD193" s="1685"/>
      <c r="AE193" s="1685"/>
      <c r="AF193" s="1685"/>
      <c r="AG193" s="1685"/>
    </row>
    <row r="194" spans="26:33" ht="14.1" customHeight="1">
      <c r="Z194" s="1685"/>
      <c r="AA194" s="1685"/>
      <c r="AB194" s="1696"/>
      <c r="AC194" s="1697"/>
      <c r="AD194" s="1685"/>
      <c r="AE194" s="1685"/>
      <c r="AF194" s="1685"/>
      <c r="AG194" s="1685"/>
    </row>
    <row r="195" spans="26:33" ht="14.1" customHeight="1">
      <c r="Z195" s="1685"/>
      <c r="AA195" s="1685"/>
      <c r="AB195" s="1696"/>
      <c r="AC195" s="1697"/>
      <c r="AD195" s="1685"/>
      <c r="AE195" s="1685"/>
      <c r="AF195" s="1685"/>
      <c r="AG195" s="1685"/>
    </row>
    <row r="196" spans="26:33" ht="14.1" customHeight="1">
      <c r="Z196" s="1685"/>
      <c r="AA196" s="1685"/>
      <c r="AB196" s="1696"/>
      <c r="AC196" s="1697"/>
      <c r="AD196" s="1685"/>
      <c r="AE196" s="1685"/>
      <c r="AF196" s="1685"/>
      <c r="AG196" s="1685"/>
    </row>
    <row r="197" spans="26:33" ht="14.1" customHeight="1">
      <c r="Z197" s="1685"/>
      <c r="AA197" s="1685"/>
      <c r="AB197" s="1696"/>
      <c r="AC197" s="1685"/>
      <c r="AD197" s="1685"/>
      <c r="AE197" s="1685"/>
      <c r="AF197" s="1685"/>
      <c r="AG197" s="1685"/>
    </row>
    <row r="198" spans="26:33" ht="14.1" customHeight="1">
      <c r="Z198" s="1685"/>
      <c r="AA198" s="1685"/>
      <c r="AB198" s="1696"/>
      <c r="AC198" s="1685"/>
      <c r="AD198" s="1685"/>
      <c r="AE198" s="1685"/>
      <c r="AF198" s="1685"/>
      <c r="AG198" s="1685"/>
    </row>
    <row r="199" spans="26:33" ht="14.1" customHeight="1">
      <c r="Z199" s="1685"/>
      <c r="AA199" s="1685"/>
      <c r="AB199" s="1696"/>
      <c r="AC199" s="1685"/>
      <c r="AD199" s="1685"/>
      <c r="AE199" s="1685"/>
      <c r="AF199" s="1685"/>
      <c r="AG199" s="1685"/>
    </row>
    <row r="200" spans="26:33" ht="14.1" customHeight="1">
      <c r="Z200" s="1685"/>
      <c r="AA200" s="1685"/>
      <c r="AB200" s="1696"/>
      <c r="AC200" s="1685"/>
      <c r="AD200" s="1685"/>
      <c r="AE200" s="1685"/>
      <c r="AF200" s="1685"/>
      <c r="AG200" s="1685"/>
    </row>
    <row r="201" spans="26:33" ht="14.1" customHeight="1">
      <c r="Z201" s="1685"/>
      <c r="AA201" s="1685"/>
      <c r="AB201" s="1696"/>
      <c r="AC201" s="1697"/>
      <c r="AD201" s="1685"/>
      <c r="AE201" s="1685"/>
      <c r="AF201" s="1685"/>
      <c r="AG201" s="1685"/>
    </row>
    <row r="202" spans="26:33" ht="14.1" customHeight="1">
      <c r="Z202" s="1685"/>
      <c r="AA202" s="1685"/>
      <c r="AB202" s="1696"/>
      <c r="AC202" s="1697"/>
      <c r="AD202" s="1685"/>
      <c r="AE202" s="1685"/>
      <c r="AF202" s="1685"/>
      <c r="AG202" s="1685"/>
    </row>
    <row r="203" spans="26:33" ht="14.1" customHeight="1">
      <c r="Z203" s="1685"/>
      <c r="AA203" s="1685"/>
      <c r="AB203" s="1696"/>
      <c r="AC203" s="1685"/>
      <c r="AD203" s="1685"/>
      <c r="AE203" s="1685"/>
      <c r="AF203" s="1685"/>
      <c r="AG203" s="1685"/>
    </row>
    <row r="204" spans="26:33" ht="14.1" customHeight="1">
      <c r="Z204" s="1685"/>
      <c r="AA204" s="1685"/>
      <c r="AB204" s="1696"/>
      <c r="AC204" s="1685"/>
      <c r="AD204" s="1685"/>
      <c r="AE204" s="1685"/>
      <c r="AF204" s="1685"/>
      <c r="AG204" s="1685"/>
    </row>
    <row r="205" spans="26:33" ht="14.1" customHeight="1">
      <c r="Z205" s="1685"/>
      <c r="AA205" s="1685"/>
      <c r="AB205" s="1696"/>
      <c r="AC205" s="1685"/>
      <c r="AD205" s="1685"/>
      <c r="AE205" s="1685"/>
      <c r="AF205" s="1685"/>
      <c r="AG205" s="1685"/>
    </row>
    <row r="206" spans="26:33" ht="14.1" customHeight="1">
      <c r="Z206" s="1685"/>
      <c r="AA206" s="1685"/>
      <c r="AB206" s="1696"/>
      <c r="AC206" s="1685"/>
      <c r="AD206" s="1685"/>
      <c r="AE206" s="1685"/>
      <c r="AF206" s="1685"/>
      <c r="AG206" s="1685"/>
    </row>
    <row r="207" spans="26:33" ht="14.1" customHeight="1">
      <c r="Z207" s="1685"/>
      <c r="AA207" s="1685"/>
      <c r="AB207" s="1696"/>
      <c r="AC207" s="1685"/>
      <c r="AD207" s="1685"/>
      <c r="AE207" s="1685"/>
      <c r="AF207" s="1685"/>
      <c r="AG207" s="1685"/>
    </row>
    <row r="208" spans="26:33" ht="14.1" customHeight="1">
      <c r="Z208" s="1685"/>
      <c r="AA208" s="1685"/>
      <c r="AB208" s="1696"/>
      <c r="AC208" s="1685"/>
      <c r="AD208" s="1685"/>
      <c r="AE208" s="1685"/>
      <c r="AF208" s="1685"/>
      <c r="AG208" s="1685"/>
    </row>
  </sheetData>
  <sheetProtection sheet="1" objects="1" scenarios="1"/>
  <customSheetViews>
    <customSheetView guid="{3320ADAB-1745-4CE0-B739-BF2E8269138B}" fitToPage="1" printArea="1" showRuler="0" topLeftCell="A19">
      <selection activeCell="C31" sqref="C31:N32"/>
      <pageMargins left="0.4" right="0.4" top="0.4" bottom="0.4" header="0.5" footer="0.5"/>
      <pageSetup scale="63" orientation="portrait" r:id="rId1"/>
      <headerFooter alignWithMargins="0"/>
    </customSheetView>
    <customSheetView guid="{D1431318-1DB8-4C45-813B-5A8065DFC797}">
      <selection activeCell="Y17" sqref="Y17"/>
      <rowBreaks count="1" manualBreakCount="1">
        <brk id="75" max="19" man="1"/>
      </rowBreaks>
      <pageMargins left="0.4" right="0.4" top="0.4" bottom="0.4" header="0.4" footer="0.5"/>
      <pageSetup scale="75" fitToHeight="2" orientation="portrait" blackAndWhite="1" r:id="rId2"/>
      <headerFooter alignWithMargins="0"/>
    </customSheetView>
  </customSheetViews>
  <mergeCells count="205">
    <mergeCell ref="S127:T127"/>
    <mergeCell ref="L139:M141"/>
    <mergeCell ref="L100:M100"/>
    <mergeCell ref="S102:T102"/>
    <mergeCell ref="P142:Q142"/>
    <mergeCell ref="S143:T143"/>
    <mergeCell ref="H143:I143"/>
    <mergeCell ref="F133:G133"/>
    <mergeCell ref="S129:T129"/>
    <mergeCell ref="F139:G141"/>
    <mergeCell ref="H139:I141"/>
    <mergeCell ref="J139:K141"/>
    <mergeCell ref="F127:G127"/>
    <mergeCell ref="F129:G129"/>
    <mergeCell ref="D139:E141"/>
    <mergeCell ref="F145:G145"/>
    <mergeCell ref="H145:I145"/>
    <mergeCell ref="J147:K147"/>
    <mergeCell ref="F142:G142"/>
    <mergeCell ref="G87:K87"/>
    <mergeCell ref="M82:N83"/>
    <mergeCell ref="D142:E142"/>
    <mergeCell ref="D143:E143"/>
    <mergeCell ref="D144:E144"/>
    <mergeCell ref="N144:O144"/>
    <mergeCell ref="L91:U91"/>
    <mergeCell ref="L93:U93"/>
    <mergeCell ref="L129:M129"/>
    <mergeCell ref="F135:G135"/>
    <mergeCell ref="N146:O146"/>
    <mergeCell ref="P139:Q141"/>
    <mergeCell ref="S141:U142"/>
    <mergeCell ref="N143:O143"/>
    <mergeCell ref="N142:O142"/>
    <mergeCell ref="N139:O141"/>
    <mergeCell ref="P143:Q143"/>
    <mergeCell ref="P144:Q144"/>
    <mergeCell ref="N147:O147"/>
    <mergeCell ref="B142:C142"/>
    <mergeCell ref="B143:C143"/>
    <mergeCell ref="B144:C144"/>
    <mergeCell ref="B145:C145"/>
    <mergeCell ref="B146:C146"/>
    <mergeCell ref="B147:C147"/>
    <mergeCell ref="F146:G146"/>
    <mergeCell ref="H146:I146"/>
    <mergeCell ref="L146:M146"/>
    <mergeCell ref="H144:I144"/>
    <mergeCell ref="L142:M142"/>
    <mergeCell ref="L147:M147"/>
    <mergeCell ref="F143:G143"/>
    <mergeCell ref="L143:M143"/>
    <mergeCell ref="J142:K142"/>
    <mergeCell ref="J144:K144"/>
    <mergeCell ref="F147:G147"/>
    <mergeCell ref="F144:G144"/>
    <mergeCell ref="D147:E147"/>
    <mergeCell ref="I21:J21"/>
    <mergeCell ref="I23:J23"/>
    <mergeCell ref="N21:O21"/>
    <mergeCell ref="N23:O23"/>
    <mergeCell ref="M13:N13"/>
    <mergeCell ref="S13:T13"/>
    <mergeCell ref="I15:J15"/>
    <mergeCell ref="O67:T67"/>
    <mergeCell ref="O69:T69"/>
    <mergeCell ref="I42:J42"/>
    <mergeCell ref="N42:O42"/>
    <mergeCell ref="I44:J44"/>
    <mergeCell ref="I53:J53"/>
    <mergeCell ref="S53:T53"/>
    <mergeCell ref="N34:O34"/>
    <mergeCell ref="I25:O25"/>
    <mergeCell ref="N48:U48"/>
    <mergeCell ref="H38:J38"/>
    <mergeCell ref="N38:U38"/>
    <mergeCell ref="I27:U27"/>
    <mergeCell ref="I59:J59"/>
    <mergeCell ref="N57:O57"/>
    <mergeCell ref="I46:J46"/>
    <mergeCell ref="N44:O44"/>
    <mergeCell ref="I11:J11"/>
    <mergeCell ref="S11:U11"/>
    <mergeCell ref="I13:J13"/>
    <mergeCell ref="J145:K145"/>
    <mergeCell ref="L133:M133"/>
    <mergeCell ref="L145:M145"/>
    <mergeCell ref="L144:M144"/>
    <mergeCell ref="H142:I142"/>
    <mergeCell ref="S133:T133"/>
    <mergeCell ref="S135:T135"/>
    <mergeCell ref="S125:T125"/>
    <mergeCell ref="L127:M127"/>
    <mergeCell ref="S118:T118"/>
    <mergeCell ref="L135:M135"/>
    <mergeCell ref="J143:K143"/>
    <mergeCell ref="G95:U95"/>
    <mergeCell ref="G74:T74"/>
    <mergeCell ref="G82:H82"/>
    <mergeCell ref="G84:H84"/>
    <mergeCell ref="M84:N84"/>
    <mergeCell ref="G91:H91"/>
    <mergeCell ref="F63:H63"/>
    <mergeCell ref="S57:T57"/>
    <mergeCell ref="I57:J57"/>
    <mergeCell ref="N46:O46"/>
    <mergeCell ref="S55:T55"/>
    <mergeCell ref="I55:J55"/>
    <mergeCell ref="G79:H79"/>
    <mergeCell ref="G80:H80"/>
    <mergeCell ref="M80:N80"/>
    <mergeCell ref="O63:T63"/>
    <mergeCell ref="O65:T65"/>
    <mergeCell ref="L61:M61"/>
    <mergeCell ref="N61:P61"/>
    <mergeCell ref="K76:U76"/>
    <mergeCell ref="C77:U77"/>
    <mergeCell ref="C78:T78"/>
    <mergeCell ref="D57:E57"/>
    <mergeCell ref="F69:M69"/>
    <mergeCell ref="L59:N59"/>
    <mergeCell ref="F65:H65"/>
    <mergeCell ref="N167:O167"/>
    <mergeCell ref="C150:U150"/>
    <mergeCell ref="H147:I147"/>
    <mergeCell ref="R167:S167"/>
    <mergeCell ref="S145:U146"/>
    <mergeCell ref="P145:Q145"/>
    <mergeCell ref="P146:Q146"/>
    <mergeCell ref="D145:E145"/>
    <mergeCell ref="D146:E146"/>
    <mergeCell ref="N145:O145"/>
    <mergeCell ref="P147:Q147"/>
    <mergeCell ref="S147:T147"/>
    <mergeCell ref="J146:K146"/>
    <mergeCell ref="S177:U177"/>
    <mergeCell ref="N154:O154"/>
    <mergeCell ref="G154:H154"/>
    <mergeCell ref="C154:D154"/>
    <mergeCell ref="G167:H167"/>
    <mergeCell ref="B177:G177"/>
    <mergeCell ref="I177:M177"/>
    <mergeCell ref="B175:G176"/>
    <mergeCell ref="I175:M176"/>
    <mergeCell ref="O175:Q176"/>
    <mergeCell ref="S175:U176"/>
    <mergeCell ref="C157:D157"/>
    <mergeCell ref="E157:F157"/>
    <mergeCell ref="G157:H157"/>
    <mergeCell ref="I157:L157"/>
    <mergeCell ref="N157:O157"/>
    <mergeCell ref="N159:O159"/>
    <mergeCell ref="H161:P161"/>
    <mergeCell ref="H163:P163"/>
    <mergeCell ref="O177:Q177"/>
    <mergeCell ref="B171:U172"/>
    <mergeCell ref="E154:F154"/>
    <mergeCell ref="C167:D167"/>
    <mergeCell ref="I154:L154"/>
    <mergeCell ref="G93:H93"/>
    <mergeCell ref="F67:H67"/>
    <mergeCell ref="F114:G114"/>
    <mergeCell ref="L114:M114"/>
    <mergeCell ref="F116:G116"/>
    <mergeCell ref="L118:M118"/>
    <mergeCell ref="L125:M125"/>
    <mergeCell ref="F120:G120"/>
    <mergeCell ref="F125:G125"/>
    <mergeCell ref="F118:G118"/>
    <mergeCell ref="L104:M104"/>
    <mergeCell ref="L102:M102"/>
    <mergeCell ref="L108:M108"/>
    <mergeCell ref="F108:G108"/>
    <mergeCell ref="F100:G100"/>
    <mergeCell ref="F104:G104"/>
    <mergeCell ref="F102:G102"/>
    <mergeCell ref="G89:H89"/>
    <mergeCell ref="C97:U97"/>
    <mergeCell ref="O89:P89"/>
    <mergeCell ref="N123:O123"/>
    <mergeCell ref="P123:R123"/>
    <mergeCell ref="S3:U3"/>
    <mergeCell ref="S5:U5"/>
    <mergeCell ref="G5:P5"/>
    <mergeCell ref="S120:T120"/>
    <mergeCell ref="S116:T116"/>
    <mergeCell ref="L120:M120"/>
    <mergeCell ref="L116:M116"/>
    <mergeCell ref="S114:T114"/>
    <mergeCell ref="I36:J36"/>
    <mergeCell ref="N36:O36"/>
    <mergeCell ref="L42:M42"/>
    <mergeCell ref="H48:J48"/>
    <mergeCell ref="L110:M110"/>
    <mergeCell ref="S108:T108"/>
    <mergeCell ref="S110:T110"/>
    <mergeCell ref="F110:G110"/>
    <mergeCell ref="S59:T59"/>
    <mergeCell ref="S104:T104"/>
    <mergeCell ref="S100:T100"/>
    <mergeCell ref="G3:P3"/>
    <mergeCell ref="I32:J32"/>
    <mergeCell ref="I34:J34"/>
    <mergeCell ref="S7:U7"/>
    <mergeCell ref="G7:P7"/>
  </mergeCells>
  <phoneticPr fontId="22" type="noConversion"/>
  <dataValidations xWindow="236" yWindow="200" count="21">
    <dataValidation type="list" allowBlank="1" showInputMessage="1" sqref="G89:H89">
      <formula1>SHLR</formula1>
    </dataValidation>
    <dataValidation type="list" allowBlank="1" showInputMessage="1" showErrorMessage="1" sqref="N21:O21 N23:O23 N46:O46 N34:O34 N36:O36 N44">
      <formula1>CLR</formula1>
    </dataValidation>
    <dataValidation allowBlank="1" showInputMessage="1" showErrorMessage="1" promptTitle="Design Summary" prompt="This section will be filled in after the design of each of the components is complete." sqref="C97:U97"/>
    <dataValidation allowBlank="1" showInputMessage="1" showErrorMessage="1" prompt="Enter septic tank capacity only. Pump tank capacity is entered automatically below on Line 1.D" sqref="I46:J46"/>
    <dataValidation operator="lessThanOrEqual" allowBlank="1" showInputMessage="1" prompt="Value must be less than or equal to 84 inches for treatment to occur within 7 feet from grade." sqref="G80:H80"/>
    <dataValidation allowBlank="1" showInputMessage="1" showErrorMessage="1" prompt="Name of registered treatment media." sqref="U69"/>
    <dataValidation type="list" allowBlank="1" showInputMessage="1" showErrorMessage="1" sqref="F63">
      <formula1>STA</formula1>
    </dataValidation>
    <dataValidation type="list" allowBlank="1" showInputMessage="1" showErrorMessage="1" sqref="O63">
      <formula1>DistType</formula1>
    </dataValidation>
    <dataValidation type="list" allowBlank="1" showInputMessage="1" showErrorMessage="1" sqref="I15">
      <formula1>TreatmentLevel</formula1>
    </dataValidation>
    <dataValidation type="list" allowBlank="1" showInputMessage="1" sqref="F67:H67">
      <formula1>MPCAType</formula1>
    </dataValidation>
    <dataValidation allowBlank="1" showInputMessage="1" showErrorMessage="1" promptTitle="MPCA Type Comments" prompt="If the system is a Type III or IV list information on the plan for the installation and/or the treatment device to be used." sqref="F69:M69"/>
    <dataValidation type="list" allowBlank="1" showInputMessage="1" showErrorMessage="1" sqref="I42">
      <formula1>Gravity_Or_Pressure</formula1>
    </dataValidation>
    <dataValidation type="list" allowBlank="1" showInputMessage="1" sqref="J76">
      <formula1>YN</formula1>
    </dataValidation>
    <dataValidation type="list" allowBlank="1" showInputMessage="1" showErrorMessage="1" sqref="O67">
      <formula1>DispersalMedia</formula1>
    </dataValidation>
    <dataValidation allowBlank="1" showInputMessage="1" sqref="G93:H93"/>
    <dataValidation allowBlank="1" showErrorMessage="1" prompt="Enter code minimum holding tank capacity._x000a_" sqref="I21:J21"/>
    <dataValidation allowBlank="1" showErrorMessage="1" prompt="Enter septic tank capacity only. Pump tank capacity is entered automatically below on Line 1.D" sqref="I23:J23"/>
    <dataValidation allowBlank="1" showInputMessage="1" showErrorMessage="1" prompt="Enter septic tank capacity only. Pump tank capacity is filled automatically below." sqref="I34:J34 I36:J36"/>
    <dataValidation allowBlank="1" showErrorMessage="1" sqref="G3:P3"/>
    <dataValidation type="list" allowBlank="1" showInputMessage="1" sqref="G87">
      <formula1>SoilTexture7080</formula1>
    </dataValidation>
    <dataValidation type="list" errorStyle="warning" allowBlank="1" showInputMessage="1" showErrorMessage="1" error="Check Loading Rate Selected" sqref="G91:H91">
      <formula1>CLR</formula1>
    </dataValidation>
  </dataValidations>
  <pageMargins left="0.4" right="0.4" top="1" bottom="0.4" header="0.4" footer="0.25"/>
  <pageSetup orientation="portrait" blackAndWhite="1" r:id="rId3"/>
  <headerFooter>
    <oddHeader>&amp;L&amp;G&amp;C&amp;"Trebuchet MS,Regular"&amp;14
Design Summary Page&amp;R&amp;G</oddHeader>
  </headerFooter>
  <rowBreaks count="1" manualBreakCount="1">
    <brk id="60" max="21" man="1"/>
  </rowBreaks>
  <drawing r:id="rId4"/>
  <legacyDrawingHF r:id="rId5"/>
  <extLst>
    <ext xmlns:x14="http://schemas.microsoft.com/office/spreadsheetml/2009/9/main" uri="{CCE6A557-97BC-4b89-ADB6-D9C93CAAB3DF}">
      <x14:dataValidations xmlns:xm="http://schemas.microsoft.com/office/excel/2006/main" xWindow="236" yWindow="200" count="5">
        <x14:dataValidation type="list" errorStyle="warning" allowBlank="1" showInputMessage="1" showErrorMessage="1" error="Check Separation Distance allowed in 7080" promptTitle="Treatment Level:" prompt="Level C effluent: min separation = 36 inches_x000a_Level C Rapidly Permeable Soils = 60 inches_x000a_Level B effluent: min separation = 18 inches_x000a_Level A effluent: min separation = 12 inches">
          <x14:formula1>
            <xm:f>'Drop-Down Lists'!$V$2:$V$5</xm:f>
          </x14:formula1>
          <xm:sqref>G82:H82</xm:sqref>
        </x14:dataValidation>
        <x14:dataValidation type="list" allowBlank="1">
          <x14:formula1>
            <xm:f>'Drop-Down Lists'!$J$74:$J$77</xm:f>
          </x14:formula1>
          <xm:sqref>S11:U11</xm:sqref>
        </x14:dataValidation>
        <x14:dataValidation type="list" allowBlank="1">
          <x14:formula1>
            <xm:f>'Drop-Down Lists'!$I$33:$I$37</xm:f>
          </x14:formula1>
          <xm:sqref>H48:J48 H38:J38</xm:sqref>
        </x14:dataValidation>
        <x14:dataValidation type="list" errorStyle="information" allowBlank="1" showInputMessage="1" showErrorMessage="1" error="Check condition listed" promptTitle="Limiting Condition" prompt="Choose a limiting condition or enter your own">
          <x14:formula1>
            <xm:f>'Drop-Down Lists'!$M$58:$M$63</xm:f>
          </x14:formula1>
          <xm:sqref>G74:T74</xm:sqref>
        </x14:dataValidation>
        <x14:dataValidation type="list" errorStyle="information" allowBlank="1" showInputMessage="1" showErrorMessage="1" prompt="Name of registered treatment media.">
          <x14:formula1>
            <xm:f>'Drop-Down Lists'!$P$2:$P$6</xm:f>
          </x14:formula1>
          <xm:sqref>O69:T69</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tabColor theme="9" tint="0.59999389629810485"/>
  </sheetPr>
  <dimension ref="A1:AJ77"/>
  <sheetViews>
    <sheetView showGridLines="0" view="pageBreakPreview" zoomScaleNormal="100" zoomScaleSheetLayoutView="100" workbookViewId="0">
      <selection activeCell="O2" sqref="O2:R2"/>
    </sheetView>
  </sheetViews>
  <sheetFormatPr defaultColWidth="4.109375" defaultRowHeight="14.4"/>
  <cols>
    <col min="1" max="24" width="4.109375" style="797"/>
    <col min="25" max="36" width="4.109375" style="825"/>
    <col min="37" max="16384" width="4.109375" style="797"/>
  </cols>
  <sheetData>
    <row r="1" spans="1:36" ht="54.9" customHeight="1" thickBot="1">
      <c r="B1" s="1360"/>
      <c r="C1" s="1360"/>
      <c r="D1" s="1360"/>
      <c r="F1" s="3199" t="s">
        <v>1748</v>
      </c>
      <c r="G1" s="3199"/>
      <c r="H1" s="3199"/>
      <c r="I1" s="3199"/>
      <c r="J1" s="3199"/>
      <c r="K1" s="3199"/>
      <c r="L1" s="3199"/>
      <c r="M1" s="3199"/>
      <c r="N1" s="3199"/>
      <c r="O1" s="3199"/>
      <c r="P1" s="3199"/>
      <c r="Q1" s="3199"/>
      <c r="R1" s="1360"/>
      <c r="S1" s="1360"/>
      <c r="T1" s="1360"/>
      <c r="U1" s="1360"/>
      <c r="V1" s="1360"/>
      <c r="W1" s="1360"/>
      <c r="X1" s="1360"/>
      <c r="Y1" s="1362"/>
      <c r="Z1" s="1362"/>
      <c r="AA1" s="1362"/>
      <c r="AB1" s="1362"/>
      <c r="AC1" s="1362"/>
      <c r="AD1" s="1362"/>
      <c r="AE1" s="1362"/>
      <c r="AF1" s="1362"/>
      <c r="AG1" s="1362"/>
      <c r="AH1" s="1362"/>
      <c r="AI1" s="1362"/>
      <c r="AJ1" s="1362"/>
    </row>
    <row r="2" spans="1:36" ht="15.6" customHeight="1" thickBot="1">
      <c r="A2" s="1367"/>
      <c r="B2" s="1368"/>
      <c r="C2" s="1369"/>
      <c r="D2" s="1369"/>
      <c r="E2" s="1369"/>
      <c r="F2" s="2996"/>
      <c r="G2" s="2996"/>
      <c r="H2" s="2996"/>
      <c r="I2" s="2996"/>
      <c r="J2" s="2996"/>
      <c r="K2" s="2996"/>
      <c r="L2" s="2997" t="s">
        <v>1015</v>
      </c>
      <c r="M2" s="2997"/>
      <c r="N2" s="2997"/>
      <c r="O2" s="3203" t="str">
        <f>IF(ISBLANK(Summary!S3)," ",Summary!S3)</f>
        <v xml:space="preserve"> </v>
      </c>
      <c r="P2" s="3203"/>
      <c r="Q2" s="3203"/>
      <c r="R2" s="3203"/>
      <c r="S2" s="1890"/>
      <c r="T2" s="2999" t="str">
        <f>'Drop-Down Lists'!J40</f>
        <v>v 04.01.2021</v>
      </c>
      <c r="U2" s="2999"/>
      <c r="V2" s="2999"/>
      <c r="W2" s="2999"/>
      <c r="X2" s="3000"/>
      <c r="Y2" s="1363"/>
      <c r="Z2" s="1363"/>
      <c r="AA2" s="1363"/>
      <c r="AB2" s="1363"/>
      <c r="AC2" s="1363"/>
      <c r="AD2" s="1363"/>
      <c r="AE2" s="1363"/>
      <c r="AF2" s="1363"/>
    </row>
    <row r="3" spans="1:36" ht="3.9" customHeight="1">
      <c r="A3" s="973"/>
      <c r="B3" s="2201"/>
      <c r="C3" s="2201"/>
      <c r="D3" s="974"/>
      <c r="E3" s="974"/>
      <c r="F3" s="974"/>
      <c r="G3" s="974"/>
      <c r="H3" s="974"/>
      <c r="I3" s="974"/>
      <c r="J3" s="975"/>
      <c r="K3" s="975"/>
      <c r="L3" s="975"/>
      <c r="M3" s="975"/>
      <c r="N3" s="975"/>
      <c r="O3" s="975"/>
      <c r="P3" s="975"/>
      <c r="Q3" s="976"/>
      <c r="R3" s="976"/>
      <c r="S3" s="976"/>
      <c r="T3" s="976"/>
      <c r="U3" s="976"/>
      <c r="V3" s="976"/>
      <c r="W3" s="976"/>
      <c r="X3" s="1377"/>
      <c r="Y3" s="1364"/>
      <c r="Z3" s="1364"/>
      <c r="AA3" s="1364"/>
      <c r="AB3" s="1364"/>
    </row>
    <row r="4" spans="1:36" ht="28.35" customHeight="1">
      <c r="A4" s="2992" t="s">
        <v>29</v>
      </c>
      <c r="B4" s="2993"/>
      <c r="C4" s="2993"/>
      <c r="D4" s="2993"/>
      <c r="E4" s="2993"/>
      <c r="F4" s="2993"/>
      <c r="G4" s="2993"/>
      <c r="H4" s="3204" t="str">
        <f>IF(ISBLANK(Summary!G3)," ",Summary!G3)</f>
        <v/>
      </c>
      <c r="I4" s="3204"/>
      <c r="J4" s="3204"/>
      <c r="K4" s="3204"/>
      <c r="L4" s="3204"/>
      <c r="M4" s="3204"/>
      <c r="N4" s="3204"/>
      <c r="O4" s="3204"/>
      <c r="P4" s="3204"/>
      <c r="Q4" s="3204"/>
      <c r="R4" s="3204"/>
      <c r="S4" s="3204"/>
      <c r="T4" s="3204"/>
      <c r="U4" s="3204"/>
      <c r="V4" s="3204"/>
      <c r="W4" s="3204"/>
      <c r="X4" s="3205"/>
      <c r="Y4" s="1366"/>
      <c r="Z4" s="1366"/>
      <c r="AA4" s="1366"/>
      <c r="AB4" s="1366"/>
      <c r="AC4" s="1366"/>
      <c r="AD4" s="1366"/>
      <c r="AE4" s="1366"/>
      <c r="AF4" s="1366"/>
      <c r="AG4" s="1366"/>
      <c r="AH4" s="1366"/>
      <c r="AI4" s="1366"/>
      <c r="AJ4" s="1366"/>
    </row>
    <row r="5" spans="1:36" ht="3.9" customHeight="1" thickBot="1">
      <c r="A5" s="852"/>
      <c r="B5" s="1925"/>
      <c r="C5" s="1925"/>
      <c r="D5" s="1925"/>
      <c r="E5" s="1925"/>
      <c r="F5" s="1925"/>
      <c r="G5" s="1925"/>
      <c r="H5" s="1925"/>
      <c r="I5" s="1925"/>
      <c r="J5" s="1925"/>
      <c r="K5" s="1925"/>
      <c r="L5" s="1925"/>
      <c r="M5" s="1925"/>
      <c r="N5" s="1925"/>
      <c r="O5" s="1925"/>
      <c r="P5" s="1925"/>
      <c r="Q5" s="1925"/>
      <c r="R5" s="1925"/>
      <c r="S5" s="1925"/>
      <c r="T5" s="1925"/>
      <c r="U5" s="1925"/>
      <c r="V5" s="1925"/>
      <c r="W5" s="1925"/>
      <c r="X5" s="810"/>
    </row>
    <row r="6" spans="1:36" ht="23.1" customHeight="1">
      <c r="A6" s="852"/>
      <c r="B6" s="1371"/>
      <c r="C6" s="1372"/>
      <c r="D6" s="1372"/>
      <c r="E6" s="1372"/>
      <c r="F6" s="1372"/>
      <c r="G6" s="1372"/>
      <c r="H6" s="1372"/>
      <c r="I6" s="1372"/>
      <c r="J6" s="1372"/>
      <c r="K6" s="1372"/>
      <c r="L6" s="1372"/>
      <c r="M6" s="1372"/>
      <c r="N6" s="1372"/>
      <c r="O6" s="1372"/>
      <c r="P6" s="1372"/>
      <c r="Q6" s="1372"/>
      <c r="R6" s="1372"/>
      <c r="S6" s="1372"/>
      <c r="T6" s="1372"/>
      <c r="U6" s="1372"/>
      <c r="V6" s="1372"/>
      <c r="W6" s="1373"/>
      <c r="X6" s="810"/>
      <c r="AC6" s="1927"/>
    </row>
    <row r="7" spans="1:36" ht="23.1" customHeight="1">
      <c r="A7" s="852"/>
      <c r="B7" s="852"/>
      <c r="C7" s="1925"/>
      <c r="D7" s="1925"/>
      <c r="E7" s="1925"/>
      <c r="F7" s="1925"/>
      <c r="G7" s="1925"/>
      <c r="H7" s="1925"/>
      <c r="I7" s="1925"/>
      <c r="J7" s="1925"/>
      <c r="K7" s="1925"/>
      <c r="L7" s="1925"/>
      <c r="M7" s="1925"/>
      <c r="N7" s="1925"/>
      <c r="O7" s="1925"/>
      <c r="P7" s="1925"/>
      <c r="Q7" s="1925"/>
      <c r="R7" s="1925"/>
      <c r="S7" s="1925"/>
      <c r="T7" s="1925"/>
      <c r="U7" s="1925"/>
      <c r="V7" s="1925"/>
      <c r="W7" s="810"/>
      <c r="X7" s="810"/>
    </row>
    <row r="8" spans="1:36" ht="23.1" customHeight="1">
      <c r="A8" s="852"/>
      <c r="B8" s="852"/>
      <c r="C8" s="1925"/>
      <c r="D8" s="1925"/>
      <c r="E8" s="1925"/>
      <c r="F8" s="1925"/>
      <c r="G8" s="1925"/>
      <c r="H8" s="1925"/>
      <c r="I8" s="1925"/>
      <c r="J8" s="1925"/>
      <c r="K8" s="1925"/>
      <c r="L8" s="1925"/>
      <c r="M8" s="1925"/>
      <c r="N8" s="1925"/>
      <c r="O8" s="1925"/>
      <c r="P8" s="1925"/>
      <c r="Q8" s="1925"/>
      <c r="R8" s="1925"/>
      <c r="S8" s="1925"/>
      <c r="T8" s="1925"/>
      <c r="U8" s="1925"/>
      <c r="V8" s="1925"/>
      <c r="W8" s="810"/>
      <c r="X8" s="810"/>
    </row>
    <row r="9" spans="1:36" ht="23.1" customHeight="1">
      <c r="A9" s="852"/>
      <c r="B9" s="852"/>
      <c r="C9" s="1925"/>
      <c r="D9" s="1925"/>
      <c r="E9" s="1925"/>
      <c r="F9" s="1925"/>
      <c r="G9" s="1925"/>
      <c r="H9" s="1925"/>
      <c r="I9" s="1925"/>
      <c r="J9" s="1925"/>
      <c r="K9" s="1925"/>
      <c r="L9" s="1925"/>
      <c r="M9" s="1925"/>
      <c r="N9" s="1925"/>
      <c r="O9" s="1925"/>
      <c r="P9" s="1925"/>
      <c r="Q9" s="1925"/>
      <c r="R9" s="1925"/>
      <c r="S9" s="1925"/>
      <c r="T9" s="1925"/>
      <c r="U9" s="1925"/>
      <c r="V9" s="1925"/>
      <c r="W9" s="810"/>
      <c r="X9" s="810"/>
    </row>
    <row r="10" spans="1:36" ht="23.1" customHeight="1">
      <c r="A10" s="852"/>
      <c r="B10" s="852"/>
      <c r="C10" s="1925"/>
      <c r="D10" s="1925"/>
      <c r="E10" s="1925"/>
      <c r="F10" s="1925"/>
      <c r="G10" s="1925"/>
      <c r="H10" s="1925"/>
      <c r="I10" s="1925"/>
      <c r="J10" s="1925"/>
      <c r="K10" s="1925"/>
      <c r="L10" s="1925"/>
      <c r="M10" s="1925"/>
      <c r="N10" s="1925"/>
      <c r="O10" s="1925"/>
      <c r="P10" s="1925"/>
      <c r="Q10" s="1925"/>
      <c r="R10" s="1925"/>
      <c r="S10" s="1925"/>
      <c r="T10" s="1925"/>
      <c r="U10" s="1925"/>
      <c r="V10" s="1925"/>
      <c r="W10" s="810"/>
      <c r="X10" s="810"/>
    </row>
    <row r="11" spans="1:36" ht="23.1" customHeight="1">
      <c r="A11" s="852"/>
      <c r="B11" s="852"/>
      <c r="C11" s="1925"/>
      <c r="D11" s="1925"/>
      <c r="E11" s="1925"/>
      <c r="F11" s="1925"/>
      <c r="G11" s="1925"/>
      <c r="H11" s="1925"/>
      <c r="I11" s="1925"/>
      <c r="J11" s="1925"/>
      <c r="K11" s="1925"/>
      <c r="L11" s="1925"/>
      <c r="M11" s="1925"/>
      <c r="N11" s="1925"/>
      <c r="O11" s="1925"/>
      <c r="P11" s="1925"/>
      <c r="Q11" s="1925"/>
      <c r="R11" s="1925"/>
      <c r="S11" s="1925"/>
      <c r="T11" s="1925"/>
      <c r="U11" s="1925"/>
      <c r="V11" s="1925"/>
      <c r="W11" s="810"/>
      <c r="X11" s="810"/>
    </row>
    <row r="12" spans="1:36" ht="23.1" customHeight="1">
      <c r="A12" s="852"/>
      <c r="B12" s="852"/>
      <c r="C12" s="1925"/>
      <c r="D12" s="1925"/>
      <c r="E12" s="1925"/>
      <c r="F12" s="1925"/>
      <c r="G12" s="1925"/>
      <c r="H12" s="1925"/>
      <c r="I12" s="1925"/>
      <c r="J12" s="1925"/>
      <c r="K12" s="1925"/>
      <c r="L12" s="1925"/>
      <c r="M12" s="1925"/>
      <c r="N12" s="1925"/>
      <c r="O12" s="1925"/>
      <c r="P12" s="1925"/>
      <c r="Q12" s="1925"/>
      <c r="R12" s="1925"/>
      <c r="S12" s="1925"/>
      <c r="T12" s="1925"/>
      <c r="U12" s="1925"/>
      <c r="V12" s="1925"/>
      <c r="W12" s="810"/>
      <c r="X12" s="810"/>
    </row>
    <row r="13" spans="1:36" ht="23.1" customHeight="1">
      <c r="A13" s="852"/>
      <c r="B13" s="852"/>
      <c r="C13" s="1925"/>
      <c r="D13" s="1925"/>
      <c r="E13" s="1925"/>
      <c r="F13" s="1925"/>
      <c r="G13" s="1925"/>
      <c r="H13" s="1925"/>
      <c r="I13" s="1925"/>
      <c r="J13" s="1925"/>
      <c r="K13" s="1925"/>
      <c r="L13" s="1925"/>
      <c r="M13" s="1925"/>
      <c r="N13" s="1925"/>
      <c r="O13" s="1925"/>
      <c r="P13" s="1925"/>
      <c r="Q13" s="1925"/>
      <c r="R13" s="1925"/>
      <c r="S13" s="1925"/>
      <c r="T13" s="1925"/>
      <c r="U13" s="1925"/>
      <c r="V13" s="1925"/>
      <c r="W13" s="810"/>
      <c r="X13" s="810"/>
    </row>
    <row r="14" spans="1:36" ht="23.1" customHeight="1">
      <c r="A14" s="852"/>
      <c r="B14" s="852"/>
      <c r="C14" s="1925"/>
      <c r="D14" s="1925"/>
      <c r="E14" s="1925"/>
      <c r="F14" s="1925"/>
      <c r="G14" s="1925"/>
      <c r="H14" s="1925"/>
      <c r="I14" s="1925"/>
      <c r="J14" s="1925"/>
      <c r="K14" s="1925"/>
      <c r="L14" s="1925"/>
      <c r="M14" s="1925"/>
      <c r="N14" s="1925"/>
      <c r="O14" s="1925"/>
      <c r="P14" s="1925"/>
      <c r="Q14" s="1925"/>
      <c r="R14" s="1925"/>
      <c r="S14" s="1925"/>
      <c r="T14" s="1925"/>
      <c r="U14" s="1925"/>
      <c r="V14" s="1925"/>
      <c r="W14" s="810"/>
      <c r="X14" s="810"/>
    </row>
    <row r="15" spans="1:36" ht="23.1" customHeight="1">
      <c r="A15" s="852"/>
      <c r="B15" s="852"/>
      <c r="C15" s="1925"/>
      <c r="D15" s="1925"/>
      <c r="E15" s="1925"/>
      <c r="F15" s="1925"/>
      <c r="G15" s="1925"/>
      <c r="H15" s="1925"/>
      <c r="I15" s="1925"/>
      <c r="J15" s="1925"/>
      <c r="K15" s="1925"/>
      <c r="L15" s="1925"/>
      <c r="M15" s="1925"/>
      <c r="N15" s="1925"/>
      <c r="O15" s="1925"/>
      <c r="P15" s="1925"/>
      <c r="Q15" s="1925"/>
      <c r="R15" s="1925"/>
      <c r="S15" s="1925"/>
      <c r="T15" s="1925"/>
      <c r="U15" s="1925"/>
      <c r="V15" s="1925"/>
      <c r="W15" s="810"/>
      <c r="X15" s="810"/>
    </row>
    <row r="16" spans="1:36" ht="23.1" customHeight="1">
      <c r="A16" s="852"/>
      <c r="B16" s="852"/>
      <c r="C16" s="1925"/>
      <c r="D16" s="1925"/>
      <c r="E16" s="1925"/>
      <c r="F16" s="1925"/>
      <c r="G16" s="1925"/>
      <c r="H16" s="1925"/>
      <c r="I16" s="1925"/>
      <c r="J16" s="1925"/>
      <c r="K16" s="1925"/>
      <c r="L16" s="1925"/>
      <c r="M16" s="1925"/>
      <c r="N16" s="1925"/>
      <c r="O16" s="1925"/>
      <c r="P16" s="1925"/>
      <c r="Q16" s="1925"/>
      <c r="R16" s="1925"/>
      <c r="S16" s="1925"/>
      <c r="T16" s="1925"/>
      <c r="U16" s="1925"/>
      <c r="V16" s="1925"/>
      <c r="W16" s="810"/>
      <c r="X16" s="810"/>
    </row>
    <row r="17" spans="1:36" ht="23.1" customHeight="1">
      <c r="A17" s="852"/>
      <c r="B17" s="852"/>
      <c r="C17" s="1925"/>
      <c r="D17" s="1925"/>
      <c r="E17" s="1925"/>
      <c r="F17" s="1925"/>
      <c r="G17" s="1925"/>
      <c r="H17" s="1925"/>
      <c r="I17" s="1925"/>
      <c r="J17" s="1925"/>
      <c r="K17" s="1925"/>
      <c r="L17" s="1925"/>
      <c r="M17" s="1925"/>
      <c r="N17" s="1925"/>
      <c r="O17" s="1925"/>
      <c r="P17" s="1925"/>
      <c r="Q17" s="1925"/>
      <c r="R17" s="1925"/>
      <c r="S17" s="1925"/>
      <c r="T17" s="1925"/>
      <c r="U17" s="1925"/>
      <c r="V17" s="1925"/>
      <c r="W17" s="810"/>
      <c r="X17" s="810"/>
    </row>
    <row r="18" spans="1:36" ht="23.1" customHeight="1">
      <c r="A18" s="852"/>
      <c r="B18" s="852"/>
      <c r="C18" s="1925"/>
      <c r="D18" s="1925"/>
      <c r="E18" s="1925"/>
      <c r="F18" s="1925"/>
      <c r="G18" s="1925"/>
      <c r="H18" s="1925"/>
      <c r="I18" s="1925"/>
      <c r="J18" s="1925"/>
      <c r="K18" s="1925"/>
      <c r="L18" s="1925"/>
      <c r="M18" s="1925"/>
      <c r="N18" s="1925"/>
      <c r="O18" s="1925"/>
      <c r="P18" s="1925"/>
      <c r="Q18" s="1925"/>
      <c r="R18" s="1925"/>
      <c r="S18" s="1925"/>
      <c r="T18" s="1925"/>
      <c r="U18" s="1925"/>
      <c r="V18" s="1925"/>
      <c r="W18" s="810"/>
      <c r="X18" s="810"/>
    </row>
    <row r="19" spans="1:36" ht="23.1" customHeight="1">
      <c r="A19" s="852"/>
      <c r="B19" s="852"/>
      <c r="C19" s="1925"/>
      <c r="D19" s="1925"/>
      <c r="E19" s="1925"/>
      <c r="F19" s="1925"/>
      <c r="G19" s="1925"/>
      <c r="H19" s="1925"/>
      <c r="I19" s="1925"/>
      <c r="J19" s="1925"/>
      <c r="K19" s="1925"/>
      <c r="L19" s="1925"/>
      <c r="M19" s="1925"/>
      <c r="N19" s="1925"/>
      <c r="O19" s="1925"/>
      <c r="P19" s="1925"/>
      <c r="Q19" s="1925"/>
      <c r="R19" s="1925"/>
      <c r="S19" s="1925"/>
      <c r="T19" s="1925"/>
      <c r="U19" s="1925"/>
      <c r="V19" s="1925"/>
      <c r="W19" s="810"/>
      <c r="X19" s="810"/>
    </row>
    <row r="20" spans="1:36" ht="23.1" customHeight="1">
      <c r="A20" s="852"/>
      <c r="B20" s="852"/>
      <c r="C20" s="1925"/>
      <c r="D20" s="1925"/>
      <c r="E20" s="1925"/>
      <c r="F20" s="1925"/>
      <c r="G20" s="1925"/>
      <c r="H20" s="1925"/>
      <c r="I20" s="1925"/>
      <c r="J20" s="1925"/>
      <c r="K20" s="1925"/>
      <c r="L20" s="1925"/>
      <c r="M20" s="1925"/>
      <c r="N20" s="1925"/>
      <c r="O20" s="1925"/>
      <c r="P20" s="1925"/>
      <c r="Q20" s="1925"/>
      <c r="R20" s="1925"/>
      <c r="S20" s="1925"/>
      <c r="T20" s="1925"/>
      <c r="U20" s="1925"/>
      <c r="V20" s="1925"/>
      <c r="W20" s="810"/>
      <c r="X20" s="810"/>
    </row>
    <row r="21" spans="1:36" ht="23.1" customHeight="1">
      <c r="A21" s="852"/>
      <c r="B21" s="852"/>
      <c r="C21" s="1925"/>
      <c r="D21" s="1925"/>
      <c r="E21" s="1925"/>
      <c r="F21" s="1925"/>
      <c r="G21" s="1925"/>
      <c r="H21" s="1925"/>
      <c r="I21" s="1925"/>
      <c r="J21" s="1925"/>
      <c r="K21" s="1925"/>
      <c r="L21" s="1925"/>
      <c r="M21" s="1925"/>
      <c r="N21" s="1925"/>
      <c r="O21" s="1925"/>
      <c r="P21" s="1925"/>
      <c r="Q21" s="1925"/>
      <c r="R21" s="1925"/>
      <c r="S21" s="1925"/>
      <c r="T21" s="1925"/>
      <c r="U21" s="1925"/>
      <c r="V21" s="1925"/>
      <c r="W21" s="810"/>
      <c r="X21" s="810"/>
    </row>
    <row r="22" spans="1:36" ht="23.1" customHeight="1">
      <c r="A22" s="852"/>
      <c r="B22" s="852"/>
      <c r="C22" s="1925"/>
      <c r="D22" s="1925"/>
      <c r="E22" s="1925"/>
      <c r="F22" s="1925"/>
      <c r="G22" s="1925"/>
      <c r="H22" s="1925"/>
      <c r="I22" s="1925"/>
      <c r="J22" s="1925"/>
      <c r="K22" s="1925"/>
      <c r="L22" s="1925"/>
      <c r="M22" s="1925"/>
      <c r="N22" s="1925"/>
      <c r="O22" s="1925"/>
      <c r="P22" s="1925"/>
      <c r="Q22" s="1925"/>
      <c r="R22" s="1925"/>
      <c r="S22" s="1925"/>
      <c r="T22" s="1925"/>
      <c r="U22" s="1925"/>
      <c r="V22" s="1925"/>
      <c r="W22" s="810"/>
      <c r="X22" s="810"/>
    </row>
    <row r="23" spans="1:36" ht="23.1" customHeight="1">
      <c r="A23" s="852"/>
      <c r="B23" s="852"/>
      <c r="C23" s="1925"/>
      <c r="D23" s="1925"/>
      <c r="E23" s="1925"/>
      <c r="F23" s="1925"/>
      <c r="G23" s="1925"/>
      <c r="H23" s="1925"/>
      <c r="I23" s="1925"/>
      <c r="J23" s="1925"/>
      <c r="K23" s="1925"/>
      <c r="L23" s="1925"/>
      <c r="M23" s="1925"/>
      <c r="N23" s="1925"/>
      <c r="O23" s="1925"/>
      <c r="P23" s="1925"/>
      <c r="Q23" s="1925"/>
      <c r="R23" s="1925"/>
      <c r="S23" s="1925"/>
      <c r="T23" s="1925"/>
      <c r="U23" s="1925"/>
      <c r="V23" s="1925"/>
      <c r="W23" s="810"/>
      <c r="X23" s="810"/>
    </row>
    <row r="24" spans="1:36" ht="23.1" customHeight="1">
      <c r="A24" s="852"/>
      <c r="B24" s="852"/>
      <c r="C24" s="1925"/>
      <c r="D24" s="1925"/>
      <c r="E24" s="1925"/>
      <c r="F24" s="1925"/>
      <c r="G24" s="1925"/>
      <c r="H24" s="1925"/>
      <c r="I24" s="1925"/>
      <c r="J24" s="1925"/>
      <c r="K24" s="1925"/>
      <c r="L24" s="1925"/>
      <c r="M24" s="1925"/>
      <c r="N24" s="1925"/>
      <c r="O24" s="1925"/>
      <c r="P24" s="1925"/>
      <c r="Q24" s="1925"/>
      <c r="R24" s="1925"/>
      <c r="S24" s="1925"/>
      <c r="T24" s="1925"/>
      <c r="U24" s="1925"/>
      <c r="V24" s="1925"/>
      <c r="W24" s="810"/>
      <c r="X24" s="810"/>
    </row>
    <row r="25" spans="1:36" ht="23.1" customHeight="1">
      <c r="A25" s="852"/>
      <c r="B25" s="852"/>
      <c r="C25" s="1925"/>
      <c r="D25" s="1925"/>
      <c r="E25" s="1925"/>
      <c r="F25" s="1925"/>
      <c r="G25" s="1925"/>
      <c r="H25" s="1925"/>
      <c r="I25" s="1925"/>
      <c r="J25" s="1925"/>
      <c r="K25" s="1925"/>
      <c r="L25" s="1925"/>
      <c r="M25" s="1925"/>
      <c r="N25" s="1925"/>
      <c r="O25" s="1925"/>
      <c r="P25" s="1925"/>
      <c r="Q25" s="1925"/>
      <c r="R25" s="1925"/>
      <c r="S25" s="1925"/>
      <c r="T25" s="1925"/>
      <c r="U25" s="1925"/>
      <c r="V25" s="1925"/>
      <c r="W25" s="810"/>
      <c r="X25" s="810"/>
    </row>
    <row r="26" spans="1:36" ht="23.1" customHeight="1" thickBot="1">
      <c r="A26" s="852"/>
      <c r="B26" s="1374"/>
      <c r="C26" s="1375"/>
      <c r="D26" s="1375"/>
      <c r="E26" s="1375"/>
      <c r="F26" s="1375"/>
      <c r="G26" s="1375"/>
      <c r="H26" s="1375"/>
      <c r="I26" s="1375"/>
      <c r="J26" s="1375"/>
      <c r="K26" s="1375"/>
      <c r="L26" s="1375"/>
      <c r="M26" s="1375"/>
      <c r="N26" s="1375"/>
      <c r="O26" s="1375"/>
      <c r="P26" s="1375"/>
      <c r="Q26" s="1375"/>
      <c r="R26" s="1375"/>
      <c r="S26" s="1375"/>
      <c r="T26" s="1375"/>
      <c r="U26" s="1375"/>
      <c r="V26" s="1375"/>
      <c r="W26" s="1376"/>
      <c r="X26" s="810"/>
    </row>
    <row r="27" spans="1:36" ht="6" customHeight="1">
      <c r="A27" s="852"/>
      <c r="B27" s="1925"/>
      <c r="C27" s="1925"/>
      <c r="D27" s="1925"/>
      <c r="E27" s="1925"/>
      <c r="F27" s="1925"/>
      <c r="G27" s="1925"/>
      <c r="H27" s="1925"/>
      <c r="I27" s="1925"/>
      <c r="J27" s="1925"/>
      <c r="K27" s="915"/>
      <c r="L27" s="915"/>
      <c r="M27" s="915"/>
      <c r="N27" s="915"/>
      <c r="O27" s="915"/>
      <c r="P27" s="915"/>
      <c r="Q27" s="915"/>
      <c r="R27" s="915"/>
      <c r="S27" s="915"/>
      <c r="T27" s="915"/>
      <c r="U27" s="915"/>
      <c r="V27" s="915"/>
      <c r="W27" s="915"/>
      <c r="X27" s="1378"/>
      <c r="Y27" s="977"/>
      <c r="Z27" s="977"/>
      <c r="AA27" s="977"/>
      <c r="AB27" s="977"/>
      <c r="AC27" s="977"/>
      <c r="AD27" s="977"/>
      <c r="AE27" s="977"/>
      <c r="AF27" s="977"/>
    </row>
    <row r="28" spans="1:36" s="825" customFormat="1">
      <c r="A28" s="3008" t="s">
        <v>1182</v>
      </c>
      <c r="B28" s="3009"/>
      <c r="C28" s="3009"/>
      <c r="D28" s="2977"/>
      <c r="E28" s="2978"/>
      <c r="F28" s="2978"/>
      <c r="G28" s="2979"/>
      <c r="H28" s="1359"/>
      <c r="I28" s="1359"/>
      <c r="J28" s="1925"/>
      <c r="K28" s="1925"/>
      <c r="L28" s="1925"/>
      <c r="M28" s="1927"/>
      <c r="N28" s="1927"/>
      <c r="O28" s="1925"/>
      <c r="P28" s="1925"/>
      <c r="Q28" s="1925"/>
      <c r="R28" s="1925"/>
      <c r="S28" s="1925"/>
      <c r="T28" s="1359"/>
      <c r="U28" s="1925"/>
      <c r="V28" s="1925"/>
      <c r="W28" s="1925"/>
      <c r="X28" s="810"/>
      <c r="Y28" s="1365"/>
      <c r="Z28" s="1365"/>
      <c r="AE28" s="1365"/>
    </row>
    <row r="29" spans="1:36" s="825" customFormat="1">
      <c r="A29" s="1379"/>
      <c r="B29" s="1927"/>
      <c r="C29" s="1927"/>
      <c r="D29" s="1927"/>
      <c r="E29" s="1927"/>
      <c r="F29" s="1927"/>
      <c r="G29" s="1927"/>
      <c r="H29" s="1927"/>
      <c r="I29" s="1927"/>
      <c r="J29" s="1927"/>
      <c r="K29" s="1358"/>
      <c r="L29" s="1358"/>
      <c r="M29" s="1358"/>
      <c r="N29" s="1358"/>
      <c r="O29" s="1358"/>
      <c r="P29" s="1358"/>
      <c r="Q29" s="1358"/>
      <c r="R29" s="1358"/>
      <c r="S29" s="1358"/>
      <c r="T29" s="1358"/>
      <c r="U29" s="1358"/>
      <c r="V29" s="1358"/>
      <c r="W29" s="1358"/>
      <c r="X29" s="1380"/>
      <c r="Y29" s="1358"/>
      <c r="Z29" s="1358"/>
      <c r="AA29" s="1358"/>
      <c r="AB29" s="1358"/>
      <c r="AC29" s="1358"/>
      <c r="AD29" s="1358"/>
      <c r="AE29" s="1358"/>
      <c r="AF29" s="1358"/>
      <c r="AG29" s="1358"/>
      <c r="AH29" s="1358"/>
      <c r="AI29" s="1358"/>
      <c r="AJ29" s="1358"/>
    </row>
    <row r="30" spans="1:36" s="825" customFormat="1">
      <c r="A30" s="1379"/>
      <c r="B30" s="1361" t="s">
        <v>1211</v>
      </c>
      <c r="C30" s="1925"/>
      <c r="D30" s="1925"/>
      <c r="E30" s="1925"/>
      <c r="F30" s="1925"/>
      <c r="G30" s="1925"/>
      <c r="H30" s="1927"/>
      <c r="I30" s="1927"/>
      <c r="J30" s="1927"/>
      <c r="K30" s="1358"/>
      <c r="L30" s="1358"/>
      <c r="M30" s="1358"/>
      <c r="N30" s="1358"/>
      <c r="O30" s="1358"/>
      <c r="P30" s="1358"/>
      <c r="Q30" s="1358"/>
      <c r="R30" s="1358"/>
      <c r="S30" s="1358"/>
      <c r="T30" s="1358"/>
      <c r="U30" s="1358"/>
      <c r="V30" s="1358"/>
      <c r="W30" s="1358"/>
      <c r="X30" s="1380"/>
      <c r="Y30" s="1358"/>
      <c r="Z30" s="1358"/>
      <c r="AA30" s="1358"/>
      <c r="AB30" s="1358"/>
      <c r="AC30" s="1358"/>
      <c r="AD30" s="1358"/>
      <c r="AE30" s="1358"/>
      <c r="AF30" s="1358"/>
      <c r="AG30" s="1358"/>
      <c r="AH30" s="1358"/>
      <c r="AI30" s="1358"/>
      <c r="AJ30" s="1358"/>
    </row>
    <row r="31" spans="1:36" s="825" customFormat="1">
      <c r="A31" s="1379"/>
      <c r="B31" s="1925" t="s">
        <v>1212</v>
      </c>
      <c r="C31" s="1925"/>
      <c r="D31" s="1925"/>
      <c r="E31" s="1925"/>
      <c r="F31" s="1925"/>
      <c r="G31" s="1925"/>
      <c r="H31" s="1927"/>
      <c r="I31" s="1927"/>
      <c r="J31" s="1925" t="s">
        <v>1217</v>
      </c>
      <c r="K31" s="1925"/>
      <c r="L31" s="1925"/>
      <c r="M31" s="1925"/>
      <c r="N31" s="1925"/>
      <c r="O31" s="1925"/>
      <c r="P31" s="1358"/>
      <c r="Q31" s="1358"/>
      <c r="R31" s="1925" t="s">
        <v>1221</v>
      </c>
      <c r="S31" s="1925"/>
      <c r="T31" s="1925"/>
      <c r="U31" s="1925"/>
      <c r="V31" s="1925"/>
      <c r="W31" s="1925"/>
      <c r="X31" s="1380"/>
      <c r="Y31" s="1358"/>
      <c r="Z31" s="1358"/>
      <c r="AA31" s="1358"/>
      <c r="AB31" s="1358"/>
      <c r="AC31" s="1358"/>
      <c r="AD31" s="1358"/>
      <c r="AE31" s="1358"/>
      <c r="AF31" s="1358"/>
      <c r="AG31" s="1358"/>
      <c r="AH31" s="1358"/>
      <c r="AI31" s="1358"/>
      <c r="AJ31" s="1358"/>
    </row>
    <row r="32" spans="1:36" s="825" customFormat="1" ht="15.6" customHeight="1">
      <c r="A32" s="1379"/>
      <c r="B32" s="1925" t="s">
        <v>1213</v>
      </c>
      <c r="C32" s="1925"/>
      <c r="D32" s="2977"/>
      <c r="E32" s="2978"/>
      <c r="F32" s="2978"/>
      <c r="G32" s="2979"/>
      <c r="H32" s="1927" t="s">
        <v>92</v>
      </c>
      <c r="I32" s="1927"/>
      <c r="J32" s="1925" t="s">
        <v>1218</v>
      </c>
      <c r="K32" s="1925"/>
      <c r="L32" s="2977"/>
      <c r="M32" s="2978"/>
      <c r="N32" s="2978"/>
      <c r="O32" s="2979"/>
      <c r="P32" s="1927" t="s">
        <v>92</v>
      </c>
      <c r="Q32" s="1358"/>
      <c r="R32" s="1925"/>
      <c r="S32" s="1925"/>
      <c r="T32" s="2977"/>
      <c r="U32" s="2978"/>
      <c r="V32" s="2978"/>
      <c r="W32" s="2979"/>
      <c r="X32" s="810" t="s">
        <v>92</v>
      </c>
      <c r="Y32" s="1358"/>
      <c r="Z32" s="1358"/>
      <c r="AA32" s="1358"/>
      <c r="AB32" s="1358"/>
      <c r="AC32" s="1358"/>
      <c r="AD32" s="1358"/>
      <c r="AE32" s="1358"/>
      <c r="AF32" s="1358"/>
      <c r="AG32" s="1358"/>
      <c r="AH32" s="1358"/>
      <c r="AI32" s="1358"/>
      <c r="AJ32" s="1358"/>
    </row>
    <row r="33" spans="1:36" ht="15.6" customHeight="1">
      <c r="A33" s="852"/>
      <c r="B33" s="1925" t="s">
        <v>1214</v>
      </c>
      <c r="C33" s="1925"/>
      <c r="D33" s="2977"/>
      <c r="E33" s="2978"/>
      <c r="F33" s="2978"/>
      <c r="G33" s="2979"/>
      <c r="H33" s="1925" t="s">
        <v>92</v>
      </c>
      <c r="I33" s="1925"/>
      <c r="J33" s="1925" t="s">
        <v>1219</v>
      </c>
      <c r="K33" s="1925"/>
      <c r="L33" s="2977"/>
      <c r="M33" s="2978"/>
      <c r="N33" s="2978"/>
      <c r="O33" s="2979"/>
      <c r="P33" s="1925" t="s">
        <v>92</v>
      </c>
      <c r="Q33" s="1925"/>
      <c r="R33" s="1925"/>
      <c r="S33" s="1925"/>
      <c r="T33" s="1925"/>
      <c r="U33" s="1925"/>
      <c r="V33" s="1925"/>
      <c r="W33" s="1925"/>
      <c r="X33" s="810"/>
    </row>
    <row r="34" spans="1:36" ht="15.6" customHeight="1">
      <c r="A34" s="852"/>
      <c r="B34" s="1925" t="s">
        <v>1215</v>
      </c>
      <c r="C34" s="1925"/>
      <c r="D34" s="2977"/>
      <c r="E34" s="2978"/>
      <c r="F34" s="2978"/>
      <c r="G34" s="2979"/>
      <c r="H34" s="1925" t="s">
        <v>92</v>
      </c>
      <c r="I34" s="1925"/>
      <c r="J34" s="1925" t="s">
        <v>1220</v>
      </c>
      <c r="K34" s="1925"/>
      <c r="L34" s="2977"/>
      <c r="M34" s="2978"/>
      <c r="N34" s="2978"/>
      <c r="O34" s="2979"/>
      <c r="P34" s="1925" t="s">
        <v>92</v>
      </c>
      <c r="Q34" s="1925"/>
      <c r="R34" s="1925"/>
      <c r="S34" s="1925"/>
      <c r="T34" s="1925"/>
      <c r="U34" s="1925"/>
      <c r="V34" s="1925"/>
      <c r="W34" s="1925"/>
      <c r="X34" s="810"/>
    </row>
    <row r="35" spans="1:36" ht="15.6" customHeight="1">
      <c r="A35" s="1381"/>
      <c r="B35" s="1925" t="s">
        <v>1216</v>
      </c>
      <c r="C35" s="1925"/>
      <c r="D35" s="2977"/>
      <c r="E35" s="2978"/>
      <c r="F35" s="2978"/>
      <c r="G35" s="2979"/>
      <c r="H35" s="1925" t="s">
        <v>92</v>
      </c>
      <c r="I35" s="1361"/>
      <c r="J35" s="1925"/>
      <c r="K35" s="1925"/>
      <c r="L35" s="1925"/>
      <c r="M35" s="1925"/>
      <c r="N35" s="1925"/>
      <c r="O35" s="1925"/>
      <c r="P35" s="1925"/>
      <c r="Q35" s="1361"/>
      <c r="R35" s="1361"/>
      <c r="S35" s="1361"/>
      <c r="T35" s="1361"/>
      <c r="U35" s="1361"/>
      <c r="V35" s="1361"/>
      <c r="W35" s="1361"/>
      <c r="X35" s="1382"/>
      <c r="Y35" s="846"/>
      <c r="Z35" s="846"/>
      <c r="AA35" s="846"/>
      <c r="AB35" s="846"/>
      <c r="AC35" s="846"/>
      <c r="AD35" s="846"/>
      <c r="AE35" s="846"/>
      <c r="AF35" s="846"/>
    </row>
    <row r="36" spans="1:36">
      <c r="A36" s="852"/>
      <c r="B36" s="1925"/>
      <c r="C36" s="1925"/>
      <c r="D36" s="1925"/>
      <c r="E36" s="1925"/>
      <c r="F36" s="1925"/>
      <c r="G36" s="1925"/>
      <c r="H36" s="1925"/>
      <c r="I36" s="1925"/>
      <c r="J36" s="1925"/>
      <c r="K36" s="1925"/>
      <c r="L36" s="1925"/>
      <c r="M36" s="1925"/>
      <c r="N36" s="1925"/>
      <c r="O36" s="1925"/>
      <c r="P36" s="1925"/>
      <c r="Q36" s="1925"/>
      <c r="R36" s="1925"/>
      <c r="S36" s="1925"/>
      <c r="T36" s="1925"/>
      <c r="U36" s="1925"/>
      <c r="V36" s="1925"/>
      <c r="W36" s="1925"/>
      <c r="X36" s="810"/>
    </row>
    <row r="37" spans="1:36" s="1926" customFormat="1" ht="15" thickBot="1">
      <c r="A37" s="1374"/>
      <c r="B37" s="1375"/>
      <c r="C37" s="1375"/>
      <c r="D37" s="1375"/>
      <c r="E37" s="1375"/>
      <c r="F37" s="1375"/>
      <c r="G37" s="1375"/>
      <c r="H37" s="1375"/>
      <c r="I37" s="1375"/>
      <c r="J37" s="1375"/>
      <c r="K37" s="1375"/>
      <c r="L37" s="1375"/>
      <c r="M37" s="1375"/>
      <c r="N37" s="1375"/>
      <c r="O37" s="1375"/>
      <c r="P37" s="1375"/>
      <c r="Q37" s="1375"/>
      <c r="R37" s="1375"/>
      <c r="S37" s="1375"/>
      <c r="T37" s="1375"/>
      <c r="U37" s="1375"/>
      <c r="V37" s="1375"/>
      <c r="W37" s="1375"/>
      <c r="X37" s="1376"/>
      <c r="Y37" s="1927"/>
      <c r="Z37" s="1927"/>
      <c r="AA37" s="1927"/>
      <c r="AB37" s="1927"/>
      <c r="AC37" s="1927"/>
      <c r="AD37" s="1927"/>
      <c r="AE37" s="1927"/>
      <c r="AF37" s="1927"/>
      <c r="AG37" s="1927"/>
      <c r="AH37" s="1927"/>
      <c r="AI37" s="1927"/>
      <c r="AJ37" s="1927"/>
    </row>
    <row r="38" spans="1:36" s="1926" customFormat="1" ht="28.35" customHeight="1" thickBot="1">
      <c r="A38" s="2992" t="s">
        <v>29</v>
      </c>
      <c r="B38" s="2993"/>
      <c r="C38" s="2993"/>
      <c r="D38" s="2993"/>
      <c r="E38" s="2993"/>
      <c r="F38" s="2993"/>
      <c r="G38" s="2993"/>
      <c r="H38" s="3204" t="str">
        <f>IF(ISBLANK(Summary!G3)," ",Summary!G3)</f>
        <v/>
      </c>
      <c r="I38" s="3204"/>
      <c r="J38" s="3204"/>
      <c r="K38" s="3204"/>
      <c r="L38" s="3204"/>
      <c r="M38" s="3204"/>
      <c r="N38" s="3204"/>
      <c r="O38" s="3204"/>
      <c r="P38" s="3204"/>
      <c r="Q38" s="3204"/>
      <c r="R38" s="3204"/>
      <c r="S38" s="3204"/>
      <c r="T38" s="3204"/>
      <c r="U38" s="3204"/>
      <c r="V38" s="3204"/>
      <c r="W38" s="3204"/>
      <c r="X38" s="3205"/>
      <c r="Y38" s="1366"/>
      <c r="Z38" s="1366"/>
      <c r="AA38" s="1366"/>
      <c r="AB38" s="1366"/>
      <c r="AC38" s="1366"/>
      <c r="AD38" s="1366"/>
      <c r="AE38" s="1366"/>
      <c r="AF38" s="1366"/>
      <c r="AG38" s="1366"/>
      <c r="AH38" s="1366"/>
      <c r="AI38" s="1366"/>
      <c r="AJ38" s="1366"/>
    </row>
    <row r="39" spans="1:36" ht="15" thickBot="1">
      <c r="A39" s="1383" t="s">
        <v>1181</v>
      </c>
      <c r="B39" s="1384"/>
      <c r="C39" s="1384"/>
      <c r="D39" s="1384"/>
      <c r="E39" s="1384"/>
      <c r="F39" s="1384"/>
      <c r="G39" s="1384"/>
      <c r="H39" s="1384"/>
      <c r="I39" s="1384"/>
      <c r="J39" s="1384"/>
      <c r="K39" s="1384"/>
      <c r="L39" s="1384"/>
      <c r="M39" s="1384"/>
      <c r="N39" s="1384"/>
      <c r="O39" s="1384"/>
      <c r="P39" s="1384"/>
      <c r="Q39" s="1384"/>
      <c r="R39" s="1384"/>
      <c r="S39" s="1384"/>
      <c r="T39" s="1384"/>
      <c r="U39" s="1384"/>
      <c r="V39" s="1384"/>
      <c r="W39" s="1384"/>
      <c r="X39" s="1385"/>
      <c r="Y39" s="846"/>
      <c r="Z39" s="846"/>
      <c r="AA39" s="846"/>
      <c r="AB39" s="846"/>
      <c r="AC39" s="846"/>
      <c r="AD39" s="846"/>
      <c r="AE39" s="846"/>
      <c r="AF39" s="846"/>
    </row>
    <row r="40" spans="1:36" s="827" customFormat="1">
      <c r="A40" s="2406"/>
      <c r="B40" s="1928"/>
      <c r="C40" s="1928"/>
      <c r="D40" s="1928"/>
      <c r="E40" s="1928"/>
      <c r="F40" s="1928"/>
      <c r="G40" s="1928"/>
      <c r="H40" s="1928"/>
      <c r="I40" s="1928"/>
      <c r="J40" s="1928"/>
      <c r="K40" s="1928"/>
      <c r="L40" s="1928"/>
      <c r="M40" s="1928"/>
      <c r="N40" s="1928"/>
      <c r="O40" s="1928"/>
      <c r="P40" s="1928"/>
      <c r="Q40" s="1928"/>
      <c r="R40" s="1928"/>
      <c r="S40" s="1928"/>
      <c r="T40" s="1928"/>
      <c r="U40" s="1928"/>
      <c r="V40" s="1928"/>
      <c r="W40" s="1928"/>
      <c r="X40" s="2094"/>
      <c r="Y40" s="1928"/>
      <c r="Z40" s="1928"/>
      <c r="AA40" s="1928"/>
      <c r="AB40" s="1928"/>
      <c r="AC40" s="1928"/>
      <c r="AD40" s="1928"/>
      <c r="AE40" s="1928"/>
      <c r="AF40" s="1928"/>
      <c r="AG40" s="1927"/>
      <c r="AH40" s="1927"/>
      <c r="AI40" s="1927"/>
      <c r="AJ40" s="1927"/>
    </row>
    <row r="41" spans="1:36" s="827" customFormat="1">
      <c r="A41" s="2406"/>
      <c r="B41" s="1928"/>
      <c r="C41" s="1928"/>
      <c r="D41" s="1928"/>
      <c r="E41" s="1928"/>
      <c r="F41" s="1928"/>
      <c r="G41" s="1928"/>
      <c r="H41" s="1928"/>
      <c r="I41" s="1928"/>
      <c r="J41" s="1928"/>
      <c r="K41" s="1928"/>
      <c r="L41" s="1928"/>
      <c r="M41" s="1928"/>
      <c r="N41" s="1928"/>
      <c r="O41" s="1928"/>
      <c r="P41" s="1928"/>
      <c r="Q41" s="1928"/>
      <c r="R41" s="1928"/>
      <c r="S41" s="1928"/>
      <c r="T41" s="1928"/>
      <c r="U41" s="1928"/>
      <c r="V41" s="1928"/>
      <c r="W41" s="1928"/>
      <c r="X41" s="2094"/>
      <c r="Y41" s="1928"/>
      <c r="Z41" s="1928"/>
      <c r="AA41" s="1928"/>
      <c r="AB41" s="1928"/>
      <c r="AC41" s="1928"/>
      <c r="AD41" s="1928"/>
      <c r="AE41" s="1928"/>
      <c r="AF41" s="1928"/>
      <c r="AG41" s="1927"/>
      <c r="AH41" s="1927"/>
      <c r="AI41" s="1927"/>
      <c r="AJ41" s="1927"/>
    </row>
    <row r="42" spans="1:36">
      <c r="A42" s="1381" t="s">
        <v>1183</v>
      </c>
      <c r="B42" s="1925"/>
      <c r="C42" s="1925"/>
      <c r="D42" s="1925"/>
      <c r="E42" s="1925"/>
      <c r="F42" s="1925"/>
      <c r="G42" s="1925"/>
      <c r="H42" s="1361" t="s">
        <v>1184</v>
      </c>
      <c r="I42" s="1925"/>
      <c r="J42" s="1925"/>
      <c r="K42" s="1925"/>
      <c r="L42" s="1925"/>
      <c r="M42" s="1925"/>
      <c r="N42" s="1925"/>
      <c r="O42" s="1361" t="s">
        <v>1185</v>
      </c>
      <c r="P42" s="1925"/>
      <c r="Q42" s="1925"/>
      <c r="R42" s="1925"/>
      <c r="S42" s="1925"/>
      <c r="T42" s="1925"/>
      <c r="U42" s="1925"/>
      <c r="V42" s="1925"/>
      <c r="W42" s="1925"/>
      <c r="X42" s="810"/>
    </row>
    <row r="43" spans="1:36" ht="15" customHeight="1">
      <c r="A43" s="1379"/>
      <c r="B43" s="1927"/>
      <c r="C43" s="1927"/>
      <c r="D43" s="1927"/>
      <c r="E43" s="1927"/>
      <c r="F43" s="1927"/>
      <c r="G43" s="1927"/>
      <c r="H43" s="1925"/>
      <c r="I43" s="1361"/>
      <c r="J43" s="1361"/>
      <c r="K43" s="1361"/>
      <c r="L43" s="1925"/>
      <c r="M43" s="1925"/>
      <c r="N43" s="1925"/>
      <c r="O43" s="1925"/>
      <c r="P43" s="1925"/>
      <c r="Q43" s="1925"/>
      <c r="R43" s="1925"/>
      <c r="S43" s="1925"/>
      <c r="T43" s="1925"/>
      <c r="U43" s="1925"/>
      <c r="V43" s="1925"/>
      <c r="W43" s="1925"/>
      <c r="X43" s="810"/>
    </row>
    <row r="44" spans="1:36" ht="15" customHeight="1">
      <c r="A44" s="1379"/>
      <c r="B44" s="1927"/>
      <c r="C44" s="1927"/>
      <c r="D44" s="1927"/>
      <c r="E44" s="1927"/>
      <c r="F44" s="1927"/>
      <c r="G44" s="1927"/>
      <c r="H44" s="1927"/>
      <c r="I44" s="1927"/>
      <c r="J44" s="1927"/>
      <c r="K44" s="1927"/>
      <c r="L44" s="1927"/>
      <c r="M44" s="1927"/>
      <c r="N44" s="1927"/>
      <c r="O44" s="1927"/>
      <c r="P44" s="1927"/>
      <c r="Q44" s="1927"/>
      <c r="R44" s="1927"/>
      <c r="S44" s="1927"/>
      <c r="T44" s="1925"/>
      <c r="U44" s="1925"/>
      <c r="V44" s="1925"/>
      <c r="W44" s="1925"/>
      <c r="X44" s="810"/>
    </row>
    <row r="45" spans="1:36" ht="15" customHeight="1">
      <c r="A45" s="1379"/>
      <c r="B45" s="1927"/>
      <c r="C45" s="1927"/>
      <c r="D45" s="1927"/>
      <c r="E45" s="1927"/>
      <c r="F45" s="1927"/>
      <c r="G45" s="1927"/>
      <c r="H45" s="1927"/>
      <c r="I45" s="1927"/>
      <c r="J45" s="1927"/>
      <c r="K45" s="1927"/>
      <c r="L45" s="1927"/>
      <c r="M45" s="1927"/>
      <c r="N45" s="1927"/>
      <c r="O45" s="1927"/>
      <c r="P45" s="1927"/>
      <c r="Q45" s="1927"/>
      <c r="R45" s="1927"/>
      <c r="S45" s="1927"/>
      <c r="T45" s="1925"/>
      <c r="U45" s="1925"/>
      <c r="V45" s="1925"/>
      <c r="W45" s="1925"/>
      <c r="X45" s="810"/>
    </row>
    <row r="46" spans="1:36" ht="15" customHeight="1">
      <c r="A46" s="1379"/>
      <c r="B46" s="1927"/>
      <c r="C46" s="1927"/>
      <c r="D46" s="1927"/>
      <c r="E46" s="1927"/>
      <c r="F46" s="1927"/>
      <c r="G46" s="1927"/>
      <c r="H46" s="1927"/>
      <c r="I46" s="1927"/>
      <c r="J46" s="1927"/>
      <c r="K46" s="1927"/>
      <c r="L46" s="1927"/>
      <c r="M46" s="1927"/>
      <c r="N46" s="1927"/>
      <c r="O46" s="1927"/>
      <c r="P46" s="1927"/>
      <c r="Q46" s="1927"/>
      <c r="R46" s="1927"/>
      <c r="S46" s="1927"/>
      <c r="T46" s="1925"/>
      <c r="U46" s="1925"/>
      <c r="V46" s="1925"/>
      <c r="W46" s="1925"/>
      <c r="X46" s="810"/>
    </row>
    <row r="47" spans="1:36" ht="15" customHeight="1">
      <c r="A47" s="1379"/>
      <c r="B47" s="1927"/>
      <c r="C47" s="1927"/>
      <c r="D47" s="1927"/>
      <c r="E47" s="1927"/>
      <c r="F47" s="1927"/>
      <c r="G47" s="1927"/>
      <c r="H47" s="1928" t="s">
        <v>1186</v>
      </c>
      <c r="I47" s="1927"/>
      <c r="J47" s="1927"/>
      <c r="K47" s="1927"/>
      <c r="L47" s="1927"/>
      <c r="M47" s="1927"/>
      <c r="N47" s="1927"/>
      <c r="O47" s="1927"/>
      <c r="P47" s="1927"/>
      <c r="Q47" s="1927"/>
      <c r="R47" s="1927"/>
      <c r="S47" s="1927"/>
      <c r="T47" s="1925"/>
      <c r="U47" s="1925"/>
      <c r="V47" s="1925"/>
      <c r="W47" s="1925"/>
      <c r="X47" s="810"/>
    </row>
    <row r="48" spans="1:36" ht="15" customHeight="1">
      <c r="A48" s="1379"/>
      <c r="B48" s="1927"/>
      <c r="C48" s="1927"/>
      <c r="D48" s="1927"/>
      <c r="E48" s="1927"/>
      <c r="F48" s="1927"/>
      <c r="G48" s="1927"/>
      <c r="H48" s="1925"/>
      <c r="I48" s="1925"/>
      <c r="J48" s="1927"/>
      <c r="K48" s="1927"/>
      <c r="L48" s="1927"/>
      <c r="M48" s="1927"/>
      <c r="N48" s="1927"/>
      <c r="O48" s="1927"/>
      <c r="P48" s="1927"/>
      <c r="Q48" s="1927"/>
      <c r="R48" s="1927"/>
      <c r="S48" s="1927"/>
      <c r="T48" s="1925"/>
      <c r="U48" s="1925"/>
      <c r="V48" s="1925"/>
      <c r="W48" s="1925"/>
      <c r="X48" s="810"/>
    </row>
    <row r="49" spans="1:36" ht="15" customHeight="1">
      <c r="A49" s="1379"/>
      <c r="B49" s="1927"/>
      <c r="C49" s="1927"/>
      <c r="D49" s="1927"/>
      <c r="E49" s="1927"/>
      <c r="F49" s="1927"/>
      <c r="G49" s="1927"/>
      <c r="H49" s="1927"/>
      <c r="I49" s="1927"/>
      <c r="J49" s="1927"/>
      <c r="K49" s="1927"/>
      <c r="L49" s="1927"/>
      <c r="M49" s="1927"/>
      <c r="N49" s="1927"/>
      <c r="O49" s="1927"/>
      <c r="P49" s="1927"/>
      <c r="Q49" s="1927"/>
      <c r="R49" s="1927"/>
      <c r="S49" s="1927"/>
      <c r="T49" s="1925"/>
      <c r="U49" s="1925"/>
      <c r="V49" s="1925"/>
      <c r="W49" s="1925"/>
      <c r="X49" s="810"/>
    </row>
    <row r="50" spans="1:36" ht="15" customHeight="1">
      <c r="A50" s="1379"/>
      <c r="B50" s="1927"/>
      <c r="C50" s="1927"/>
      <c r="D50" s="1927"/>
      <c r="E50" s="1927"/>
      <c r="F50" s="1927"/>
      <c r="G50" s="1927"/>
      <c r="H50" s="1927"/>
      <c r="I50" s="1927"/>
      <c r="J50" s="1927"/>
      <c r="K50" s="1927"/>
      <c r="L50" s="1927"/>
      <c r="M50" s="1927"/>
      <c r="N50" s="1927"/>
      <c r="O50" s="1927"/>
      <c r="P50" s="1927"/>
      <c r="Q50" s="1927"/>
      <c r="R50" s="1927"/>
      <c r="S50" s="1927"/>
      <c r="T50" s="1925"/>
      <c r="U50" s="1925"/>
      <c r="V50" s="1925"/>
      <c r="W50" s="1925"/>
      <c r="X50" s="810"/>
    </row>
    <row r="51" spans="1:36" ht="15" customHeight="1">
      <c r="A51" s="852"/>
      <c r="B51" s="1925"/>
      <c r="C51" s="1925"/>
      <c r="D51" s="1925"/>
      <c r="E51" s="1925"/>
      <c r="F51" s="1925"/>
      <c r="G51" s="1925"/>
      <c r="H51" s="1927"/>
      <c r="I51" s="1927"/>
      <c r="J51" s="1927"/>
      <c r="K51" s="1927"/>
      <c r="L51" s="1927"/>
      <c r="M51" s="1927"/>
      <c r="N51" s="1927"/>
      <c r="O51" s="1927"/>
      <c r="P51" s="1927"/>
      <c r="Q51" s="1927"/>
      <c r="R51" s="1927"/>
      <c r="S51" s="1927"/>
      <c r="T51" s="1925"/>
      <c r="U51" s="1925"/>
      <c r="V51" s="1925"/>
      <c r="W51" s="1925"/>
      <c r="X51" s="810"/>
    </row>
    <row r="52" spans="1:36" ht="15" customHeight="1">
      <c r="A52" s="852"/>
      <c r="B52" s="1925"/>
      <c r="C52" s="1925"/>
      <c r="D52" s="1925"/>
      <c r="E52" s="1925"/>
      <c r="F52" s="1925"/>
      <c r="G52" s="1925"/>
      <c r="H52" s="1927"/>
      <c r="I52" s="1927"/>
      <c r="J52" s="1927"/>
      <c r="K52" s="1927"/>
      <c r="L52" s="1927"/>
      <c r="M52" s="1927"/>
      <c r="N52" s="1927"/>
      <c r="O52" s="1927"/>
      <c r="P52" s="1927"/>
      <c r="Q52" s="1927"/>
      <c r="R52" s="1927"/>
      <c r="S52" s="1927"/>
      <c r="T52" s="1925"/>
      <c r="U52" s="1925"/>
      <c r="V52" s="1925"/>
      <c r="W52" s="1925"/>
      <c r="X52" s="810"/>
    </row>
    <row r="53" spans="1:36">
      <c r="A53" s="852"/>
      <c r="B53" s="1925"/>
      <c r="C53" s="1925"/>
      <c r="D53" s="1925"/>
      <c r="E53" s="1925"/>
      <c r="F53" s="1925"/>
      <c r="G53" s="1925"/>
      <c r="H53" s="1925"/>
      <c r="I53" s="1925"/>
      <c r="J53" s="1925"/>
      <c r="K53" s="1925"/>
      <c r="L53" s="1925"/>
      <c r="M53" s="1925"/>
      <c r="N53" s="1925"/>
      <c r="O53" s="1925"/>
      <c r="P53" s="1925"/>
      <c r="Q53" s="1925"/>
      <c r="R53" s="1925"/>
      <c r="S53" s="1925"/>
      <c r="T53" s="1925"/>
      <c r="U53" s="1925"/>
      <c r="V53" s="1925"/>
      <c r="W53" s="1925"/>
      <c r="X53" s="810"/>
    </row>
    <row r="54" spans="1:36" s="827" customFormat="1" ht="6.6" customHeight="1">
      <c r="A54" s="1379"/>
      <c r="B54" s="1927"/>
      <c r="C54" s="1927"/>
      <c r="D54" s="1927"/>
      <c r="E54" s="1927"/>
      <c r="F54" s="1927"/>
      <c r="G54" s="1927"/>
      <c r="H54" s="1927"/>
      <c r="I54" s="1927"/>
      <c r="J54" s="1927"/>
      <c r="K54" s="1927"/>
      <c r="L54" s="1927"/>
      <c r="M54" s="1927"/>
      <c r="N54" s="1927"/>
      <c r="O54" s="1927"/>
      <c r="P54" s="1927"/>
      <c r="Q54" s="1927"/>
      <c r="R54" s="1927"/>
      <c r="S54" s="1927"/>
      <c r="T54" s="1927"/>
      <c r="U54" s="1927"/>
      <c r="V54" s="1927"/>
      <c r="W54" s="1927"/>
      <c r="X54" s="2095"/>
      <c r="Y54" s="825"/>
      <c r="Z54" s="825"/>
      <c r="AA54" s="825"/>
      <c r="AB54" s="825"/>
      <c r="AC54" s="825"/>
      <c r="AD54" s="825"/>
      <c r="AE54" s="825"/>
      <c r="AF54" s="825"/>
      <c r="AG54" s="977"/>
      <c r="AH54" s="977"/>
      <c r="AI54" s="977"/>
      <c r="AJ54" s="977"/>
    </row>
    <row r="55" spans="1:36" ht="15" thickBot="1">
      <c r="A55" s="852"/>
      <c r="B55" s="1925"/>
      <c r="C55" s="1925"/>
      <c r="D55" s="1925"/>
      <c r="E55" s="1925"/>
      <c r="F55" s="1925"/>
      <c r="G55" s="1925"/>
      <c r="H55" s="1925"/>
      <c r="I55" s="1925"/>
      <c r="J55" s="1925"/>
      <c r="K55" s="1925"/>
      <c r="L55" s="1925"/>
      <c r="M55" s="1925"/>
      <c r="N55" s="1925"/>
      <c r="O55" s="1925"/>
      <c r="P55" s="1925"/>
      <c r="Q55" s="1925"/>
      <c r="R55" s="1925"/>
      <c r="S55" s="1925"/>
      <c r="T55" s="1925"/>
      <c r="U55" s="1925"/>
      <c r="V55" s="1925"/>
      <c r="W55" s="1925"/>
      <c r="X55" s="810"/>
    </row>
    <row r="56" spans="1:36" ht="67.5" customHeight="1" thickBot="1">
      <c r="A56" s="3200" t="s">
        <v>31</v>
      </c>
      <c r="B56" s="3201"/>
      <c r="C56" s="3201"/>
      <c r="D56" s="3201"/>
      <c r="E56" s="3201"/>
      <c r="F56" s="3201"/>
      <c r="G56" s="3201"/>
      <c r="H56" s="3201"/>
      <c r="I56" s="3201"/>
      <c r="J56" s="3201"/>
      <c r="K56" s="3201"/>
      <c r="L56" s="3201"/>
      <c r="M56" s="3201"/>
      <c r="N56" s="3201"/>
      <c r="O56" s="3201"/>
      <c r="P56" s="3201"/>
      <c r="Q56" s="3201"/>
      <c r="R56" s="3201"/>
      <c r="S56" s="3201"/>
      <c r="T56" s="3201"/>
      <c r="U56" s="3201"/>
      <c r="V56" s="3201"/>
      <c r="W56" s="3201"/>
      <c r="X56" s="3202"/>
    </row>
    <row r="57" spans="1:36">
      <c r="A57" s="852"/>
      <c r="B57" s="1925"/>
      <c r="C57" s="1925"/>
      <c r="D57" s="1925"/>
      <c r="E57" s="1925"/>
      <c r="F57" s="1925"/>
      <c r="G57" s="1925"/>
      <c r="H57" s="1925"/>
      <c r="I57" s="1925"/>
      <c r="J57" s="1925"/>
      <c r="K57" s="1925"/>
      <c r="L57" s="1925"/>
      <c r="M57" s="1925"/>
      <c r="N57" s="1925"/>
      <c r="O57" s="1925"/>
      <c r="P57" s="1925"/>
      <c r="Q57" s="1925"/>
      <c r="R57" s="1925"/>
      <c r="S57" s="1925"/>
      <c r="T57" s="1925"/>
      <c r="U57" s="1925"/>
      <c r="V57" s="1925"/>
      <c r="W57" s="1925"/>
      <c r="X57" s="810"/>
    </row>
    <row r="58" spans="1:36">
      <c r="A58" s="852"/>
      <c r="B58" s="1925"/>
      <c r="C58" s="1925"/>
      <c r="D58" s="1925"/>
      <c r="E58" s="1925"/>
      <c r="F58" s="1925"/>
      <c r="G58" s="1925"/>
      <c r="H58" s="1925"/>
      <c r="I58" s="1925"/>
      <c r="J58" s="1925"/>
      <c r="K58" s="1925"/>
      <c r="L58" s="1925"/>
      <c r="M58" s="1925"/>
      <c r="N58" s="1925"/>
      <c r="O58" s="1925"/>
      <c r="P58" s="1925"/>
      <c r="Q58" s="1925"/>
      <c r="R58" s="1925"/>
      <c r="S58" s="1925"/>
      <c r="T58" s="1925"/>
      <c r="U58" s="1925"/>
      <c r="V58" s="1925"/>
      <c r="W58" s="1925"/>
      <c r="X58" s="810"/>
    </row>
    <row r="59" spans="1:36">
      <c r="A59" s="852"/>
      <c r="B59" s="1925"/>
      <c r="C59" s="1925"/>
      <c r="D59" s="1925"/>
      <c r="E59" s="1925"/>
      <c r="F59" s="1925"/>
      <c r="G59" s="1925"/>
      <c r="H59" s="1925"/>
      <c r="I59" s="1925"/>
      <c r="J59" s="1925"/>
      <c r="K59" s="1925"/>
      <c r="L59" s="1925"/>
      <c r="M59" s="1925"/>
      <c r="N59" s="1925"/>
      <c r="O59" s="1925"/>
      <c r="P59" s="1925"/>
      <c r="Q59" s="1925"/>
      <c r="R59" s="1925"/>
      <c r="S59" s="1925"/>
      <c r="T59" s="1925"/>
      <c r="U59" s="1925"/>
      <c r="V59" s="1925"/>
      <c r="W59" s="1925"/>
      <c r="X59" s="810"/>
    </row>
    <row r="60" spans="1:36">
      <c r="A60" s="852"/>
      <c r="B60" s="1925"/>
      <c r="C60" s="1925"/>
      <c r="D60" s="1925"/>
      <c r="E60" s="1925"/>
      <c r="F60" s="1925"/>
      <c r="G60" s="1925"/>
      <c r="H60" s="1925"/>
      <c r="I60" s="1925"/>
      <c r="J60" s="1925"/>
      <c r="K60" s="1925"/>
      <c r="L60" s="1925"/>
      <c r="M60" s="1925"/>
      <c r="N60" s="1925"/>
      <c r="O60" s="1925"/>
      <c r="P60" s="1925"/>
      <c r="Q60" s="1925"/>
      <c r="R60" s="1925"/>
      <c r="S60" s="1925"/>
      <c r="T60" s="1925"/>
      <c r="U60" s="1925"/>
      <c r="V60" s="1925"/>
      <c r="W60" s="1925"/>
      <c r="X60" s="810"/>
    </row>
    <row r="61" spans="1:36">
      <c r="A61" s="852"/>
      <c r="B61" s="1925"/>
      <c r="C61" s="1925"/>
      <c r="D61" s="1925"/>
      <c r="E61" s="1925"/>
      <c r="F61" s="1925"/>
      <c r="G61" s="1925"/>
      <c r="H61" s="1925"/>
      <c r="I61" s="1925"/>
      <c r="J61" s="1925"/>
      <c r="K61" s="1925"/>
      <c r="L61" s="1925"/>
      <c r="M61" s="1925"/>
      <c r="N61" s="1925"/>
      <c r="O61" s="1925"/>
      <c r="P61" s="1925"/>
      <c r="Q61" s="1925"/>
      <c r="R61" s="1925"/>
      <c r="S61" s="1925"/>
      <c r="T61" s="1925"/>
      <c r="U61" s="1925"/>
      <c r="V61" s="1925"/>
      <c r="W61" s="1925"/>
      <c r="X61" s="810"/>
    </row>
    <row r="62" spans="1:36">
      <c r="A62" s="852"/>
      <c r="B62" s="1925"/>
      <c r="C62" s="1925"/>
      <c r="D62" s="1925"/>
      <c r="E62" s="1925"/>
      <c r="F62" s="1925"/>
      <c r="G62" s="1925"/>
      <c r="H62" s="1925"/>
      <c r="I62" s="1925"/>
      <c r="J62" s="1925"/>
      <c r="K62" s="1925"/>
      <c r="L62" s="1925"/>
      <c r="M62" s="1925"/>
      <c r="N62" s="1925"/>
      <c r="O62" s="1925"/>
      <c r="P62" s="1925"/>
      <c r="Q62" s="1925"/>
      <c r="R62" s="1925"/>
      <c r="S62" s="1925"/>
      <c r="T62" s="1925"/>
      <c r="U62" s="1925"/>
      <c r="V62" s="1925"/>
      <c r="W62" s="1925"/>
      <c r="X62" s="810"/>
    </row>
    <row r="63" spans="1:36">
      <c r="A63" s="852"/>
      <c r="B63" s="1925"/>
      <c r="C63" s="1925"/>
      <c r="D63" s="1925"/>
      <c r="E63" s="1925"/>
      <c r="F63" s="1925"/>
      <c r="G63" s="1925"/>
      <c r="H63" s="1925"/>
      <c r="I63" s="1925"/>
      <c r="J63" s="1925"/>
      <c r="K63" s="1925"/>
      <c r="L63" s="1925"/>
      <c r="M63" s="1925"/>
      <c r="N63" s="1925"/>
      <c r="O63" s="1925"/>
      <c r="P63" s="1925"/>
      <c r="Q63" s="1925"/>
      <c r="R63" s="1925"/>
      <c r="S63" s="1925"/>
      <c r="T63" s="1925"/>
      <c r="U63" s="1925"/>
      <c r="V63" s="1925"/>
      <c r="W63" s="1925"/>
      <c r="X63" s="810"/>
    </row>
    <row r="64" spans="1:36">
      <c r="A64" s="852"/>
      <c r="B64" s="1925"/>
      <c r="C64" s="1925"/>
      <c r="D64" s="1925"/>
      <c r="E64" s="1925"/>
      <c r="F64" s="1925"/>
      <c r="G64" s="1925"/>
      <c r="H64" s="1925"/>
      <c r="I64" s="1925"/>
      <c r="J64" s="1925"/>
      <c r="K64" s="1925"/>
      <c r="L64" s="1925"/>
      <c r="M64" s="1925"/>
      <c r="N64" s="1925"/>
      <c r="O64" s="1925"/>
      <c r="P64" s="1925"/>
      <c r="Q64" s="1925"/>
      <c r="R64" s="1925"/>
      <c r="S64" s="1925"/>
      <c r="T64" s="1925"/>
      <c r="U64" s="1925"/>
      <c r="V64" s="1925"/>
      <c r="W64" s="1925"/>
      <c r="X64" s="810"/>
    </row>
    <row r="65" spans="1:24">
      <c r="A65" s="852"/>
      <c r="B65" s="1925"/>
      <c r="C65" s="1925"/>
      <c r="D65" s="1925"/>
      <c r="E65" s="1925"/>
      <c r="F65" s="1925"/>
      <c r="G65" s="1925"/>
      <c r="H65" s="1925"/>
      <c r="I65" s="1925"/>
      <c r="J65" s="1925"/>
      <c r="K65" s="1925"/>
      <c r="L65" s="1925"/>
      <c r="M65" s="1925"/>
      <c r="N65" s="1925"/>
      <c r="O65" s="1925"/>
      <c r="P65" s="1925"/>
      <c r="Q65" s="1925"/>
      <c r="R65" s="1925"/>
      <c r="S65" s="1925"/>
      <c r="T65" s="1925"/>
      <c r="U65" s="1925"/>
      <c r="V65" s="1925"/>
      <c r="W65" s="1925"/>
      <c r="X65" s="810"/>
    </row>
    <row r="66" spans="1:24">
      <c r="A66" s="852"/>
      <c r="B66" s="1925"/>
      <c r="C66" s="1925"/>
      <c r="D66" s="1925"/>
      <c r="E66" s="1925"/>
      <c r="F66" s="1925"/>
      <c r="G66" s="1925"/>
      <c r="H66" s="1925"/>
      <c r="I66" s="1925"/>
      <c r="J66" s="1925"/>
      <c r="K66" s="1925"/>
      <c r="L66" s="1925"/>
      <c r="M66" s="1925"/>
      <c r="N66" s="1925"/>
      <c r="O66" s="1925"/>
      <c r="P66" s="1925"/>
      <c r="Q66" s="1925"/>
      <c r="R66" s="1925"/>
      <c r="S66" s="1925"/>
      <c r="T66" s="1925"/>
      <c r="U66" s="1925"/>
      <c r="V66" s="1925"/>
      <c r="W66" s="1925"/>
      <c r="X66" s="810"/>
    </row>
    <row r="67" spans="1:24">
      <c r="A67" s="852"/>
      <c r="B67" s="1925"/>
      <c r="C67" s="1925"/>
      <c r="D67" s="1925"/>
      <c r="E67" s="1925"/>
      <c r="F67" s="1925"/>
      <c r="G67" s="1925"/>
      <c r="H67" s="1925"/>
      <c r="I67" s="1925"/>
      <c r="J67" s="1925"/>
      <c r="K67" s="1925"/>
      <c r="L67" s="1925"/>
      <c r="M67" s="1925"/>
      <c r="N67" s="1925"/>
      <c r="O67" s="1925"/>
      <c r="P67" s="1925"/>
      <c r="Q67" s="1925"/>
      <c r="R67" s="1925"/>
      <c r="S67" s="1925"/>
      <c r="T67" s="1925"/>
      <c r="U67" s="1925"/>
      <c r="V67" s="1925"/>
      <c r="W67" s="1925"/>
      <c r="X67" s="810"/>
    </row>
    <row r="68" spans="1:24">
      <c r="A68" s="852"/>
      <c r="B68" s="1925"/>
      <c r="C68" s="1925"/>
      <c r="D68" s="1925"/>
      <c r="E68" s="1925"/>
      <c r="F68" s="1925"/>
      <c r="G68" s="1925"/>
      <c r="H68" s="1925"/>
      <c r="I68" s="1925"/>
      <c r="J68" s="1925"/>
      <c r="K68" s="1925"/>
      <c r="L68" s="1925"/>
      <c r="M68" s="1925"/>
      <c r="N68" s="1925"/>
      <c r="O68" s="1925"/>
      <c r="P68" s="1925"/>
      <c r="Q68" s="1925"/>
      <c r="R68" s="1925"/>
      <c r="S68" s="1925"/>
      <c r="T68" s="1925"/>
      <c r="U68" s="1925"/>
      <c r="V68" s="1925"/>
      <c r="W68" s="1925"/>
      <c r="X68" s="810"/>
    </row>
    <row r="69" spans="1:24">
      <c r="A69" s="852"/>
      <c r="B69" s="1925"/>
      <c r="C69" s="1925"/>
      <c r="D69" s="1925"/>
      <c r="E69" s="1925"/>
      <c r="F69" s="1925"/>
      <c r="G69" s="1925"/>
      <c r="H69" s="1925"/>
      <c r="I69" s="1925"/>
      <c r="J69" s="1925"/>
      <c r="K69" s="1925"/>
      <c r="L69" s="1925"/>
      <c r="M69" s="1925"/>
      <c r="N69" s="1925"/>
      <c r="O69" s="1925"/>
      <c r="P69" s="1925"/>
      <c r="Q69" s="1925"/>
      <c r="R69" s="1925"/>
      <c r="S69" s="1925"/>
      <c r="T69" s="1925"/>
      <c r="U69" s="1925"/>
      <c r="V69" s="1925"/>
      <c r="W69" s="1925"/>
      <c r="X69" s="810"/>
    </row>
    <row r="70" spans="1:24">
      <c r="A70" s="852"/>
      <c r="B70" s="1925"/>
      <c r="C70" s="1925"/>
      <c r="D70" s="1925"/>
      <c r="E70" s="1925"/>
      <c r="F70" s="1925"/>
      <c r="G70" s="1925"/>
      <c r="H70" s="1925"/>
      <c r="I70" s="1925"/>
      <c r="J70" s="1925"/>
      <c r="K70" s="1925"/>
      <c r="L70" s="1925"/>
      <c r="M70" s="1925"/>
      <c r="N70" s="1925"/>
      <c r="O70" s="1925"/>
      <c r="P70" s="1925"/>
      <c r="Q70" s="1925"/>
      <c r="R70" s="1925"/>
      <c r="S70" s="1925"/>
      <c r="T70" s="1925"/>
      <c r="U70" s="1925"/>
      <c r="V70" s="1925"/>
      <c r="W70" s="1925"/>
      <c r="X70" s="810"/>
    </row>
    <row r="71" spans="1:24">
      <c r="A71" s="852"/>
      <c r="B71" s="1925"/>
      <c r="C71" s="1925"/>
      <c r="D71" s="1925"/>
      <c r="E71" s="1925"/>
      <c r="F71" s="1925"/>
      <c r="G71" s="1925"/>
      <c r="H71" s="1925"/>
      <c r="I71" s="1925"/>
      <c r="J71" s="1925"/>
      <c r="K71" s="1925"/>
      <c r="L71" s="1925"/>
      <c r="M71" s="1925"/>
      <c r="N71" s="1925"/>
      <c r="O71" s="1925"/>
      <c r="P71" s="1925"/>
      <c r="Q71" s="1925"/>
      <c r="R71" s="1925"/>
      <c r="S71" s="1925"/>
      <c r="T71" s="1925"/>
      <c r="U71" s="1925"/>
      <c r="V71" s="1925"/>
      <c r="W71" s="1925"/>
      <c r="X71" s="810"/>
    </row>
    <row r="72" spans="1:24">
      <c r="A72" s="852"/>
      <c r="B72" s="1925"/>
      <c r="C72" s="1925"/>
      <c r="D72" s="1925"/>
      <c r="E72" s="1925"/>
      <c r="F72" s="1925"/>
      <c r="G72" s="1925"/>
      <c r="H72" s="1925"/>
      <c r="I72" s="1925"/>
      <c r="J72" s="1925"/>
      <c r="K72" s="1925"/>
      <c r="L72" s="1925"/>
      <c r="M72" s="1925"/>
      <c r="N72" s="1925"/>
      <c r="O72" s="1925"/>
      <c r="P72" s="1925"/>
      <c r="Q72" s="1925"/>
      <c r="R72" s="1925"/>
      <c r="S72" s="1925"/>
      <c r="T72" s="1925"/>
      <c r="U72" s="1925"/>
      <c r="V72" s="1925"/>
      <c r="W72" s="1925"/>
      <c r="X72" s="810"/>
    </row>
    <row r="73" spans="1:24">
      <c r="A73" s="852"/>
      <c r="B73" s="1925"/>
      <c r="C73" s="1925"/>
      <c r="D73" s="1925"/>
      <c r="E73" s="1925"/>
      <c r="F73" s="1925"/>
      <c r="G73" s="1925"/>
      <c r="H73" s="1925"/>
      <c r="I73" s="1925"/>
      <c r="J73" s="1925"/>
      <c r="K73" s="1925"/>
      <c r="L73" s="1925"/>
      <c r="M73" s="1925"/>
      <c r="N73" s="1925"/>
      <c r="O73" s="1925"/>
      <c r="P73" s="1925"/>
      <c r="Q73" s="1925"/>
      <c r="R73" s="1925"/>
      <c r="S73" s="1925"/>
      <c r="T73" s="1925"/>
      <c r="U73" s="1925"/>
      <c r="V73" s="1925"/>
      <c r="W73" s="1925"/>
      <c r="X73" s="810"/>
    </row>
    <row r="74" spans="1:24">
      <c r="A74" s="852"/>
      <c r="B74" s="1925"/>
      <c r="C74" s="1925"/>
      <c r="D74" s="1925"/>
      <c r="E74" s="1925"/>
      <c r="F74" s="1925"/>
      <c r="G74" s="1925"/>
      <c r="H74" s="1925"/>
      <c r="I74" s="1925"/>
      <c r="J74" s="1925"/>
      <c r="K74" s="1925"/>
      <c r="L74" s="1925"/>
      <c r="M74" s="1925"/>
      <c r="N74" s="1925"/>
      <c r="O74" s="1925"/>
      <c r="P74" s="1925"/>
      <c r="Q74" s="1925"/>
      <c r="R74" s="1925"/>
      <c r="S74" s="1925"/>
      <c r="T74" s="1925"/>
      <c r="U74" s="1925"/>
      <c r="V74" s="1925"/>
      <c r="W74" s="1925"/>
      <c r="X74" s="810"/>
    </row>
    <row r="75" spans="1:24">
      <c r="A75" s="852"/>
      <c r="B75" s="1925"/>
      <c r="C75" s="1925"/>
      <c r="D75" s="1925"/>
      <c r="E75" s="1925"/>
      <c r="F75" s="1925"/>
      <c r="G75" s="1925"/>
      <c r="H75" s="1925"/>
      <c r="I75" s="1925"/>
      <c r="J75" s="1925"/>
      <c r="K75" s="1925"/>
      <c r="L75" s="1925"/>
      <c r="M75" s="1925"/>
      <c r="N75" s="1925"/>
      <c r="O75" s="1925"/>
      <c r="P75" s="1925"/>
      <c r="Q75" s="1925"/>
      <c r="R75" s="1925"/>
      <c r="S75" s="1925"/>
      <c r="T75" s="1925"/>
      <c r="U75" s="1925"/>
      <c r="V75" s="1925"/>
      <c r="W75" s="1925"/>
      <c r="X75" s="810"/>
    </row>
    <row r="76" spans="1:24">
      <c r="A76" s="852"/>
      <c r="B76" s="1925"/>
      <c r="C76" s="1925"/>
      <c r="D76" s="1925"/>
      <c r="E76" s="1925"/>
      <c r="F76" s="1925"/>
      <c r="G76" s="1925"/>
      <c r="H76" s="1925"/>
      <c r="I76" s="1925"/>
      <c r="J76" s="1925"/>
      <c r="K76" s="1925"/>
      <c r="L76" s="1925"/>
      <c r="M76" s="1925"/>
      <c r="N76" s="1925"/>
      <c r="O76" s="1925"/>
      <c r="P76" s="1925"/>
      <c r="Q76" s="1925"/>
      <c r="R76" s="1925"/>
      <c r="S76" s="1925"/>
      <c r="T76" s="1925"/>
      <c r="U76" s="1925"/>
      <c r="V76" s="1925"/>
      <c r="W76" s="1925"/>
      <c r="X76" s="810"/>
    </row>
    <row r="77" spans="1:24" ht="15" thickBot="1">
      <c r="A77" s="1374"/>
      <c r="B77" s="1375"/>
      <c r="C77" s="1375"/>
      <c r="D77" s="1375"/>
      <c r="E77" s="1375"/>
      <c r="F77" s="1375"/>
      <c r="G77" s="1375"/>
      <c r="H77" s="1375"/>
      <c r="I77" s="1375"/>
      <c r="J77" s="1375"/>
      <c r="K77" s="1375"/>
      <c r="L77" s="1375"/>
      <c r="M77" s="1375"/>
      <c r="N77" s="1375"/>
      <c r="O77" s="1375"/>
      <c r="P77" s="1375"/>
      <c r="Q77" s="1375"/>
      <c r="R77" s="1375"/>
      <c r="S77" s="1375"/>
      <c r="T77" s="1375"/>
      <c r="U77" s="1375"/>
      <c r="V77" s="1375"/>
      <c r="W77" s="1375"/>
      <c r="X77" s="1376"/>
    </row>
  </sheetData>
  <sheetProtection sheet="1" objects="1" scenarios="1"/>
  <customSheetViews>
    <customSheetView guid="{D1431318-1DB8-4C45-813B-5A8065DFC797}" fitToPage="1">
      <selection activeCell="AB51" sqref="AB51"/>
      <pageMargins left="0.4" right="0.4" top="0.4" bottom="0.4" header="0.5" footer="0.5"/>
      <pageSetup orientation="portrait" blackAndWhite="1" r:id="rId1"/>
      <headerFooter alignWithMargins="0"/>
    </customSheetView>
  </customSheetViews>
  <mergeCells count="20">
    <mergeCell ref="A56:X56"/>
    <mergeCell ref="O2:R2"/>
    <mergeCell ref="L2:N2"/>
    <mergeCell ref="F2:K2"/>
    <mergeCell ref="A4:G4"/>
    <mergeCell ref="H4:X4"/>
    <mergeCell ref="A38:G38"/>
    <mergeCell ref="H38:X38"/>
    <mergeCell ref="T32:W32"/>
    <mergeCell ref="D34:G34"/>
    <mergeCell ref="D35:G35"/>
    <mergeCell ref="L32:O32"/>
    <mergeCell ref="L33:O33"/>
    <mergeCell ref="L34:O34"/>
    <mergeCell ref="D32:G32"/>
    <mergeCell ref="D33:G33"/>
    <mergeCell ref="F1:Q1"/>
    <mergeCell ref="A28:C28"/>
    <mergeCell ref="D28:G28"/>
    <mergeCell ref="T2:X2"/>
  </mergeCells>
  <pageMargins left="0.4" right="0.4" top="0.4" bottom="0.4" header="0.5" footer="0.5"/>
  <pageSetup orientation="portrait" blackAndWhite="1"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2550646" r:id="rId5" name="Check Box 1910">
              <controlPr defaultSize="0" autoFill="0" autoLine="0" autoPict="0">
                <anchor moveWithCells="1" sizeWithCells="1">
                  <from>
                    <xdr:col>0</xdr:col>
                    <xdr:colOff>0</xdr:colOff>
                    <xdr:row>42</xdr:row>
                    <xdr:rowOff>0</xdr:rowOff>
                  </from>
                  <to>
                    <xdr:col>7</xdr:col>
                    <xdr:colOff>0</xdr:colOff>
                    <xdr:row>43</xdr:row>
                    <xdr:rowOff>30480</xdr:rowOff>
                  </to>
                </anchor>
              </controlPr>
            </control>
          </mc:Choice>
        </mc:AlternateContent>
        <mc:AlternateContent xmlns:mc="http://schemas.openxmlformats.org/markup-compatibility/2006">
          <mc:Choice Requires="x14">
            <control shapeId="2550647" r:id="rId6" name="Check Box 1911">
              <controlPr defaultSize="0" autoFill="0" autoLine="0" autoPict="0">
                <anchor moveWithCells="1" sizeWithCells="1">
                  <from>
                    <xdr:col>0</xdr:col>
                    <xdr:colOff>0</xdr:colOff>
                    <xdr:row>43</xdr:row>
                    <xdr:rowOff>68580</xdr:rowOff>
                  </from>
                  <to>
                    <xdr:col>7</xdr:col>
                    <xdr:colOff>0</xdr:colOff>
                    <xdr:row>44</xdr:row>
                    <xdr:rowOff>83820</xdr:rowOff>
                  </to>
                </anchor>
              </controlPr>
            </control>
          </mc:Choice>
        </mc:AlternateContent>
        <mc:AlternateContent xmlns:mc="http://schemas.openxmlformats.org/markup-compatibility/2006">
          <mc:Choice Requires="x14">
            <control shapeId="2550648" r:id="rId7" name="Check Box 1912">
              <controlPr defaultSize="0" autoFill="0" autoLine="0" autoPict="0">
                <anchor moveWithCells="1" sizeWithCells="1">
                  <from>
                    <xdr:col>0</xdr:col>
                    <xdr:colOff>0</xdr:colOff>
                    <xdr:row>44</xdr:row>
                    <xdr:rowOff>114300</xdr:rowOff>
                  </from>
                  <to>
                    <xdr:col>7</xdr:col>
                    <xdr:colOff>0</xdr:colOff>
                    <xdr:row>45</xdr:row>
                    <xdr:rowOff>144780</xdr:rowOff>
                  </to>
                </anchor>
              </controlPr>
            </control>
          </mc:Choice>
        </mc:AlternateContent>
        <mc:AlternateContent xmlns:mc="http://schemas.openxmlformats.org/markup-compatibility/2006">
          <mc:Choice Requires="x14">
            <control shapeId="2550649" r:id="rId8" name="Check Box 1913">
              <controlPr defaultSize="0" autoFill="0" autoLine="0" autoPict="0">
                <anchor moveWithCells="1" sizeWithCells="1">
                  <from>
                    <xdr:col>0</xdr:col>
                    <xdr:colOff>0</xdr:colOff>
                    <xdr:row>45</xdr:row>
                    <xdr:rowOff>182880</xdr:rowOff>
                  </from>
                  <to>
                    <xdr:col>7</xdr:col>
                    <xdr:colOff>0</xdr:colOff>
                    <xdr:row>47</xdr:row>
                    <xdr:rowOff>7620</xdr:rowOff>
                  </to>
                </anchor>
              </controlPr>
            </control>
          </mc:Choice>
        </mc:AlternateContent>
        <mc:AlternateContent xmlns:mc="http://schemas.openxmlformats.org/markup-compatibility/2006">
          <mc:Choice Requires="x14">
            <control shapeId="2550650" r:id="rId9" name="Check Box 1914">
              <controlPr defaultSize="0" autoFill="0" autoLine="0" autoPict="0">
                <anchor moveWithCells="1" sizeWithCells="1">
                  <from>
                    <xdr:col>0</xdr:col>
                    <xdr:colOff>0</xdr:colOff>
                    <xdr:row>47</xdr:row>
                    <xdr:rowOff>38100</xdr:rowOff>
                  </from>
                  <to>
                    <xdr:col>7</xdr:col>
                    <xdr:colOff>0</xdr:colOff>
                    <xdr:row>48</xdr:row>
                    <xdr:rowOff>68580</xdr:rowOff>
                  </to>
                </anchor>
              </controlPr>
            </control>
          </mc:Choice>
        </mc:AlternateContent>
        <mc:AlternateContent xmlns:mc="http://schemas.openxmlformats.org/markup-compatibility/2006">
          <mc:Choice Requires="x14">
            <control shapeId="2550651" r:id="rId10" name="Check Box 1915">
              <controlPr defaultSize="0" autoFill="0" autoLine="0" autoPict="0">
                <anchor moveWithCells="1" sizeWithCells="1">
                  <from>
                    <xdr:col>0</xdr:col>
                    <xdr:colOff>0</xdr:colOff>
                    <xdr:row>48</xdr:row>
                    <xdr:rowOff>106680</xdr:rowOff>
                  </from>
                  <to>
                    <xdr:col>7</xdr:col>
                    <xdr:colOff>0</xdr:colOff>
                    <xdr:row>49</xdr:row>
                    <xdr:rowOff>121920</xdr:rowOff>
                  </to>
                </anchor>
              </controlPr>
            </control>
          </mc:Choice>
        </mc:AlternateContent>
        <mc:AlternateContent xmlns:mc="http://schemas.openxmlformats.org/markup-compatibility/2006">
          <mc:Choice Requires="x14">
            <control shapeId="2550652" r:id="rId11" name="Check Box 1916">
              <controlPr defaultSize="0" autoFill="0" autoLine="0" autoPict="0">
                <anchor moveWithCells="1" sizeWithCells="1">
                  <from>
                    <xdr:col>0</xdr:col>
                    <xdr:colOff>0</xdr:colOff>
                    <xdr:row>49</xdr:row>
                    <xdr:rowOff>152400</xdr:rowOff>
                  </from>
                  <to>
                    <xdr:col>7</xdr:col>
                    <xdr:colOff>0</xdr:colOff>
                    <xdr:row>50</xdr:row>
                    <xdr:rowOff>182880</xdr:rowOff>
                  </to>
                </anchor>
              </controlPr>
            </control>
          </mc:Choice>
        </mc:AlternateContent>
        <mc:AlternateContent xmlns:mc="http://schemas.openxmlformats.org/markup-compatibility/2006">
          <mc:Choice Requires="x14">
            <control shapeId="2550653" r:id="rId12" name="Check Box 1917">
              <controlPr defaultSize="0" autoFill="0" autoLine="0" autoPict="0">
                <anchor moveWithCells="1" sizeWithCells="1">
                  <from>
                    <xdr:col>0</xdr:col>
                    <xdr:colOff>0</xdr:colOff>
                    <xdr:row>51</xdr:row>
                    <xdr:rowOff>30480</xdr:rowOff>
                  </from>
                  <to>
                    <xdr:col>7</xdr:col>
                    <xdr:colOff>0</xdr:colOff>
                    <xdr:row>52</xdr:row>
                    <xdr:rowOff>45720</xdr:rowOff>
                  </to>
                </anchor>
              </controlPr>
            </control>
          </mc:Choice>
        </mc:AlternateContent>
        <mc:AlternateContent xmlns:mc="http://schemas.openxmlformats.org/markup-compatibility/2006">
          <mc:Choice Requires="x14">
            <control shapeId="2550654" r:id="rId13" name="Check Box 1918">
              <controlPr defaultSize="0" autoFill="0" autoLine="0" autoPict="0">
                <anchor moveWithCells="1" sizeWithCells="1">
                  <from>
                    <xdr:col>7</xdr:col>
                    <xdr:colOff>0</xdr:colOff>
                    <xdr:row>42</xdr:row>
                    <xdr:rowOff>45720</xdr:rowOff>
                  </from>
                  <to>
                    <xdr:col>15</xdr:col>
                    <xdr:colOff>182880</xdr:colOff>
                    <xdr:row>43</xdr:row>
                    <xdr:rowOff>76200</xdr:rowOff>
                  </to>
                </anchor>
              </controlPr>
            </control>
          </mc:Choice>
        </mc:AlternateContent>
        <mc:AlternateContent xmlns:mc="http://schemas.openxmlformats.org/markup-compatibility/2006">
          <mc:Choice Requires="x14">
            <control shapeId="2550655" r:id="rId14" name="Check Box 1919">
              <controlPr defaultSize="0" autoFill="0" autoLine="0" autoPict="0">
                <anchor moveWithCells="1" sizeWithCells="1">
                  <from>
                    <xdr:col>7</xdr:col>
                    <xdr:colOff>0</xdr:colOff>
                    <xdr:row>43</xdr:row>
                    <xdr:rowOff>106680</xdr:rowOff>
                  </from>
                  <to>
                    <xdr:col>16</xdr:col>
                    <xdr:colOff>7620</xdr:colOff>
                    <xdr:row>44</xdr:row>
                    <xdr:rowOff>144780</xdr:rowOff>
                  </to>
                </anchor>
              </controlPr>
            </control>
          </mc:Choice>
        </mc:AlternateContent>
        <mc:AlternateContent xmlns:mc="http://schemas.openxmlformats.org/markup-compatibility/2006">
          <mc:Choice Requires="x14">
            <control shapeId="2550656" r:id="rId15" name="Check Box 1920">
              <controlPr defaultSize="0" autoFill="0" autoLine="0" autoPict="0">
                <anchor moveWithCells="1" sizeWithCells="1">
                  <from>
                    <xdr:col>7</xdr:col>
                    <xdr:colOff>0</xdr:colOff>
                    <xdr:row>44</xdr:row>
                    <xdr:rowOff>160020</xdr:rowOff>
                  </from>
                  <to>
                    <xdr:col>15</xdr:col>
                    <xdr:colOff>182880</xdr:colOff>
                    <xdr:row>46</xdr:row>
                    <xdr:rowOff>0</xdr:rowOff>
                  </to>
                </anchor>
              </controlPr>
            </control>
          </mc:Choice>
        </mc:AlternateContent>
        <mc:AlternateContent xmlns:mc="http://schemas.openxmlformats.org/markup-compatibility/2006">
          <mc:Choice Requires="x14">
            <control shapeId="2550657" r:id="rId16" name="Check Box 1921">
              <controlPr defaultSize="0" autoFill="0" autoLine="0" autoPict="0">
                <anchor moveWithCells="1" sizeWithCells="1">
                  <from>
                    <xdr:col>7</xdr:col>
                    <xdr:colOff>0</xdr:colOff>
                    <xdr:row>47</xdr:row>
                    <xdr:rowOff>45720</xdr:rowOff>
                  </from>
                  <to>
                    <xdr:col>16</xdr:col>
                    <xdr:colOff>160020</xdr:colOff>
                    <xdr:row>48</xdr:row>
                    <xdr:rowOff>76200</xdr:rowOff>
                  </to>
                </anchor>
              </controlPr>
            </control>
          </mc:Choice>
        </mc:AlternateContent>
        <mc:AlternateContent xmlns:mc="http://schemas.openxmlformats.org/markup-compatibility/2006">
          <mc:Choice Requires="x14">
            <control shapeId="2550658" r:id="rId17" name="Check Box 1922">
              <controlPr defaultSize="0" autoFill="0" autoLine="0" autoPict="0">
                <anchor moveWithCells="1" sizeWithCells="1">
                  <from>
                    <xdr:col>7</xdr:col>
                    <xdr:colOff>0</xdr:colOff>
                    <xdr:row>48</xdr:row>
                    <xdr:rowOff>106680</xdr:rowOff>
                  </from>
                  <to>
                    <xdr:col>20</xdr:col>
                    <xdr:colOff>0</xdr:colOff>
                    <xdr:row>49</xdr:row>
                    <xdr:rowOff>144780</xdr:rowOff>
                  </to>
                </anchor>
              </controlPr>
            </control>
          </mc:Choice>
        </mc:AlternateContent>
        <mc:AlternateContent xmlns:mc="http://schemas.openxmlformats.org/markup-compatibility/2006">
          <mc:Choice Requires="x14">
            <control shapeId="2550659" r:id="rId18" name="Check Box 1923">
              <controlPr defaultSize="0" autoFill="0" autoLine="0" autoPict="0">
                <anchor moveWithCells="1" sizeWithCells="1">
                  <from>
                    <xdr:col>7</xdr:col>
                    <xdr:colOff>0</xdr:colOff>
                    <xdr:row>49</xdr:row>
                    <xdr:rowOff>160020</xdr:rowOff>
                  </from>
                  <to>
                    <xdr:col>20</xdr:col>
                    <xdr:colOff>0</xdr:colOff>
                    <xdr:row>51</xdr:row>
                    <xdr:rowOff>0</xdr:rowOff>
                  </to>
                </anchor>
              </controlPr>
            </control>
          </mc:Choice>
        </mc:AlternateContent>
        <mc:AlternateContent xmlns:mc="http://schemas.openxmlformats.org/markup-compatibility/2006">
          <mc:Choice Requires="x14">
            <control shapeId="2550660" r:id="rId19" name="Check Box 1924">
              <controlPr defaultSize="0" autoFill="0" autoLine="0" autoPict="0">
                <anchor moveWithCells="1" sizeWithCells="1">
                  <from>
                    <xdr:col>7</xdr:col>
                    <xdr:colOff>0</xdr:colOff>
                    <xdr:row>51</xdr:row>
                    <xdr:rowOff>30480</xdr:rowOff>
                  </from>
                  <to>
                    <xdr:col>18</xdr:col>
                    <xdr:colOff>106680</xdr:colOff>
                    <xdr:row>52</xdr:row>
                    <xdr:rowOff>68580</xdr:rowOff>
                  </to>
                </anchor>
              </controlPr>
            </control>
          </mc:Choice>
        </mc:AlternateContent>
        <mc:AlternateContent xmlns:mc="http://schemas.openxmlformats.org/markup-compatibility/2006">
          <mc:Choice Requires="x14">
            <control shapeId="2550661" r:id="rId20" name="Check Box 1925">
              <controlPr defaultSize="0" autoFill="0" autoLine="0" autoPict="0">
                <anchor moveWithCells="1" sizeWithCells="1">
                  <from>
                    <xdr:col>14</xdr:col>
                    <xdr:colOff>30480</xdr:colOff>
                    <xdr:row>42</xdr:row>
                    <xdr:rowOff>30480</xdr:rowOff>
                  </from>
                  <to>
                    <xdr:col>18</xdr:col>
                    <xdr:colOff>68580</xdr:colOff>
                    <xdr:row>43</xdr:row>
                    <xdr:rowOff>68580</xdr:rowOff>
                  </to>
                </anchor>
              </controlPr>
            </control>
          </mc:Choice>
        </mc:AlternateContent>
        <mc:AlternateContent xmlns:mc="http://schemas.openxmlformats.org/markup-compatibility/2006">
          <mc:Choice Requires="x14">
            <control shapeId="2550662" r:id="rId21" name="Check Box 1926">
              <controlPr defaultSize="0" autoFill="0" autoLine="0" autoPict="0">
                <anchor moveWithCells="1" sizeWithCells="1">
                  <from>
                    <xdr:col>14</xdr:col>
                    <xdr:colOff>30480</xdr:colOff>
                    <xdr:row>43</xdr:row>
                    <xdr:rowOff>83820</xdr:rowOff>
                  </from>
                  <to>
                    <xdr:col>27</xdr:col>
                    <xdr:colOff>30480</xdr:colOff>
                    <xdr:row>44</xdr:row>
                    <xdr:rowOff>114300</xdr:rowOff>
                  </to>
                </anchor>
              </controlPr>
            </control>
          </mc:Choice>
        </mc:AlternateContent>
        <mc:AlternateContent xmlns:mc="http://schemas.openxmlformats.org/markup-compatibility/2006">
          <mc:Choice Requires="x14">
            <control shapeId="2550663" r:id="rId22" name="Check Box 1927">
              <controlPr defaultSize="0" autoFill="0" autoLine="0" autoPict="0">
                <anchor moveWithCells="1" sizeWithCells="1">
                  <from>
                    <xdr:col>14</xdr:col>
                    <xdr:colOff>30480</xdr:colOff>
                    <xdr:row>44</xdr:row>
                    <xdr:rowOff>144780</xdr:rowOff>
                  </from>
                  <to>
                    <xdr:col>27</xdr:col>
                    <xdr:colOff>30480</xdr:colOff>
                    <xdr:row>45</xdr:row>
                    <xdr:rowOff>182880</xdr:rowOff>
                  </to>
                </anchor>
              </controlPr>
            </control>
          </mc:Choice>
        </mc:AlternateContent>
        <mc:AlternateContent xmlns:mc="http://schemas.openxmlformats.org/markup-compatibility/2006">
          <mc:Choice Requires="x14">
            <control shapeId="2550664" r:id="rId23" name="Check Box 1928">
              <controlPr defaultSize="0" autoFill="0" autoLine="0" autoPict="0">
                <anchor moveWithCells="1" sizeWithCells="1">
                  <from>
                    <xdr:col>14</xdr:col>
                    <xdr:colOff>30480</xdr:colOff>
                    <xdr:row>46</xdr:row>
                    <xdr:rowOff>7620</xdr:rowOff>
                  </from>
                  <to>
                    <xdr:col>27</xdr:col>
                    <xdr:colOff>30480</xdr:colOff>
                    <xdr:row>47</xdr:row>
                    <xdr:rowOff>38100</xdr:rowOff>
                  </to>
                </anchor>
              </controlPr>
            </control>
          </mc:Choice>
        </mc:AlternateContent>
        <mc:AlternateContent xmlns:mc="http://schemas.openxmlformats.org/markup-compatibility/2006">
          <mc:Choice Requires="x14">
            <control shapeId="2550665" r:id="rId24" name="Check Box 1929">
              <controlPr defaultSize="0" autoFill="0" autoLine="0" autoPict="0">
                <anchor moveWithCells="1" sizeWithCells="1">
                  <from>
                    <xdr:col>14</xdr:col>
                    <xdr:colOff>30480</xdr:colOff>
                    <xdr:row>47</xdr:row>
                    <xdr:rowOff>68580</xdr:rowOff>
                  </from>
                  <to>
                    <xdr:col>27</xdr:col>
                    <xdr:colOff>30480</xdr:colOff>
                    <xdr:row>48</xdr:row>
                    <xdr:rowOff>83820</xdr:rowOff>
                  </to>
                </anchor>
              </controlPr>
            </control>
          </mc:Choice>
        </mc:AlternateContent>
        <mc:AlternateContent xmlns:mc="http://schemas.openxmlformats.org/markup-compatibility/2006">
          <mc:Choice Requires="x14">
            <control shapeId="2550666" r:id="rId25" name="Check Box 1930">
              <controlPr defaultSize="0" autoFill="0" autoLine="0" autoPict="0">
                <anchor moveWithCells="1" sizeWithCells="1">
                  <from>
                    <xdr:col>14</xdr:col>
                    <xdr:colOff>30480</xdr:colOff>
                    <xdr:row>48</xdr:row>
                    <xdr:rowOff>121920</xdr:rowOff>
                  </from>
                  <to>
                    <xdr:col>27</xdr:col>
                    <xdr:colOff>30480</xdr:colOff>
                    <xdr:row>49</xdr:row>
                    <xdr:rowOff>152400</xdr:rowOff>
                  </to>
                </anchor>
              </controlPr>
            </control>
          </mc:Choice>
        </mc:AlternateContent>
        <mc:AlternateContent xmlns:mc="http://schemas.openxmlformats.org/markup-compatibility/2006">
          <mc:Choice Requires="x14">
            <control shapeId="2550667" r:id="rId26" name="Check Box 1931">
              <controlPr defaultSize="0" autoFill="0" autoLine="0" autoPict="0">
                <anchor moveWithCells="1" sizeWithCells="1">
                  <from>
                    <xdr:col>8</xdr:col>
                    <xdr:colOff>160020</xdr:colOff>
                    <xdr:row>26</xdr:row>
                    <xdr:rowOff>68580</xdr:rowOff>
                  </from>
                  <to>
                    <xdr:col>12</xdr:col>
                    <xdr:colOff>30480</xdr:colOff>
                    <xdr:row>28</xdr:row>
                    <xdr:rowOff>30480</xdr:rowOff>
                  </to>
                </anchor>
              </controlPr>
            </control>
          </mc:Choice>
        </mc:AlternateContent>
        <mc:AlternateContent xmlns:mc="http://schemas.openxmlformats.org/markup-compatibility/2006">
          <mc:Choice Requires="x14">
            <control shapeId="2550668" r:id="rId27" name="Check Box 1932">
              <controlPr defaultSize="0" autoFill="0" autoLine="0" autoPict="0">
                <anchor moveWithCells="1" sizeWithCells="1">
                  <from>
                    <xdr:col>12</xdr:col>
                    <xdr:colOff>83820</xdr:colOff>
                    <xdr:row>26</xdr:row>
                    <xdr:rowOff>45720</xdr:rowOff>
                  </from>
                  <to>
                    <xdr:col>16</xdr:col>
                    <xdr:colOff>144780</xdr:colOff>
                    <xdr:row>28</xdr:row>
                    <xdr:rowOff>30480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39997558519241921"/>
  </sheetPr>
  <dimension ref="A1:AE105"/>
  <sheetViews>
    <sheetView showGridLines="0" showZeros="0" view="pageBreakPreview" zoomScaleNormal="100" zoomScaleSheetLayoutView="100" workbookViewId="0">
      <selection activeCell="P6" sqref="P6:Q6"/>
    </sheetView>
  </sheetViews>
  <sheetFormatPr defaultColWidth="4.44140625" defaultRowHeight="14.1" customHeight="1"/>
  <cols>
    <col min="1" max="1" width="2.44140625" style="1049" customWidth="1"/>
    <col min="2" max="2" width="2.44140625" style="1050" customWidth="1"/>
    <col min="3" max="3" width="6.44140625" style="837" customWidth="1"/>
    <col min="4" max="16" width="5.44140625" style="837" customWidth="1"/>
    <col min="17" max="17" width="6.88671875" style="837" customWidth="1"/>
    <col min="18" max="18" width="5.44140625" style="837" customWidth="1"/>
    <col min="19" max="19" width="6.44140625" style="837" customWidth="1"/>
    <col min="20" max="36" width="5.44140625" style="837" customWidth="1"/>
    <col min="37" max="37" width="22.44140625" style="837" customWidth="1"/>
    <col min="38" max="38" width="10.44140625" style="837" customWidth="1"/>
    <col min="39" max="39" width="4.44140625" style="837"/>
    <col min="40" max="41" width="5.44140625" style="837" customWidth="1"/>
    <col min="42" max="42" width="4.44140625" style="837" bestFit="1" customWidth="1"/>
    <col min="43" max="45" width="4.44140625" style="837"/>
    <col min="46" max="46" width="4.44140625" style="837" bestFit="1" customWidth="1"/>
    <col min="47" max="16384" width="4.44140625" style="837"/>
  </cols>
  <sheetData>
    <row r="1" spans="1:31" s="1028" customFormat="1" ht="54.9" customHeight="1" thickBot="1">
      <c r="A1" s="1754"/>
      <c r="B1" s="840"/>
      <c r="C1" s="840"/>
      <c r="D1" s="840"/>
      <c r="E1" s="1754"/>
      <c r="F1" s="3248" t="s">
        <v>1749</v>
      </c>
      <c r="G1" s="3248"/>
      <c r="H1" s="3248"/>
      <c r="I1" s="3248"/>
      <c r="J1" s="3248"/>
      <c r="K1" s="3248"/>
      <c r="L1" s="3248"/>
      <c r="M1" s="3248"/>
      <c r="N1" s="840"/>
      <c r="O1" s="840"/>
      <c r="P1" s="840"/>
      <c r="Q1" s="1029"/>
      <c r="R1" s="1029"/>
      <c r="S1" s="1029"/>
      <c r="T1" s="1029"/>
      <c r="U1" s="1030"/>
    </row>
    <row r="2" spans="1:31" ht="16.350000000000001" customHeight="1" thickBot="1">
      <c r="A2" s="833" t="s">
        <v>88</v>
      </c>
      <c r="B2" s="832"/>
      <c r="C2" s="831" t="s">
        <v>634</v>
      </c>
      <c r="D2" s="830"/>
      <c r="E2" s="830"/>
      <c r="F2" s="830"/>
      <c r="G2" s="830"/>
      <c r="H2" s="3253" t="s">
        <v>1016</v>
      </c>
      <c r="I2" s="3253"/>
      <c r="J2" s="3259" t="str">
        <f>IF(ISBLANK(Summary!S3)," ",Summary!S3)</f>
        <v xml:space="preserve"> </v>
      </c>
      <c r="K2" s="3259"/>
      <c r="L2" s="830"/>
      <c r="M2" s="830"/>
      <c r="N2" s="830"/>
      <c r="O2" s="830"/>
      <c r="P2" s="830"/>
      <c r="Q2" s="3253" t="str">
        <f>'Drop-Down Lists'!J40</f>
        <v>v 04.01.2021</v>
      </c>
      <c r="R2" s="3253"/>
      <c r="S2" s="3261"/>
      <c r="T2" s="820"/>
      <c r="U2" s="820"/>
      <c r="V2" s="820"/>
      <c r="W2" s="820"/>
      <c r="X2" s="820"/>
    </row>
    <row r="3" spans="1:31" ht="6" customHeight="1">
      <c r="A3" s="818"/>
      <c r="B3" s="815"/>
      <c r="C3" s="813"/>
      <c r="D3" s="813"/>
      <c r="E3" s="813"/>
      <c r="F3" s="813"/>
      <c r="G3" s="813"/>
      <c r="H3" s="813"/>
      <c r="I3" s="813"/>
      <c r="J3" s="813"/>
      <c r="K3" s="813"/>
      <c r="L3" s="813"/>
      <c r="M3" s="813"/>
      <c r="N3" s="813"/>
      <c r="O3" s="813"/>
      <c r="P3" s="813"/>
      <c r="Q3" s="813"/>
      <c r="R3" s="813"/>
      <c r="S3" s="817"/>
      <c r="T3" s="820"/>
      <c r="U3" s="820"/>
      <c r="V3" s="820"/>
      <c r="W3" s="820"/>
      <c r="X3" s="820"/>
    </row>
    <row r="4" spans="1:31" ht="18" customHeight="1">
      <c r="A4" s="818"/>
      <c r="B4" s="815" t="s">
        <v>147</v>
      </c>
      <c r="C4" s="813" t="s">
        <v>1224</v>
      </c>
      <c r="D4" s="813"/>
      <c r="E4" s="813"/>
      <c r="F4" s="813"/>
      <c r="G4" s="813"/>
      <c r="H4" s="3234" t="str">
        <f>IF(Summary!AA63=0,"",IF(Summary!AA63=1,Summary!I11,""))</f>
        <v/>
      </c>
      <c r="I4" s="3255"/>
      <c r="J4" s="813" t="s">
        <v>313</v>
      </c>
      <c r="K4" s="813"/>
      <c r="L4" s="813"/>
      <c r="M4" s="813"/>
      <c r="N4" s="813"/>
      <c r="O4" s="813"/>
      <c r="P4" s="813"/>
      <c r="Q4" s="813"/>
      <c r="R4" s="813"/>
      <c r="S4" s="817"/>
      <c r="T4" s="820"/>
      <c r="U4" s="820"/>
      <c r="V4" s="820"/>
      <c r="W4" s="820"/>
      <c r="X4" s="820"/>
    </row>
    <row r="5" spans="1:31" ht="6" customHeight="1">
      <c r="A5" s="818"/>
      <c r="B5" s="815"/>
      <c r="C5" s="813"/>
      <c r="D5" s="813"/>
      <c r="E5" s="813"/>
      <c r="F5" s="813"/>
      <c r="G5" s="813"/>
      <c r="H5" s="813"/>
      <c r="I5" s="813"/>
      <c r="J5" s="813"/>
      <c r="K5" s="813"/>
      <c r="L5" s="813"/>
      <c r="M5" s="813"/>
      <c r="N5" s="813"/>
      <c r="O5" s="813"/>
      <c r="P5" s="813"/>
      <c r="Q5" s="813"/>
      <c r="R5" s="813"/>
      <c r="S5" s="817"/>
      <c r="T5" s="820"/>
      <c r="U5" s="820"/>
      <c r="V5" s="820"/>
      <c r="W5" s="820"/>
      <c r="X5" s="820"/>
    </row>
    <row r="6" spans="1:31" ht="18" customHeight="1">
      <c r="A6" s="818"/>
      <c r="B6" s="839" t="s">
        <v>631</v>
      </c>
      <c r="C6" s="813" t="s">
        <v>1384</v>
      </c>
      <c r="D6" s="813"/>
      <c r="E6" s="813"/>
      <c r="F6" s="813"/>
      <c r="G6" s="813"/>
      <c r="H6" s="3246" t="str">
        <f>IF(Summary!AA63=1,Summary!G84,"")</f>
        <v/>
      </c>
      <c r="I6" s="3255"/>
      <c r="J6" s="813" t="s">
        <v>640</v>
      </c>
      <c r="K6" s="3256" t="s">
        <v>1222</v>
      </c>
      <c r="L6" s="3256"/>
      <c r="M6" s="3256"/>
      <c r="N6" s="3256"/>
      <c r="O6" s="3256"/>
      <c r="P6" s="3262"/>
      <c r="Q6" s="3263"/>
      <c r="R6" s="813" t="s">
        <v>640</v>
      </c>
      <c r="S6" s="1035"/>
      <c r="T6" s="820"/>
      <c r="U6" s="820"/>
      <c r="V6" s="820"/>
      <c r="W6" s="820"/>
      <c r="X6" s="820"/>
    </row>
    <row r="7" spans="1:31" ht="6" customHeight="1">
      <c r="A7" s="818"/>
      <c r="B7" s="815"/>
      <c r="C7" s="813"/>
      <c r="D7" s="813"/>
      <c r="E7" s="813"/>
      <c r="F7" s="813"/>
      <c r="G7" s="813"/>
      <c r="H7" s="813"/>
      <c r="I7" s="813"/>
      <c r="J7" s="813"/>
      <c r="K7" s="813"/>
      <c r="L7" s="1036"/>
      <c r="M7" s="1036"/>
      <c r="N7" s="1036"/>
      <c r="O7" s="1036"/>
      <c r="P7" s="1150"/>
      <c r="Q7" s="1150"/>
      <c r="R7" s="1036"/>
      <c r="S7" s="1035"/>
      <c r="T7" s="820"/>
      <c r="U7" s="820"/>
      <c r="V7" s="820"/>
      <c r="W7" s="820"/>
      <c r="X7" s="820"/>
    </row>
    <row r="8" spans="1:31" ht="18" customHeight="1">
      <c r="A8" s="818"/>
      <c r="B8" s="815" t="s">
        <v>149</v>
      </c>
      <c r="C8" s="813" t="s">
        <v>1298</v>
      </c>
      <c r="D8" s="813"/>
      <c r="E8" s="813"/>
      <c r="F8" s="813"/>
      <c r="G8" s="813"/>
      <c r="H8" s="3221" t="str">
        <f>IF(Summary!AA63=0,"",IF(Summary!AA63=1,Summary!G89,""))</f>
        <v/>
      </c>
      <c r="I8" s="3255"/>
      <c r="J8" s="813" t="s">
        <v>86</v>
      </c>
      <c r="K8" s="813"/>
      <c r="L8" s="813" t="s">
        <v>280</v>
      </c>
      <c r="M8" s="813"/>
      <c r="N8" s="813"/>
      <c r="O8" s="813"/>
      <c r="P8" s="3264" t="str">
        <f>IF(ISBLANK(Summary!G91),"",Summary!G91)</f>
        <v/>
      </c>
      <c r="Q8" s="3265"/>
      <c r="R8" s="813" t="s">
        <v>1292</v>
      </c>
      <c r="S8" s="1035"/>
      <c r="T8" s="813"/>
      <c r="U8" s="813"/>
    </row>
    <row r="9" spans="1:31" ht="6" customHeight="1">
      <c r="A9" s="818"/>
      <c r="B9" s="815"/>
      <c r="C9" s="813"/>
      <c r="D9" s="813"/>
      <c r="E9" s="813"/>
      <c r="F9" s="813"/>
      <c r="G9" s="813"/>
      <c r="H9" s="813"/>
      <c r="I9" s="813"/>
      <c r="J9" s="813"/>
      <c r="K9" s="813"/>
      <c r="L9" s="1036"/>
      <c r="M9" s="1036"/>
      <c r="N9" s="1036"/>
      <c r="O9" s="1036"/>
      <c r="P9" s="1150"/>
      <c r="Q9" s="1150"/>
      <c r="R9" s="1036"/>
      <c r="S9" s="1035"/>
      <c r="T9" s="820"/>
      <c r="U9" s="820"/>
      <c r="V9" s="820"/>
      <c r="W9" s="820"/>
      <c r="X9" s="820"/>
    </row>
    <row r="10" spans="1:31" ht="18" customHeight="1">
      <c r="A10" s="818"/>
      <c r="B10" s="838" t="s">
        <v>588</v>
      </c>
      <c r="C10" s="3239" t="s">
        <v>1862</v>
      </c>
      <c r="D10" s="3268"/>
      <c r="E10" s="3268"/>
      <c r="F10" s="3268"/>
      <c r="G10" s="3268"/>
      <c r="H10" s="3268"/>
      <c r="I10" s="3268"/>
      <c r="J10" s="3268"/>
      <c r="K10" s="3268"/>
      <c r="L10" s="3268"/>
      <c r="M10" s="3268"/>
      <c r="N10" s="3268"/>
      <c r="O10" s="3268"/>
      <c r="P10" s="3268"/>
      <c r="Q10" s="3268"/>
      <c r="R10" s="813"/>
      <c r="S10" s="817"/>
      <c r="T10" s="1039"/>
      <c r="U10" s="1039"/>
      <c r="V10" s="1039"/>
      <c r="W10" s="1039"/>
      <c r="X10" s="820"/>
    </row>
    <row r="11" spans="1:31" ht="6" customHeight="1">
      <c r="A11" s="818"/>
      <c r="B11" s="838"/>
      <c r="C11" s="2607"/>
      <c r="D11" s="2607"/>
      <c r="E11" s="2607"/>
      <c r="F11" s="2607"/>
      <c r="G11" s="2607"/>
      <c r="H11" s="2607"/>
      <c r="I11" s="813"/>
      <c r="J11" s="813"/>
      <c r="K11" s="813"/>
      <c r="L11" s="2607"/>
      <c r="M11" s="813"/>
      <c r="N11" s="813"/>
      <c r="O11" s="813"/>
      <c r="P11" s="813"/>
      <c r="Q11" s="813"/>
      <c r="R11" s="813"/>
      <c r="S11" s="817"/>
      <c r="T11" s="1039"/>
      <c r="U11" s="1039"/>
      <c r="V11" s="1039"/>
      <c r="W11" s="1039"/>
      <c r="X11" s="820"/>
    </row>
    <row r="12" spans="1:31" ht="18" customHeight="1">
      <c r="A12" s="818"/>
      <c r="B12" s="838"/>
      <c r="C12" s="3225" t="str">
        <f>H4</f>
        <v/>
      </c>
      <c r="D12" s="3226"/>
      <c r="E12" s="2611" t="s">
        <v>654</v>
      </c>
      <c r="F12" s="3221" t="str">
        <f>H8</f>
        <v/>
      </c>
      <c r="G12" s="3222"/>
      <c r="H12" s="3219" t="s">
        <v>1223</v>
      </c>
      <c r="I12" s="3273"/>
      <c r="J12" s="3234" t="str">
        <f>IF(Summary!AA63=0,"",IF(Summary!AA63=2,"",IF(Summary!AA63=2,"",IF(Summary!AA63=3,"",IF(Summary!AA63=4,"",IF(Summary!AA63=5,"",IF(Summary!AA63=1,C12/F12)))))))</f>
        <v/>
      </c>
      <c r="K12" s="3235"/>
      <c r="L12" s="813" t="s">
        <v>22</v>
      </c>
      <c r="M12" s="813"/>
      <c r="N12" s="813"/>
      <c r="O12" s="813"/>
      <c r="P12" s="813"/>
      <c r="Q12" s="813"/>
      <c r="R12" s="813"/>
      <c r="S12" s="817"/>
      <c r="T12" s="1039"/>
      <c r="U12" s="1040"/>
      <c r="V12" s="2162"/>
      <c r="W12" s="1040"/>
    </row>
    <row r="13" spans="1:31" ht="6" customHeight="1">
      <c r="A13" s="818"/>
      <c r="B13" s="838"/>
      <c r="C13" s="2607"/>
      <c r="D13" s="2607"/>
      <c r="E13" s="2607"/>
      <c r="F13" s="2607"/>
      <c r="G13" s="2607"/>
      <c r="H13" s="2607"/>
      <c r="I13" s="813"/>
      <c r="J13" s="813"/>
      <c r="K13" s="813"/>
      <c r="L13" s="2607"/>
      <c r="M13" s="813"/>
      <c r="N13" s="813"/>
      <c r="O13" s="813"/>
      <c r="P13" s="813"/>
      <c r="Q13" s="813"/>
      <c r="R13" s="813"/>
      <c r="S13" s="817"/>
      <c r="T13" s="1039"/>
      <c r="U13" s="1039"/>
      <c r="V13" s="2105"/>
      <c r="W13" s="1039"/>
      <c r="X13" s="820"/>
    </row>
    <row r="14" spans="1:31" ht="18" customHeight="1">
      <c r="A14" s="818"/>
      <c r="B14" s="838" t="s">
        <v>589</v>
      </c>
      <c r="C14" s="2607" t="s">
        <v>1295</v>
      </c>
      <c r="D14" s="2607"/>
      <c r="E14" s="2607"/>
      <c r="F14" s="813"/>
      <c r="G14" s="3282" t="str">
        <f>IF(Summary!AA63=0,"",IF(Summary!AA63=1,Summary!O67,""))</f>
        <v/>
      </c>
      <c r="H14" s="3283"/>
      <c r="I14" s="3283"/>
      <c r="J14" s="3284"/>
      <c r="K14" s="813"/>
      <c r="L14" s="3282" t="str">
        <f>IF(G15="Rock"," ",IF(Summary!AA63=0,"",IF(Summary!AA63=1,Summary!O69,"")))</f>
        <v/>
      </c>
      <c r="M14" s="3283"/>
      <c r="N14" s="3283"/>
      <c r="O14" s="3283"/>
      <c r="P14" s="3284"/>
      <c r="Q14" s="813"/>
      <c r="R14" s="813"/>
      <c r="S14" s="817"/>
      <c r="T14" s="1039"/>
      <c r="U14" s="1039"/>
      <c r="V14" s="2105"/>
      <c r="W14" s="1047"/>
      <c r="X14" s="813"/>
      <c r="Y14" s="813"/>
      <c r="Z14" s="813"/>
      <c r="AA14" s="813"/>
      <c r="AB14" s="813"/>
      <c r="AC14" s="813"/>
    </row>
    <row r="15" spans="1:31" ht="18" customHeight="1">
      <c r="A15" s="818"/>
      <c r="B15" s="838"/>
      <c r="C15" s="1671"/>
      <c r="D15" s="813"/>
      <c r="E15" s="813"/>
      <c r="F15" s="813"/>
      <c r="G15" s="1047"/>
      <c r="H15" s="2580"/>
      <c r="I15" s="1899"/>
      <c r="J15" s="1047"/>
      <c r="K15" s="1047"/>
      <c r="L15" s="3266" t="s">
        <v>2142</v>
      </c>
      <c r="M15" s="3266"/>
      <c r="N15" s="3266"/>
      <c r="O15" s="3266"/>
      <c r="P15" s="3266"/>
      <c r="Q15" s="981"/>
      <c r="R15" s="981"/>
      <c r="S15" s="1170"/>
      <c r="T15" s="1039"/>
      <c r="U15" s="1039"/>
      <c r="V15" s="2105"/>
      <c r="W15" s="1039"/>
      <c r="X15" s="1039"/>
      <c r="Y15" s="1040"/>
      <c r="Z15" s="1040"/>
      <c r="AA15" s="1040"/>
      <c r="AB15" s="1040"/>
      <c r="AC15" s="1040"/>
      <c r="AD15" s="1040"/>
      <c r="AE15" s="1040"/>
    </row>
    <row r="16" spans="1:31" ht="6" customHeight="1">
      <c r="A16" s="818"/>
      <c r="B16" s="838"/>
      <c r="C16" s="2607"/>
      <c r="D16" s="2607"/>
      <c r="E16" s="2607"/>
      <c r="F16" s="2607"/>
      <c r="G16" s="2225"/>
      <c r="H16" s="2225"/>
      <c r="I16" s="1047"/>
      <c r="J16" s="1047"/>
      <c r="K16" s="1047"/>
      <c r="L16" s="2607"/>
      <c r="M16" s="813"/>
      <c r="N16" s="813"/>
      <c r="O16" s="813"/>
      <c r="P16" s="813"/>
      <c r="Q16" s="813"/>
      <c r="R16" s="813"/>
      <c r="S16" s="817"/>
      <c r="T16" s="1039"/>
      <c r="U16" s="1039"/>
      <c r="V16" s="2105"/>
      <c r="W16" s="1039"/>
      <c r="X16" s="820"/>
    </row>
    <row r="17" spans="1:24" ht="18" customHeight="1">
      <c r="A17" s="818"/>
      <c r="B17" s="838" t="s">
        <v>641</v>
      </c>
      <c r="C17" s="2607" t="s">
        <v>1296</v>
      </c>
      <c r="D17" s="2607"/>
      <c r="E17" s="2607"/>
      <c r="F17" s="813"/>
      <c r="G17" s="3257"/>
      <c r="H17" s="3257"/>
      <c r="I17" s="3257"/>
      <c r="J17" s="3257"/>
      <c r="K17" s="3256" t="s">
        <v>1642</v>
      </c>
      <c r="L17" s="3256"/>
      <c r="M17" s="3258"/>
      <c r="N17" s="3258"/>
      <c r="O17" s="3258"/>
      <c r="P17" s="3258"/>
      <c r="Q17" s="3258"/>
      <c r="R17" s="3258"/>
      <c r="S17" s="817"/>
      <c r="T17" s="1039"/>
      <c r="U17" s="1039"/>
      <c r="V17" s="2105"/>
      <c r="W17" s="1039"/>
      <c r="X17" s="1039"/>
    </row>
    <row r="18" spans="1:24" ht="18" customHeight="1">
      <c r="A18" s="818"/>
      <c r="B18" s="815"/>
      <c r="C18" s="813"/>
      <c r="D18" s="813"/>
      <c r="E18" s="813"/>
      <c r="F18" s="813"/>
      <c r="G18" s="813"/>
      <c r="H18" s="813"/>
      <c r="I18" s="813"/>
      <c r="J18" s="813"/>
      <c r="K18" s="813"/>
      <c r="L18" s="813"/>
      <c r="M18" s="813"/>
      <c r="N18" s="813"/>
      <c r="O18" s="813"/>
      <c r="P18" s="813"/>
      <c r="Q18" s="813"/>
      <c r="R18" s="813"/>
      <c r="S18" s="817"/>
      <c r="T18" s="1039"/>
      <c r="U18" s="1039"/>
      <c r="V18" s="1039"/>
      <c r="W18" s="1039"/>
      <c r="X18" s="1039"/>
    </row>
    <row r="19" spans="1:24" ht="6" customHeight="1">
      <c r="A19" s="818"/>
      <c r="B19" s="815"/>
      <c r="C19" s="813"/>
      <c r="D19" s="813"/>
      <c r="E19" s="813"/>
      <c r="F19" s="813"/>
      <c r="G19" s="813"/>
      <c r="H19" s="2605"/>
      <c r="I19" s="2605"/>
      <c r="J19" s="813"/>
      <c r="K19" s="813"/>
      <c r="L19" s="813"/>
      <c r="M19" s="813"/>
      <c r="N19" s="813"/>
      <c r="O19" s="813"/>
      <c r="P19" s="813"/>
      <c r="Q19" s="813"/>
      <c r="R19" s="813"/>
      <c r="S19" s="817"/>
      <c r="T19" s="1039"/>
      <c r="U19" s="1039"/>
      <c r="V19" s="1039"/>
      <c r="W19" s="1039"/>
      <c r="X19" s="1039"/>
    </row>
    <row r="20" spans="1:24" ht="18" customHeight="1">
      <c r="A20" s="818"/>
      <c r="B20" s="815" t="s">
        <v>642</v>
      </c>
      <c r="C20" s="1141" t="s">
        <v>1973</v>
      </c>
      <c r="D20" s="1141"/>
      <c r="E20" s="1141"/>
      <c r="F20" s="1141"/>
      <c r="G20" s="1141"/>
      <c r="H20" s="1142"/>
      <c r="I20" s="1143"/>
      <c r="J20" s="1141"/>
      <c r="K20" s="1141"/>
      <c r="L20" s="1141"/>
      <c r="M20" s="1141"/>
      <c r="N20" s="1141"/>
      <c r="O20" s="1141"/>
      <c r="P20" s="1148"/>
      <c r="Q20" s="1148"/>
      <c r="R20" s="1141"/>
      <c r="S20" s="1149"/>
      <c r="T20" s="1047"/>
      <c r="U20" s="1047"/>
      <c r="V20" s="1040"/>
      <c r="W20" s="1040"/>
      <c r="X20" s="1040"/>
    </row>
    <row r="21" spans="1:24" ht="18" customHeight="1">
      <c r="A21" s="818"/>
      <c r="B21" s="815"/>
      <c r="C21" s="1144" t="s">
        <v>1949</v>
      </c>
      <c r="D21" s="1144"/>
      <c r="E21" s="813"/>
      <c r="F21" s="813"/>
      <c r="G21" s="1145"/>
      <c r="H21" s="1146"/>
      <c r="I21" s="1147"/>
      <c r="J21" s="1145"/>
      <c r="K21" s="1145"/>
      <c r="L21" s="1145"/>
      <c r="M21" s="3223"/>
      <c r="N21" s="3267"/>
      <c r="O21" s="3267"/>
      <c r="P21" s="3267"/>
      <c r="Q21" s="3267"/>
      <c r="R21" s="3224"/>
      <c r="S21" s="1035"/>
      <c r="T21" s="1047"/>
      <c r="U21" s="1047"/>
      <c r="V21" s="1040"/>
      <c r="W21" s="1040"/>
      <c r="X21" s="1040"/>
    </row>
    <row r="22" spans="1:24" ht="6" customHeight="1">
      <c r="A22" s="1171"/>
      <c r="B22" s="1154"/>
      <c r="C22" s="1155"/>
      <c r="D22" s="1155"/>
      <c r="E22" s="1155"/>
      <c r="F22" s="1155"/>
      <c r="G22" s="1155"/>
      <c r="H22" s="1155"/>
      <c r="I22" s="1048"/>
      <c r="J22" s="1048"/>
      <c r="K22" s="1048"/>
      <c r="L22" s="1155"/>
      <c r="M22" s="1048"/>
      <c r="N22" s="1048"/>
      <c r="O22" s="1048"/>
      <c r="P22" s="1048"/>
      <c r="Q22" s="1048"/>
      <c r="R22" s="1048"/>
      <c r="S22" s="1172"/>
      <c r="T22" s="820"/>
      <c r="U22" s="820"/>
      <c r="V22" s="1038"/>
      <c r="W22" s="820"/>
      <c r="X22" s="820"/>
    </row>
    <row r="23" spans="1:24" ht="18" customHeight="1">
      <c r="A23" s="1234" t="s">
        <v>89</v>
      </c>
      <c r="B23" s="1235"/>
      <c r="C23" s="1236" t="s">
        <v>1927</v>
      </c>
      <c r="D23" s="1237"/>
      <c r="E23" s="1237"/>
      <c r="F23" s="1237"/>
      <c r="G23" s="1237"/>
      <c r="H23" s="1237"/>
      <c r="I23" s="1237"/>
      <c r="J23" s="1237"/>
      <c r="K23" s="1237"/>
      <c r="L23" s="1237"/>
      <c r="M23" s="1237"/>
      <c r="N23" s="1237"/>
      <c r="O23" s="1237"/>
      <c r="P23" s="1237"/>
      <c r="Q23" s="1237"/>
      <c r="R23" s="1237"/>
      <c r="S23" s="1238"/>
      <c r="T23" s="820"/>
      <c r="U23" s="820"/>
      <c r="V23" s="820"/>
      <c r="W23" s="820"/>
      <c r="X23" s="820"/>
    </row>
    <row r="24" spans="1:24" ht="6" customHeight="1">
      <c r="A24" s="1168"/>
      <c r="B24" s="1152"/>
      <c r="C24" s="1153"/>
      <c r="D24" s="1153"/>
      <c r="E24" s="1153"/>
      <c r="F24" s="1153"/>
      <c r="G24" s="1153"/>
      <c r="H24" s="1153"/>
      <c r="I24" s="1153"/>
      <c r="J24" s="1239"/>
      <c r="K24" s="1153"/>
      <c r="L24" s="1153"/>
      <c r="M24" s="1153"/>
      <c r="N24" s="1153"/>
      <c r="O24" s="1153"/>
      <c r="P24" s="1153"/>
      <c r="Q24" s="1153"/>
      <c r="R24" s="1240"/>
      <c r="S24" s="1169"/>
      <c r="T24" s="820"/>
      <c r="U24" s="820"/>
      <c r="V24" s="820"/>
      <c r="W24" s="820"/>
      <c r="X24" s="820"/>
    </row>
    <row r="25" spans="1:24" ht="18" customHeight="1">
      <c r="A25" s="818"/>
      <c r="B25" s="838" t="s">
        <v>147</v>
      </c>
      <c r="C25" s="3249" t="s">
        <v>212</v>
      </c>
      <c r="D25" s="3249"/>
      <c r="E25" s="3249"/>
      <c r="F25" s="3249" t="s">
        <v>635</v>
      </c>
      <c r="G25" s="3249"/>
      <c r="H25" s="3249" t="s">
        <v>636</v>
      </c>
      <c r="I25" s="3249"/>
      <c r="J25" s="3249" t="s">
        <v>26</v>
      </c>
      <c r="K25" s="3249"/>
      <c r="L25" s="3269" t="s">
        <v>213</v>
      </c>
      <c r="M25" s="3270"/>
      <c r="N25" s="813"/>
      <c r="O25" s="813"/>
      <c r="P25" s="813"/>
      <c r="Q25" s="813"/>
      <c r="R25" s="845"/>
      <c r="S25" s="1083"/>
      <c r="T25" s="820"/>
    </row>
    <row r="26" spans="1:24" ht="25.35" customHeight="1">
      <c r="A26" s="818"/>
      <c r="B26" s="815"/>
      <c r="C26" s="3249"/>
      <c r="D26" s="3249"/>
      <c r="E26" s="3249"/>
      <c r="F26" s="3249"/>
      <c r="G26" s="3249"/>
      <c r="H26" s="3249"/>
      <c r="I26" s="3249"/>
      <c r="J26" s="3249"/>
      <c r="K26" s="3249"/>
      <c r="L26" s="3271"/>
      <c r="M26" s="3272"/>
      <c r="N26" s="813"/>
      <c r="O26" s="813"/>
      <c r="P26" s="813"/>
      <c r="Q26" s="813"/>
      <c r="R26" s="844"/>
      <c r="S26" s="1083"/>
      <c r="T26" s="820"/>
    </row>
    <row r="27" spans="1:24" ht="18" customHeight="1">
      <c r="A27" s="818"/>
      <c r="B27" s="815"/>
      <c r="C27" s="3250" t="str">
        <f>J12</f>
        <v/>
      </c>
      <c r="D27" s="3250"/>
      <c r="E27" s="3250"/>
      <c r="F27" s="3260" t="s">
        <v>637</v>
      </c>
      <c r="G27" s="3260"/>
      <c r="H27" s="3286" t="s">
        <v>1937</v>
      </c>
      <c r="I27" s="3274"/>
      <c r="J27" s="3254">
        <v>1</v>
      </c>
      <c r="K27" s="3254"/>
      <c r="L27" s="3251" t="str">
        <f>C27</f>
        <v/>
      </c>
      <c r="M27" s="3252"/>
      <c r="N27" s="813"/>
      <c r="O27" s="813"/>
      <c r="P27" s="813"/>
      <c r="Q27" s="813"/>
      <c r="R27" s="844"/>
      <c r="S27" s="1083"/>
      <c r="T27" s="820"/>
    </row>
    <row r="28" spans="1:24" ht="18" customHeight="1">
      <c r="A28" s="818"/>
      <c r="B28" s="815"/>
      <c r="C28" s="3250"/>
      <c r="D28" s="3250"/>
      <c r="E28" s="3250"/>
      <c r="F28" s="3260" t="s">
        <v>638</v>
      </c>
      <c r="G28" s="3260"/>
      <c r="H28" s="3274">
        <v>0.2</v>
      </c>
      <c r="I28" s="3274"/>
      <c r="J28" s="3254">
        <v>0.8</v>
      </c>
      <c r="K28" s="3254"/>
      <c r="L28" s="3251" t="e">
        <f>IF(ISBLANK(G14)," ",J12*0.8)</f>
        <v>#VALUE!</v>
      </c>
      <c r="M28" s="3252"/>
      <c r="N28" s="813"/>
      <c r="O28" s="813"/>
      <c r="P28" s="813"/>
      <c r="Q28" s="813"/>
      <c r="R28" s="844"/>
      <c r="S28" s="1083"/>
      <c r="T28" s="820"/>
    </row>
    <row r="29" spans="1:24" ht="18" customHeight="1">
      <c r="A29" s="818"/>
      <c r="B29" s="815"/>
      <c r="C29" s="3250"/>
      <c r="D29" s="3250"/>
      <c r="E29" s="3250"/>
      <c r="F29" s="3260" t="s">
        <v>639</v>
      </c>
      <c r="G29" s="3260"/>
      <c r="H29" s="3274">
        <v>0.34</v>
      </c>
      <c r="I29" s="3274"/>
      <c r="J29" s="3254">
        <v>0.66</v>
      </c>
      <c r="K29" s="3254"/>
      <c r="L29" s="3251" t="e">
        <f>IF(ISBLANK(G14)," ",J12*0.66)</f>
        <v>#VALUE!</v>
      </c>
      <c r="M29" s="3252"/>
      <c r="N29" s="813"/>
      <c r="O29" s="813"/>
      <c r="P29" s="813"/>
      <c r="Q29" s="813"/>
      <c r="R29" s="844"/>
      <c r="S29" s="1083"/>
      <c r="T29" s="820"/>
    </row>
    <row r="30" spans="1:24" ht="18" customHeight="1">
      <c r="A30" s="818"/>
      <c r="B30" s="815"/>
      <c r="C30" s="3250"/>
      <c r="D30" s="3250"/>
      <c r="E30" s="3250"/>
      <c r="F30" s="3260">
        <v>24</v>
      </c>
      <c r="G30" s="3260"/>
      <c r="H30" s="3274">
        <v>0.4</v>
      </c>
      <c r="I30" s="3274"/>
      <c r="J30" s="3254">
        <v>0.6</v>
      </c>
      <c r="K30" s="3254"/>
      <c r="L30" s="3251" t="e">
        <f>IF(ISBLANK(G14)," ",J12*0.6)</f>
        <v>#VALUE!</v>
      </c>
      <c r="M30" s="3252"/>
      <c r="N30" s="813"/>
      <c r="O30" s="813"/>
      <c r="P30" s="813"/>
      <c r="Q30" s="813"/>
      <c r="R30" s="813"/>
      <c r="S30" s="1083"/>
      <c r="T30" s="820"/>
    </row>
    <row r="31" spans="1:24" ht="6" customHeight="1">
      <c r="A31" s="818"/>
      <c r="B31" s="815"/>
      <c r="C31" s="813"/>
      <c r="D31" s="813"/>
      <c r="E31" s="813"/>
      <c r="F31" s="813"/>
      <c r="G31" s="813"/>
      <c r="H31" s="813"/>
      <c r="I31" s="813"/>
      <c r="J31" s="813"/>
      <c r="K31" s="813"/>
      <c r="L31" s="813"/>
      <c r="M31" s="813"/>
      <c r="N31" s="813"/>
      <c r="O31" s="813"/>
      <c r="P31" s="813"/>
      <c r="Q31" s="813"/>
      <c r="R31" s="813"/>
      <c r="S31" s="817"/>
      <c r="T31" s="820"/>
    </row>
    <row r="32" spans="1:24" ht="18" customHeight="1">
      <c r="A32" s="818"/>
      <c r="B32" s="838" t="s">
        <v>631</v>
      </c>
      <c r="C32" s="2607" t="s">
        <v>1297</v>
      </c>
      <c r="D32" s="813"/>
      <c r="E32" s="813"/>
      <c r="F32" s="813"/>
      <c r="G32" s="3223"/>
      <c r="H32" s="3224"/>
      <c r="I32" s="813" t="s">
        <v>640</v>
      </c>
      <c r="J32" s="2611" t="s">
        <v>102</v>
      </c>
      <c r="K32" s="3275">
        <f>G32/12</f>
        <v>0</v>
      </c>
      <c r="L32" s="3277"/>
      <c r="M32" s="813" t="s">
        <v>92</v>
      </c>
      <c r="N32" s="3285" t="s">
        <v>1932</v>
      </c>
      <c r="O32" s="3285"/>
      <c r="P32" s="3285"/>
      <c r="Q32" s="3285"/>
      <c r="R32" s="3285"/>
      <c r="S32" s="1083"/>
      <c r="T32" s="816"/>
    </row>
    <row r="33" spans="1:26" ht="6" customHeight="1">
      <c r="A33" s="818"/>
      <c r="B33" s="815"/>
      <c r="C33" s="2607"/>
      <c r="D33" s="813"/>
      <c r="E33" s="813"/>
      <c r="F33" s="813"/>
      <c r="G33" s="813"/>
      <c r="H33" s="813"/>
      <c r="I33" s="813"/>
      <c r="J33" s="813"/>
      <c r="K33" s="813"/>
      <c r="L33" s="813"/>
      <c r="M33" s="813"/>
      <c r="N33" s="3285"/>
      <c r="O33" s="3285"/>
      <c r="P33" s="3285"/>
      <c r="Q33" s="3285"/>
      <c r="R33" s="3285"/>
      <c r="S33" s="1083"/>
      <c r="T33" s="820"/>
      <c r="U33" s="820"/>
      <c r="V33" s="820"/>
      <c r="W33" s="820"/>
      <c r="X33" s="820"/>
      <c r="Y33" s="820"/>
      <c r="Z33" s="820"/>
    </row>
    <row r="34" spans="1:26" ht="18" customHeight="1">
      <c r="A34" s="818"/>
      <c r="B34" s="838" t="s">
        <v>149</v>
      </c>
      <c r="C34" s="2607" t="s">
        <v>1863</v>
      </c>
      <c r="D34" s="813"/>
      <c r="E34" s="813"/>
      <c r="F34" s="813"/>
      <c r="G34" s="3288"/>
      <c r="H34" s="3289"/>
      <c r="I34" s="813" t="s">
        <v>22</v>
      </c>
      <c r="J34" s="813"/>
      <c r="K34" s="813"/>
      <c r="L34" s="813"/>
      <c r="M34" s="813"/>
      <c r="N34" s="3285"/>
      <c r="O34" s="3285"/>
      <c r="P34" s="3285"/>
      <c r="Q34" s="3285"/>
      <c r="R34" s="3285"/>
      <c r="S34" s="1083"/>
      <c r="T34" s="842"/>
      <c r="U34" s="842"/>
      <c r="V34" s="820"/>
      <c r="W34" s="820"/>
      <c r="X34" s="820"/>
      <c r="Y34" s="820"/>
      <c r="Z34" s="820"/>
    </row>
    <row r="35" spans="1:26" ht="6" customHeight="1">
      <c r="A35" s="818"/>
      <c r="B35" s="815"/>
      <c r="C35" s="813"/>
      <c r="D35" s="813"/>
      <c r="E35" s="813"/>
      <c r="F35" s="813"/>
      <c r="G35" s="813"/>
      <c r="H35" s="813"/>
      <c r="I35" s="813"/>
      <c r="J35" s="813"/>
      <c r="K35" s="813"/>
      <c r="L35" s="813"/>
      <c r="M35" s="813"/>
      <c r="N35" s="3285"/>
      <c r="O35" s="3285"/>
      <c r="P35" s="3285"/>
      <c r="Q35" s="3285"/>
      <c r="R35" s="3285"/>
      <c r="S35" s="1083"/>
      <c r="T35" s="820"/>
    </row>
    <row r="36" spans="1:26" ht="18" customHeight="1">
      <c r="A36" s="818"/>
      <c r="B36" s="838" t="s">
        <v>588</v>
      </c>
      <c r="C36" s="2607" t="s">
        <v>1931</v>
      </c>
      <c r="D36" s="813"/>
      <c r="E36" s="813"/>
      <c r="F36" s="813"/>
      <c r="G36" s="813"/>
      <c r="H36" s="3223"/>
      <c r="I36" s="3224"/>
      <c r="J36" s="2607" t="s">
        <v>92</v>
      </c>
      <c r="K36" s="3287"/>
      <c r="L36" s="3287"/>
      <c r="M36" s="813"/>
      <c r="N36" s="3285"/>
      <c r="O36" s="3285"/>
      <c r="P36" s="3285"/>
      <c r="Q36" s="3285"/>
      <c r="R36" s="3285"/>
      <c r="S36" s="1083"/>
      <c r="T36" s="820"/>
    </row>
    <row r="37" spans="1:26" ht="6" customHeight="1">
      <c r="A37" s="818"/>
      <c r="B37" s="815"/>
      <c r="C37" s="813"/>
      <c r="D37" s="813"/>
      <c r="E37" s="813"/>
      <c r="F37" s="813"/>
      <c r="G37" s="813"/>
      <c r="H37" s="813"/>
      <c r="I37" s="813"/>
      <c r="J37" s="813"/>
      <c r="K37" s="813"/>
      <c r="L37" s="813"/>
      <c r="M37" s="813"/>
      <c r="N37" s="813"/>
      <c r="O37" s="813"/>
      <c r="P37" s="813"/>
      <c r="Q37" s="813"/>
      <c r="R37" s="813"/>
      <c r="S37" s="1083"/>
      <c r="T37" s="820"/>
    </row>
    <row r="38" spans="1:26" ht="18" customHeight="1">
      <c r="A38" s="818"/>
      <c r="B38" s="838" t="s">
        <v>589</v>
      </c>
      <c r="C38" s="3239" t="s">
        <v>1865</v>
      </c>
      <c r="D38" s="3239"/>
      <c r="E38" s="3239"/>
      <c r="F38" s="3239"/>
      <c r="G38" s="3239"/>
      <c r="H38" s="3239"/>
      <c r="I38" s="3239"/>
      <c r="J38" s="3239"/>
      <c r="K38" s="3239"/>
      <c r="L38" s="3239"/>
      <c r="M38" s="2609"/>
      <c r="N38" s="813"/>
      <c r="O38" s="813"/>
      <c r="P38" s="813"/>
      <c r="Q38" s="813"/>
      <c r="R38" s="813"/>
      <c r="S38" s="1083"/>
      <c r="T38" s="820"/>
    </row>
    <row r="39" spans="1:26" ht="18" customHeight="1">
      <c r="A39" s="818"/>
      <c r="B39" s="838"/>
      <c r="C39" s="2607"/>
      <c r="D39" s="813"/>
      <c r="E39" s="813"/>
      <c r="F39" s="813"/>
      <c r="G39" s="3225">
        <f>G34</f>
        <v>0</v>
      </c>
      <c r="H39" s="3226"/>
      <c r="I39" s="2611" t="s">
        <v>1299</v>
      </c>
      <c r="J39" s="3275">
        <f>H36</f>
        <v>0</v>
      </c>
      <c r="K39" s="3277"/>
      <c r="L39" s="2611" t="s">
        <v>107</v>
      </c>
      <c r="M39" s="3234" t="str">
        <f>IF(ISBLANK(H36),"",G34/H36)</f>
        <v/>
      </c>
      <c r="N39" s="3235"/>
      <c r="O39" s="813" t="s">
        <v>92</v>
      </c>
      <c r="P39" s="2611"/>
      <c r="Q39" s="813"/>
      <c r="R39" s="813"/>
      <c r="S39" s="1083"/>
      <c r="T39" s="820"/>
      <c r="U39" s="843"/>
      <c r="V39" s="843"/>
      <c r="W39" s="811"/>
    </row>
    <row r="40" spans="1:26" ht="6" customHeight="1">
      <c r="A40" s="818"/>
      <c r="B40" s="815"/>
      <c r="C40" s="2607"/>
      <c r="D40" s="813"/>
      <c r="E40" s="813"/>
      <c r="F40" s="813"/>
      <c r="G40" s="813"/>
      <c r="H40" s="813"/>
      <c r="I40" s="813"/>
      <c r="J40" s="813"/>
      <c r="K40" s="813"/>
      <c r="L40" s="813"/>
      <c r="M40" s="813"/>
      <c r="N40" s="813"/>
      <c r="O40" s="813"/>
      <c r="P40" s="813"/>
      <c r="Q40" s="813"/>
      <c r="R40" s="813"/>
      <c r="S40" s="1083"/>
      <c r="T40" s="820"/>
      <c r="U40" s="1044"/>
      <c r="V40" s="1044"/>
      <c r="W40" s="1044"/>
    </row>
    <row r="41" spans="1:26" ht="18" customHeight="1">
      <c r="A41" s="818"/>
      <c r="B41" s="838" t="s">
        <v>641</v>
      </c>
      <c r="C41" s="2607" t="s">
        <v>1866</v>
      </c>
      <c r="D41" s="813"/>
      <c r="E41" s="813"/>
      <c r="F41" s="813"/>
      <c r="G41" s="813"/>
      <c r="H41" s="813"/>
      <c r="I41" s="813"/>
      <c r="J41" s="813"/>
      <c r="K41" s="813"/>
      <c r="L41" s="813"/>
      <c r="M41" s="813"/>
      <c r="N41" s="813"/>
      <c r="O41" s="813"/>
      <c r="P41" s="813"/>
      <c r="Q41" s="813"/>
      <c r="R41" s="813"/>
      <c r="S41" s="1083"/>
      <c r="T41" s="820"/>
      <c r="U41" s="820"/>
      <c r="V41" s="820"/>
      <c r="W41" s="820"/>
      <c r="X41" s="820"/>
      <c r="Y41" s="820"/>
      <c r="Z41" s="820"/>
    </row>
    <row r="42" spans="1:26" ht="18" customHeight="1">
      <c r="A42" s="818"/>
      <c r="B42" s="815"/>
      <c r="C42" s="2607"/>
      <c r="D42" s="813"/>
      <c r="E42" s="813"/>
      <c r="F42" s="813"/>
      <c r="G42" s="3234" t="str">
        <f>IF(ISBLANK(G32), "",H4)</f>
        <v/>
      </c>
      <c r="H42" s="3235"/>
      <c r="I42" s="2611" t="s">
        <v>653</v>
      </c>
      <c r="J42" s="3275" t="str">
        <f>IF(ISBLANK(G32), " ",P8)</f>
        <v xml:space="preserve"> </v>
      </c>
      <c r="K42" s="3277"/>
      <c r="L42" s="3219" t="s">
        <v>665</v>
      </c>
      <c r="M42" s="3220"/>
      <c r="N42" s="3275" t="str">
        <f>IF(ISBLANK(G32),"", (G42/J42))</f>
        <v/>
      </c>
      <c r="O42" s="3276"/>
      <c r="P42" s="813" t="s">
        <v>92</v>
      </c>
      <c r="Q42" s="813"/>
      <c r="R42" s="813"/>
      <c r="S42" s="1083"/>
      <c r="T42" s="820"/>
      <c r="U42" s="820"/>
      <c r="V42" s="820"/>
      <c r="W42" s="820"/>
      <c r="X42" s="820"/>
      <c r="Y42" s="820"/>
      <c r="Z42" s="820"/>
    </row>
    <row r="43" spans="1:26" ht="6" customHeight="1">
      <c r="A43" s="818"/>
      <c r="B43" s="815"/>
      <c r="C43" s="2607"/>
      <c r="D43" s="813"/>
      <c r="E43" s="813"/>
      <c r="F43" s="813"/>
      <c r="G43" s="813"/>
      <c r="H43" s="813"/>
      <c r="I43" s="813"/>
      <c r="J43" s="813"/>
      <c r="K43" s="813"/>
      <c r="L43" s="813"/>
      <c r="M43" s="813"/>
      <c r="N43" s="841"/>
      <c r="O43" s="841"/>
      <c r="P43" s="813"/>
      <c r="Q43" s="820"/>
      <c r="R43" s="820"/>
      <c r="S43" s="1083"/>
      <c r="T43" s="820"/>
      <c r="U43" s="820"/>
      <c r="V43" s="820"/>
      <c r="W43" s="820"/>
      <c r="X43" s="820"/>
      <c r="Y43" s="820"/>
      <c r="Z43" s="820"/>
    </row>
    <row r="44" spans="1:26" ht="18" customHeight="1">
      <c r="A44" s="818"/>
      <c r="B44" s="815" t="s">
        <v>642</v>
      </c>
      <c r="C44" s="2607" t="s">
        <v>1950</v>
      </c>
      <c r="D44" s="813"/>
      <c r="E44" s="813"/>
      <c r="F44" s="813"/>
      <c r="G44" s="813"/>
      <c r="H44" s="813"/>
      <c r="I44" s="813"/>
      <c r="J44" s="3278">
        <f>M21</f>
        <v>0</v>
      </c>
      <c r="K44" s="3278"/>
      <c r="L44" s="3278"/>
      <c r="M44" s="3278"/>
      <c r="N44" s="3278"/>
      <c r="O44" s="3278"/>
      <c r="P44" s="813"/>
      <c r="Q44" s="820"/>
      <c r="R44" s="820"/>
      <c r="S44" s="1083"/>
      <c r="T44" s="820"/>
      <c r="U44" s="820"/>
      <c r="V44" s="820"/>
      <c r="W44" s="820"/>
      <c r="X44" s="820"/>
      <c r="Y44" s="820"/>
      <c r="Z44" s="820"/>
    </row>
    <row r="45" spans="1:26" ht="6" customHeight="1">
      <c r="A45" s="818"/>
      <c r="B45" s="815"/>
      <c r="C45" s="2607"/>
      <c r="D45" s="813"/>
      <c r="E45" s="813"/>
      <c r="F45" s="813"/>
      <c r="G45" s="813"/>
      <c r="H45" s="813"/>
      <c r="I45" s="813"/>
      <c r="J45" s="813"/>
      <c r="K45" s="813"/>
      <c r="L45" s="813"/>
      <c r="M45" s="813"/>
      <c r="N45" s="841"/>
      <c r="O45" s="841"/>
      <c r="P45" s="813"/>
      <c r="Q45" s="820"/>
      <c r="R45" s="820"/>
      <c r="S45" s="1083"/>
      <c r="T45" s="820"/>
      <c r="U45" s="820"/>
      <c r="V45" s="820"/>
      <c r="W45" s="820"/>
      <c r="X45" s="820"/>
      <c r="Y45" s="820"/>
      <c r="Z45" s="820"/>
    </row>
    <row r="46" spans="1:26" ht="18" customHeight="1">
      <c r="A46" s="818"/>
      <c r="B46" s="815"/>
      <c r="C46" s="2607" t="s">
        <v>1951</v>
      </c>
      <c r="D46" s="813"/>
      <c r="E46" s="813"/>
      <c r="F46" s="813"/>
      <c r="G46" s="813"/>
      <c r="H46" s="813"/>
      <c r="I46" s="813"/>
      <c r="J46" s="813"/>
      <c r="K46" s="813"/>
      <c r="L46" s="813"/>
      <c r="M46" s="813"/>
      <c r="N46" s="841"/>
      <c r="O46" s="841"/>
      <c r="P46" s="813"/>
      <c r="Q46" s="820"/>
      <c r="R46" s="820"/>
      <c r="S46" s="1083"/>
      <c r="T46" s="820"/>
      <c r="U46" s="820"/>
      <c r="V46" s="820"/>
      <c r="W46" s="820"/>
      <c r="X46" s="820"/>
      <c r="Y46" s="820"/>
      <c r="Z46" s="820"/>
    </row>
    <row r="47" spans="1:26" ht="18" customHeight="1">
      <c r="A47" s="818"/>
      <c r="B47" s="815"/>
      <c r="C47" s="2607"/>
      <c r="D47" s="3236" t="str">
        <f>IF(J44="Serial distribution in 15% sections",(G34),"N/A")</f>
        <v>N/A</v>
      </c>
      <c r="E47" s="3238"/>
      <c r="F47" s="2611" t="s">
        <v>1954</v>
      </c>
      <c r="G47" s="3293">
        <v>0.15</v>
      </c>
      <c r="H47" s="3292"/>
      <c r="I47" s="2181" t="s">
        <v>102</v>
      </c>
      <c r="J47" s="3236" t="str">
        <f>IF((D47)="N/A","N/A ",D47*0.15)</f>
        <v xml:space="preserve">N/A </v>
      </c>
      <c r="K47" s="3238"/>
      <c r="L47" s="2611" t="s">
        <v>22</v>
      </c>
      <c r="M47" s="813"/>
      <c r="N47" s="841"/>
      <c r="O47" s="841"/>
      <c r="P47" s="813"/>
      <c r="Q47" s="820"/>
      <c r="R47" s="820"/>
      <c r="S47" s="1083"/>
      <c r="T47" s="820"/>
      <c r="U47" s="820"/>
      <c r="V47" s="820"/>
      <c r="W47" s="820"/>
      <c r="X47" s="820"/>
      <c r="Y47" s="820"/>
      <c r="Z47" s="820"/>
    </row>
    <row r="48" spans="1:26" ht="18" customHeight="1">
      <c r="A48" s="818"/>
      <c r="B48" s="815"/>
      <c r="C48" s="2607" t="s">
        <v>1953</v>
      </c>
      <c r="D48" s="813"/>
      <c r="E48" s="813"/>
      <c r="F48" s="813"/>
      <c r="G48" s="813"/>
      <c r="H48" s="813"/>
      <c r="I48" s="813"/>
      <c r="J48" s="813"/>
      <c r="K48" s="813"/>
      <c r="L48" s="813"/>
      <c r="M48" s="813"/>
      <c r="N48" s="813"/>
      <c r="O48" s="813"/>
      <c r="P48" s="813"/>
      <c r="Q48" s="820"/>
      <c r="R48" s="820"/>
      <c r="S48" s="1083"/>
      <c r="T48" s="820"/>
      <c r="U48" s="820"/>
      <c r="V48" s="820"/>
      <c r="W48" s="820"/>
      <c r="X48" s="820"/>
      <c r="Y48" s="820"/>
      <c r="Z48" s="820"/>
    </row>
    <row r="49" spans="1:27" ht="18" customHeight="1">
      <c r="A49" s="818"/>
      <c r="B49" s="815"/>
      <c r="C49" s="2607"/>
      <c r="D49" s="3236" t="str">
        <f>IF(J44="Serial distribution in 15% sections",(J47),"N/A")</f>
        <v>N/A</v>
      </c>
      <c r="E49" s="3238"/>
      <c r="F49" s="2611" t="s">
        <v>1299</v>
      </c>
      <c r="G49" s="3236" t="str">
        <f>IF(J44="Serial distribution in 15% sections",(H36),"N/A")</f>
        <v>N/A</v>
      </c>
      <c r="H49" s="3238"/>
      <c r="I49" s="813" t="s">
        <v>120</v>
      </c>
      <c r="J49" s="3236" t="str">
        <f>IF(J44="Serial distribution in 15% sections",(D49/H36),"N/A")</f>
        <v>N/A</v>
      </c>
      <c r="K49" s="3238"/>
      <c r="L49" s="813" t="s">
        <v>92</v>
      </c>
      <c r="M49" s="813"/>
      <c r="N49" s="813"/>
      <c r="O49" s="813"/>
      <c r="P49" s="813"/>
      <c r="Q49" s="820"/>
      <c r="R49" s="820"/>
      <c r="S49" s="1083"/>
      <c r="T49" s="820"/>
      <c r="U49" s="820"/>
      <c r="V49" s="820"/>
      <c r="W49" s="820"/>
      <c r="X49" s="820"/>
      <c r="Y49" s="820"/>
      <c r="Z49" s="820"/>
    </row>
    <row r="50" spans="1:27" ht="6" customHeight="1">
      <c r="A50" s="818"/>
      <c r="B50" s="815"/>
      <c r="C50" s="2607"/>
      <c r="D50" s="813"/>
      <c r="E50" s="813"/>
      <c r="F50" s="813"/>
      <c r="G50" s="813"/>
      <c r="H50" s="813"/>
      <c r="I50" s="813"/>
      <c r="J50" s="813"/>
      <c r="K50" s="813"/>
      <c r="L50" s="813"/>
      <c r="M50" s="813"/>
      <c r="N50" s="841"/>
      <c r="O50" s="841"/>
      <c r="P50" s="813"/>
      <c r="Q50" s="820"/>
      <c r="R50" s="820"/>
      <c r="S50" s="1083"/>
      <c r="T50" s="820"/>
      <c r="U50" s="820"/>
      <c r="V50" s="820"/>
      <c r="W50" s="820"/>
      <c r="X50" s="820"/>
      <c r="Y50" s="820"/>
      <c r="Z50" s="820"/>
    </row>
    <row r="51" spans="1:27" ht="18" customHeight="1">
      <c r="A51" s="818"/>
      <c r="B51" s="838" t="s">
        <v>643</v>
      </c>
      <c r="C51" s="2607" t="s">
        <v>1479</v>
      </c>
      <c r="D51" s="813"/>
      <c r="E51" s="813"/>
      <c r="F51" s="3234" t="str">
        <f>IF(ISBLANK(G32)," ",(M39/N42))</f>
        <v xml:space="preserve"> </v>
      </c>
      <c r="G51" s="3235"/>
      <c r="H51" s="813" t="s">
        <v>1956</v>
      </c>
      <c r="I51" s="813"/>
      <c r="J51" s="813"/>
      <c r="K51" s="813"/>
      <c r="L51" s="813"/>
      <c r="M51" s="813"/>
      <c r="N51" s="3279" t="str">
        <f>IF(J44="Serial distribution in 15% sections",(M39/J49),"N/A")</f>
        <v>N/A</v>
      </c>
      <c r="O51" s="3280"/>
      <c r="P51" s="820" t="s">
        <v>1955</v>
      </c>
      <c r="Q51" s="813"/>
      <c r="R51" s="813"/>
      <c r="S51" s="1083"/>
      <c r="T51" s="820"/>
    </row>
    <row r="52" spans="1:27" ht="18" customHeight="1">
      <c r="A52" s="818"/>
      <c r="B52" s="838"/>
      <c r="C52" s="2607"/>
      <c r="D52" s="820" t="s">
        <v>1952</v>
      </c>
      <c r="E52" s="820"/>
      <c r="F52" s="820"/>
      <c r="G52" s="2168"/>
      <c r="H52" s="2168"/>
      <c r="I52" s="3098"/>
      <c r="J52" s="3099"/>
      <c r="K52" s="813"/>
      <c r="L52" s="1047"/>
      <c r="M52" s="1260"/>
      <c r="N52" s="1260"/>
      <c r="O52" s="2361"/>
      <c r="P52" s="2580"/>
      <c r="Q52" s="1047"/>
      <c r="R52" s="813"/>
      <c r="S52" s="1083"/>
      <c r="T52" s="820"/>
    </row>
    <row r="53" spans="1:27" ht="18" customHeight="1">
      <c r="A53" s="818"/>
      <c r="B53" s="815" t="s">
        <v>644</v>
      </c>
      <c r="C53" s="2607" t="s">
        <v>1957</v>
      </c>
      <c r="D53" s="813"/>
      <c r="E53" s="813"/>
      <c r="F53" s="813"/>
      <c r="G53" s="813"/>
      <c r="H53" s="813"/>
      <c r="I53" s="813"/>
      <c r="J53" s="813"/>
      <c r="K53" s="813"/>
      <c r="L53" s="813"/>
      <c r="M53" s="813"/>
      <c r="N53" s="813"/>
      <c r="O53" s="813"/>
      <c r="P53" s="813"/>
      <c r="Q53" s="813"/>
      <c r="R53" s="813"/>
      <c r="S53" s="1083"/>
      <c r="T53" s="820"/>
      <c r="U53" s="1044"/>
      <c r="V53" s="1044"/>
      <c r="W53" s="1044"/>
      <c r="X53" s="1044"/>
      <c r="Y53" s="1044"/>
      <c r="Z53" s="1044"/>
      <c r="AA53" s="1044"/>
    </row>
    <row r="54" spans="1:27" ht="18" customHeight="1">
      <c r="A54" s="818"/>
      <c r="B54" s="815"/>
      <c r="C54" s="2607"/>
      <c r="D54" s="813"/>
      <c r="E54" s="813"/>
      <c r="F54" s="813"/>
      <c r="G54" s="3234" t="str">
        <f>IF(ISBLANK(G32), "",M39)</f>
        <v/>
      </c>
      <c r="H54" s="3235"/>
      <c r="I54" s="2611" t="s">
        <v>1480</v>
      </c>
      <c r="J54" s="3275" t="str">
        <f>IF(ISBLANK(G32), " ",I52)</f>
        <v xml:space="preserve"> </v>
      </c>
      <c r="K54" s="3277"/>
      <c r="L54" s="3219" t="s">
        <v>1481</v>
      </c>
      <c r="M54" s="3220"/>
      <c r="N54" s="3275" t="str">
        <f>IF(ISBLANK(G32),"", (G54/J54))</f>
        <v/>
      </c>
      <c r="O54" s="3276"/>
      <c r="P54" s="813" t="s">
        <v>92</v>
      </c>
      <c r="Q54" s="813"/>
      <c r="R54" s="813"/>
      <c r="S54" s="1083"/>
      <c r="T54" s="820"/>
      <c r="U54" s="820"/>
      <c r="V54" s="820"/>
      <c r="W54" s="820"/>
      <c r="X54" s="820"/>
      <c r="Y54" s="820"/>
      <c r="Z54" s="820"/>
    </row>
    <row r="55" spans="1:27" ht="6" customHeight="1">
      <c r="A55" s="818"/>
      <c r="B55" s="815"/>
      <c r="C55" s="2607"/>
      <c r="D55" s="813"/>
      <c r="E55" s="813"/>
      <c r="F55" s="813"/>
      <c r="G55" s="813"/>
      <c r="H55" s="813"/>
      <c r="I55" s="813"/>
      <c r="J55" s="813"/>
      <c r="K55" s="813"/>
      <c r="L55" s="813"/>
      <c r="M55" s="813"/>
      <c r="N55" s="813"/>
      <c r="O55" s="813"/>
      <c r="P55" s="813"/>
      <c r="Q55" s="813"/>
      <c r="R55" s="813"/>
      <c r="S55" s="1083"/>
      <c r="T55" s="820"/>
      <c r="U55" s="1044"/>
      <c r="V55" s="1044"/>
      <c r="W55" s="1044"/>
      <c r="X55" s="1044"/>
      <c r="Y55" s="1044"/>
      <c r="Z55" s="1044"/>
      <c r="AA55" s="1044"/>
    </row>
    <row r="56" spans="1:27" ht="18" customHeight="1">
      <c r="A56" s="818"/>
      <c r="B56" s="838" t="s">
        <v>710</v>
      </c>
      <c r="C56" s="2607" t="s">
        <v>1293</v>
      </c>
      <c r="D56" s="813"/>
      <c r="E56" s="813"/>
      <c r="F56" s="813"/>
      <c r="G56" s="3223"/>
      <c r="H56" s="3224"/>
      <c r="I56" s="813" t="s">
        <v>92</v>
      </c>
      <c r="J56" s="813" t="s">
        <v>227</v>
      </c>
      <c r="K56" s="813"/>
      <c r="L56" s="813"/>
      <c r="M56" s="813"/>
      <c r="N56" s="841"/>
      <c r="O56" s="841"/>
      <c r="P56" s="2611"/>
      <c r="Q56" s="813"/>
      <c r="R56" s="813"/>
      <c r="S56" s="1083"/>
      <c r="T56" s="820"/>
    </row>
    <row r="57" spans="1:27" ht="6" customHeight="1">
      <c r="A57" s="818"/>
      <c r="B57" s="815"/>
      <c r="C57" s="2607"/>
      <c r="D57" s="813"/>
      <c r="E57" s="813"/>
      <c r="F57" s="813"/>
      <c r="G57" s="813"/>
      <c r="H57" s="813"/>
      <c r="I57" s="813"/>
      <c r="J57" s="813"/>
      <c r="K57" s="813"/>
      <c r="L57" s="813"/>
      <c r="M57" s="813"/>
      <c r="N57" s="841"/>
      <c r="O57" s="841"/>
      <c r="P57" s="813"/>
      <c r="Q57" s="813"/>
      <c r="R57" s="813"/>
      <c r="S57" s="1083"/>
      <c r="T57" s="820"/>
    </row>
    <row r="58" spans="1:27" ht="18" customHeight="1">
      <c r="A58" s="818"/>
      <c r="B58" s="815" t="s">
        <v>711</v>
      </c>
      <c r="C58" s="2607" t="s">
        <v>1867</v>
      </c>
      <c r="D58" s="813"/>
      <c r="E58" s="813"/>
      <c r="F58" s="813"/>
      <c r="G58" s="813"/>
      <c r="H58" s="813"/>
      <c r="I58" s="813"/>
      <c r="J58" s="813"/>
      <c r="K58" s="813"/>
      <c r="L58" s="813"/>
      <c r="M58" s="813"/>
      <c r="N58" s="841"/>
      <c r="O58" s="841"/>
      <c r="P58" s="813"/>
      <c r="Q58" s="813"/>
      <c r="R58" s="813"/>
      <c r="S58" s="1083"/>
      <c r="T58" s="820"/>
    </row>
    <row r="59" spans="1:27" ht="18" customHeight="1">
      <c r="A59" s="818"/>
      <c r="B59" s="815"/>
      <c r="C59" s="813"/>
      <c r="D59" s="813"/>
      <c r="E59" s="813"/>
      <c r="F59" s="813"/>
      <c r="G59" s="3234" t="str">
        <f>M39</f>
        <v/>
      </c>
      <c r="H59" s="3235"/>
      <c r="I59" s="2611" t="s">
        <v>123</v>
      </c>
      <c r="J59" s="3234" t="str">
        <f>IF(ISBLANK(G56), " ", G56)</f>
        <v xml:space="preserve"> </v>
      </c>
      <c r="K59" s="3235"/>
      <c r="L59" s="2611" t="s">
        <v>118</v>
      </c>
      <c r="M59" s="813"/>
      <c r="N59" s="3234" t="str">
        <f>IF(ISBLANK(G56), " ", (M39*G56))</f>
        <v xml:space="preserve"> </v>
      </c>
      <c r="O59" s="3281"/>
      <c r="P59" s="813" t="s">
        <v>23</v>
      </c>
      <c r="Q59" s="841"/>
      <c r="R59" s="820"/>
      <c r="S59" s="1083"/>
      <c r="T59" s="816"/>
    </row>
    <row r="60" spans="1:27" s="1044" customFormat="1" ht="6" customHeight="1">
      <c r="A60" s="2666"/>
      <c r="B60" s="1046"/>
      <c r="C60" s="820"/>
      <c r="D60" s="820"/>
      <c r="E60" s="820"/>
      <c r="F60" s="820"/>
      <c r="G60" s="2168"/>
      <c r="H60" s="2168"/>
      <c r="I60" s="2605"/>
      <c r="J60" s="2168"/>
      <c r="K60" s="2168"/>
      <c r="L60" s="2605"/>
      <c r="M60" s="820"/>
      <c r="N60" s="2168"/>
      <c r="O60" s="2169"/>
      <c r="P60" s="820"/>
      <c r="Q60" s="2170"/>
      <c r="R60" s="820"/>
      <c r="S60" s="1083"/>
      <c r="T60" s="816"/>
    </row>
    <row r="61" spans="1:27" s="820" customFormat="1" ht="18" customHeight="1" thickBot="1">
      <c r="A61" s="2171"/>
      <c r="B61" s="1396"/>
      <c r="C61" s="1397"/>
      <c r="D61" s="1397"/>
      <c r="E61" s="1397"/>
      <c r="F61" s="1397"/>
      <c r="G61" s="2172"/>
      <c r="H61" s="2172"/>
      <c r="I61" s="834"/>
      <c r="J61" s="2172"/>
      <c r="K61" s="2172"/>
      <c r="L61" s="834"/>
      <c r="M61" s="1397"/>
      <c r="N61" s="2172"/>
      <c r="O61" s="2173"/>
      <c r="P61" s="1397"/>
      <c r="Q61" s="2174"/>
      <c r="R61" s="1397"/>
      <c r="S61" s="1045"/>
      <c r="T61" s="816"/>
    </row>
    <row r="62" spans="1:27" ht="6" customHeight="1" thickBot="1">
      <c r="A62" s="2551"/>
      <c r="B62" s="815"/>
      <c r="C62" s="2607"/>
      <c r="D62" s="813"/>
      <c r="E62" s="813"/>
      <c r="F62" s="813"/>
      <c r="G62" s="813"/>
      <c r="H62" s="813"/>
      <c r="I62" s="813"/>
      <c r="J62" s="813"/>
      <c r="K62" s="813"/>
      <c r="L62" s="813"/>
      <c r="M62" s="813"/>
      <c r="N62" s="841"/>
      <c r="O62" s="841"/>
      <c r="P62" s="813"/>
      <c r="Q62" s="820"/>
      <c r="R62" s="820"/>
      <c r="S62" s="820"/>
      <c r="T62" s="820"/>
      <c r="U62" s="820"/>
      <c r="V62" s="820"/>
      <c r="W62" s="820"/>
      <c r="X62" s="820"/>
      <c r="Y62" s="820"/>
      <c r="Z62" s="820"/>
    </row>
    <row r="63" spans="1:27" ht="17.25" customHeight="1" thickBot="1">
      <c r="A63" s="2178" t="s">
        <v>142</v>
      </c>
      <c r="B63" s="2179"/>
      <c r="C63" s="2179" t="s">
        <v>1933</v>
      </c>
      <c r="D63" s="2525"/>
      <c r="E63" s="2525"/>
      <c r="F63" s="2525"/>
      <c r="G63" s="2525"/>
      <c r="H63" s="2525"/>
      <c r="I63" s="2525"/>
      <c r="J63" s="2525"/>
      <c r="K63" s="2525"/>
      <c r="L63" s="2525"/>
      <c r="M63" s="2525"/>
      <c r="N63" s="3230" t="s">
        <v>1016</v>
      </c>
      <c r="O63" s="3230"/>
      <c r="P63" s="3231" t="str">
        <f>J2</f>
        <v xml:space="preserve"> </v>
      </c>
      <c r="Q63" s="3231"/>
      <c r="R63" s="3231"/>
      <c r="S63" s="2527"/>
      <c r="T63" s="820"/>
      <c r="U63" s="820"/>
      <c r="V63" s="820"/>
      <c r="W63" s="820"/>
      <c r="X63" s="820"/>
      <c r="Y63" s="820"/>
      <c r="Z63" s="820"/>
    </row>
    <row r="64" spans="1:27" ht="9" customHeight="1">
      <c r="A64" s="2165"/>
      <c r="B64" s="815"/>
      <c r="C64" s="815"/>
      <c r="D64" s="813"/>
      <c r="E64" s="813"/>
      <c r="F64" s="813"/>
      <c r="G64" s="813"/>
      <c r="H64" s="813"/>
      <c r="I64" s="813"/>
      <c r="J64" s="813"/>
      <c r="K64" s="813"/>
      <c r="L64" s="813"/>
      <c r="M64" s="813"/>
      <c r="N64" s="841"/>
      <c r="O64" s="841"/>
      <c r="P64" s="813"/>
      <c r="Q64" s="820"/>
      <c r="R64" s="820"/>
      <c r="S64" s="1083"/>
      <c r="T64" s="820"/>
      <c r="U64" s="820"/>
      <c r="V64" s="820"/>
      <c r="W64" s="820"/>
      <c r="X64" s="820"/>
      <c r="Y64" s="820"/>
      <c r="Z64" s="820"/>
    </row>
    <row r="65" spans="1:26" ht="18" customHeight="1">
      <c r="A65" s="818"/>
      <c r="B65" s="838" t="s">
        <v>147</v>
      </c>
      <c r="C65" s="2607" t="s">
        <v>1294</v>
      </c>
      <c r="D65" s="813"/>
      <c r="E65" s="813"/>
      <c r="F65" s="813"/>
      <c r="G65" s="813"/>
      <c r="H65" s="813"/>
      <c r="I65" s="813"/>
      <c r="J65" s="813"/>
      <c r="K65" s="3258"/>
      <c r="L65" s="3258"/>
      <c r="M65" s="813" t="s">
        <v>92</v>
      </c>
      <c r="N65" s="2099" t="s">
        <v>1336</v>
      </c>
      <c r="O65" s="841"/>
      <c r="P65" s="2611"/>
      <c r="Q65" s="813"/>
      <c r="R65" s="813"/>
      <c r="S65" s="1083"/>
      <c r="T65" s="847"/>
    </row>
    <row r="66" spans="1:26" ht="6" customHeight="1">
      <c r="A66" s="818"/>
      <c r="B66" s="815"/>
      <c r="C66" s="813"/>
      <c r="D66" s="813"/>
      <c r="E66" s="813"/>
      <c r="F66" s="813"/>
      <c r="G66" s="982"/>
      <c r="H66" s="982"/>
      <c r="I66" s="813"/>
      <c r="J66" s="2607"/>
      <c r="K66" s="813"/>
      <c r="L66" s="813"/>
      <c r="M66" s="813"/>
      <c r="N66" s="813"/>
      <c r="O66" s="813"/>
      <c r="P66" s="813"/>
      <c r="Q66" s="813"/>
      <c r="R66" s="813"/>
      <c r="S66" s="1083"/>
      <c r="T66" s="820"/>
    </row>
    <row r="67" spans="1:26" ht="18" customHeight="1">
      <c r="A67" s="818"/>
      <c r="B67" s="838" t="s">
        <v>631</v>
      </c>
      <c r="C67" s="813" t="s">
        <v>1864</v>
      </c>
      <c r="D67" s="813"/>
      <c r="E67" s="813"/>
      <c r="F67" s="813"/>
      <c r="G67" s="813"/>
      <c r="H67" s="813"/>
      <c r="I67" s="813"/>
      <c r="J67" s="813"/>
      <c r="K67" s="813"/>
      <c r="L67" s="813"/>
      <c r="M67" s="813"/>
      <c r="N67" s="813"/>
      <c r="O67" s="813"/>
      <c r="P67" s="813"/>
      <c r="Q67" s="813"/>
      <c r="R67" s="813"/>
      <c r="S67" s="1395"/>
      <c r="T67" s="843"/>
    </row>
    <row r="68" spans="1:26" ht="18" customHeight="1">
      <c r="A68" s="818"/>
      <c r="B68" s="839" t="s">
        <v>310</v>
      </c>
      <c r="C68" s="3221" t="str">
        <f>IF(G14="ROCK",G32/12," ")</f>
        <v xml:space="preserve"> </v>
      </c>
      <c r="D68" s="3222"/>
      <c r="E68" s="2611" t="s">
        <v>124</v>
      </c>
      <c r="F68" s="3221" t="str">
        <f>IF(G14="ROCK",K65," ")</f>
        <v xml:space="preserve"> </v>
      </c>
      <c r="G68" s="3222"/>
      <c r="H68" s="2607" t="s">
        <v>655</v>
      </c>
      <c r="I68" s="3225" t="str">
        <f>IF(G14="ROCK", G34,"")</f>
        <v/>
      </c>
      <c r="J68" s="3226"/>
      <c r="K68" s="2611" t="s">
        <v>656</v>
      </c>
      <c r="L68" s="3225" t="str">
        <f>IF(G14="ROCK",(C68+F68)*I68," ")</f>
        <v xml:space="preserve"> </v>
      </c>
      <c r="M68" s="3226"/>
      <c r="N68" s="813" t="s">
        <v>24</v>
      </c>
      <c r="O68" s="1221" t="s">
        <v>1473</v>
      </c>
      <c r="P68" s="3225" t="str">
        <f>IF(G14="ROCK",(L68/27)," ")</f>
        <v xml:space="preserve"> </v>
      </c>
      <c r="Q68" s="3226"/>
      <c r="R68" s="813" t="s">
        <v>25</v>
      </c>
      <c r="S68" s="1083"/>
      <c r="T68" s="843"/>
    </row>
    <row r="69" spans="1:26" ht="6" customHeight="1">
      <c r="A69" s="818"/>
      <c r="B69" s="815"/>
      <c r="C69" s="813"/>
      <c r="D69" s="813"/>
      <c r="E69" s="813"/>
      <c r="F69" s="813"/>
      <c r="G69" s="813"/>
      <c r="H69" s="813"/>
      <c r="I69" s="813"/>
      <c r="J69" s="813"/>
      <c r="K69" s="813"/>
      <c r="L69" s="813"/>
      <c r="M69" s="813"/>
      <c r="N69" s="813"/>
      <c r="O69" s="813"/>
      <c r="P69" s="813"/>
      <c r="Q69" s="820"/>
      <c r="R69" s="820"/>
      <c r="S69" s="1083"/>
      <c r="T69" s="820"/>
    </row>
    <row r="70" spans="1:26" ht="5.0999999999999996" customHeight="1" thickBot="1">
      <c r="A70" s="1041"/>
      <c r="B70" s="1396"/>
      <c r="C70" s="1397"/>
      <c r="D70" s="1397"/>
      <c r="E70" s="1397"/>
      <c r="F70" s="1397"/>
      <c r="G70" s="1398"/>
      <c r="H70" s="1398"/>
      <c r="I70" s="834"/>
      <c r="J70" s="834"/>
      <c r="K70" s="834"/>
      <c r="L70" s="1399"/>
      <c r="M70" s="1399"/>
      <c r="N70" s="1397"/>
      <c r="O70" s="1397"/>
      <c r="P70" s="1397"/>
      <c r="Q70" s="1400"/>
      <c r="R70" s="1400"/>
      <c r="S70" s="1045"/>
      <c r="T70" s="811"/>
    </row>
    <row r="71" spans="1:26" ht="5.0999999999999996" customHeight="1" thickBot="1">
      <c r="A71" s="818"/>
      <c r="B71" s="1046"/>
      <c r="C71" s="820"/>
      <c r="D71" s="820"/>
      <c r="E71" s="820"/>
      <c r="F71" s="820"/>
      <c r="G71" s="2166"/>
      <c r="H71" s="2166"/>
      <c r="I71" s="2707"/>
      <c r="J71" s="2707"/>
      <c r="K71" s="2707"/>
      <c r="L71" s="814"/>
      <c r="M71" s="814"/>
      <c r="N71" s="820"/>
      <c r="O71" s="820"/>
      <c r="P71" s="820"/>
      <c r="Q71" s="2167"/>
      <c r="R71" s="2167"/>
      <c r="S71" s="1083"/>
      <c r="T71" s="2161"/>
    </row>
    <row r="72" spans="1:26" ht="18" customHeight="1" thickBot="1">
      <c r="A72" s="2178" t="s">
        <v>91</v>
      </c>
      <c r="B72" s="2179"/>
      <c r="C72" s="2179" t="s">
        <v>1934</v>
      </c>
      <c r="D72" s="2525"/>
      <c r="E72" s="2525"/>
      <c r="F72" s="2525"/>
      <c r="G72" s="2525"/>
      <c r="H72" s="2525"/>
      <c r="I72" s="2525"/>
      <c r="J72" s="2525"/>
      <c r="K72" s="2525"/>
      <c r="L72" s="2525"/>
      <c r="M72" s="2525"/>
      <c r="N72" s="2526"/>
      <c r="O72" s="2526"/>
      <c r="P72" s="2525"/>
      <c r="Q72" s="2525"/>
      <c r="R72" s="2525"/>
      <c r="S72" s="2527"/>
      <c r="T72" s="2161"/>
    </row>
    <row r="73" spans="1:26" ht="9" customHeight="1">
      <c r="A73" s="818"/>
      <c r="B73" s="1046"/>
      <c r="C73" s="820"/>
      <c r="D73" s="820"/>
      <c r="E73" s="820"/>
      <c r="F73" s="820"/>
      <c r="G73" s="2166"/>
      <c r="H73" s="2166"/>
      <c r="I73" s="2707"/>
      <c r="J73" s="2707"/>
      <c r="K73" s="2707"/>
      <c r="L73" s="814"/>
      <c r="M73" s="814"/>
      <c r="N73" s="820"/>
      <c r="O73" s="820"/>
      <c r="P73" s="820"/>
      <c r="Q73" s="2167"/>
      <c r="R73" s="2167"/>
      <c r="S73" s="1083"/>
      <c r="T73" s="2161"/>
    </row>
    <row r="74" spans="1:26" ht="21" customHeight="1">
      <c r="A74" s="818"/>
      <c r="B74" s="1046" t="s">
        <v>147</v>
      </c>
      <c r="C74" s="820" t="s">
        <v>1088</v>
      </c>
      <c r="D74" s="820"/>
      <c r="E74" s="820"/>
      <c r="F74" s="3236" t="str">
        <f>IF(G14="REGISTERED PRODUCT:",L14," ")</f>
        <v xml:space="preserve"> </v>
      </c>
      <c r="G74" s="3237"/>
      <c r="H74" s="3237"/>
      <c r="I74" s="3237"/>
      <c r="J74" s="3238"/>
      <c r="K74" s="3291" t="s">
        <v>1935</v>
      </c>
      <c r="L74" s="3292"/>
      <c r="M74" s="3227"/>
      <c r="N74" s="3228"/>
      <c r="O74" s="3228"/>
      <c r="P74" s="3228"/>
      <c r="Q74" s="3228"/>
      <c r="R74" s="3229"/>
      <c r="S74" s="1083"/>
      <c r="T74" s="2161"/>
    </row>
    <row r="75" spans="1:26" ht="6" customHeight="1">
      <c r="A75" s="818"/>
      <c r="B75" s="1046"/>
      <c r="C75" s="820"/>
      <c r="D75" s="820"/>
      <c r="E75" s="820"/>
      <c r="F75" s="820"/>
      <c r="G75" s="2166"/>
      <c r="H75" s="2166"/>
      <c r="I75" s="2707"/>
      <c r="J75" s="2707"/>
      <c r="K75" s="2707"/>
      <c r="L75" s="814"/>
      <c r="M75" s="814"/>
      <c r="N75" s="820"/>
      <c r="O75" s="820"/>
      <c r="P75" s="820"/>
      <c r="Q75" s="2167"/>
      <c r="R75" s="2167"/>
      <c r="S75" s="1083"/>
      <c r="T75" s="2161"/>
    </row>
    <row r="76" spans="1:26" ht="18" customHeight="1">
      <c r="A76" s="818"/>
      <c r="B76" s="815" t="s">
        <v>631</v>
      </c>
      <c r="C76" s="813" t="s">
        <v>2131</v>
      </c>
      <c r="D76" s="813"/>
      <c r="E76" s="813"/>
      <c r="F76" s="813"/>
      <c r="G76" s="816"/>
      <c r="H76" s="3223"/>
      <c r="I76" s="3224"/>
      <c r="J76" s="813" t="s">
        <v>92</v>
      </c>
      <c r="K76" s="813"/>
      <c r="L76" s="813"/>
      <c r="M76" s="813"/>
      <c r="N76" s="820"/>
      <c r="O76" s="820"/>
      <c r="P76" s="3206" t="s">
        <v>1801</v>
      </c>
      <c r="Q76" s="3206"/>
      <c r="R76" s="3206"/>
      <c r="S76" s="3207"/>
      <c r="T76" s="811"/>
    </row>
    <row r="77" spans="1:26" ht="6" customHeight="1">
      <c r="A77" s="818"/>
      <c r="B77" s="815"/>
      <c r="C77" s="813"/>
      <c r="D77" s="813"/>
      <c r="E77" s="813"/>
      <c r="F77" s="813"/>
      <c r="G77" s="816"/>
      <c r="H77" s="816"/>
      <c r="I77" s="2707"/>
      <c r="J77" s="2707"/>
      <c r="K77" s="2707"/>
      <c r="L77" s="814"/>
      <c r="M77" s="814"/>
      <c r="N77" s="813"/>
      <c r="O77" s="813"/>
      <c r="P77" s="3206"/>
      <c r="Q77" s="3206"/>
      <c r="R77" s="3206"/>
      <c r="S77" s="3207"/>
      <c r="T77" s="811"/>
    </row>
    <row r="78" spans="1:26" ht="18" customHeight="1">
      <c r="A78" s="818"/>
      <c r="B78" s="815" t="s">
        <v>149</v>
      </c>
      <c r="C78" s="2705" t="s">
        <v>2132</v>
      </c>
      <c r="D78" s="813"/>
      <c r="E78" s="813"/>
      <c r="F78" s="813"/>
      <c r="G78" s="813"/>
      <c r="H78" s="813"/>
      <c r="I78" s="813"/>
      <c r="J78" s="813"/>
      <c r="K78" s="813"/>
      <c r="L78" s="813"/>
      <c r="M78" s="813"/>
      <c r="N78" s="813"/>
      <c r="O78" s="813"/>
      <c r="P78" s="3206"/>
      <c r="Q78" s="3206"/>
      <c r="R78" s="3206"/>
      <c r="S78" s="3207"/>
      <c r="T78" s="820"/>
      <c r="U78" s="820"/>
      <c r="V78" s="820"/>
      <c r="W78" s="820"/>
      <c r="X78" s="820"/>
      <c r="Y78" s="820"/>
      <c r="Z78" s="820"/>
    </row>
    <row r="79" spans="1:26" ht="18" customHeight="1">
      <c r="A79" s="818"/>
      <c r="B79" s="815"/>
      <c r="C79" s="2705"/>
      <c r="D79" s="3234">
        <f>H76</f>
        <v>0</v>
      </c>
      <c r="E79" s="3235"/>
      <c r="F79" s="3219" t="s">
        <v>2087</v>
      </c>
      <c r="G79" s="3239"/>
      <c r="H79" s="3275" t="str">
        <f>M39</f>
        <v/>
      </c>
      <c r="I79" s="3277"/>
      <c r="J79" s="813" t="s">
        <v>2086</v>
      </c>
      <c r="K79" s="813"/>
      <c r="L79" s="2706"/>
      <c r="M79" s="3232" t="str">
        <f>IF(G14="Registered Product:",(D79-H79)," ")</f>
        <v xml:space="preserve"> </v>
      </c>
      <c r="N79" s="3233"/>
      <c r="O79" s="813" t="s">
        <v>92</v>
      </c>
      <c r="P79" s="3206"/>
      <c r="Q79" s="3206"/>
      <c r="R79" s="3206"/>
      <c r="S79" s="3207"/>
      <c r="X79" s="820"/>
      <c r="Y79" s="820"/>
      <c r="Z79" s="820"/>
    </row>
    <row r="80" spans="1:26" ht="24.9" customHeight="1" thickBot="1">
      <c r="A80" s="1041"/>
      <c r="B80" s="836"/>
      <c r="C80" s="2720"/>
      <c r="D80" s="1042"/>
      <c r="E80" s="1042"/>
      <c r="F80" s="1042"/>
      <c r="G80" s="1042"/>
      <c r="H80" s="1042"/>
      <c r="I80" s="1042"/>
      <c r="J80" s="1042"/>
      <c r="K80" s="1042"/>
      <c r="L80" s="1042"/>
      <c r="M80" s="1042"/>
      <c r="N80" s="2721"/>
      <c r="O80" s="2721"/>
      <c r="P80" s="3208"/>
      <c r="Q80" s="3208"/>
      <c r="R80" s="3208"/>
      <c r="S80" s="3209"/>
      <c r="T80" s="820"/>
      <c r="U80" s="820"/>
      <c r="V80" s="820"/>
      <c r="W80" s="820"/>
      <c r="X80" s="820"/>
      <c r="Y80" s="820"/>
      <c r="Z80" s="820"/>
    </row>
    <row r="81" spans="1:26" ht="18" customHeight="1" thickBot="1">
      <c r="A81" s="2722" t="s">
        <v>93</v>
      </c>
      <c r="B81" s="2175"/>
      <c r="C81" s="2175" t="s">
        <v>2095</v>
      </c>
      <c r="D81" s="2176"/>
      <c r="E81" s="2176"/>
      <c r="F81" s="2176"/>
      <c r="G81" s="2176"/>
      <c r="H81" s="2176"/>
      <c r="I81" s="2176"/>
      <c r="J81" s="2176"/>
      <c r="K81" s="2176"/>
      <c r="L81" s="2176"/>
      <c r="M81" s="2176"/>
      <c r="N81" s="2180"/>
      <c r="O81" s="2180"/>
      <c r="P81" s="2176"/>
      <c r="Q81" s="2176"/>
      <c r="R81" s="2176"/>
      <c r="S81" s="2177"/>
      <c r="T81" s="2523"/>
    </row>
    <row r="82" spans="1:26" ht="24.9" customHeight="1">
      <c r="A82" s="818"/>
      <c r="B82" s="815"/>
      <c r="C82" s="813"/>
      <c r="D82" s="813"/>
      <c r="E82" s="813"/>
      <c r="F82" s="813"/>
      <c r="G82" s="813"/>
      <c r="H82" s="813"/>
      <c r="I82" s="813"/>
      <c r="J82" s="813"/>
      <c r="K82" s="813"/>
      <c r="L82" s="813"/>
      <c r="M82" s="813"/>
      <c r="N82" s="841"/>
      <c r="O82" s="841"/>
      <c r="P82" s="813"/>
      <c r="Q82" s="820"/>
      <c r="R82" s="820"/>
      <c r="S82" s="1083"/>
      <c r="T82" s="820"/>
      <c r="U82" s="820"/>
      <c r="V82" s="820"/>
      <c r="W82" s="820"/>
      <c r="X82" s="820"/>
      <c r="Y82" s="820"/>
      <c r="Z82" s="820"/>
    </row>
    <row r="83" spans="1:26" ht="18" customHeight="1">
      <c r="A83" s="818"/>
      <c r="B83" s="815"/>
      <c r="C83" s="3241" t="s">
        <v>2094</v>
      </c>
      <c r="D83" s="3241"/>
      <c r="E83" s="3241"/>
      <c r="F83" s="813"/>
      <c r="G83" s="813"/>
      <c r="H83" s="813"/>
      <c r="I83" s="813"/>
      <c r="J83" s="813"/>
      <c r="K83" s="3246">
        <f>H36*12</f>
        <v>0</v>
      </c>
      <c r="L83" s="3247"/>
      <c r="M83" s="813" t="s">
        <v>2090</v>
      </c>
      <c r="N83" s="813"/>
      <c r="O83" s="813"/>
      <c r="P83" s="813"/>
      <c r="Q83" s="820"/>
      <c r="R83" s="820"/>
      <c r="S83" s="1083"/>
      <c r="T83" s="820"/>
      <c r="U83" s="820"/>
      <c r="V83" s="820"/>
      <c r="W83" s="820"/>
      <c r="X83" s="820"/>
      <c r="Y83" s="820"/>
      <c r="Z83" s="820"/>
    </row>
    <row r="84" spans="1:26" ht="11.1" customHeight="1">
      <c r="A84" s="818"/>
      <c r="B84" s="815"/>
      <c r="C84" s="3241"/>
      <c r="D84" s="3241"/>
      <c r="E84" s="3241"/>
      <c r="F84" s="813"/>
      <c r="G84" s="813"/>
      <c r="H84" s="813"/>
      <c r="I84" s="813"/>
      <c r="J84" s="813"/>
      <c r="K84" s="2607"/>
      <c r="L84" s="813"/>
      <c r="M84" s="813"/>
      <c r="N84" s="841"/>
      <c r="O84" s="841"/>
      <c r="P84" s="813"/>
      <c r="Q84" s="820"/>
      <c r="R84" s="820"/>
      <c r="S84" s="1083"/>
      <c r="T84" s="820"/>
      <c r="U84" s="820"/>
      <c r="V84" s="820"/>
      <c r="W84" s="820"/>
      <c r="X84" s="820"/>
      <c r="Y84" s="820"/>
      <c r="Z84" s="820"/>
    </row>
    <row r="85" spans="1:26" ht="24.9" customHeight="1">
      <c r="A85" s="818"/>
      <c r="B85" s="815"/>
      <c r="C85" s="813"/>
      <c r="D85" s="813"/>
      <c r="E85" s="813"/>
      <c r="F85" s="813"/>
      <c r="G85" s="813"/>
      <c r="H85" s="813"/>
      <c r="I85" s="813"/>
      <c r="J85" s="813"/>
      <c r="K85" s="3206" t="s">
        <v>2091</v>
      </c>
      <c r="L85" s="3206"/>
      <c r="M85" s="3206"/>
      <c r="N85" s="813"/>
      <c r="O85" s="841"/>
      <c r="P85" s="813"/>
      <c r="Q85" s="820"/>
      <c r="R85" s="820"/>
      <c r="S85" s="1083"/>
      <c r="T85" s="820"/>
      <c r="U85" s="820"/>
      <c r="V85" s="820"/>
      <c r="W85" s="820"/>
      <c r="X85" s="820"/>
      <c r="Y85" s="820"/>
      <c r="Z85" s="820"/>
    </row>
    <row r="86" spans="1:26" ht="11.1" customHeight="1">
      <c r="A86" s="818"/>
      <c r="B86" s="815"/>
      <c r="C86" s="2607"/>
      <c r="D86" s="813"/>
      <c r="E86" s="813"/>
      <c r="F86" s="813"/>
      <c r="G86" s="813"/>
      <c r="H86" s="813"/>
      <c r="I86" s="813"/>
      <c r="J86" s="813"/>
      <c r="K86" s="813"/>
      <c r="L86" s="813"/>
      <c r="M86" s="813"/>
      <c r="N86" s="841"/>
      <c r="O86" s="841"/>
      <c r="P86" s="813"/>
      <c r="Q86" s="820"/>
      <c r="R86" s="820"/>
      <c r="S86" s="1083"/>
      <c r="T86" s="820"/>
      <c r="U86" s="820"/>
      <c r="V86" s="820"/>
      <c r="W86" s="820"/>
    </row>
    <row r="87" spans="1:26" ht="18" customHeight="1">
      <c r="A87" s="818"/>
      <c r="B87" s="815"/>
      <c r="C87" s="3234" t="str">
        <f>IF(G14="Rock",M39,(IF(G14="REGISTERED PRODUCT:",H76," ")))</f>
        <v xml:space="preserve"> </v>
      </c>
      <c r="D87" s="3247"/>
      <c r="E87" s="813"/>
      <c r="F87" s="813"/>
      <c r="G87" s="813"/>
      <c r="H87" s="813"/>
      <c r="I87" s="813"/>
      <c r="J87" s="813"/>
      <c r="K87" s="3246">
        <f>G32</f>
        <v>0</v>
      </c>
      <c r="L87" s="3247"/>
      <c r="M87" s="813" t="s">
        <v>2088</v>
      </c>
      <c r="N87" s="813"/>
      <c r="O87" s="813"/>
      <c r="P87" s="813"/>
      <c r="Q87" s="813"/>
      <c r="R87" s="820"/>
      <c r="S87" s="1083"/>
      <c r="T87" s="820"/>
      <c r="U87" s="820"/>
      <c r="V87" s="820"/>
      <c r="W87" s="820"/>
    </row>
    <row r="88" spans="1:26" ht="11.1" customHeight="1">
      <c r="A88" s="818"/>
      <c r="B88" s="815"/>
      <c r="C88" s="3290" t="s">
        <v>2092</v>
      </c>
      <c r="D88" s="3290"/>
      <c r="E88" s="813"/>
      <c r="F88" s="813"/>
      <c r="G88" s="813"/>
      <c r="H88" s="813"/>
      <c r="I88" s="813"/>
      <c r="J88" s="813"/>
      <c r="K88" s="813"/>
      <c r="L88" s="813"/>
      <c r="M88" s="813"/>
      <c r="N88" s="841"/>
      <c r="O88" s="841"/>
      <c r="P88" s="813"/>
      <c r="Q88" s="820"/>
      <c r="R88" s="820"/>
      <c r="S88" s="1083"/>
      <c r="T88" s="820"/>
      <c r="U88" s="820"/>
      <c r="V88" s="820"/>
      <c r="W88" s="820"/>
      <c r="X88" s="820"/>
      <c r="Y88" s="820"/>
      <c r="Z88" s="820"/>
    </row>
    <row r="89" spans="1:26" ht="18" customHeight="1">
      <c r="A89" s="818"/>
      <c r="B89" s="815"/>
      <c r="C89" s="813"/>
      <c r="D89" s="813"/>
      <c r="E89" s="813"/>
      <c r="F89" s="813"/>
      <c r="G89" s="813"/>
      <c r="H89" s="813"/>
      <c r="I89" s="813"/>
      <c r="J89" s="813"/>
      <c r="K89" s="3294">
        <f>P6</f>
        <v>0</v>
      </c>
      <c r="L89" s="3247"/>
      <c r="M89" s="813" t="s">
        <v>2096</v>
      </c>
      <c r="N89" s="841"/>
      <c r="O89" s="841"/>
      <c r="P89" s="813"/>
      <c r="Q89" s="820"/>
      <c r="R89" s="820"/>
      <c r="S89" s="1083"/>
      <c r="T89" s="820"/>
      <c r="U89" s="820"/>
      <c r="V89" s="820"/>
      <c r="W89" s="820"/>
      <c r="X89" s="820"/>
      <c r="Y89" s="820"/>
      <c r="Z89" s="820"/>
    </row>
    <row r="90" spans="1:26" ht="11.1" customHeight="1">
      <c r="A90" s="818"/>
      <c r="B90" s="815"/>
      <c r="C90" s="813"/>
      <c r="D90" s="813"/>
      <c r="E90" s="813"/>
      <c r="F90" s="813"/>
      <c r="G90" s="813"/>
      <c r="H90" s="813"/>
      <c r="I90" s="813"/>
      <c r="J90" s="813"/>
      <c r="K90" s="813"/>
      <c r="L90" s="813"/>
      <c r="M90" s="813"/>
      <c r="N90" s="841"/>
      <c r="O90" s="841"/>
      <c r="P90" s="813"/>
      <c r="Q90" s="820"/>
      <c r="R90" s="820"/>
      <c r="S90" s="1083"/>
      <c r="T90" s="820"/>
      <c r="U90" s="820"/>
      <c r="V90" s="820"/>
      <c r="W90" s="820"/>
      <c r="X90" s="820"/>
      <c r="Y90" s="820"/>
      <c r="Z90" s="820"/>
    </row>
    <row r="91" spans="1:26" ht="18" customHeight="1">
      <c r="A91" s="818"/>
      <c r="B91" s="815"/>
      <c r="C91" s="3234">
        <f>I52</f>
        <v>0</v>
      </c>
      <c r="D91" s="3247"/>
      <c r="E91" s="813"/>
      <c r="F91" s="813"/>
      <c r="G91" s="813"/>
      <c r="H91" s="813"/>
      <c r="I91" s="813"/>
      <c r="J91" s="813"/>
      <c r="K91" s="3246" t="str">
        <f>H6</f>
        <v/>
      </c>
      <c r="L91" s="3247"/>
      <c r="M91" s="813" t="s">
        <v>2097</v>
      </c>
      <c r="N91" s="841"/>
      <c r="O91" s="841"/>
      <c r="P91" s="813"/>
      <c r="Q91" s="820"/>
      <c r="R91" s="820"/>
      <c r="S91" s="1083"/>
      <c r="T91" s="820"/>
      <c r="U91" s="820"/>
      <c r="V91" s="820"/>
      <c r="W91" s="820"/>
      <c r="X91" s="820"/>
      <c r="Y91" s="820"/>
      <c r="Z91" s="820"/>
    </row>
    <row r="92" spans="1:26" ht="11.1" customHeight="1">
      <c r="A92" s="818"/>
      <c r="B92" s="3240" t="s">
        <v>2093</v>
      </c>
      <c r="C92" s="3240"/>
      <c r="D92" s="3240"/>
      <c r="E92" s="3240"/>
      <c r="F92" s="813"/>
      <c r="G92" s="813"/>
      <c r="H92" s="813"/>
      <c r="I92" s="813"/>
      <c r="J92" s="813"/>
      <c r="K92" s="813"/>
      <c r="L92" s="813"/>
      <c r="M92" s="813"/>
      <c r="N92" s="841"/>
      <c r="O92" s="841"/>
      <c r="P92" s="813"/>
      <c r="Q92" s="820"/>
      <c r="R92" s="820"/>
      <c r="S92" s="1083"/>
      <c r="T92" s="820"/>
      <c r="U92" s="820"/>
      <c r="V92" s="820"/>
      <c r="W92" s="820"/>
      <c r="X92" s="820"/>
      <c r="Y92" s="820"/>
      <c r="Z92" s="820"/>
    </row>
    <row r="93" spans="1:26" ht="18" customHeight="1">
      <c r="A93" s="818"/>
      <c r="B93" s="815"/>
      <c r="C93" s="2607"/>
      <c r="D93" s="813"/>
      <c r="E93" s="813"/>
      <c r="F93" s="813"/>
      <c r="G93" s="813"/>
      <c r="H93" s="813"/>
      <c r="I93" s="813"/>
      <c r="J93" s="813"/>
      <c r="K93" s="3246">
        <f>Summary!G82</f>
        <v>0</v>
      </c>
      <c r="L93" s="3247"/>
      <c r="M93" s="813" t="s">
        <v>2089</v>
      </c>
      <c r="N93" s="841"/>
      <c r="O93" s="841"/>
      <c r="P93" s="813"/>
      <c r="Q93" s="820"/>
      <c r="R93" s="820"/>
      <c r="S93" s="1083"/>
      <c r="T93" s="820"/>
      <c r="U93" s="820"/>
      <c r="V93" s="820"/>
      <c r="W93" s="820"/>
      <c r="X93" s="820"/>
      <c r="Y93" s="820"/>
      <c r="Z93" s="820"/>
    </row>
    <row r="94" spans="1:26" ht="18" customHeight="1">
      <c r="A94" s="818"/>
      <c r="B94" s="813"/>
      <c r="C94" s="813"/>
      <c r="D94" s="813"/>
      <c r="E94" s="813"/>
      <c r="F94" s="813"/>
      <c r="G94" s="813"/>
      <c r="H94" s="813"/>
      <c r="I94" s="813"/>
      <c r="J94" s="813"/>
      <c r="K94" s="813"/>
      <c r="L94" s="813"/>
      <c r="M94" s="813"/>
      <c r="N94" s="841"/>
      <c r="O94" s="841"/>
      <c r="P94" s="813"/>
      <c r="Q94" s="820"/>
      <c r="R94" s="820"/>
      <c r="S94" s="1083"/>
      <c r="T94" s="820"/>
      <c r="U94" s="820"/>
      <c r="V94" s="820"/>
      <c r="W94" s="820"/>
      <c r="X94" s="820"/>
      <c r="Y94" s="820"/>
      <c r="Z94" s="820"/>
    </row>
    <row r="95" spans="1:26" ht="18" customHeight="1">
      <c r="A95" s="818"/>
      <c r="B95" s="813"/>
      <c r="C95" s="813"/>
      <c r="D95" s="813"/>
      <c r="E95" s="813"/>
      <c r="F95" s="813"/>
      <c r="G95" s="813"/>
      <c r="H95" s="813"/>
      <c r="I95" s="813"/>
      <c r="J95" s="813"/>
      <c r="K95" s="813"/>
      <c r="L95" s="813"/>
      <c r="M95" s="813"/>
      <c r="N95" s="841"/>
      <c r="O95" s="841"/>
      <c r="P95" s="813"/>
      <c r="Q95" s="820"/>
      <c r="R95" s="820"/>
      <c r="S95" s="1083"/>
      <c r="T95" s="820"/>
      <c r="U95" s="820"/>
      <c r="V95" s="820"/>
      <c r="W95" s="820"/>
      <c r="X95" s="820"/>
      <c r="Y95" s="820"/>
      <c r="Z95" s="820"/>
    </row>
    <row r="96" spans="1:26" ht="11.1" customHeight="1">
      <c r="A96" s="818"/>
      <c r="B96" s="813"/>
      <c r="C96" s="813"/>
      <c r="D96" s="813"/>
      <c r="E96" s="813"/>
      <c r="F96" s="813"/>
      <c r="G96" s="813"/>
      <c r="H96" s="813"/>
      <c r="I96" s="813"/>
      <c r="J96" s="813"/>
      <c r="K96" s="813"/>
      <c r="L96" s="813"/>
      <c r="M96" s="813"/>
      <c r="N96" s="841"/>
      <c r="O96" s="841"/>
      <c r="P96" s="813"/>
      <c r="Q96" s="820"/>
      <c r="R96" s="820"/>
      <c r="S96" s="1083"/>
      <c r="T96" s="820"/>
      <c r="U96" s="820"/>
      <c r="V96" s="820"/>
      <c r="W96" s="820"/>
      <c r="X96" s="820"/>
      <c r="Y96" s="820"/>
      <c r="Z96" s="820"/>
    </row>
    <row r="97" spans="1:26" ht="18" customHeight="1">
      <c r="A97" s="818"/>
      <c r="B97" s="2528"/>
      <c r="C97" s="2528"/>
      <c r="D97" s="2528"/>
      <c r="E97" s="2528"/>
      <c r="F97" s="2612"/>
      <c r="G97" s="813"/>
      <c r="H97" s="813"/>
      <c r="I97" s="813"/>
      <c r="J97" s="813"/>
      <c r="K97" s="813"/>
      <c r="L97" s="813"/>
      <c r="M97" s="813"/>
      <c r="N97" s="841"/>
      <c r="O97" s="841"/>
      <c r="P97" s="813"/>
      <c r="Q97" s="820"/>
      <c r="R97" s="820"/>
      <c r="S97" s="1083"/>
      <c r="T97" s="820"/>
      <c r="U97" s="820"/>
      <c r="V97" s="820"/>
      <c r="W97" s="820"/>
      <c r="X97" s="820"/>
      <c r="Y97" s="820"/>
      <c r="Z97" s="820"/>
    </row>
    <row r="98" spans="1:26" ht="18" customHeight="1">
      <c r="A98" s="818"/>
      <c r="B98" s="815"/>
      <c r="C98" s="813"/>
      <c r="D98" s="813"/>
      <c r="E98" s="813"/>
      <c r="F98" s="3245" t="s">
        <v>1811</v>
      </c>
      <c r="G98" s="3245"/>
      <c r="H98" s="3245"/>
      <c r="I98" s="3242" t="str">
        <f>IF(G14="Rock",G14,(IF(G14="REGISTERED PRODUCT:",L14," ")))</f>
        <v xml:space="preserve"> </v>
      </c>
      <c r="J98" s="3243"/>
      <c r="K98" s="3243"/>
      <c r="L98" s="3244"/>
      <c r="M98" s="813"/>
      <c r="N98" s="841"/>
      <c r="O98" s="841"/>
      <c r="P98" s="813"/>
      <c r="Q98" s="820"/>
      <c r="R98" s="820"/>
      <c r="S98" s="1083"/>
      <c r="T98" s="820"/>
      <c r="U98" s="820"/>
      <c r="V98" s="820"/>
      <c r="W98" s="820"/>
      <c r="X98" s="820"/>
      <c r="Y98" s="820"/>
      <c r="Z98" s="820"/>
    </row>
    <row r="99" spans="1:26" ht="9.75" customHeight="1">
      <c r="A99" s="818"/>
      <c r="B99" s="2611"/>
      <c r="C99" s="2611"/>
      <c r="D99" s="2611"/>
      <c r="E99" s="2611"/>
      <c r="F99" s="841"/>
      <c r="G99" s="841"/>
      <c r="H99" s="841"/>
      <c r="I99" s="813"/>
      <c r="J99" s="813"/>
      <c r="K99" s="813"/>
      <c r="L99" s="813"/>
      <c r="M99" s="813"/>
      <c r="N99" s="841"/>
      <c r="O99" s="841"/>
      <c r="P99" s="813"/>
      <c r="Q99" s="820"/>
      <c r="R99" s="820"/>
      <c r="S99" s="1083"/>
      <c r="T99" s="820"/>
      <c r="U99" s="820"/>
      <c r="V99" s="820"/>
      <c r="W99" s="820"/>
      <c r="X99" s="820"/>
      <c r="Y99" s="820"/>
      <c r="Z99" s="820"/>
    </row>
    <row r="100" spans="1:26" ht="12" customHeight="1">
      <c r="A100" s="818"/>
      <c r="B100" s="815" t="s">
        <v>31</v>
      </c>
      <c r="C100" s="813"/>
      <c r="D100" s="813"/>
      <c r="E100" s="813"/>
      <c r="F100" s="813"/>
      <c r="G100" s="813"/>
      <c r="H100" s="813"/>
      <c r="I100" s="813"/>
      <c r="J100" s="813"/>
      <c r="K100" s="813"/>
      <c r="L100" s="813"/>
      <c r="M100" s="813"/>
      <c r="N100" s="813"/>
      <c r="O100" s="813"/>
      <c r="P100" s="813"/>
      <c r="Q100" s="813"/>
      <c r="R100" s="813"/>
      <c r="S100" s="817"/>
    </row>
    <row r="101" spans="1:26" ht="42.75" customHeight="1">
      <c r="A101" s="818"/>
      <c r="B101" s="3210"/>
      <c r="C101" s="3211"/>
      <c r="D101" s="3211"/>
      <c r="E101" s="3211"/>
      <c r="F101" s="3211"/>
      <c r="G101" s="3211"/>
      <c r="H101" s="3211"/>
      <c r="I101" s="3211"/>
      <c r="J101" s="3211"/>
      <c r="K101" s="3211"/>
      <c r="L101" s="3211"/>
      <c r="M101" s="3211"/>
      <c r="N101" s="3211"/>
      <c r="O101" s="3211"/>
      <c r="P101" s="3211"/>
      <c r="Q101" s="3211"/>
      <c r="R101" s="3212"/>
      <c r="S101" s="817"/>
    </row>
    <row r="102" spans="1:26" ht="42.75" customHeight="1">
      <c r="A102" s="818"/>
      <c r="B102" s="3213"/>
      <c r="C102" s="3214"/>
      <c r="D102" s="3214"/>
      <c r="E102" s="3214"/>
      <c r="F102" s="3214"/>
      <c r="G102" s="3214"/>
      <c r="H102" s="3214"/>
      <c r="I102" s="3214"/>
      <c r="J102" s="3214"/>
      <c r="K102" s="3214"/>
      <c r="L102" s="3214"/>
      <c r="M102" s="3214"/>
      <c r="N102" s="3214"/>
      <c r="O102" s="3214"/>
      <c r="P102" s="3214"/>
      <c r="Q102" s="3214"/>
      <c r="R102" s="3215"/>
      <c r="S102" s="817"/>
    </row>
    <row r="103" spans="1:26" ht="42.75" customHeight="1">
      <c r="A103" s="818"/>
      <c r="B103" s="3213"/>
      <c r="C103" s="3214"/>
      <c r="D103" s="3214"/>
      <c r="E103" s="3214"/>
      <c r="F103" s="3214"/>
      <c r="G103" s="3214"/>
      <c r="H103" s="3214"/>
      <c r="I103" s="3214"/>
      <c r="J103" s="3214"/>
      <c r="K103" s="3214"/>
      <c r="L103" s="3214"/>
      <c r="M103" s="3214"/>
      <c r="N103" s="3214"/>
      <c r="O103" s="3214"/>
      <c r="P103" s="3214"/>
      <c r="Q103" s="3214"/>
      <c r="R103" s="3215"/>
      <c r="S103" s="817"/>
    </row>
    <row r="104" spans="1:26" ht="42.75" customHeight="1">
      <c r="A104" s="818"/>
      <c r="B104" s="3216"/>
      <c r="C104" s="3217"/>
      <c r="D104" s="3217"/>
      <c r="E104" s="3217"/>
      <c r="F104" s="3217"/>
      <c r="G104" s="3217"/>
      <c r="H104" s="3217"/>
      <c r="I104" s="3217"/>
      <c r="J104" s="3217"/>
      <c r="K104" s="3217"/>
      <c r="L104" s="3217"/>
      <c r="M104" s="3217"/>
      <c r="N104" s="3217"/>
      <c r="O104" s="3217"/>
      <c r="P104" s="3217"/>
      <c r="Q104" s="3217"/>
      <c r="R104" s="3218"/>
      <c r="S104" s="817"/>
    </row>
    <row r="105" spans="1:26" ht="6" customHeight="1" thickBot="1">
      <c r="A105" s="1041"/>
      <c r="B105" s="836"/>
      <c r="C105" s="1042"/>
      <c r="D105" s="1042"/>
      <c r="E105" s="1042"/>
      <c r="F105" s="1042"/>
      <c r="G105" s="1042"/>
      <c r="H105" s="1042"/>
      <c r="I105" s="1042"/>
      <c r="J105" s="1042"/>
      <c r="K105" s="1042"/>
      <c r="L105" s="1042"/>
      <c r="M105" s="1042"/>
      <c r="N105" s="1042"/>
      <c r="O105" s="1042"/>
      <c r="P105" s="1042"/>
      <c r="Q105" s="1042"/>
      <c r="R105" s="1042"/>
      <c r="S105" s="1043"/>
    </row>
  </sheetData>
  <sheetProtection sheet="1" objects="1" scenarios="1"/>
  <dataConsolidate/>
  <customSheetViews>
    <customSheetView guid="{D1431318-1DB8-4C45-813B-5A8065DFC797}" showPageBreaks="1" showGridLines="0" zeroValues="0" printArea="1" view="pageBreakPreview">
      <selection activeCell="P6" sqref="P6:Q6"/>
      <rowBreaks count="1" manualBreakCount="1">
        <brk id="59" max="18" man="1"/>
      </rowBreaks>
      <pageMargins left="0.4" right="0.4" top="0.4" bottom="0.4" header="0.4" footer="0.5"/>
      <printOptions horizontalCentered="1"/>
      <pageSetup scale="89" fitToHeight="2" orientation="portrait" blackAndWhite="1" r:id="rId1"/>
      <headerFooter alignWithMargins="0"/>
    </customSheetView>
  </customSheetViews>
  <mergeCells count="107">
    <mergeCell ref="K91:L91"/>
    <mergeCell ref="K93:L93"/>
    <mergeCell ref="C87:D87"/>
    <mergeCell ref="C91:D91"/>
    <mergeCell ref="C88:D88"/>
    <mergeCell ref="J39:K39"/>
    <mergeCell ref="M39:N39"/>
    <mergeCell ref="N42:O42"/>
    <mergeCell ref="D79:E79"/>
    <mergeCell ref="K65:L65"/>
    <mergeCell ref="H79:I79"/>
    <mergeCell ref="K74:L74"/>
    <mergeCell ref="D47:E47"/>
    <mergeCell ref="G47:H47"/>
    <mergeCell ref="D49:E49"/>
    <mergeCell ref="G49:H49"/>
    <mergeCell ref="K89:L89"/>
    <mergeCell ref="G14:J14"/>
    <mergeCell ref="K17:L17"/>
    <mergeCell ref="L14:P14"/>
    <mergeCell ref="J30:K30"/>
    <mergeCell ref="C38:L38"/>
    <mergeCell ref="N32:R36"/>
    <mergeCell ref="H6:I6"/>
    <mergeCell ref="J12:K12"/>
    <mergeCell ref="H29:I29"/>
    <mergeCell ref="F25:G26"/>
    <mergeCell ref="H27:I27"/>
    <mergeCell ref="H28:I28"/>
    <mergeCell ref="F29:G29"/>
    <mergeCell ref="F12:G12"/>
    <mergeCell ref="J29:K29"/>
    <mergeCell ref="J25:K26"/>
    <mergeCell ref="F28:G28"/>
    <mergeCell ref="H8:I8"/>
    <mergeCell ref="K36:L36"/>
    <mergeCell ref="L28:M28"/>
    <mergeCell ref="K32:L32"/>
    <mergeCell ref="G32:H32"/>
    <mergeCell ref="G34:H34"/>
    <mergeCell ref="H36:I36"/>
    <mergeCell ref="H30:I30"/>
    <mergeCell ref="J49:K49"/>
    <mergeCell ref="P68:Q68"/>
    <mergeCell ref="I52:J52"/>
    <mergeCell ref="N54:O54"/>
    <mergeCell ref="J47:K47"/>
    <mergeCell ref="J42:K42"/>
    <mergeCell ref="L30:M30"/>
    <mergeCell ref="J28:K28"/>
    <mergeCell ref="G39:H39"/>
    <mergeCell ref="J44:O44"/>
    <mergeCell ref="N51:O51"/>
    <mergeCell ref="J59:K59"/>
    <mergeCell ref="N59:O59"/>
    <mergeCell ref="G42:H42"/>
    <mergeCell ref="G59:H59"/>
    <mergeCell ref="G54:H54"/>
    <mergeCell ref="J54:K54"/>
    <mergeCell ref="F1:M1"/>
    <mergeCell ref="C25:E26"/>
    <mergeCell ref="C27:E30"/>
    <mergeCell ref="L27:M27"/>
    <mergeCell ref="L29:M29"/>
    <mergeCell ref="H2:I2"/>
    <mergeCell ref="J27:K27"/>
    <mergeCell ref="H4:I4"/>
    <mergeCell ref="H25:I26"/>
    <mergeCell ref="K6:O6"/>
    <mergeCell ref="G17:J17"/>
    <mergeCell ref="M17:R17"/>
    <mergeCell ref="J2:K2"/>
    <mergeCell ref="F30:G30"/>
    <mergeCell ref="Q2:S2"/>
    <mergeCell ref="P6:Q6"/>
    <mergeCell ref="P8:Q8"/>
    <mergeCell ref="L15:P15"/>
    <mergeCell ref="M21:R21"/>
    <mergeCell ref="C10:Q10"/>
    <mergeCell ref="F27:G27"/>
    <mergeCell ref="L25:M26"/>
    <mergeCell ref="H12:I12"/>
    <mergeCell ref="C12:D12"/>
    <mergeCell ref="P76:S80"/>
    <mergeCell ref="B101:R104"/>
    <mergeCell ref="L42:M42"/>
    <mergeCell ref="C68:D68"/>
    <mergeCell ref="H76:I76"/>
    <mergeCell ref="F68:G68"/>
    <mergeCell ref="I68:J68"/>
    <mergeCell ref="M74:R74"/>
    <mergeCell ref="N63:O63"/>
    <mergeCell ref="P63:R63"/>
    <mergeCell ref="L68:M68"/>
    <mergeCell ref="L54:M54"/>
    <mergeCell ref="M79:N79"/>
    <mergeCell ref="F51:G51"/>
    <mergeCell ref="F74:J74"/>
    <mergeCell ref="F79:G79"/>
    <mergeCell ref="K85:M85"/>
    <mergeCell ref="G56:H56"/>
    <mergeCell ref="B92:E92"/>
    <mergeCell ref="C83:E84"/>
    <mergeCell ref="I98:L98"/>
    <mergeCell ref="F98:H98"/>
    <mergeCell ref="K83:L83"/>
    <mergeCell ref="K87:L87"/>
  </mergeCells>
  <conditionalFormatting sqref="H6">
    <cfRule type="cellIs" dxfId="6" priority="7" stopIfTrue="1" operator="lessThanOrEqual">
      <formula>6</formula>
    </cfRule>
  </conditionalFormatting>
  <conditionalFormatting sqref="P20">
    <cfRule type="cellIs" dxfId="5" priority="3" stopIfTrue="1" operator="lessThanOrEqual">
      <formula>6</formula>
    </cfRule>
  </conditionalFormatting>
  <conditionalFormatting sqref="C21">
    <cfRule type="cellIs" dxfId="4" priority="2" stopIfTrue="1" operator="lessThanOrEqual">
      <formula>6</formula>
    </cfRule>
  </conditionalFormatting>
  <dataValidations count="6">
    <dataValidation allowBlank="1" showInputMessage="1" sqref="K36"/>
    <dataValidation type="whole" operator="greaterThan" allowBlank="1" showInputMessage="1" sqref="G56:H56">
      <formula1>3</formula1>
    </dataValidation>
    <dataValidation type="list" allowBlank="1" showInputMessage="1" showErrorMessage="1" sqref="T65">
      <formula1>#REF!</formula1>
    </dataValidation>
    <dataValidation type="list" allowBlank="1" showInputMessage="1" showErrorMessage="1" sqref="K65:L65">
      <formula1>"0.33, 0.5"</formula1>
    </dataValidation>
    <dataValidation type="whole" errorStyle="information" allowBlank="1" showInputMessage="1" showErrorMessage="1" error="Check Width Entered" sqref="H36">
      <formula1>1</formula1>
      <formula2>36</formula2>
    </dataValidation>
    <dataValidation type="list" allowBlank="1" showInputMessage="1" showErrorMessage="1" sqref="I52:J52 N52">
      <formula1>CLR</formula1>
    </dataValidation>
  </dataValidations>
  <printOptions horizontalCentered="1"/>
  <pageMargins left="0.4" right="0.4" top="0.4" bottom="0.4" header="0.4" footer="0.5"/>
  <pageSetup scale="85" fitToHeight="2" orientation="portrait" blackAndWhite="1" r:id="rId2"/>
  <headerFooter alignWithMargins="0"/>
  <rowBreaks count="1" manualBreakCount="1">
    <brk id="61" max="18" man="1"/>
  </rowBreaks>
  <drawing r:id="rId3"/>
  <extLst>
    <ext xmlns:x14="http://schemas.microsoft.com/office/spreadsheetml/2009/9/main" uri="{CCE6A557-97BC-4b89-ADB6-D9C93CAAB3DF}">
      <x14:dataValidations xmlns:xm="http://schemas.microsoft.com/office/excel/2006/main" count="3">
        <x14:dataValidation type="list" allowBlank="1" showInputMessage="1">
          <x14:formula1>
            <xm:f>'Drop-Down Lists'!$J$49:$J$51</xm:f>
          </x14:formula1>
          <xm:sqref>M21:R21</xm:sqref>
        </x14:dataValidation>
        <x14:dataValidation type="list" allowBlank="1" showInputMessage="1" showErrorMessage="1" promptTitle="Registered Distribution Media" prompt="Type of Registered Distribution Media">
          <x14:formula1>
            <xm:f>'Drop-Down Lists'!$P$2:$P$6</xm:f>
          </x14:formula1>
          <xm:sqref>L14:P14</xm:sqref>
        </x14:dataValidation>
        <x14:dataValidation type="list" allowBlank="1" showInputMessage="1" showErrorMessage="1" prompt="Trench Distribution">
          <x14:formula1>
            <xm:f>'Drop-Down Lists'!$Q$2:$Q$4</xm:f>
          </x14:formula1>
          <xm:sqref>G17:J17</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9" tint="0.39997558519241921"/>
  </sheetPr>
  <dimension ref="A1:AU89"/>
  <sheetViews>
    <sheetView showGridLines="0" showZeros="0" view="pageBreakPreview" zoomScaleNormal="100" zoomScaleSheetLayoutView="100" workbookViewId="0">
      <selection activeCell="P6" sqref="P6:Q6"/>
    </sheetView>
  </sheetViews>
  <sheetFormatPr defaultColWidth="4.44140625" defaultRowHeight="14.1" customHeight="1"/>
  <cols>
    <col min="1" max="1" width="2.44140625" style="1049" customWidth="1"/>
    <col min="2" max="2" width="2.44140625" style="1050" customWidth="1"/>
    <col min="3" max="3" width="6.44140625" style="837" customWidth="1"/>
    <col min="4" max="16" width="5.44140625" style="837" customWidth="1"/>
    <col min="17" max="17" width="6.88671875" style="837" customWidth="1"/>
    <col min="18" max="18" width="5.44140625" style="837" customWidth="1"/>
    <col min="19" max="19" width="12.109375" style="837" customWidth="1"/>
    <col min="20" max="20" width="3.44140625" style="837" customWidth="1"/>
    <col min="21" max="37" width="5.44140625" style="837" customWidth="1"/>
    <col min="38" max="38" width="22.44140625" style="837" customWidth="1"/>
    <col min="39" max="39" width="10.44140625" style="837" customWidth="1"/>
    <col min="40" max="40" width="4.44140625" style="837"/>
    <col min="41" max="42" width="5.44140625" style="837" customWidth="1"/>
    <col min="43" max="43" width="4.44140625" style="837" bestFit="1" customWidth="1"/>
    <col min="44" max="46" width="4.44140625" style="837"/>
    <col min="47" max="47" width="4.44140625" style="837" bestFit="1" customWidth="1"/>
    <col min="48" max="16384" width="4.44140625" style="837"/>
  </cols>
  <sheetData>
    <row r="1" spans="1:37" s="1028" customFormat="1" ht="54.9" customHeight="1" thickBot="1">
      <c r="A1" s="1754"/>
      <c r="B1" s="840"/>
      <c r="C1" s="840"/>
      <c r="D1" s="840"/>
      <c r="E1" s="1754"/>
      <c r="F1" s="1754"/>
      <c r="G1" s="3248" t="s">
        <v>1750</v>
      </c>
      <c r="H1" s="3248"/>
      <c r="I1" s="3248"/>
      <c r="J1" s="3248"/>
      <c r="K1" s="3248"/>
      <c r="L1" s="3248"/>
      <c r="M1" s="3248"/>
      <c r="N1" s="840"/>
      <c r="O1" s="840"/>
      <c r="P1" s="840"/>
      <c r="Q1" s="1029"/>
      <c r="R1" s="1029"/>
      <c r="S1" s="1029"/>
      <c r="T1" s="1029"/>
      <c r="U1" s="1029"/>
      <c r="V1" s="1030"/>
    </row>
    <row r="2" spans="1:37" ht="16.350000000000001" customHeight="1" thickBot="1">
      <c r="A2" s="833" t="s">
        <v>88</v>
      </c>
      <c r="B2" s="832"/>
      <c r="C2" s="831" t="s">
        <v>634</v>
      </c>
      <c r="D2" s="830"/>
      <c r="E2" s="830"/>
      <c r="F2" s="830"/>
      <c r="G2" s="830"/>
      <c r="H2" s="3253" t="s">
        <v>1016</v>
      </c>
      <c r="I2" s="3253"/>
      <c r="J2" s="3259" t="str">
        <f>IF(ISBLANK(Summary!S3)," ",Summary!S3)</f>
        <v xml:space="preserve"> </v>
      </c>
      <c r="K2" s="3259"/>
      <c r="L2" s="830"/>
      <c r="M2" s="830"/>
      <c r="N2" s="830"/>
      <c r="O2" s="830"/>
      <c r="P2" s="830"/>
      <c r="Q2" s="3253" t="str">
        <f>'Drop-Down Lists'!J40</f>
        <v>v 04.01.2021</v>
      </c>
      <c r="R2" s="3253"/>
      <c r="S2" s="3253"/>
      <c r="T2" s="3261"/>
      <c r="U2" s="820"/>
      <c r="V2" s="820"/>
      <c r="W2" s="820"/>
      <c r="X2" s="820"/>
      <c r="Y2" s="820"/>
    </row>
    <row r="3" spans="1:37" ht="5.0999999999999996" customHeight="1">
      <c r="A3" s="1031"/>
      <c r="B3" s="1032"/>
      <c r="C3" s="1033"/>
      <c r="D3" s="1033"/>
      <c r="E3" s="1033"/>
      <c r="F3" s="1033"/>
      <c r="G3" s="1033"/>
      <c r="H3" s="1033"/>
      <c r="I3" s="1033"/>
      <c r="J3" s="1033"/>
      <c r="K3" s="1033"/>
      <c r="L3" s="1033"/>
      <c r="M3" s="1033"/>
      <c r="N3" s="1033"/>
      <c r="O3" s="1033"/>
      <c r="P3" s="1033"/>
      <c r="Q3" s="1033"/>
      <c r="R3" s="1033"/>
      <c r="S3" s="1033"/>
      <c r="T3" s="1034"/>
      <c r="U3" s="820"/>
      <c r="V3" s="820"/>
      <c r="W3" s="820"/>
      <c r="X3" s="820"/>
      <c r="Y3" s="820"/>
    </row>
    <row r="4" spans="1:37" ht="18" customHeight="1">
      <c r="A4" s="818"/>
      <c r="B4" s="815" t="s">
        <v>147</v>
      </c>
      <c r="C4" s="813" t="s">
        <v>1224</v>
      </c>
      <c r="D4" s="813"/>
      <c r="E4" s="813"/>
      <c r="F4" s="813"/>
      <c r="G4" s="813"/>
      <c r="H4" s="3234" t="str">
        <f>IF(Summary!AA63=0,"",IF(Summary!AA63=3,"",IF(Summary!AA63=4,"",IF(Summary!AA63=5,"",IF(Summary!AA63=1,"",IF(Summary!AA63=2,Summary!I11,""))))))</f>
        <v/>
      </c>
      <c r="I4" s="3255"/>
      <c r="J4" s="813" t="s">
        <v>313</v>
      </c>
      <c r="K4" s="813"/>
      <c r="L4" s="813"/>
      <c r="M4" s="813"/>
      <c r="N4" s="813"/>
      <c r="O4" s="813"/>
      <c r="P4" s="813"/>
      <c r="Q4" s="813"/>
      <c r="R4" s="813"/>
      <c r="S4" s="813"/>
      <c r="T4" s="817"/>
      <c r="V4" s="820"/>
      <c r="W4" s="820"/>
      <c r="X4" s="820"/>
      <c r="Y4" s="820"/>
    </row>
    <row r="5" spans="1:37" ht="5.0999999999999996" customHeight="1">
      <c r="A5" s="818"/>
      <c r="B5" s="815"/>
      <c r="C5" s="813"/>
      <c r="D5" s="813"/>
      <c r="E5" s="813"/>
      <c r="F5" s="813"/>
      <c r="G5" s="813"/>
      <c r="H5" s="813"/>
      <c r="I5" s="813"/>
      <c r="J5" s="813"/>
      <c r="K5" s="813"/>
      <c r="L5" s="813"/>
      <c r="M5" s="2617"/>
      <c r="N5" s="2617"/>
      <c r="O5" s="2617"/>
      <c r="P5" s="2617"/>
      <c r="Q5" s="2617"/>
      <c r="R5" s="2617"/>
      <c r="S5" s="2617"/>
      <c r="T5" s="817"/>
      <c r="U5" s="820"/>
      <c r="V5" s="820"/>
      <c r="W5" s="820"/>
      <c r="X5" s="820"/>
      <c r="Y5" s="820"/>
    </row>
    <row r="6" spans="1:37" ht="18" customHeight="1">
      <c r="A6" s="818"/>
      <c r="B6" s="839" t="s">
        <v>631</v>
      </c>
      <c r="C6" s="813" t="s">
        <v>1384</v>
      </c>
      <c r="D6" s="813"/>
      <c r="E6" s="813"/>
      <c r="F6" s="813"/>
      <c r="G6" s="813"/>
      <c r="H6" s="3246" t="str">
        <f>IF(Summary!AA63=2,Summary!G84,"")</f>
        <v/>
      </c>
      <c r="I6" s="3255"/>
      <c r="J6" s="813" t="s">
        <v>640</v>
      </c>
      <c r="K6" s="3256" t="s">
        <v>1222</v>
      </c>
      <c r="L6" s="3256"/>
      <c r="M6" s="3256"/>
      <c r="N6" s="3256"/>
      <c r="O6" s="3310"/>
      <c r="P6" s="3223"/>
      <c r="Q6" s="3323"/>
      <c r="R6" s="813" t="s">
        <v>640</v>
      </c>
      <c r="S6" s="813"/>
      <c r="T6" s="1035"/>
      <c r="U6" s="820"/>
      <c r="V6" s="820"/>
      <c r="W6" s="820"/>
      <c r="X6" s="820"/>
      <c r="Y6" s="820"/>
    </row>
    <row r="7" spans="1:37" ht="3.6" customHeight="1">
      <c r="A7" s="818"/>
      <c r="B7" s="815"/>
      <c r="C7" s="813"/>
      <c r="D7" s="813"/>
      <c r="E7" s="813"/>
      <c r="F7" s="813"/>
      <c r="G7" s="813"/>
      <c r="H7" s="813"/>
      <c r="I7" s="813"/>
      <c r="J7" s="813"/>
      <c r="K7" s="813"/>
      <c r="L7" s="2609"/>
      <c r="M7" s="2609"/>
      <c r="N7" s="2609"/>
      <c r="O7" s="2609"/>
      <c r="P7" s="2609"/>
      <c r="Q7" s="2609"/>
      <c r="R7" s="2609"/>
      <c r="S7" s="2609"/>
      <c r="T7" s="1051"/>
      <c r="U7" s="820"/>
      <c r="V7" s="820"/>
      <c r="W7" s="820"/>
      <c r="X7" s="820"/>
      <c r="Y7" s="820"/>
      <c r="Z7" s="1044"/>
      <c r="AA7" s="1044"/>
      <c r="AB7" s="1044"/>
      <c r="AC7" s="1044"/>
      <c r="AD7" s="1044"/>
      <c r="AE7" s="1044"/>
      <c r="AF7" s="1044"/>
      <c r="AG7" s="1044"/>
      <c r="AH7" s="1044"/>
      <c r="AI7" s="1044"/>
      <c r="AJ7" s="1044"/>
      <c r="AK7" s="1044"/>
    </row>
    <row r="8" spans="1:37" ht="18" customHeight="1">
      <c r="A8" s="818"/>
      <c r="B8" s="815" t="s">
        <v>149</v>
      </c>
      <c r="C8" s="813" t="s">
        <v>1298</v>
      </c>
      <c r="D8" s="813"/>
      <c r="E8" s="813"/>
      <c r="F8" s="813"/>
      <c r="G8" s="813"/>
      <c r="H8" s="3221" t="str">
        <f>IF(Summary!AA63=0,"",IF(Summary!AA63=1,"",IF(Summary!AA63=4,"",IF(Summary!AA63=0,"",IF(Summary!AA63=1,Summary!G89,IF(Summary!AA63=2,Summary!G89,""))))))</f>
        <v/>
      </c>
      <c r="I8" s="3255"/>
      <c r="J8" s="813" t="s">
        <v>86</v>
      </c>
      <c r="K8" s="839"/>
      <c r="L8" s="1052"/>
      <c r="M8" s="1052"/>
      <c r="N8" s="1052"/>
      <c r="O8" s="1052"/>
      <c r="P8" s="1052"/>
      <c r="Q8" s="1052"/>
      <c r="R8" s="1052"/>
      <c r="S8" s="1052"/>
      <c r="T8" s="1051"/>
      <c r="U8" s="813"/>
      <c r="V8" s="813"/>
      <c r="Y8" s="1044"/>
      <c r="Z8" s="1044"/>
      <c r="AA8" s="1044"/>
      <c r="AB8" s="1044"/>
      <c r="AC8" s="1044"/>
      <c r="AD8" s="1044"/>
      <c r="AE8" s="1044"/>
      <c r="AF8" s="1044"/>
      <c r="AG8" s="1044"/>
      <c r="AH8" s="1044"/>
      <c r="AI8" s="1044"/>
      <c r="AJ8" s="1044"/>
      <c r="AK8" s="1044"/>
    </row>
    <row r="9" spans="1:37" ht="3.6" customHeight="1">
      <c r="A9" s="818"/>
      <c r="B9" s="815"/>
      <c r="C9" s="813"/>
      <c r="D9" s="813"/>
      <c r="E9" s="813"/>
      <c r="F9" s="813"/>
      <c r="G9" s="813"/>
      <c r="H9" s="813"/>
      <c r="I9" s="813"/>
      <c r="J9" s="813"/>
      <c r="K9" s="813"/>
      <c r="L9" s="813"/>
      <c r="M9" s="813"/>
      <c r="N9" s="813"/>
      <c r="O9" s="813"/>
      <c r="P9" s="813"/>
      <c r="Q9" s="813"/>
      <c r="R9" s="813"/>
      <c r="S9" s="813"/>
      <c r="T9" s="817"/>
      <c r="U9" s="820"/>
      <c r="V9" s="820"/>
      <c r="W9" s="820"/>
      <c r="X9" s="820"/>
      <c r="Y9" s="820"/>
      <c r="Z9" s="1044"/>
      <c r="AA9" s="1044"/>
      <c r="AB9" s="1044"/>
      <c r="AC9" s="1044"/>
      <c r="AD9" s="1044"/>
      <c r="AE9" s="1044"/>
      <c r="AF9" s="1044"/>
      <c r="AG9" s="1044"/>
      <c r="AH9" s="1044"/>
      <c r="AI9" s="1044"/>
      <c r="AJ9" s="1044"/>
      <c r="AK9" s="1044"/>
    </row>
    <row r="10" spans="1:37" ht="18" customHeight="1">
      <c r="A10" s="818"/>
      <c r="B10" s="838" t="s">
        <v>588</v>
      </c>
      <c r="C10" s="3239" t="s">
        <v>1868</v>
      </c>
      <c r="D10" s="3268"/>
      <c r="E10" s="3268"/>
      <c r="F10" s="3268"/>
      <c r="G10" s="3268"/>
      <c r="H10" s="3268"/>
      <c r="I10" s="3268"/>
      <c r="J10" s="3268"/>
      <c r="K10" s="3268"/>
      <c r="L10" s="3268"/>
      <c r="M10" s="3268"/>
      <c r="N10" s="3268"/>
      <c r="O10" s="3268"/>
      <c r="P10" s="3268"/>
      <c r="Q10" s="3268"/>
      <c r="R10" s="813"/>
      <c r="S10" s="813"/>
      <c r="T10" s="817"/>
      <c r="U10" s="820"/>
      <c r="V10" s="820"/>
      <c r="W10" s="820"/>
      <c r="X10" s="820"/>
      <c r="Y10" s="820"/>
      <c r="Z10" s="1044"/>
      <c r="AA10" s="1044"/>
      <c r="AB10" s="1044"/>
      <c r="AC10" s="1044"/>
      <c r="AD10" s="1044"/>
      <c r="AE10" s="1044"/>
      <c r="AF10" s="1044"/>
      <c r="AG10" s="1044"/>
      <c r="AH10" s="1044"/>
      <c r="AI10" s="1044"/>
      <c r="AJ10" s="1044"/>
      <c r="AK10" s="1044"/>
    </row>
    <row r="11" spans="1:37" ht="18" customHeight="1">
      <c r="A11" s="818"/>
      <c r="B11" s="838"/>
      <c r="C11" s="3225" t="str">
        <f>H4</f>
        <v/>
      </c>
      <c r="D11" s="3226"/>
      <c r="E11" s="2611" t="s">
        <v>654</v>
      </c>
      <c r="F11" s="3221" t="str">
        <f>H8</f>
        <v/>
      </c>
      <c r="G11" s="3222"/>
      <c r="H11" s="3219" t="s">
        <v>1969</v>
      </c>
      <c r="I11" s="3273"/>
      <c r="J11" s="3234" t="str">
        <f>IF(Summary!AA63=0,"",IF(Summary!AA63=3,"",IF(Summary!AA63=4,"",IF(Summary!AA63=5,"",(IF(Summary!AA63=1,"",IF(Summary!AA63=2,C11/F11)))))))</f>
        <v/>
      </c>
      <c r="K11" s="3235"/>
      <c r="L11" s="813" t="s">
        <v>22</v>
      </c>
      <c r="M11" s="813"/>
      <c r="N11" s="813"/>
      <c r="O11" s="813"/>
      <c r="P11" s="813"/>
      <c r="Q11" s="813"/>
      <c r="R11" s="813"/>
      <c r="S11" s="813"/>
      <c r="T11" s="817"/>
      <c r="U11" s="820"/>
      <c r="Y11" s="1044"/>
      <c r="Z11" s="1044"/>
      <c r="AA11" s="1044"/>
      <c r="AB11" s="1044"/>
      <c r="AC11" s="1044"/>
      <c r="AD11" s="1044"/>
      <c r="AE11" s="1044"/>
      <c r="AF11" s="1044"/>
      <c r="AG11" s="1044"/>
      <c r="AH11" s="1044"/>
      <c r="AI11" s="1044"/>
      <c r="AJ11" s="1044"/>
      <c r="AK11" s="1044"/>
    </row>
    <row r="12" spans="1:37" ht="5.0999999999999996" customHeight="1">
      <c r="A12" s="818"/>
      <c r="B12" s="838"/>
      <c r="C12" s="2607"/>
      <c r="D12" s="2607"/>
      <c r="E12" s="2607"/>
      <c r="F12" s="2607"/>
      <c r="G12" s="2607"/>
      <c r="H12" s="2607"/>
      <c r="I12" s="813"/>
      <c r="J12" s="813"/>
      <c r="K12" s="813"/>
      <c r="L12" s="2607"/>
      <c r="M12" s="813"/>
      <c r="N12" s="813"/>
      <c r="O12" s="813"/>
      <c r="P12" s="813"/>
      <c r="Q12" s="813"/>
      <c r="R12" s="813"/>
      <c r="S12" s="813"/>
      <c r="T12" s="817"/>
      <c r="U12" s="820"/>
      <c r="V12" s="820"/>
      <c r="W12" s="820"/>
      <c r="X12" s="820"/>
      <c r="Y12" s="820"/>
      <c r="Z12" s="1044"/>
      <c r="AA12" s="1044"/>
      <c r="AB12" s="1044"/>
      <c r="AC12" s="1044"/>
      <c r="AD12" s="1044"/>
      <c r="AE12" s="1044"/>
      <c r="AF12" s="1044"/>
      <c r="AG12" s="1044"/>
      <c r="AH12" s="1044"/>
      <c r="AI12" s="1044"/>
      <c r="AJ12" s="1044"/>
      <c r="AK12" s="1044"/>
    </row>
    <row r="13" spans="1:37" ht="18" customHeight="1">
      <c r="A13" s="818"/>
      <c r="B13" s="838" t="s">
        <v>589</v>
      </c>
      <c r="C13" s="2607" t="s">
        <v>1296</v>
      </c>
      <c r="D13" s="2607"/>
      <c r="E13" s="2607"/>
      <c r="F13" s="813"/>
      <c r="G13" s="3257"/>
      <c r="H13" s="3257"/>
      <c r="I13" s="3257"/>
      <c r="J13" s="3257"/>
      <c r="K13" s="3309" t="s">
        <v>1642</v>
      </c>
      <c r="L13" s="3310"/>
      <c r="M13" s="3324"/>
      <c r="N13" s="3325"/>
      <c r="O13" s="3325"/>
      <c r="P13" s="3325"/>
      <c r="Q13" s="3325"/>
      <c r="R13" s="3325"/>
      <c r="S13" s="3325"/>
      <c r="T13" s="3326"/>
      <c r="U13" s="820"/>
      <c r="V13" s="820"/>
      <c r="W13" s="820"/>
      <c r="X13" s="820"/>
      <c r="Y13" s="820"/>
      <c r="Z13" s="1044"/>
      <c r="AA13" s="1044"/>
      <c r="AB13" s="1044"/>
      <c r="AC13" s="1044"/>
      <c r="AD13" s="1044"/>
      <c r="AE13" s="1044"/>
      <c r="AF13" s="1044"/>
      <c r="AG13" s="1044"/>
      <c r="AH13" s="1044"/>
      <c r="AI13" s="1044"/>
      <c r="AJ13" s="1044"/>
      <c r="AK13" s="1044"/>
    </row>
    <row r="14" spans="1:37" ht="9" customHeight="1">
      <c r="A14" s="2535"/>
      <c r="B14" s="2737"/>
      <c r="C14" s="2225"/>
      <c r="D14" s="2225"/>
      <c r="E14" s="2225"/>
      <c r="F14" s="2225"/>
      <c r="G14" s="2225"/>
      <c r="H14" s="2225"/>
      <c r="I14" s="1047"/>
      <c r="J14" s="1047"/>
      <c r="K14" s="1047"/>
      <c r="L14" s="2225"/>
      <c r="M14" s="1047"/>
      <c r="N14" s="1047"/>
      <c r="O14" s="1047"/>
      <c r="P14" s="1047"/>
      <c r="Q14" s="1047"/>
      <c r="R14" s="1047"/>
      <c r="S14" s="813"/>
      <c r="T14" s="817"/>
      <c r="U14" s="820"/>
      <c r="V14" s="820"/>
      <c r="W14" s="820"/>
      <c r="X14" s="820"/>
      <c r="Y14" s="820"/>
      <c r="Z14" s="1044"/>
      <c r="AA14" s="1044"/>
      <c r="AB14" s="1044"/>
      <c r="AC14" s="1044"/>
      <c r="AD14" s="1044"/>
      <c r="AE14" s="1044"/>
      <c r="AF14" s="1044"/>
      <c r="AG14" s="1044"/>
      <c r="AH14" s="1044"/>
      <c r="AI14" s="1044"/>
      <c r="AJ14" s="1044"/>
      <c r="AK14" s="1044"/>
    </row>
    <row r="15" spans="1:37" ht="18" customHeight="1">
      <c r="A15" s="2535"/>
      <c r="B15" s="2737" t="s">
        <v>641</v>
      </c>
      <c r="C15" s="2225" t="s">
        <v>1295</v>
      </c>
      <c r="D15" s="2225"/>
      <c r="E15" s="2225"/>
      <c r="F15" s="2225"/>
      <c r="G15" s="3282" t="str">
        <f>IF(Summary!AA63=0,"",IF(Summary!AA63=2,Summary!O67,""))</f>
        <v/>
      </c>
      <c r="H15" s="3283"/>
      <c r="I15" s="3283"/>
      <c r="J15" s="3284"/>
      <c r="K15" s="2764" t="s">
        <v>1962</v>
      </c>
      <c r="L15" s="3298"/>
      <c r="M15" s="2765"/>
      <c r="N15" s="3282" t="str">
        <f>IF(G15="Rock"," ",IF(Summary!AA63=0,"",IF(Summary!AA63=2,Summary!O69,"")))</f>
        <v/>
      </c>
      <c r="O15" s="3283"/>
      <c r="P15" s="3283"/>
      <c r="Q15" s="3283"/>
      <c r="R15" s="3284"/>
      <c r="S15" s="2580"/>
      <c r="T15" s="817"/>
      <c r="U15" s="820"/>
      <c r="Y15" s="1044"/>
      <c r="Z15" s="1044"/>
      <c r="AA15" s="1044"/>
      <c r="AB15" s="1044"/>
      <c r="AC15" s="1044"/>
      <c r="AD15" s="1044"/>
      <c r="AE15" s="1044"/>
      <c r="AF15" s="1044"/>
      <c r="AG15" s="1044"/>
      <c r="AH15" s="1044"/>
      <c r="AI15" s="1044"/>
      <c r="AJ15" s="1044"/>
      <c r="AK15" s="1044"/>
    </row>
    <row r="16" spans="1:37" ht="8.25" customHeight="1">
      <c r="A16" s="2535"/>
      <c r="B16" s="1047"/>
      <c r="C16" s="1047"/>
      <c r="D16" s="2225"/>
      <c r="E16" s="2225"/>
      <c r="F16" s="1047"/>
      <c r="G16" s="1047"/>
      <c r="H16" s="1047"/>
      <c r="I16" s="2703"/>
      <c r="J16" s="1047"/>
      <c r="K16" s="1047"/>
      <c r="L16" s="1047"/>
      <c r="M16" s="1047"/>
      <c r="N16" s="1047"/>
      <c r="O16" s="1047"/>
      <c r="P16" s="1047"/>
      <c r="Q16" s="1047"/>
      <c r="R16" s="1047"/>
      <c r="S16" s="813"/>
      <c r="T16" s="817"/>
      <c r="U16" s="820"/>
      <c r="V16" s="820"/>
      <c r="Y16" s="1044"/>
      <c r="Z16" s="1044"/>
      <c r="AA16" s="1044"/>
      <c r="AB16" s="1044"/>
      <c r="AC16" s="1044"/>
      <c r="AD16" s="1044"/>
      <c r="AE16" s="1044"/>
      <c r="AF16" s="1044"/>
      <c r="AG16" s="1044"/>
      <c r="AH16" s="1044"/>
      <c r="AI16" s="1044"/>
      <c r="AJ16" s="1044"/>
      <c r="AK16" s="1044"/>
    </row>
    <row r="17" spans="1:45" ht="18" customHeight="1">
      <c r="A17" s="818"/>
      <c r="B17" s="1140" t="s">
        <v>642</v>
      </c>
      <c r="C17" s="1141" t="s">
        <v>1607</v>
      </c>
      <c r="D17" s="1141"/>
      <c r="E17" s="1141"/>
      <c r="F17" s="1141"/>
      <c r="G17" s="1141"/>
      <c r="H17" s="1142"/>
      <c r="I17" s="1143"/>
      <c r="J17" s="1141"/>
      <c r="K17" s="1141"/>
      <c r="L17" s="1141"/>
      <c r="M17" s="1141"/>
      <c r="N17" s="1141"/>
      <c r="O17" s="1141"/>
      <c r="P17" s="1148"/>
      <c r="Q17" s="1148"/>
      <c r="R17" s="1141"/>
      <c r="S17" s="1141"/>
      <c r="T17" s="1149"/>
      <c r="U17" s="813"/>
      <c r="V17" s="813"/>
    </row>
    <row r="18" spans="1:45" ht="18" customHeight="1">
      <c r="A18" s="818"/>
      <c r="B18" s="1140"/>
      <c r="C18" s="1144" t="s">
        <v>1379</v>
      </c>
      <c r="D18" s="1144"/>
      <c r="E18" s="1145"/>
      <c r="F18" s="1145"/>
      <c r="G18" s="1145"/>
      <c r="H18" s="1146"/>
      <c r="I18" s="1147"/>
      <c r="J18" s="1145"/>
      <c r="K18" s="1145"/>
      <c r="L18" s="3258"/>
      <c r="M18" s="3258"/>
      <c r="N18" s="3258"/>
      <c r="O18" s="3258"/>
      <c r="P18" s="3258"/>
      <c r="Q18" s="3258"/>
      <c r="R18" s="3258"/>
      <c r="S18" s="3258"/>
      <c r="T18" s="1035"/>
      <c r="U18" s="813"/>
      <c r="V18" s="813"/>
    </row>
    <row r="19" spans="1:45" ht="5.0999999999999996" customHeight="1" thickBot="1">
      <c r="A19" s="1041"/>
      <c r="B19" s="836"/>
      <c r="C19" s="1042"/>
      <c r="D19" s="1042"/>
      <c r="E19" s="1042"/>
      <c r="F19" s="1042"/>
      <c r="G19" s="835"/>
      <c r="H19" s="835"/>
      <c r="I19" s="834"/>
      <c r="J19" s="834"/>
      <c r="K19" s="834"/>
      <c r="L19" s="1042"/>
      <c r="M19" s="1042"/>
      <c r="N19" s="1042"/>
      <c r="O19" s="1042"/>
      <c r="P19" s="1042"/>
      <c r="Q19" s="1042"/>
      <c r="R19" s="1042"/>
      <c r="S19" s="1042"/>
      <c r="T19" s="1045"/>
      <c r="U19" s="811"/>
    </row>
    <row r="20" spans="1:45" ht="18" customHeight="1" thickBot="1">
      <c r="A20" s="994" t="s">
        <v>89</v>
      </c>
      <c r="B20" s="995"/>
      <c r="C20" s="996" t="s">
        <v>2104</v>
      </c>
      <c r="D20" s="997"/>
      <c r="E20" s="997"/>
      <c r="F20" s="997"/>
      <c r="G20" s="997"/>
      <c r="H20" s="997"/>
      <c r="I20" s="997"/>
      <c r="J20" s="997"/>
      <c r="K20" s="997"/>
      <c r="L20" s="997"/>
      <c r="M20" s="997"/>
      <c r="N20" s="997"/>
      <c r="O20" s="997"/>
      <c r="P20" s="997"/>
      <c r="Q20" s="997"/>
      <c r="R20" s="997"/>
      <c r="S20" s="997"/>
      <c r="T20" s="998"/>
      <c r="U20" s="820"/>
    </row>
    <row r="21" spans="1:45" s="1044" customFormat="1" ht="5.0999999999999996" customHeight="1">
      <c r="A21" s="1053"/>
      <c r="B21" s="1054"/>
      <c r="C21" s="1055"/>
      <c r="D21" s="1056"/>
      <c r="E21" s="1056"/>
      <c r="F21" s="1056"/>
      <c r="G21" s="1056"/>
      <c r="H21" s="1056"/>
      <c r="I21" s="820"/>
      <c r="J21" s="828"/>
      <c r="K21" s="828"/>
      <c r="L21" s="828"/>
      <c r="M21" s="828"/>
      <c r="N21" s="828"/>
      <c r="O21" s="828"/>
      <c r="P21" s="828"/>
      <c r="Q21" s="828"/>
      <c r="R21" s="828"/>
      <c r="S21" s="828"/>
      <c r="T21" s="1057"/>
      <c r="U21" s="820"/>
    </row>
    <row r="22" spans="1:45" ht="18" customHeight="1">
      <c r="A22" s="818"/>
      <c r="B22" s="815" t="s">
        <v>147</v>
      </c>
      <c r="C22" s="2607" t="s">
        <v>1300</v>
      </c>
      <c r="D22" s="2607"/>
      <c r="E22" s="2607"/>
      <c r="F22" s="813"/>
      <c r="G22" s="3321"/>
      <c r="H22" s="3322"/>
      <c r="I22" s="813"/>
      <c r="J22" s="3206" t="s">
        <v>1009</v>
      </c>
      <c r="K22" s="3206"/>
      <c r="L22" s="3206"/>
      <c r="M22" s="3206"/>
      <c r="N22" s="3206"/>
      <c r="O22" s="3206"/>
      <c r="P22" s="3206"/>
      <c r="Q22" s="3206"/>
      <c r="R22" s="3206"/>
      <c r="S22" s="2610"/>
      <c r="T22" s="817"/>
      <c r="U22" s="1037"/>
      <c r="V22" s="1037"/>
      <c r="Z22" s="813"/>
      <c r="AA22" s="813"/>
    </row>
    <row r="23" spans="1:45" ht="18" customHeight="1">
      <c r="A23" s="824"/>
      <c r="B23" s="815" t="s">
        <v>631</v>
      </c>
      <c r="C23" s="2607" t="s">
        <v>1869</v>
      </c>
      <c r="D23" s="2607"/>
      <c r="E23" s="2607"/>
      <c r="F23" s="813"/>
      <c r="G23" s="813"/>
      <c r="H23" s="813"/>
      <c r="I23" s="813"/>
      <c r="J23" s="826"/>
      <c r="K23" s="826"/>
      <c r="L23" s="813"/>
      <c r="M23" s="813"/>
      <c r="N23" s="813"/>
      <c r="O23" s="813"/>
      <c r="P23" s="813"/>
      <c r="Q23" s="813"/>
      <c r="R23" s="813"/>
      <c r="S23" s="813"/>
      <c r="T23" s="817"/>
    </row>
    <row r="24" spans="1:45" ht="18" customHeight="1">
      <c r="A24" s="818"/>
      <c r="B24" s="815"/>
      <c r="C24" s="813"/>
      <c r="D24" s="3275" t="str">
        <f>J11</f>
        <v/>
      </c>
      <c r="E24" s="3277"/>
      <c r="F24" s="2610" t="s">
        <v>1010</v>
      </c>
      <c r="G24" s="3232" t="str">
        <f>IF(ISBLANK(G22),"",G22)</f>
        <v/>
      </c>
      <c r="H24" s="3311"/>
      <c r="I24" s="2607" t="s">
        <v>1870</v>
      </c>
      <c r="J24" s="3234" t="str">
        <f>IF(ISBLANK(G22),"",J11*G22)</f>
        <v/>
      </c>
      <c r="K24" s="3235"/>
      <c r="L24" s="813" t="s">
        <v>22</v>
      </c>
      <c r="M24" s="2614"/>
      <c r="N24" s="2614"/>
      <c r="O24" s="2614"/>
      <c r="P24" s="2614"/>
      <c r="Q24" s="2614"/>
      <c r="R24" s="2614"/>
      <c r="S24" s="2614"/>
      <c r="T24" s="817"/>
      <c r="U24" s="823"/>
    </row>
    <row r="25" spans="1:45" ht="5.0999999999999996" customHeight="1">
      <c r="A25" s="818"/>
      <c r="B25" s="815"/>
      <c r="C25" s="2607"/>
      <c r="D25" s="813"/>
      <c r="E25" s="813"/>
      <c r="F25" s="813"/>
      <c r="G25" s="813"/>
      <c r="H25" s="813"/>
      <c r="I25" s="813"/>
      <c r="J25" s="813"/>
      <c r="K25" s="813"/>
      <c r="L25" s="813"/>
      <c r="M25" s="813"/>
      <c r="N25" s="813"/>
      <c r="O25" s="813"/>
      <c r="P25" s="813"/>
      <c r="Q25" s="813"/>
      <c r="R25" s="813"/>
      <c r="S25" s="813"/>
      <c r="T25" s="817"/>
      <c r="U25" s="821"/>
    </row>
    <row r="26" spans="1:45" ht="18" customHeight="1">
      <c r="A26" s="818"/>
      <c r="B26" s="815" t="s">
        <v>149</v>
      </c>
      <c r="C26" s="2607" t="s">
        <v>1019</v>
      </c>
      <c r="D26" s="2607"/>
      <c r="E26" s="2607"/>
      <c r="F26" s="813"/>
      <c r="G26" s="3223"/>
      <c r="H26" s="3224"/>
      <c r="I26" s="2607" t="s">
        <v>22</v>
      </c>
      <c r="J26" s="1738" t="s">
        <v>2117</v>
      </c>
      <c r="K26" s="813"/>
      <c r="L26" s="813"/>
      <c r="M26" s="813"/>
      <c r="N26" s="813"/>
      <c r="O26" s="813"/>
      <c r="P26" s="813"/>
      <c r="Q26" s="813"/>
      <c r="R26" s="813"/>
      <c r="S26" s="813"/>
      <c r="T26" s="817"/>
      <c r="U26" s="821"/>
    </row>
    <row r="27" spans="1:45" ht="5.0999999999999996" customHeight="1">
      <c r="A27" s="818"/>
      <c r="B27" s="815"/>
      <c r="C27" s="813"/>
      <c r="D27" s="813"/>
      <c r="E27" s="813"/>
      <c r="F27" s="813"/>
      <c r="G27" s="813"/>
      <c r="H27" s="813"/>
      <c r="I27" s="813"/>
      <c r="J27" s="3317"/>
      <c r="K27" s="3317"/>
      <c r="L27" s="3317"/>
      <c r="M27" s="3317"/>
      <c r="N27" s="3317"/>
      <c r="O27" s="3317"/>
      <c r="P27" s="3317"/>
      <c r="Q27" s="3317"/>
      <c r="R27" s="3317"/>
      <c r="S27" s="2614"/>
      <c r="T27" s="817"/>
      <c r="U27" s="821"/>
    </row>
    <row r="28" spans="1:45" ht="18" customHeight="1">
      <c r="A28" s="818"/>
      <c r="B28" s="815" t="s">
        <v>588</v>
      </c>
      <c r="C28" s="2607" t="s">
        <v>1301</v>
      </c>
      <c r="D28" s="2607"/>
      <c r="E28" s="2607"/>
      <c r="F28" s="813"/>
      <c r="G28" s="3223"/>
      <c r="H28" s="3224"/>
      <c r="I28" s="2607" t="s">
        <v>92</v>
      </c>
      <c r="J28" s="3317"/>
      <c r="K28" s="3317"/>
      <c r="L28" s="3317"/>
      <c r="M28" s="3317"/>
      <c r="N28" s="3317"/>
      <c r="O28" s="3317"/>
      <c r="P28" s="3317"/>
      <c r="Q28" s="3317"/>
      <c r="R28" s="3317"/>
      <c r="S28" s="2614"/>
      <c r="T28" s="817"/>
      <c r="U28" s="821"/>
    </row>
    <row r="29" spans="1:45" ht="18" customHeight="1">
      <c r="A29" s="818"/>
      <c r="B29" s="815" t="s">
        <v>589</v>
      </c>
      <c r="C29" s="813" t="s">
        <v>1302</v>
      </c>
      <c r="D29" s="813"/>
      <c r="E29" s="813"/>
      <c r="F29" s="813"/>
      <c r="G29" s="813"/>
      <c r="H29" s="813"/>
      <c r="I29" s="813"/>
      <c r="J29" s="813"/>
      <c r="K29" s="813"/>
      <c r="L29" s="813"/>
      <c r="M29" s="813"/>
      <c r="N29" s="813"/>
      <c r="O29" s="813"/>
      <c r="P29" s="813"/>
      <c r="Q29" s="813"/>
      <c r="R29" s="2607"/>
      <c r="S29" s="2607"/>
      <c r="T29" s="817"/>
      <c r="U29" s="821"/>
    </row>
    <row r="30" spans="1:45" ht="18" customHeight="1">
      <c r="A30" s="818"/>
      <c r="B30" s="815"/>
      <c r="C30" s="813"/>
      <c r="D30" s="813"/>
      <c r="E30" s="813"/>
      <c r="F30" s="813"/>
      <c r="G30" s="3225">
        <f>MAX(J24,G26)</f>
        <v>0</v>
      </c>
      <c r="H30" s="3226"/>
      <c r="I30" s="2610" t="s">
        <v>1304</v>
      </c>
      <c r="J30" s="3275">
        <f>G28</f>
        <v>0</v>
      </c>
      <c r="K30" s="3277"/>
      <c r="L30" s="2610" t="s">
        <v>107</v>
      </c>
      <c r="M30" s="3232" t="str">
        <f>IF(ISBLANK(G22),"",G30/J30)</f>
        <v/>
      </c>
      <c r="N30" s="3311"/>
      <c r="O30" s="2607" t="s">
        <v>1079</v>
      </c>
      <c r="P30" s="813"/>
      <c r="Q30" s="813"/>
      <c r="R30" s="813"/>
      <c r="S30" s="813"/>
      <c r="T30" s="817"/>
      <c r="U30" s="821"/>
    </row>
    <row r="31" spans="1:45" ht="5.0999999999999996" customHeight="1" thickBot="1">
      <c r="A31" s="818"/>
      <c r="B31" s="815"/>
      <c r="C31" s="813"/>
      <c r="D31" s="813"/>
      <c r="E31" s="813"/>
      <c r="F31" s="813"/>
      <c r="G31" s="813"/>
      <c r="H31" s="813"/>
      <c r="I31" s="813"/>
      <c r="J31" s="813"/>
      <c r="K31" s="813"/>
      <c r="L31" s="813"/>
      <c r="M31" s="813"/>
      <c r="N31" s="813"/>
      <c r="O31" s="813"/>
      <c r="P31" s="813"/>
      <c r="Q31" s="813"/>
      <c r="R31" s="813"/>
      <c r="S31" s="813"/>
      <c r="T31" s="817"/>
      <c r="AM31" s="1008"/>
      <c r="AO31" s="1009"/>
      <c r="AP31" s="1010"/>
      <c r="AQ31" s="1008"/>
      <c r="AS31" s="1010"/>
    </row>
    <row r="32" spans="1:45" ht="18" customHeight="1" thickBot="1">
      <c r="A32" s="833" t="s">
        <v>141</v>
      </c>
      <c r="B32" s="832"/>
      <c r="C32" s="831" t="s">
        <v>1306</v>
      </c>
      <c r="D32" s="830"/>
      <c r="E32" s="830"/>
      <c r="F32" s="830"/>
      <c r="G32" s="830"/>
      <c r="H32" s="830"/>
      <c r="I32" s="830"/>
      <c r="J32" s="830"/>
      <c r="K32" s="830"/>
      <c r="L32" s="830"/>
      <c r="M32" s="830"/>
      <c r="N32" s="830"/>
      <c r="O32" s="830"/>
      <c r="P32" s="830"/>
      <c r="Q32" s="830"/>
      <c r="R32" s="830"/>
      <c r="S32" s="830"/>
      <c r="T32" s="829"/>
      <c r="AM32" s="1008"/>
      <c r="AO32" s="1009"/>
      <c r="AP32" s="1010"/>
      <c r="AQ32" s="1008"/>
      <c r="AS32" s="1010"/>
    </row>
    <row r="33" spans="1:47" ht="18" customHeight="1">
      <c r="A33" s="818"/>
      <c r="B33" s="815" t="s">
        <v>147</v>
      </c>
      <c r="C33" s="2607" t="s">
        <v>1484</v>
      </c>
      <c r="D33" s="2607"/>
      <c r="E33" s="2607"/>
      <c r="F33" s="813"/>
      <c r="G33" s="1415"/>
      <c r="H33" s="1415"/>
      <c r="I33" s="2201"/>
      <c r="J33" s="820"/>
      <c r="K33" s="819"/>
      <c r="L33" s="819"/>
      <c r="M33" s="2201"/>
      <c r="N33" s="813"/>
      <c r="O33" s="813"/>
      <c r="P33" s="813"/>
      <c r="Q33" s="813"/>
      <c r="R33" s="813"/>
      <c r="S33" s="813"/>
      <c r="T33" s="817"/>
      <c r="AM33" s="1008"/>
      <c r="AO33" s="1009"/>
      <c r="AP33" s="1010"/>
      <c r="AQ33" s="1008"/>
      <c r="AS33" s="1010"/>
    </row>
    <row r="34" spans="1:47" ht="18" customHeight="1">
      <c r="A34" s="818"/>
      <c r="B34" s="815"/>
      <c r="C34" s="2607"/>
      <c r="D34" s="2607"/>
      <c r="E34" s="2607"/>
      <c r="F34" s="813"/>
      <c r="G34" s="3314"/>
      <c r="H34" s="3315"/>
      <c r="I34" s="2607" t="s">
        <v>94</v>
      </c>
      <c r="J34" s="3312">
        <f>G34/12</f>
        <v>0</v>
      </c>
      <c r="K34" s="3313"/>
      <c r="L34" s="1469" t="s">
        <v>92</v>
      </c>
      <c r="M34" s="2201"/>
      <c r="N34" s="813"/>
      <c r="O34" s="813"/>
      <c r="P34" s="813"/>
      <c r="Q34" s="813"/>
      <c r="R34" s="813"/>
      <c r="S34" s="813"/>
      <c r="T34" s="817"/>
      <c r="AM34" s="1008"/>
      <c r="AO34" s="1009"/>
      <c r="AP34" s="1010"/>
      <c r="AQ34" s="1008"/>
      <c r="AS34" s="1010"/>
    </row>
    <row r="35" spans="1:47" ht="18" customHeight="1">
      <c r="A35" s="818"/>
      <c r="B35" s="815" t="s">
        <v>631</v>
      </c>
      <c r="C35" s="3317" t="s">
        <v>1305</v>
      </c>
      <c r="D35" s="3317"/>
      <c r="E35" s="3317"/>
      <c r="F35" s="3317"/>
      <c r="G35" s="3317"/>
      <c r="H35" s="3317"/>
      <c r="I35" s="3317"/>
      <c r="J35" s="3317"/>
      <c r="K35" s="3317"/>
      <c r="L35" s="3317"/>
      <c r="M35" s="3317"/>
      <c r="N35" s="3317"/>
      <c r="O35" s="3317"/>
      <c r="P35" s="3317"/>
      <c r="Q35" s="3317"/>
      <c r="R35" s="3317"/>
      <c r="S35" s="2614"/>
      <c r="T35" s="817"/>
      <c r="AP35" s="1010"/>
      <c r="AU35" s="1008"/>
    </row>
    <row r="36" spans="1:47" ht="18" customHeight="1">
      <c r="A36" s="818"/>
      <c r="B36" s="815"/>
      <c r="C36" s="2606" t="s">
        <v>310</v>
      </c>
      <c r="D36" s="3327">
        <f>IF(ISBLANK(J34), " ",J34)</f>
        <v>0</v>
      </c>
      <c r="E36" s="3328"/>
      <c r="F36" s="813" t="s">
        <v>944</v>
      </c>
      <c r="G36" s="3223"/>
      <c r="H36" s="3224"/>
      <c r="I36" s="813" t="s">
        <v>657</v>
      </c>
      <c r="J36" s="2611" t="s">
        <v>101</v>
      </c>
      <c r="K36" s="3275" t="str">
        <f>IF(ISBLANK(G34),"",MAX(J24,G26))</f>
        <v/>
      </c>
      <c r="L36" s="3277"/>
      <c r="M36" s="2611" t="s">
        <v>656</v>
      </c>
      <c r="N36" s="3225" t="str">
        <f>IF(ISBLANK(G34),"",(D36+G36)*K36)</f>
        <v/>
      </c>
      <c r="O36" s="3226"/>
      <c r="P36" s="2614" t="s">
        <v>24</v>
      </c>
      <c r="Q36" s="813"/>
      <c r="R36" s="813"/>
      <c r="S36" s="813"/>
      <c r="T36" s="817"/>
      <c r="AU36" s="1008"/>
    </row>
    <row r="37" spans="1:47" ht="3.6" customHeight="1">
      <c r="A37" s="818"/>
      <c r="B37" s="815"/>
      <c r="C37" s="813"/>
      <c r="D37" s="813"/>
      <c r="E37" s="813"/>
      <c r="F37" s="813"/>
      <c r="G37" s="813"/>
      <c r="H37" s="813"/>
      <c r="I37" s="813"/>
      <c r="J37" s="813"/>
      <c r="K37" s="813"/>
      <c r="L37" s="813"/>
      <c r="M37" s="813"/>
      <c r="N37" s="813"/>
      <c r="O37" s="813"/>
      <c r="P37" s="813"/>
      <c r="Q37" s="813"/>
      <c r="R37" s="813"/>
      <c r="S37" s="813"/>
      <c r="T37" s="817"/>
    </row>
    <row r="38" spans="1:47" ht="18" customHeight="1">
      <c r="A38" s="818"/>
      <c r="B38" s="815" t="s">
        <v>149</v>
      </c>
      <c r="C38" s="813" t="s">
        <v>1303</v>
      </c>
      <c r="D38" s="813"/>
      <c r="E38" s="813"/>
      <c r="F38" s="813"/>
      <c r="G38" s="813"/>
      <c r="H38" s="813"/>
      <c r="I38" s="813"/>
      <c r="J38" s="813"/>
      <c r="K38" s="813"/>
      <c r="L38" s="813"/>
      <c r="M38" s="813"/>
      <c r="N38" s="813"/>
      <c r="O38" s="813"/>
      <c r="P38" s="813"/>
      <c r="Q38" s="813"/>
      <c r="R38" s="813"/>
      <c r="S38" s="813"/>
      <c r="T38" s="817"/>
    </row>
    <row r="39" spans="1:47" ht="18" customHeight="1">
      <c r="A39" s="818"/>
      <c r="B39" s="815"/>
      <c r="C39" s="813"/>
      <c r="D39" s="813"/>
      <c r="E39" s="813"/>
      <c r="F39" s="813"/>
      <c r="G39" s="3225" t="str">
        <f>N36</f>
        <v/>
      </c>
      <c r="H39" s="3226"/>
      <c r="I39" s="3318" t="s">
        <v>658</v>
      </c>
      <c r="J39" s="3319"/>
      <c r="K39" s="3320"/>
      <c r="L39" s="3225" t="str">
        <f>IF(ISBLANK(G34),"",G39/27)</f>
        <v/>
      </c>
      <c r="M39" s="3226"/>
      <c r="N39" s="2614" t="s">
        <v>25</v>
      </c>
      <c r="O39" s="813"/>
      <c r="P39" s="813"/>
      <c r="Q39" s="813"/>
      <c r="R39" s="813"/>
      <c r="S39" s="813"/>
      <c r="T39" s="817"/>
    </row>
    <row r="40" spans="1:47" ht="5.0999999999999996" customHeight="1" thickBot="1">
      <c r="A40" s="818"/>
      <c r="B40" s="815"/>
      <c r="C40" s="813"/>
      <c r="D40" s="813"/>
      <c r="E40" s="813"/>
      <c r="F40" s="813"/>
      <c r="G40" s="813"/>
      <c r="H40" s="813"/>
      <c r="I40" s="813"/>
      <c r="J40" s="813"/>
      <c r="K40" s="813"/>
      <c r="L40" s="813"/>
      <c r="M40" s="813"/>
      <c r="N40" s="813"/>
      <c r="O40" s="813"/>
      <c r="P40" s="813"/>
      <c r="Q40" s="813"/>
      <c r="R40" s="813"/>
      <c r="S40" s="813"/>
      <c r="T40" s="817"/>
    </row>
    <row r="41" spans="1:47" ht="18" customHeight="1" thickBot="1">
      <c r="A41" s="2530" t="s">
        <v>142</v>
      </c>
      <c r="B41" s="2531"/>
      <c r="C41" s="2532" t="s">
        <v>1307</v>
      </c>
      <c r="D41" s="2533"/>
      <c r="E41" s="2533"/>
      <c r="F41" s="2533"/>
      <c r="G41" s="2533"/>
      <c r="H41" s="2533"/>
      <c r="I41" s="2533"/>
      <c r="J41" s="2533"/>
      <c r="K41" s="2533"/>
      <c r="L41" s="2533"/>
      <c r="M41" s="2533"/>
      <c r="N41" s="2533"/>
      <c r="O41" s="2533"/>
      <c r="P41" s="2533"/>
      <c r="Q41" s="2533"/>
      <c r="R41" s="2533"/>
      <c r="S41" s="2533"/>
      <c r="T41" s="2534"/>
    </row>
    <row r="42" spans="1:47" ht="5.0999999999999996" customHeight="1">
      <c r="A42" s="2535"/>
      <c r="B42" s="2536"/>
      <c r="C42" s="1047"/>
      <c r="D42" s="1047"/>
      <c r="E42" s="1047"/>
      <c r="F42" s="1047"/>
      <c r="G42" s="1047"/>
      <c r="H42" s="1047"/>
      <c r="I42" s="1047"/>
      <c r="J42" s="1047"/>
      <c r="K42" s="1047"/>
      <c r="L42" s="1047"/>
      <c r="M42" s="1047"/>
      <c r="N42" s="1047"/>
      <c r="O42" s="1047"/>
      <c r="P42" s="1047"/>
      <c r="Q42" s="1047"/>
      <c r="R42" s="1047"/>
      <c r="S42" s="1047"/>
      <c r="T42" s="2537"/>
    </row>
    <row r="43" spans="1:47" ht="18" customHeight="1">
      <c r="A43" s="2535"/>
      <c r="B43" s="2536" t="s">
        <v>147</v>
      </c>
      <c r="C43" s="1047" t="s">
        <v>1088</v>
      </c>
      <c r="D43" s="1047"/>
      <c r="E43" s="1047"/>
      <c r="F43" s="1047"/>
      <c r="G43" s="3331" t="str">
        <f>IF(Summary!AA63=0,"",IF(Summary!AA63=2,Summary!O69,""))</f>
        <v/>
      </c>
      <c r="H43" s="3332"/>
      <c r="I43" s="3332"/>
      <c r="J43" s="3332"/>
      <c r="K43" s="3332"/>
      <c r="L43" s="3332"/>
      <c r="M43" s="3333"/>
      <c r="N43" s="1047"/>
      <c r="O43" s="3307" t="s">
        <v>1801</v>
      </c>
      <c r="P43" s="3307"/>
      <c r="Q43" s="3307"/>
      <c r="R43" s="3307"/>
      <c r="S43" s="2668"/>
      <c r="T43" s="2537"/>
      <c r="U43" s="820"/>
    </row>
    <row r="44" spans="1:47" ht="5.0999999999999996" customHeight="1">
      <c r="A44" s="2535"/>
      <c r="B44" s="2536"/>
      <c r="C44" s="1047"/>
      <c r="D44" s="1047"/>
      <c r="E44" s="1047"/>
      <c r="F44" s="1047"/>
      <c r="G44" s="1047"/>
      <c r="H44" s="1047"/>
      <c r="I44" s="1047"/>
      <c r="J44" s="1047"/>
      <c r="K44" s="1047"/>
      <c r="L44" s="1047"/>
      <c r="M44" s="1047"/>
      <c r="N44" s="1047"/>
      <c r="O44" s="3307"/>
      <c r="P44" s="3307"/>
      <c r="Q44" s="3307"/>
      <c r="R44" s="3307"/>
      <c r="S44" s="2668"/>
      <c r="T44" s="2537"/>
    </row>
    <row r="45" spans="1:47" ht="18" customHeight="1">
      <c r="A45" s="2535"/>
      <c r="B45" s="2536" t="s">
        <v>631</v>
      </c>
      <c r="C45" s="1047" t="s">
        <v>302</v>
      </c>
      <c r="D45" s="1047"/>
      <c r="E45" s="1047"/>
      <c r="F45" s="1047"/>
      <c r="G45" s="2538"/>
      <c r="H45" s="2538"/>
      <c r="I45" s="2580"/>
      <c r="J45" s="2580"/>
      <c r="K45" s="2580"/>
      <c r="L45" s="3334">
        <f>G28</f>
        <v>0</v>
      </c>
      <c r="M45" s="3334"/>
      <c r="N45" s="1047" t="s">
        <v>92</v>
      </c>
      <c r="O45" s="3307"/>
      <c r="P45" s="3307"/>
      <c r="Q45" s="3307"/>
      <c r="R45" s="3307"/>
      <c r="S45" s="2668"/>
      <c r="T45" s="2537"/>
    </row>
    <row r="46" spans="1:47" ht="5.0999999999999996" customHeight="1">
      <c r="A46" s="2535"/>
      <c r="B46" s="2536"/>
      <c r="C46" s="1047"/>
      <c r="D46" s="1047"/>
      <c r="E46" s="1047"/>
      <c r="F46" s="1047"/>
      <c r="G46" s="1047"/>
      <c r="H46" s="1047"/>
      <c r="I46" s="1047"/>
      <c r="J46" s="1047"/>
      <c r="K46" s="1047"/>
      <c r="L46" s="2361"/>
      <c r="M46" s="2361"/>
      <c r="N46" s="1047"/>
      <c r="O46" s="3307"/>
      <c r="P46" s="3307"/>
      <c r="Q46" s="3307"/>
      <c r="R46" s="3307"/>
      <c r="S46" s="2668"/>
      <c r="T46" s="2537"/>
    </row>
    <row r="47" spans="1:47" ht="18" customHeight="1">
      <c r="A47" s="2535"/>
      <c r="B47" s="2536" t="s">
        <v>149</v>
      </c>
      <c r="C47" s="1047" t="s">
        <v>301</v>
      </c>
      <c r="D47" s="1047"/>
      <c r="E47" s="1047"/>
      <c r="F47" s="1047" t="s">
        <v>2106</v>
      </c>
      <c r="G47" s="2538"/>
      <c r="H47" s="3299" t="str">
        <f>M30</f>
        <v/>
      </c>
      <c r="I47" s="3299"/>
      <c r="J47" s="2580"/>
      <c r="K47" s="2580"/>
      <c r="L47" s="3257"/>
      <c r="M47" s="3257"/>
      <c r="N47" s="1047" t="s">
        <v>92</v>
      </c>
      <c r="O47" s="3307"/>
      <c r="P47" s="3307"/>
      <c r="Q47" s="3307"/>
      <c r="R47" s="3307"/>
      <c r="S47" s="2668"/>
      <c r="T47" s="2537"/>
    </row>
    <row r="48" spans="1:47" ht="5.0999999999999996" customHeight="1">
      <c r="A48" s="2535"/>
      <c r="B48" s="2536"/>
      <c r="C48" s="1047"/>
      <c r="D48" s="1047"/>
      <c r="E48" s="1047"/>
      <c r="F48" s="1047"/>
      <c r="G48" s="1047"/>
      <c r="H48" s="1047"/>
      <c r="I48" s="1047"/>
      <c r="J48" s="1047"/>
      <c r="K48" s="1047"/>
      <c r="L48" s="1047"/>
      <c r="M48" s="1047"/>
      <c r="N48" s="1047"/>
      <c r="O48" s="1047"/>
      <c r="P48" s="1047"/>
      <c r="Q48" s="1047"/>
      <c r="R48" s="1047"/>
      <c r="S48" s="1047"/>
      <c r="T48" s="2537"/>
    </row>
    <row r="49" spans="1:21" ht="19.350000000000001" customHeight="1">
      <c r="A49" s="2535"/>
      <c r="B49" s="2536" t="s">
        <v>1430</v>
      </c>
      <c r="C49" s="1047" t="s">
        <v>1431</v>
      </c>
      <c r="D49" s="1047"/>
      <c r="E49" s="1047"/>
      <c r="F49" s="1047"/>
      <c r="G49" s="1047"/>
      <c r="H49" s="1047"/>
      <c r="I49" s="1047"/>
      <c r="J49" s="1047"/>
      <c r="K49" s="1047"/>
      <c r="L49" s="3258"/>
      <c r="M49" s="3258"/>
      <c r="N49" s="1047" t="s">
        <v>94</v>
      </c>
      <c r="O49" s="1047"/>
      <c r="P49" s="1047"/>
      <c r="Q49" s="1047"/>
      <c r="R49" s="1047"/>
      <c r="S49" s="1047"/>
      <c r="T49" s="2537"/>
    </row>
    <row r="50" spans="1:21" ht="6" customHeight="1" thickBot="1">
      <c r="A50" s="2545"/>
      <c r="B50" s="2667"/>
      <c r="C50" s="2547"/>
      <c r="D50" s="2547"/>
      <c r="E50" s="2547"/>
      <c r="F50" s="2547"/>
      <c r="G50" s="2547"/>
      <c r="H50" s="2547"/>
      <c r="I50" s="2547"/>
      <c r="J50" s="2547"/>
      <c r="K50" s="2546"/>
      <c r="L50" s="2736"/>
      <c r="M50" s="2736"/>
      <c r="N50" s="2546"/>
      <c r="O50" s="2547"/>
      <c r="P50" s="2547"/>
      <c r="Q50" s="2547"/>
      <c r="R50" s="2547"/>
      <c r="S50" s="2547"/>
      <c r="T50" s="2548"/>
    </row>
    <row r="51" spans="1:21" ht="18" customHeight="1" thickBot="1">
      <c r="A51" s="2539" t="s">
        <v>91</v>
      </c>
      <c r="B51" s="2540"/>
      <c r="C51" s="2540" t="s">
        <v>2095</v>
      </c>
      <c r="D51" s="2541"/>
      <c r="E51" s="2541"/>
      <c r="F51" s="2541"/>
      <c r="G51" s="2541"/>
      <c r="H51" s="2541"/>
      <c r="I51" s="2541"/>
      <c r="J51" s="2541"/>
      <c r="K51" s="2541"/>
      <c r="L51" s="2541"/>
      <c r="M51" s="2541"/>
      <c r="N51" s="2542"/>
      <c r="O51" s="2542"/>
      <c r="P51" s="2541"/>
      <c r="Q51" s="3300" t="s">
        <v>1016</v>
      </c>
      <c r="R51" s="3300"/>
      <c r="S51" s="3301" t="str">
        <f>IF(ISBLANK(Summary!S3)," ",Summary!S3)</f>
        <v xml:space="preserve"> </v>
      </c>
      <c r="T51" s="3302"/>
      <c r="U51" s="2524"/>
    </row>
    <row r="52" spans="1:21" ht="3.6" customHeight="1">
      <c r="A52" s="2535"/>
      <c r="B52" s="2543"/>
      <c r="C52" s="2361"/>
      <c r="D52" s="2361"/>
      <c r="E52" s="2361"/>
      <c r="F52" s="2361"/>
      <c r="G52" s="2538"/>
      <c r="H52" s="2538"/>
      <c r="I52" s="2580"/>
      <c r="J52" s="2580"/>
      <c r="K52" s="2580"/>
      <c r="L52" s="2544"/>
      <c r="M52" s="2544"/>
      <c r="N52" s="2361"/>
      <c r="O52" s="2361"/>
      <c r="P52" s="2361"/>
      <c r="Q52" s="1047"/>
      <c r="R52" s="1047"/>
      <c r="S52" s="1047"/>
      <c r="T52" s="2537"/>
    </row>
    <row r="53" spans="1:21" ht="18" customHeight="1">
      <c r="A53" s="2535"/>
      <c r="B53" s="2543"/>
      <c r="C53" s="2360" t="s">
        <v>2098</v>
      </c>
      <c r="D53" s="2363"/>
      <c r="E53" s="2363"/>
      <c r="F53" s="2580"/>
      <c r="G53" s="3329"/>
      <c r="H53" s="3329"/>
      <c r="I53" s="2580"/>
      <c r="J53" s="2824"/>
      <c r="K53" s="2824"/>
      <c r="L53" s="2620"/>
      <c r="M53" s="2544"/>
      <c r="N53" s="2361"/>
      <c r="O53" s="2361"/>
      <c r="P53" s="2361"/>
      <c r="Q53" s="1047"/>
      <c r="R53" s="1047"/>
      <c r="S53" s="1047"/>
      <c r="T53" s="2537"/>
    </row>
    <row r="54" spans="1:21" ht="18" customHeight="1">
      <c r="A54" s="2535"/>
      <c r="B54" s="2543"/>
      <c r="C54" s="1047"/>
      <c r="D54" s="1047"/>
      <c r="E54" s="1047"/>
      <c r="F54" s="2361"/>
      <c r="G54" s="2361"/>
      <c r="H54" s="2361"/>
      <c r="I54" s="2361"/>
      <c r="J54" s="2361"/>
      <c r="K54" s="2361"/>
      <c r="L54" s="2361"/>
      <c r="M54" s="3338" t="s">
        <v>2091</v>
      </c>
      <c r="N54" s="3338"/>
      <c r="O54" s="3338"/>
      <c r="P54" s="1047"/>
      <c r="Q54" s="1047"/>
      <c r="R54" s="1047"/>
      <c r="S54" s="1047"/>
      <c r="T54" s="2537"/>
    </row>
    <row r="55" spans="1:21" ht="18" customHeight="1">
      <c r="A55" s="2535"/>
      <c r="B55" s="2543"/>
      <c r="C55" s="1047"/>
      <c r="D55" s="1047"/>
      <c r="E55" s="1047"/>
      <c r="F55" s="2361"/>
      <c r="G55" s="2361"/>
      <c r="H55" s="2361"/>
      <c r="I55" s="2361"/>
      <c r="J55" s="2361"/>
      <c r="K55" s="2361"/>
      <c r="L55" s="2361"/>
      <c r="M55" s="3338"/>
      <c r="N55" s="3338"/>
      <c r="O55" s="3338"/>
      <c r="P55" s="1047"/>
      <c r="Q55" s="1047"/>
      <c r="R55" s="1047"/>
      <c r="S55" s="1047"/>
      <c r="T55" s="2537"/>
    </row>
    <row r="56" spans="1:21" ht="18" customHeight="1">
      <c r="A56" s="2535"/>
      <c r="B56" s="1047"/>
      <c r="C56" s="1047"/>
      <c r="D56" s="1047"/>
      <c r="E56" s="2361"/>
      <c r="F56" s="2361"/>
      <c r="G56" s="2361"/>
      <c r="H56" s="2361"/>
      <c r="I56" s="2361"/>
      <c r="J56" s="2361"/>
      <c r="K56" s="2361"/>
      <c r="L56" s="2361"/>
      <c r="M56" s="3282" t="str">
        <f>IF(G15="Rock",(G34),(IF(G15="REGISTERED PRODUCT:",L49," ")))</f>
        <v xml:space="preserve"> </v>
      </c>
      <c r="N56" s="3284"/>
      <c r="O56" s="1047" t="s">
        <v>2088</v>
      </c>
      <c r="P56" s="2361"/>
      <c r="Q56" s="1047"/>
      <c r="R56" s="1047"/>
      <c r="S56" s="1047"/>
      <c r="T56" s="2537"/>
    </row>
    <row r="57" spans="1:21" ht="11.1" customHeight="1">
      <c r="A57" s="2535"/>
      <c r="B57" s="1047"/>
      <c r="C57" s="1047"/>
      <c r="D57" s="1047"/>
      <c r="E57" s="2361"/>
      <c r="F57" s="2361"/>
      <c r="G57" s="2361"/>
      <c r="H57" s="2361"/>
      <c r="I57" s="2361"/>
      <c r="J57" s="2361"/>
      <c r="K57" s="2361"/>
      <c r="L57" s="2361"/>
      <c r="M57" s="2361"/>
      <c r="N57" s="2361"/>
      <c r="O57" s="1047"/>
      <c r="P57" s="2361"/>
      <c r="Q57" s="1047"/>
      <c r="R57" s="1047"/>
      <c r="S57" s="1047"/>
      <c r="T57" s="2537"/>
    </row>
    <row r="58" spans="1:21" ht="18" customHeight="1">
      <c r="A58" s="2535"/>
      <c r="B58" s="2543"/>
      <c r="C58" s="2361"/>
      <c r="D58" s="2361"/>
      <c r="E58" s="2361"/>
      <c r="F58" s="2361"/>
      <c r="G58" s="2361"/>
      <c r="H58" s="2361"/>
      <c r="I58" s="2361"/>
      <c r="J58" s="2361"/>
      <c r="K58" s="2361"/>
      <c r="L58" s="2361"/>
      <c r="M58" s="3282">
        <f>P6</f>
        <v>0</v>
      </c>
      <c r="N58" s="3284"/>
      <c r="O58" s="1047" t="s">
        <v>2096</v>
      </c>
      <c r="P58" s="2361"/>
      <c r="Q58" s="1047"/>
      <c r="R58" s="1047"/>
      <c r="S58" s="1047"/>
      <c r="T58" s="2537"/>
    </row>
    <row r="59" spans="1:21" ht="11.1" customHeight="1">
      <c r="A59" s="2535"/>
      <c r="B59" s="2543"/>
      <c r="C59" s="2361"/>
      <c r="D59" s="2361"/>
      <c r="E59" s="2361"/>
      <c r="F59" s="2361"/>
      <c r="G59" s="2361"/>
      <c r="H59" s="2361"/>
      <c r="I59" s="2361"/>
      <c r="J59" s="2361"/>
      <c r="K59" s="2361"/>
      <c r="L59" s="2361"/>
      <c r="M59" s="2361"/>
      <c r="N59" s="2361"/>
      <c r="O59" s="1047"/>
      <c r="P59" s="2361"/>
      <c r="Q59" s="1047"/>
      <c r="R59" s="1047"/>
      <c r="S59" s="1047"/>
      <c r="T59" s="2537"/>
    </row>
    <row r="60" spans="1:21" ht="18" customHeight="1">
      <c r="A60" s="2535"/>
      <c r="B60" s="2543"/>
      <c r="C60" s="2361"/>
      <c r="D60" s="2361"/>
      <c r="E60" s="2361"/>
      <c r="F60" s="2361"/>
      <c r="G60" s="2361"/>
      <c r="H60" s="2361"/>
      <c r="I60" s="2361"/>
      <c r="J60" s="2361"/>
      <c r="K60" s="2361"/>
      <c r="L60" s="2361"/>
      <c r="M60" s="3282" t="str">
        <f>H6</f>
        <v/>
      </c>
      <c r="N60" s="3284"/>
      <c r="O60" s="1047" t="s">
        <v>2097</v>
      </c>
      <c r="P60" s="2361"/>
      <c r="Q60" s="1047"/>
      <c r="R60" s="1047"/>
      <c r="S60" s="1047"/>
      <c r="T60" s="2537"/>
    </row>
    <row r="61" spans="1:21" ht="11.1" customHeight="1">
      <c r="A61" s="2535"/>
      <c r="B61" s="2543"/>
      <c r="C61" s="2361"/>
      <c r="D61" s="2361"/>
      <c r="E61" s="2361"/>
      <c r="F61" s="2361"/>
      <c r="G61" s="2361"/>
      <c r="H61" s="2361"/>
      <c r="I61" s="2361"/>
      <c r="J61" s="2361"/>
      <c r="K61" s="2361"/>
      <c r="L61" s="2361"/>
      <c r="M61" s="2361"/>
      <c r="N61" s="2361"/>
      <c r="O61" s="1047"/>
      <c r="P61" s="2361"/>
      <c r="Q61" s="1047"/>
      <c r="R61" s="1047"/>
      <c r="S61" s="1047"/>
      <c r="T61" s="2537"/>
    </row>
    <row r="62" spans="1:21" ht="18" customHeight="1">
      <c r="A62" s="2535"/>
      <c r="B62" s="2543"/>
      <c r="C62" s="2361"/>
      <c r="D62" s="2361"/>
      <c r="E62" s="2361"/>
      <c r="F62" s="2361"/>
      <c r="G62" s="2361"/>
      <c r="H62" s="2361"/>
      <c r="I62" s="2361"/>
      <c r="J62" s="2361"/>
      <c r="K62" s="2361"/>
      <c r="L62" s="2361"/>
      <c r="M62" s="2361"/>
      <c r="N62" s="2361"/>
      <c r="O62" s="1047"/>
      <c r="P62" s="2361"/>
      <c r="Q62" s="1047"/>
      <c r="R62" s="1047"/>
      <c r="S62" s="1047"/>
      <c r="T62" s="2537"/>
    </row>
    <row r="63" spans="1:21" ht="18" customHeight="1">
      <c r="A63" s="2535"/>
      <c r="B63" s="2543"/>
      <c r="C63" s="2361"/>
      <c r="D63" s="2361"/>
      <c r="E63" s="2361"/>
      <c r="F63" s="2361"/>
      <c r="G63" s="3282" t="str">
        <f>IF(G15="Rock",G28,(IF(G15="REGISTERED PRODUCT:",L45," ")))</f>
        <v xml:space="preserve"> </v>
      </c>
      <c r="H63" s="3284"/>
      <c r="I63" s="2361" t="s">
        <v>2100</v>
      </c>
      <c r="J63" s="2361"/>
      <c r="K63" s="2361"/>
      <c r="L63" s="2361"/>
      <c r="M63" s="2580"/>
      <c r="N63" s="2580"/>
      <c r="O63" s="1047"/>
      <c r="P63" s="2361"/>
      <c r="Q63" s="1047"/>
      <c r="R63" s="1047"/>
      <c r="S63" s="1047"/>
      <c r="T63" s="2537"/>
    </row>
    <row r="64" spans="1:21" ht="6.75" customHeight="1">
      <c r="A64" s="2535"/>
      <c r="B64" s="2543"/>
      <c r="C64" s="2361"/>
      <c r="D64" s="2361"/>
      <c r="E64" s="2361"/>
      <c r="F64" s="2361"/>
      <c r="G64" s="2361"/>
      <c r="H64" s="2361"/>
      <c r="I64" s="2361"/>
      <c r="J64" s="2361"/>
      <c r="K64" s="2361"/>
      <c r="L64" s="2361"/>
      <c r="M64" s="2580"/>
      <c r="N64" s="2580"/>
      <c r="O64" s="1047"/>
      <c r="P64" s="2361"/>
      <c r="Q64" s="1047"/>
      <c r="R64" s="1047"/>
      <c r="S64" s="1047"/>
      <c r="T64" s="2537"/>
    </row>
    <row r="65" spans="1:27" ht="6.75" customHeight="1">
      <c r="A65" s="2535"/>
      <c r="B65" s="2543"/>
      <c r="C65" s="2361"/>
      <c r="D65" s="2361"/>
      <c r="E65" s="2361"/>
      <c r="F65" s="2361"/>
      <c r="G65" s="2361"/>
      <c r="H65" s="2361"/>
      <c r="I65" s="2361"/>
      <c r="J65" s="2361"/>
      <c r="K65" s="2361"/>
      <c r="L65" s="2361"/>
      <c r="M65" s="2580"/>
      <c r="N65" s="2580"/>
      <c r="O65" s="1047"/>
      <c r="P65" s="2361"/>
      <c r="Q65" s="1047"/>
      <c r="R65" s="1047"/>
      <c r="S65" s="1047"/>
      <c r="T65" s="2537"/>
    </row>
    <row r="66" spans="1:27" ht="18" customHeight="1">
      <c r="A66" s="2535"/>
      <c r="B66" s="2543"/>
      <c r="C66" s="2360" t="s">
        <v>2099</v>
      </c>
      <c r="D66" s="2361"/>
      <c r="E66" s="2361"/>
      <c r="F66" s="2361"/>
      <c r="G66" s="2361"/>
      <c r="H66" s="2361"/>
      <c r="I66" s="2361"/>
      <c r="J66" s="2361"/>
      <c r="K66" s="2361"/>
      <c r="L66" s="2361"/>
      <c r="M66" s="2361"/>
      <c r="N66" s="1047"/>
      <c r="O66" s="1047"/>
      <c r="P66" s="1047"/>
      <c r="Q66" s="1047"/>
      <c r="R66" s="1047"/>
      <c r="S66" s="1047"/>
      <c r="T66" s="2549"/>
      <c r="U66" s="820"/>
      <c r="V66" s="820"/>
      <c r="W66" s="820"/>
      <c r="X66" s="820"/>
      <c r="Y66" s="820"/>
      <c r="Z66" s="820"/>
    </row>
    <row r="67" spans="1:27" ht="18" customHeight="1">
      <c r="A67" s="2535"/>
      <c r="B67" s="2543"/>
      <c r="C67" s="2613"/>
      <c r="D67" s="3329"/>
      <c r="E67" s="3329"/>
      <c r="F67" s="2361"/>
      <c r="G67" s="2361"/>
      <c r="H67" s="2642"/>
      <c r="I67" s="3335"/>
      <c r="J67" s="3335"/>
      <c r="K67" s="3336"/>
      <c r="L67" s="3337"/>
      <c r="M67" s="2550"/>
      <c r="N67" s="1047"/>
      <c r="O67" s="1047"/>
      <c r="P67" s="1047"/>
      <c r="Q67" s="3316" t="s">
        <v>2103</v>
      </c>
      <c r="R67" s="3316"/>
      <c r="S67" s="3316"/>
      <c r="T67" s="2537"/>
      <c r="Y67" s="820"/>
      <c r="Z67" s="820"/>
      <c r="AA67" s="820"/>
    </row>
    <row r="68" spans="1:27" ht="18" customHeight="1">
      <c r="A68" s="2535"/>
      <c r="B68" s="3303" t="s">
        <v>2107</v>
      </c>
      <c r="C68" s="3303"/>
      <c r="D68" s="3303"/>
      <c r="E68" s="3303"/>
      <c r="F68" s="3303"/>
      <c r="G68" s="2538"/>
      <c r="H68" s="2538"/>
      <c r="I68" s="2580"/>
      <c r="J68" s="2580"/>
      <c r="K68" s="2580"/>
      <c r="L68" s="2544"/>
      <c r="M68" s="2544"/>
      <c r="N68" s="2361"/>
      <c r="O68" s="2361"/>
      <c r="P68" s="2361"/>
      <c r="Q68" s="3316"/>
      <c r="R68" s="3316"/>
      <c r="S68" s="3316"/>
      <c r="T68" s="2537"/>
    </row>
    <row r="69" spans="1:27" ht="18" customHeight="1">
      <c r="A69" s="2535"/>
      <c r="B69" s="3303"/>
      <c r="C69" s="3303"/>
      <c r="D69" s="3303"/>
      <c r="E69" s="3303"/>
      <c r="F69" s="3303"/>
      <c r="G69" s="2538"/>
      <c r="H69" s="2538"/>
      <c r="I69" s="2580"/>
      <c r="J69" s="2580"/>
      <c r="K69" s="2580"/>
      <c r="L69" s="2544"/>
      <c r="M69" s="2544"/>
      <c r="N69" s="2361"/>
      <c r="O69" s="1047"/>
      <c r="P69" s="1047"/>
      <c r="Q69" s="1047"/>
      <c r="R69" s="1047"/>
      <c r="S69" s="1047"/>
      <c r="T69" s="2537"/>
    </row>
    <row r="70" spans="1:27" ht="18" customHeight="1">
      <c r="A70" s="2535"/>
      <c r="B70" s="3303"/>
      <c r="C70" s="3303"/>
      <c r="D70" s="3303"/>
      <c r="E70" s="3303"/>
      <c r="F70" s="3303"/>
      <c r="G70" s="2538"/>
      <c r="H70" s="2538"/>
      <c r="I70" s="2580"/>
      <c r="J70" s="2580"/>
      <c r="K70" s="2580"/>
      <c r="L70" s="2544"/>
      <c r="M70" s="2544"/>
      <c r="N70" s="1047"/>
      <c r="O70" s="1047"/>
      <c r="P70" s="1047"/>
      <c r="Q70" s="3282" t="str">
        <f>IF(G15="Rock",G28,(IF(G15="REGISTERED PRODUCT:",L45," ")))</f>
        <v xml:space="preserve"> </v>
      </c>
      <c r="R70" s="3284"/>
      <c r="S70" s="2361" t="s">
        <v>2100</v>
      </c>
      <c r="T70" s="2537"/>
    </row>
    <row r="71" spans="1:27" ht="18" customHeight="1">
      <c r="A71" s="2535"/>
      <c r="B71" s="2543"/>
      <c r="C71" s="2361"/>
      <c r="D71" s="2361"/>
      <c r="E71" s="2361"/>
      <c r="F71" s="2361"/>
      <c r="G71" s="2538"/>
      <c r="H71" s="2538"/>
      <c r="I71" s="2580"/>
      <c r="J71" s="2580"/>
      <c r="K71" s="2580"/>
      <c r="L71" s="2544"/>
      <c r="M71" s="2544"/>
      <c r="N71" s="2361"/>
      <c r="O71" s="2361"/>
      <c r="P71" s="2361"/>
      <c r="Q71" s="1047"/>
      <c r="R71" s="1047"/>
      <c r="S71" s="1047"/>
      <c r="T71" s="2537"/>
    </row>
    <row r="72" spans="1:27" ht="18" customHeight="1">
      <c r="A72" s="2535"/>
      <c r="B72" s="2543"/>
      <c r="C72" s="2361"/>
      <c r="D72" s="2361"/>
      <c r="E72" s="2361"/>
      <c r="F72" s="2361"/>
      <c r="G72" s="2538"/>
      <c r="H72" s="2538"/>
      <c r="I72" s="2580"/>
      <c r="J72" s="2580"/>
      <c r="K72" s="2580"/>
      <c r="L72" s="2544"/>
      <c r="M72" s="2544"/>
      <c r="N72" s="2361"/>
      <c r="O72" s="2361"/>
      <c r="P72" s="2361"/>
      <c r="Q72" s="1047"/>
      <c r="R72" s="1047"/>
      <c r="S72" s="1047"/>
      <c r="T72" s="2537"/>
    </row>
    <row r="73" spans="1:27" ht="18" customHeight="1">
      <c r="A73" s="2535"/>
      <c r="B73" s="2543"/>
      <c r="C73" s="2361"/>
      <c r="D73" s="2361"/>
      <c r="E73" s="2361"/>
      <c r="F73" s="2361"/>
      <c r="G73" s="2538"/>
      <c r="H73" s="2538"/>
      <c r="I73" s="2580"/>
      <c r="J73" s="2580"/>
      <c r="K73" s="2580"/>
      <c r="L73" s="2544"/>
      <c r="M73" s="2544"/>
      <c r="N73" s="2361"/>
      <c r="O73" s="2361"/>
      <c r="P73" s="2361"/>
      <c r="Q73" s="1047"/>
      <c r="R73" s="1047"/>
      <c r="S73" s="1047"/>
      <c r="T73" s="2537"/>
    </row>
    <row r="74" spans="1:27" ht="11.1" customHeight="1">
      <c r="A74" s="2535"/>
      <c r="B74" s="2543"/>
      <c r="C74" s="2361"/>
      <c r="D74" s="2361"/>
      <c r="E74" s="2361"/>
      <c r="F74" s="2361"/>
      <c r="G74" s="2538"/>
      <c r="H74" s="2538"/>
      <c r="I74" s="2580"/>
      <c r="J74" s="2580"/>
      <c r="K74" s="2580"/>
      <c r="L74" s="2544"/>
      <c r="M74" s="2544"/>
      <c r="N74" s="2361"/>
      <c r="O74" s="2361"/>
      <c r="P74" s="2361"/>
      <c r="Q74" s="3298" t="s">
        <v>2105</v>
      </c>
      <c r="R74" s="3298"/>
      <c r="S74" s="3298"/>
      <c r="T74" s="2537"/>
    </row>
    <row r="75" spans="1:27" ht="18" customHeight="1">
      <c r="A75" s="2535"/>
      <c r="B75" s="2543"/>
      <c r="C75" s="1047"/>
      <c r="D75" s="1047"/>
      <c r="E75" s="1047"/>
      <c r="F75" s="1047"/>
      <c r="G75" s="1047"/>
      <c r="H75" s="1047"/>
      <c r="I75" s="1047"/>
      <c r="J75" s="3282" t="str">
        <f>IF(G15="Rock",M30,(IF(G15="REGISTERED PRODUCT:",L47," ")))</f>
        <v xml:space="preserve"> </v>
      </c>
      <c r="K75" s="3284"/>
      <c r="L75" s="2361" t="s">
        <v>2101</v>
      </c>
      <c r="M75" s="2544"/>
      <c r="N75" s="2361"/>
      <c r="O75" s="1047"/>
      <c r="P75" s="1047"/>
      <c r="Q75" s="1047"/>
      <c r="R75" s="3282" t="str">
        <f>IF(Summary!AA63=2,(J75*Q70)," ")</f>
        <v xml:space="preserve"> </v>
      </c>
      <c r="S75" s="3284"/>
      <c r="T75" s="2537"/>
    </row>
    <row r="76" spans="1:27" s="1044" customFormat="1" ht="18" customHeight="1">
      <c r="A76" s="2569"/>
      <c r="B76" s="2543"/>
      <c r="C76" s="2361"/>
      <c r="D76" s="2361"/>
      <c r="E76" s="2361"/>
      <c r="F76" s="2361"/>
      <c r="G76" s="2361"/>
      <c r="H76" s="2361"/>
      <c r="I76" s="2361"/>
      <c r="J76" s="2580"/>
      <c r="K76" s="2580"/>
      <c r="L76" s="2361"/>
      <c r="M76" s="2544"/>
      <c r="N76" s="2361"/>
      <c r="O76" s="2361"/>
      <c r="P76" s="2361"/>
      <c r="Q76" s="2361"/>
      <c r="R76" s="2580"/>
      <c r="S76" s="2580"/>
      <c r="T76" s="2549"/>
    </row>
    <row r="77" spans="1:27" ht="18" customHeight="1">
      <c r="A77" s="2535"/>
      <c r="B77" s="1047"/>
      <c r="C77" s="813"/>
      <c r="D77" s="813"/>
      <c r="E77" s="813"/>
      <c r="F77" s="1047"/>
      <c r="G77" s="1047"/>
      <c r="H77" s="1047"/>
      <c r="I77" s="2580"/>
      <c r="J77" s="2580"/>
      <c r="K77" s="2580"/>
      <c r="L77" s="1047"/>
      <c r="M77" s="1047"/>
      <c r="N77" s="2361"/>
      <c r="O77" s="2361"/>
      <c r="P77" s="2361"/>
      <c r="Q77" s="1047"/>
      <c r="R77" s="1047"/>
      <c r="S77" s="1047"/>
      <c r="T77" s="2537"/>
    </row>
    <row r="78" spans="1:27" ht="18" customHeight="1">
      <c r="A78" s="2535"/>
      <c r="B78" s="813" t="s">
        <v>2120</v>
      </c>
      <c r="C78" s="813"/>
      <c r="D78" s="813"/>
      <c r="E78" s="813"/>
      <c r="F78" s="3246">
        <f>Summary!G82</f>
        <v>0</v>
      </c>
      <c r="G78" s="3247"/>
      <c r="H78" s="813" t="s">
        <v>2121</v>
      </c>
      <c r="I78" s="813"/>
      <c r="J78" s="813"/>
      <c r="K78" s="813"/>
      <c r="L78" s="3304" t="s">
        <v>1811</v>
      </c>
      <c r="M78" s="3304"/>
      <c r="N78" s="3304"/>
      <c r="O78" s="3282" t="str">
        <f>IF(G15="Rock",G15,(IF(G15="REGISTERED PRODUCT:",N15," ")))</f>
        <v xml:space="preserve"> </v>
      </c>
      <c r="P78" s="3283"/>
      <c r="Q78" s="3283"/>
      <c r="R78" s="3284"/>
      <c r="S78" s="2361"/>
      <c r="T78" s="2537"/>
    </row>
    <row r="79" spans="1:27" s="1044" customFormat="1" ht="6" customHeight="1">
      <c r="A79" s="2569"/>
      <c r="B79" s="2580"/>
      <c r="C79" s="2580"/>
      <c r="D79" s="2580"/>
      <c r="E79" s="2580"/>
      <c r="F79" s="2613"/>
      <c r="G79" s="2613"/>
      <c r="H79" s="2613"/>
      <c r="I79" s="2613"/>
      <c r="J79" s="2619"/>
      <c r="K79" s="2619"/>
      <c r="L79" s="2619"/>
      <c r="M79" s="2619"/>
      <c r="N79" s="2570"/>
      <c r="O79" s="2580"/>
      <c r="P79" s="2361"/>
      <c r="Q79" s="2361"/>
      <c r="R79" s="2361"/>
      <c r="S79" s="2361"/>
      <c r="T79" s="2549"/>
    </row>
    <row r="80" spans="1:27" s="1044" customFormat="1" ht="18" customHeight="1">
      <c r="A80" s="2569"/>
      <c r="B80" s="3305" t="s">
        <v>2102</v>
      </c>
      <c r="C80" s="3305"/>
      <c r="D80" s="3305"/>
      <c r="E80" s="3306"/>
      <c r="F80" s="3308" t="str">
        <f>IF(Summary!AA63=2,'Pres. Dist.'!K41,"")</f>
        <v/>
      </c>
      <c r="G80" s="3284"/>
      <c r="H80" s="2613"/>
      <c r="I80" s="820"/>
      <c r="J80" s="820"/>
      <c r="K80" s="820"/>
      <c r="L80" s="3295" t="s">
        <v>2122</v>
      </c>
      <c r="M80" s="3295"/>
      <c r="N80" s="3295"/>
      <c r="O80" s="3330" t="str">
        <f>M56</f>
        <v xml:space="preserve"> </v>
      </c>
      <c r="P80" s="3330"/>
      <c r="Q80" s="3330"/>
      <c r="R80" s="820" t="s">
        <v>2121</v>
      </c>
      <c r="S80" s="820"/>
      <c r="T80" s="2549"/>
    </row>
    <row r="81" spans="1:20" ht="6" customHeight="1">
      <c r="A81" s="2535"/>
      <c r="B81" s="2543"/>
      <c r="C81" s="2361"/>
      <c r="D81" s="2361"/>
      <c r="E81" s="1047"/>
      <c r="F81" s="1047"/>
      <c r="G81" s="1047"/>
      <c r="H81" s="1047"/>
      <c r="I81" s="2361"/>
      <c r="J81" s="813"/>
      <c r="K81" s="813"/>
      <c r="L81" s="813"/>
      <c r="M81" s="2361"/>
      <c r="N81" s="2361"/>
      <c r="O81" s="2361"/>
      <c r="P81" s="2361"/>
      <c r="Q81" s="1047"/>
      <c r="R81" s="1047"/>
      <c r="S81" s="1047"/>
      <c r="T81" s="2537"/>
    </row>
    <row r="82" spans="1:20" ht="18" customHeight="1">
      <c r="A82" s="2535"/>
      <c r="B82" s="2824" t="s">
        <v>2137</v>
      </c>
      <c r="C82" s="2824"/>
      <c r="D82" s="2824"/>
      <c r="E82" s="2824"/>
      <c r="F82" s="2711" t="str">
        <f>IF(Summary!AA63=2,'Pres. Dist.'!J13,"")</f>
        <v/>
      </c>
      <c r="G82" s="813" t="s">
        <v>2121</v>
      </c>
      <c r="H82" s="1047"/>
      <c r="K82" s="3295" t="s">
        <v>2138</v>
      </c>
      <c r="L82" s="3295"/>
      <c r="M82" s="3295"/>
      <c r="N82" s="3296"/>
      <c r="O82" s="2711" t="str">
        <f>IF(Summary!AA63=2,('Pres. Dist.'!J11)*12,"")</f>
        <v/>
      </c>
      <c r="P82" s="813" t="s">
        <v>2121</v>
      </c>
      <c r="T82" s="2537"/>
    </row>
    <row r="83" spans="1:20" ht="6" customHeight="1">
      <c r="A83" s="2535"/>
      <c r="B83" s="2543"/>
      <c r="C83" s="2361"/>
      <c r="D83" s="2361"/>
      <c r="E83" s="1047"/>
      <c r="F83" s="2367"/>
      <c r="G83" s="1047"/>
      <c r="H83" s="1047"/>
      <c r="I83" s="2361"/>
      <c r="J83" s="813"/>
      <c r="K83" s="813"/>
      <c r="L83" s="813"/>
      <c r="M83" s="2361"/>
      <c r="N83" s="2361"/>
      <c r="O83" s="2361"/>
      <c r="P83" s="2361"/>
      <c r="Q83" s="1047"/>
      <c r="R83" s="1047"/>
      <c r="S83" s="1047"/>
      <c r="T83" s="2537"/>
    </row>
    <row r="84" spans="1:20" ht="12" customHeight="1">
      <c r="A84" s="818"/>
      <c r="B84" s="815" t="s">
        <v>31</v>
      </c>
      <c r="C84" s="813"/>
      <c r="D84" s="813"/>
      <c r="E84" s="813"/>
      <c r="F84" s="813"/>
      <c r="G84" s="813"/>
      <c r="H84" s="813"/>
      <c r="I84" s="813"/>
      <c r="J84" s="813"/>
      <c r="K84" s="813"/>
      <c r="L84" s="813"/>
      <c r="M84" s="813"/>
      <c r="N84" s="813"/>
      <c r="O84" s="813"/>
      <c r="P84" s="813"/>
      <c r="Q84" s="813"/>
      <c r="R84" s="813"/>
      <c r="S84" s="813"/>
      <c r="T84" s="817"/>
    </row>
    <row r="85" spans="1:20" ht="42.75" customHeight="1">
      <c r="A85" s="818"/>
      <c r="B85" s="3297"/>
      <c r="C85" s="3297"/>
      <c r="D85" s="3297"/>
      <c r="E85" s="3297"/>
      <c r="F85" s="3297"/>
      <c r="G85" s="3297"/>
      <c r="H85" s="3297"/>
      <c r="I85" s="3297"/>
      <c r="J85" s="3297"/>
      <c r="K85" s="3297"/>
      <c r="L85" s="3297"/>
      <c r="M85" s="3297"/>
      <c r="N85" s="3297"/>
      <c r="O85" s="3297"/>
      <c r="P85" s="3297"/>
      <c r="Q85" s="3297"/>
      <c r="R85" s="3297"/>
      <c r="S85" s="3297"/>
      <c r="T85" s="817"/>
    </row>
    <row r="86" spans="1:20" ht="42.75" customHeight="1">
      <c r="A86" s="818"/>
      <c r="B86" s="3297"/>
      <c r="C86" s="3297"/>
      <c r="D86" s="3297"/>
      <c r="E86" s="3297"/>
      <c r="F86" s="3297"/>
      <c r="G86" s="3297"/>
      <c r="H86" s="3297"/>
      <c r="I86" s="3297"/>
      <c r="J86" s="3297"/>
      <c r="K86" s="3297"/>
      <c r="L86" s="3297"/>
      <c r="M86" s="3297"/>
      <c r="N86" s="3297"/>
      <c r="O86" s="3297"/>
      <c r="P86" s="3297"/>
      <c r="Q86" s="3297"/>
      <c r="R86" s="3297"/>
      <c r="S86" s="3297"/>
      <c r="T86" s="817"/>
    </row>
    <row r="87" spans="1:20" ht="42.75" customHeight="1">
      <c r="A87" s="818"/>
      <c r="B87" s="3297"/>
      <c r="C87" s="3297"/>
      <c r="D87" s="3297"/>
      <c r="E87" s="3297"/>
      <c r="F87" s="3297"/>
      <c r="G87" s="3297"/>
      <c r="H87" s="3297"/>
      <c r="I87" s="3297"/>
      <c r="J87" s="3297"/>
      <c r="K87" s="3297"/>
      <c r="L87" s="3297"/>
      <c r="M87" s="3297"/>
      <c r="N87" s="3297"/>
      <c r="O87" s="3297"/>
      <c r="P87" s="3297"/>
      <c r="Q87" s="3297"/>
      <c r="R87" s="3297"/>
      <c r="S87" s="3297"/>
      <c r="T87" s="817"/>
    </row>
    <row r="88" spans="1:20" ht="42.75" customHeight="1">
      <c r="A88" s="818"/>
      <c r="B88" s="3297"/>
      <c r="C88" s="3297"/>
      <c r="D88" s="3297"/>
      <c r="E88" s="3297"/>
      <c r="F88" s="3297"/>
      <c r="G88" s="3297"/>
      <c r="H88" s="3297"/>
      <c r="I88" s="3297"/>
      <c r="J88" s="3297"/>
      <c r="K88" s="3297"/>
      <c r="L88" s="3297"/>
      <c r="M88" s="3297"/>
      <c r="N88" s="3297"/>
      <c r="O88" s="3297"/>
      <c r="P88" s="3297"/>
      <c r="Q88" s="3297"/>
      <c r="R88" s="3297"/>
      <c r="S88" s="3297"/>
      <c r="T88" s="817"/>
    </row>
    <row r="89" spans="1:20" ht="6" customHeight="1" thickBot="1">
      <c r="A89" s="1041"/>
      <c r="B89" s="836"/>
      <c r="C89" s="1042"/>
      <c r="D89" s="1042"/>
      <c r="E89" s="1042"/>
      <c r="F89" s="1042"/>
      <c r="G89" s="1042"/>
      <c r="H89" s="1042"/>
      <c r="I89" s="1042"/>
      <c r="J89" s="1042"/>
      <c r="K89" s="1042"/>
      <c r="L89" s="1042"/>
      <c r="M89" s="1042"/>
      <c r="N89" s="1042"/>
      <c r="O89" s="1042"/>
      <c r="P89" s="1042"/>
      <c r="Q89" s="1042"/>
      <c r="R89" s="1042"/>
      <c r="S89" s="1042"/>
      <c r="T89" s="1043"/>
    </row>
  </sheetData>
  <sheetProtection sheet="1" objects="1" scenarios="1"/>
  <customSheetViews>
    <customSheetView guid="{D1431318-1DB8-4C45-813B-5A8065DFC797}" showPageBreaks="1" showGridLines="0" zeroValues="0" printArea="1" view="pageBreakPreview">
      <selection activeCell="P6" sqref="P6:Q6"/>
      <rowBreaks count="1" manualBreakCount="1">
        <brk id="63" max="18" man="1"/>
      </rowBreaks>
      <pageMargins left="0.4" right="0.4" top="0.4" bottom="0.4" header="0.4" footer="0.5"/>
      <printOptions horizontalCentered="1"/>
      <pageSetup scale="86" fitToHeight="2" orientation="portrait" blackAndWhite="1" r:id="rId1"/>
      <headerFooter alignWithMargins="0"/>
    </customSheetView>
  </customSheetViews>
  <mergeCells count="76">
    <mergeCell ref="D36:E36"/>
    <mergeCell ref="D67:E67"/>
    <mergeCell ref="M60:N60"/>
    <mergeCell ref="O80:Q80"/>
    <mergeCell ref="L80:N80"/>
    <mergeCell ref="F78:G78"/>
    <mergeCell ref="Q70:R70"/>
    <mergeCell ref="G53:H53"/>
    <mergeCell ref="J53:K53"/>
    <mergeCell ref="L49:M49"/>
    <mergeCell ref="G43:M43"/>
    <mergeCell ref="L45:M45"/>
    <mergeCell ref="I67:J67"/>
    <mergeCell ref="K67:L67"/>
    <mergeCell ref="G63:H63"/>
    <mergeCell ref="M54:O55"/>
    <mergeCell ref="G1:M1"/>
    <mergeCell ref="G22:H22"/>
    <mergeCell ref="J22:R22"/>
    <mergeCell ref="K6:O6"/>
    <mergeCell ref="P6:Q6"/>
    <mergeCell ref="J2:K2"/>
    <mergeCell ref="Q2:T2"/>
    <mergeCell ref="H4:I4"/>
    <mergeCell ref="H6:I6"/>
    <mergeCell ref="M13:T13"/>
    <mergeCell ref="H8:I8"/>
    <mergeCell ref="C10:Q10"/>
    <mergeCell ref="C11:D11"/>
    <mergeCell ref="F11:G11"/>
    <mergeCell ref="H11:I11"/>
    <mergeCell ref="G13:J13"/>
    <mergeCell ref="Q67:S68"/>
    <mergeCell ref="L18:S18"/>
    <mergeCell ref="G24:H24"/>
    <mergeCell ref="J24:K24"/>
    <mergeCell ref="G15:J15"/>
    <mergeCell ref="G26:H26"/>
    <mergeCell ref="N15:R15"/>
    <mergeCell ref="J27:R28"/>
    <mergeCell ref="G28:H28"/>
    <mergeCell ref="G30:H30"/>
    <mergeCell ref="I39:K39"/>
    <mergeCell ref="G39:H39"/>
    <mergeCell ref="L47:M47"/>
    <mergeCell ref="C35:R35"/>
    <mergeCell ref="N36:O36"/>
    <mergeCell ref="L39:M39"/>
    <mergeCell ref="K36:L36"/>
    <mergeCell ref="F80:G80"/>
    <mergeCell ref="K13:L13"/>
    <mergeCell ref="K15:M15"/>
    <mergeCell ref="H2:I2"/>
    <mergeCell ref="J11:K11"/>
    <mergeCell ref="J30:K30"/>
    <mergeCell ref="M30:N30"/>
    <mergeCell ref="J34:K34"/>
    <mergeCell ref="G34:H34"/>
    <mergeCell ref="M56:N56"/>
    <mergeCell ref="M58:N58"/>
    <mergeCell ref="K82:N82"/>
    <mergeCell ref="B82:E82"/>
    <mergeCell ref="D24:E24"/>
    <mergeCell ref="B85:S88"/>
    <mergeCell ref="R75:S75"/>
    <mergeCell ref="Q74:S74"/>
    <mergeCell ref="H47:I47"/>
    <mergeCell ref="Q51:R51"/>
    <mergeCell ref="S51:T51"/>
    <mergeCell ref="B68:F70"/>
    <mergeCell ref="J75:K75"/>
    <mergeCell ref="O78:R78"/>
    <mergeCell ref="L78:N78"/>
    <mergeCell ref="B80:E80"/>
    <mergeCell ref="O43:R47"/>
    <mergeCell ref="G36:H36"/>
  </mergeCells>
  <conditionalFormatting sqref="P6">
    <cfRule type="cellIs" dxfId="3" priority="3" stopIfTrue="1" operator="lessThanOrEqual">
      <formula>6</formula>
    </cfRule>
  </conditionalFormatting>
  <conditionalFormatting sqref="H6">
    <cfRule type="cellIs" dxfId="2" priority="5" stopIfTrue="1" operator="lessThanOrEqual">
      <formula>6</formula>
    </cfRule>
  </conditionalFormatting>
  <conditionalFormatting sqref="P17">
    <cfRule type="cellIs" dxfId="1" priority="2" stopIfTrue="1" operator="lessThanOrEqual">
      <formula>6</formula>
    </cfRule>
  </conditionalFormatting>
  <conditionalFormatting sqref="C18">
    <cfRule type="cellIs" dxfId="0" priority="1" stopIfTrue="1" operator="lessThanOrEqual">
      <formula>6</formula>
    </cfRule>
  </conditionalFormatting>
  <dataValidations xWindow="294" yWindow="385" count="8">
    <dataValidation type="decimal" allowBlank="1" showInputMessage="1" showErrorMessage="1" prompt="6&quot; minimum" sqref="G33">
      <formula1>6</formula1>
      <formula2>12</formula2>
    </dataValidation>
    <dataValidation type="list" allowBlank="1" showInputMessage="1" showErrorMessage="1" prompt="0.33 ft for pressure, 0.5 ft for gravity" sqref="G36:H36">
      <formula1>"0.33, 0.5"</formula1>
    </dataValidation>
    <dataValidation type="decimal" allowBlank="1" showInputMessage="1" showErrorMessage="1" error="Invalid Entry" prompt="Maximum width = 25 ft. (pressurized)                                            Maximum width = 12 ft. (gravity)" sqref="G28:H28 L45:L46 M46">
      <formula1>3</formula1>
      <formula2>25</formula2>
    </dataValidation>
    <dataValidation type="list" allowBlank="1" showInputMessage="1" showErrorMessage="1" sqref="G22:H22">
      <formula1>"1.0,1.5"</formula1>
    </dataValidation>
    <dataValidation type="list" allowBlank="1" showInputMessage="1" sqref="L18">
      <formula1>Sandy_Soil_Options</formula1>
    </dataValidation>
    <dataValidation type="decimal" showInputMessage="1" showErrorMessage="1" error="Length below minimum" sqref="L47:M47">
      <formula1>M30</formula1>
      <formula2>100</formula2>
    </dataValidation>
    <dataValidation allowBlank="1" showErrorMessage="1" sqref="S15"/>
    <dataValidation allowBlank="1" showInputMessage="1" showErrorMessage="1" promptTitle="Registered Distribution Media" prompt="Type of Registered Distribution Media" sqref="N15:R15"/>
  </dataValidations>
  <printOptions horizontalCentered="1"/>
  <pageMargins left="0.4" right="0.4" top="0.4" bottom="0.4" header="0.4" footer="0.5"/>
  <pageSetup scale="83" fitToHeight="2" orientation="portrait" blackAndWhite="1" r:id="rId2"/>
  <headerFooter alignWithMargins="0"/>
  <rowBreaks count="1" manualBreakCount="1">
    <brk id="50" max="19" man="1"/>
  </rowBreaks>
  <drawing r:id="rId3"/>
  <extLst>
    <ext xmlns:x14="http://schemas.microsoft.com/office/spreadsheetml/2009/9/main" uri="{CCE6A557-97BC-4b89-ADB6-D9C93CAAB3DF}">
      <x14:dataValidations xmlns:xm="http://schemas.microsoft.com/office/excel/2006/main" xWindow="294" yWindow="385" count="3">
        <x14:dataValidation type="list" allowBlank="1" showInputMessage="1" prompt="Inches of rock below the distribution pipe (6 inches minimum).">
          <x14:formula1>
            <xm:f>'Drop-Down Lists'!$G$35:$G$41</xm:f>
          </x14:formula1>
          <xm:sqref>G34:H34</xm:sqref>
        </x14:dataValidation>
        <x14:dataValidation type="list" allowBlank="1" showInputMessage="1" showErrorMessage="1" prompt="Bed Distribution">
          <x14:formula1>
            <xm:f>'Drop-Down Lists'!$R$2:$R$3</xm:f>
          </x14:formula1>
          <xm:sqref>G13:J13</xm:sqref>
        </x14:dataValidation>
        <x14:dataValidation type="list" allowBlank="1">
          <x14:formula1>
            <xm:f>'Drop-Down Lists'!$P$2:$P$5</xm:f>
          </x14:formula1>
          <xm:sqref>G43:M43</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9" tint="0.39997558519241921"/>
  </sheetPr>
  <dimension ref="A1:AS189"/>
  <sheetViews>
    <sheetView showGridLines="0" view="pageBreakPreview" zoomScaleNormal="100" zoomScaleSheetLayoutView="100" workbookViewId="0">
      <selection activeCell="C20" sqref="C20"/>
    </sheetView>
  </sheetViews>
  <sheetFormatPr defaultColWidth="4.44140625" defaultRowHeight="14.1" customHeight="1"/>
  <cols>
    <col min="1" max="1" width="2.44140625" style="22" customWidth="1"/>
    <col min="2" max="2" width="2.44140625" style="1" customWidth="1"/>
    <col min="3" max="14" width="7.44140625" style="1" customWidth="1"/>
    <col min="15" max="17" width="7.44140625" style="727" customWidth="1"/>
    <col min="18" max="33" width="5.44140625" style="1" customWidth="1"/>
    <col min="34" max="35" width="5.44140625" style="105" customWidth="1"/>
    <col min="36" max="40" width="5.44140625" style="1" customWidth="1"/>
    <col min="41" max="41" width="4.44140625" style="1"/>
    <col min="42" max="42" width="4.44140625" style="1" bestFit="1" customWidth="1"/>
    <col min="43" max="44" width="5.109375" style="1" bestFit="1" customWidth="1"/>
    <col min="45" max="45" width="6.44140625" style="1" customWidth="1"/>
    <col min="46" max="16384" width="4.44140625" style="1"/>
  </cols>
  <sheetData>
    <row r="1" spans="1:45" ht="54.9" customHeight="1" thickBot="1">
      <c r="A1" s="1231"/>
      <c r="B1" s="853"/>
      <c r="C1" s="853"/>
      <c r="D1" s="853"/>
      <c r="E1" s="3382" t="s">
        <v>1753</v>
      </c>
      <c r="F1" s="3382"/>
      <c r="G1" s="3382"/>
      <c r="H1" s="3382"/>
      <c r="I1" s="3382"/>
      <c r="J1" s="3382"/>
      <c r="K1" s="1250"/>
      <c r="L1" s="1250"/>
      <c r="M1" s="1250"/>
      <c r="N1" s="853"/>
      <c r="O1" s="870"/>
      <c r="P1" s="870"/>
      <c r="Q1" s="870"/>
      <c r="R1" s="854"/>
      <c r="S1" s="854"/>
      <c r="T1" s="854"/>
      <c r="U1" s="854"/>
      <c r="V1" s="38"/>
      <c r="W1" s="855"/>
    </row>
    <row r="2" spans="1:45" ht="16.350000000000001" customHeight="1" thickBot="1">
      <c r="A2" s="856" t="s">
        <v>88</v>
      </c>
      <c r="B2" s="678"/>
      <c r="C2" s="2624" t="s">
        <v>610</v>
      </c>
      <c r="D2" s="2624"/>
      <c r="E2" s="2624"/>
      <c r="F2" s="2624"/>
      <c r="G2" s="2624"/>
      <c r="H2" s="2624"/>
      <c r="I2" s="3375" t="s">
        <v>1016</v>
      </c>
      <c r="J2" s="3375"/>
      <c r="K2" s="3372" t="str">
        <f>IF(ISBLANK(Summary!S3)," ",Summary!S3)</f>
        <v xml:space="preserve"> </v>
      </c>
      <c r="L2" s="3372"/>
      <c r="M2" s="2624"/>
      <c r="N2" s="1241" t="str">
        <f>'Drop-Down Lists'!J40</f>
        <v>v 04.01.2021</v>
      </c>
      <c r="O2" s="868"/>
      <c r="P2" s="868"/>
      <c r="R2" s="25"/>
      <c r="AQ2" s="106">
        <v>0</v>
      </c>
      <c r="AR2" s="108">
        <v>4</v>
      </c>
      <c r="AS2" s="34">
        <v>4</v>
      </c>
    </row>
    <row r="3" spans="1:45" s="5" customFormat="1" ht="6" customHeight="1">
      <c r="A3" s="857"/>
      <c r="N3" s="1219"/>
      <c r="O3" s="727"/>
      <c r="P3" s="727"/>
      <c r="Q3" s="727"/>
      <c r="AF3" s="1"/>
      <c r="AG3" s="1"/>
      <c r="AQ3" s="107">
        <v>1</v>
      </c>
      <c r="AR3" s="108">
        <v>3.85</v>
      </c>
      <c r="AS3" s="34">
        <v>4.0999999999999996</v>
      </c>
    </row>
    <row r="4" spans="1:45" s="5" customFormat="1" ht="20.100000000000001" customHeight="1">
      <c r="A4" s="791"/>
      <c r="B4" s="2640" t="s">
        <v>147</v>
      </c>
      <c r="C4" s="10" t="s">
        <v>312</v>
      </c>
      <c r="D4" s="10"/>
      <c r="E4" s="10"/>
      <c r="F4" s="3383" t="str">
        <f>IF(Summary!AA63=0,"",IF(Summary!AA63=3,Summary!I11,""))</f>
        <v/>
      </c>
      <c r="G4" s="3384"/>
      <c r="H4" s="2640" t="s">
        <v>313</v>
      </c>
      <c r="I4" s="2422" t="s">
        <v>149</v>
      </c>
      <c r="J4" s="10" t="s">
        <v>1090</v>
      </c>
      <c r="M4" s="866" t="str">
        <f>IF(Summary!AA63=0,"",IF(Summary!AA63=3,Summary!G93,""))</f>
        <v/>
      </c>
      <c r="N4" s="1242" t="s">
        <v>630</v>
      </c>
      <c r="O4" s="727"/>
      <c r="P4" s="727"/>
      <c r="Q4" s="727"/>
      <c r="AF4" s="1"/>
      <c r="AG4" s="1"/>
      <c r="AQ4" s="107">
        <v>2</v>
      </c>
      <c r="AR4" s="108">
        <v>3.7</v>
      </c>
      <c r="AS4" s="34">
        <v>4.17</v>
      </c>
    </row>
    <row r="5" spans="1:45" s="5" customFormat="1" ht="6" customHeight="1">
      <c r="A5" s="848"/>
      <c r="B5" s="10"/>
      <c r="C5" s="10"/>
      <c r="D5" s="10"/>
      <c r="E5" s="10"/>
      <c r="H5" s="2632"/>
      <c r="I5" s="2422"/>
      <c r="N5" s="1219"/>
      <c r="O5" s="727"/>
      <c r="P5" s="727"/>
      <c r="Q5" s="727"/>
      <c r="AF5" s="1"/>
      <c r="AG5" s="1"/>
      <c r="AQ5" s="107">
        <v>3</v>
      </c>
      <c r="AR5" s="108">
        <v>3.57</v>
      </c>
      <c r="AS5" s="34">
        <v>4.3499999999999996</v>
      </c>
    </row>
    <row r="6" spans="1:45" s="5" customFormat="1" ht="20.100000000000001" customHeight="1">
      <c r="A6" s="791"/>
      <c r="B6" s="2640" t="s">
        <v>631</v>
      </c>
      <c r="C6" s="10" t="s">
        <v>1089</v>
      </c>
      <c r="D6" s="2638"/>
      <c r="E6" s="2638"/>
      <c r="F6" s="3345" t="str">
        <f>IF(Summary!AA63=0,"",IF(Summary!AA63=3,Summary!G89,""))</f>
        <v/>
      </c>
      <c r="G6" s="3346"/>
      <c r="H6" s="2640" t="s">
        <v>86</v>
      </c>
      <c r="I6" s="2422" t="s">
        <v>588</v>
      </c>
      <c r="J6" s="10" t="s">
        <v>280</v>
      </c>
      <c r="M6" s="2593" t="str">
        <f>IF(Summary!AA63=0,"",IF(Summary!AA63=3,Summary!G91,""))</f>
        <v/>
      </c>
      <c r="N6" s="793" t="s">
        <v>706</v>
      </c>
      <c r="O6" s="727"/>
      <c r="P6" s="727"/>
      <c r="Q6" s="727"/>
      <c r="AF6" s="1"/>
      <c r="AG6" s="1"/>
      <c r="AQ6" s="107">
        <v>6</v>
      </c>
      <c r="AR6" s="108">
        <v>3.23</v>
      </c>
      <c r="AS6" s="34">
        <v>5</v>
      </c>
    </row>
    <row r="7" spans="1:45" s="5" customFormat="1" ht="15" customHeight="1">
      <c r="A7" s="791"/>
      <c r="B7" s="2637" t="s">
        <v>589</v>
      </c>
      <c r="C7" s="2631" t="s">
        <v>1879</v>
      </c>
      <c r="D7" s="50"/>
      <c r="E7" s="50"/>
      <c r="F7" s="50"/>
      <c r="G7" s="50"/>
      <c r="H7" s="50"/>
      <c r="I7" s="50"/>
      <c r="J7" s="50"/>
      <c r="K7" s="50"/>
      <c r="L7" s="1743" t="s">
        <v>1096</v>
      </c>
      <c r="M7" s="50"/>
      <c r="N7" s="1243"/>
      <c r="O7" s="727"/>
      <c r="P7" s="727"/>
      <c r="Q7" s="727"/>
      <c r="AF7" s="1"/>
      <c r="AG7" s="1"/>
      <c r="AQ7" s="107">
        <v>11</v>
      </c>
      <c r="AR7" s="108">
        <v>2.78</v>
      </c>
      <c r="AS7" s="34">
        <v>6.67</v>
      </c>
    </row>
    <row r="8" spans="1:45" s="5" customFormat="1" ht="20.100000000000001" customHeight="1">
      <c r="A8" s="857"/>
      <c r="C8" s="3383" t="str">
        <f>IF(ISBLANK(M6),"",M6)</f>
        <v/>
      </c>
      <c r="D8" s="3384"/>
      <c r="E8" s="3368" t="s">
        <v>80</v>
      </c>
      <c r="F8" s="3369"/>
      <c r="G8" s="3345" t="str">
        <f>IF(ISBLANK(M6),"",F6)</f>
        <v/>
      </c>
      <c r="H8" s="3346"/>
      <c r="I8" s="3386" t="s">
        <v>58</v>
      </c>
      <c r="J8" s="3387"/>
      <c r="K8" s="3347" t="str">
        <f>IF(Summary!AA63=0,"",IF(Summary!AA63=3,(C8/G8)))</f>
        <v/>
      </c>
      <c r="L8" s="3348"/>
      <c r="M8" s="2637" t="s">
        <v>92</v>
      </c>
      <c r="N8" s="1219"/>
      <c r="O8" s="727"/>
      <c r="P8" s="727"/>
      <c r="Q8" s="727"/>
      <c r="AA8" s="1"/>
      <c r="AB8" s="1"/>
      <c r="AL8" s="107">
        <v>13</v>
      </c>
      <c r="AM8" s="109">
        <v>2.62</v>
      </c>
      <c r="AN8" s="26">
        <v>8.2899999999999991</v>
      </c>
    </row>
    <row r="9" spans="1:45" s="5" customFormat="1" ht="15" customHeight="1">
      <c r="A9" s="791"/>
      <c r="B9" s="120" t="s">
        <v>641</v>
      </c>
      <c r="C9" s="2631" t="s">
        <v>1880</v>
      </c>
      <c r="D9" s="2637"/>
      <c r="E9" s="2637"/>
      <c r="F9" s="2637"/>
      <c r="G9" s="2637"/>
      <c r="H9" s="2637"/>
      <c r="I9" s="2637"/>
      <c r="J9" s="2637"/>
      <c r="K9" s="2637"/>
      <c r="L9" s="2637"/>
      <c r="N9" s="1219"/>
      <c r="O9" s="727"/>
      <c r="P9" s="727"/>
      <c r="Q9" s="803"/>
      <c r="AF9" s="1"/>
      <c r="AG9" s="1"/>
      <c r="AQ9" s="107">
        <v>15</v>
      </c>
      <c r="AR9" s="109">
        <v>2.48</v>
      </c>
      <c r="AS9" s="26">
        <v>9.5649999999999995</v>
      </c>
    </row>
    <row r="10" spans="1:45" s="5" customFormat="1" ht="20.100000000000001" customHeight="1">
      <c r="A10" s="857"/>
      <c r="C10" s="3383" t="str">
        <f>IF(ISBLANK(M6),"",F4)</f>
        <v/>
      </c>
      <c r="D10" s="3384"/>
      <c r="E10" s="3368" t="s">
        <v>57</v>
      </c>
      <c r="F10" s="3369"/>
      <c r="G10" s="3385" t="str">
        <f>IF(ISBLANK(M6),"",M6)</f>
        <v/>
      </c>
      <c r="H10" s="3351"/>
      <c r="I10" s="3388" t="s">
        <v>58</v>
      </c>
      <c r="J10" s="3388"/>
      <c r="K10" s="3383" t="str">
        <f>IF(Summary!AA63=0,"",IF(Summary!AA63=3,(C10/G10)))</f>
        <v/>
      </c>
      <c r="L10" s="3384"/>
      <c r="M10" s="2637" t="s">
        <v>92</v>
      </c>
      <c r="N10" s="1219"/>
      <c r="O10" s="727"/>
      <c r="P10" s="727"/>
      <c r="Q10" s="727"/>
      <c r="AA10" s="1"/>
      <c r="AB10" s="1"/>
      <c r="AL10" s="107">
        <v>16</v>
      </c>
      <c r="AM10" s="109">
        <v>2.41</v>
      </c>
      <c r="AN10" s="26">
        <v>10.24</v>
      </c>
    </row>
    <row r="11" spans="1:45" s="5" customFormat="1" ht="15" customHeight="1">
      <c r="A11" s="857"/>
      <c r="B11" s="2640" t="s">
        <v>642</v>
      </c>
      <c r="C11" s="1468" t="s">
        <v>1881</v>
      </c>
      <c r="D11" s="1468"/>
      <c r="E11" s="1468"/>
      <c r="F11" s="1468"/>
      <c r="G11" s="1468"/>
      <c r="H11" s="1468"/>
      <c r="I11" s="1468"/>
      <c r="J11" s="1468"/>
      <c r="K11" s="1468"/>
      <c r="L11" s="1468"/>
      <c r="M11" s="1468"/>
      <c r="N11" s="1087"/>
      <c r="O11" s="871"/>
      <c r="P11" s="868"/>
      <c r="Q11" s="871"/>
      <c r="AF11" s="1"/>
      <c r="AG11" s="1"/>
      <c r="AQ11" s="107">
        <v>18</v>
      </c>
      <c r="AR11" s="109">
        <v>2.29</v>
      </c>
      <c r="AS11" s="26">
        <v>11.664999999999999</v>
      </c>
    </row>
    <row r="12" spans="1:45" s="5" customFormat="1" ht="20.100000000000001" customHeight="1">
      <c r="A12" s="857"/>
      <c r="B12" s="1468"/>
      <c r="C12" s="3383" t="str">
        <f>IF(ISBLANK(M6),"",F4)</f>
        <v/>
      </c>
      <c r="D12" s="3384"/>
      <c r="E12" s="2639" t="s">
        <v>653</v>
      </c>
      <c r="F12" s="3345" t="str">
        <f>IF(ISBLANK(M6),"",F6)</f>
        <v/>
      </c>
      <c r="G12" s="3346"/>
      <c r="H12" s="3386" t="s">
        <v>1092</v>
      </c>
      <c r="I12" s="3392"/>
      <c r="K12" s="3383" t="str">
        <f>IF(Summary!AA63=0,"",IF(Summary!AA63=3,(C12/F12)))</f>
        <v/>
      </c>
      <c r="L12" s="3384"/>
      <c r="M12" s="2637" t="s">
        <v>22</v>
      </c>
      <c r="N12" s="1219"/>
      <c r="O12" s="727"/>
      <c r="P12" s="727"/>
      <c r="Q12" s="727"/>
      <c r="AL12" s="107">
        <v>19</v>
      </c>
      <c r="AM12" s="109">
        <v>2.23</v>
      </c>
      <c r="AN12" s="26">
        <v>12.414999999999999</v>
      </c>
    </row>
    <row r="13" spans="1:45" s="5" customFormat="1" ht="6" customHeight="1">
      <c r="A13" s="857"/>
      <c r="D13" s="2632"/>
      <c r="E13" s="2632"/>
      <c r="F13" s="2633"/>
      <c r="G13" s="2633"/>
      <c r="H13" s="2633"/>
      <c r="I13" s="2636"/>
      <c r="J13" s="2632"/>
      <c r="K13" s="2632"/>
      <c r="L13" s="2633"/>
      <c r="M13" s="2637"/>
      <c r="N13" s="1219"/>
      <c r="O13" s="727"/>
      <c r="P13" s="727"/>
      <c r="Q13" s="727"/>
      <c r="AF13" s="1"/>
      <c r="AG13" s="1"/>
      <c r="AQ13" s="107">
        <v>20</v>
      </c>
      <c r="AR13" s="109">
        <v>2.1800000000000002</v>
      </c>
      <c r="AS13" s="26">
        <v>13.19</v>
      </c>
    </row>
    <row r="14" spans="1:45" s="5" customFormat="1" ht="20.100000000000001" customHeight="1">
      <c r="A14" s="791"/>
      <c r="B14" s="120" t="s">
        <v>943</v>
      </c>
      <c r="C14" s="813" t="s">
        <v>575</v>
      </c>
      <c r="D14" s="813"/>
      <c r="E14" s="813"/>
      <c r="G14" s="3334" t="str">
        <f>IF(Summary!AA63=0,"",IF(Summary!AA63=3,Summary!O67,""))</f>
        <v/>
      </c>
      <c r="H14" s="3334"/>
      <c r="I14" s="3334"/>
      <c r="J14" s="2562"/>
      <c r="K14" s="3334" t="str">
        <f>IF(G14="Rock"," ",IF(Summary!AA63=0,"",IF(Summary!AA63=3,Summary!O69,"")))</f>
        <v/>
      </c>
      <c r="L14" s="3334"/>
      <c r="M14" s="3334"/>
      <c r="N14" s="2106"/>
      <c r="O14" s="727"/>
      <c r="P14" s="727"/>
      <c r="Q14" s="803"/>
      <c r="AF14" s="1"/>
      <c r="AG14" s="1"/>
      <c r="AQ14" s="107">
        <v>15</v>
      </c>
      <c r="AR14" s="109">
        <v>2.48</v>
      </c>
      <c r="AS14" s="26">
        <v>9.5649999999999995</v>
      </c>
    </row>
    <row r="15" spans="1:45" s="5" customFormat="1" ht="6" customHeight="1" thickBot="1">
      <c r="A15" s="857"/>
      <c r="D15" s="2632"/>
      <c r="E15" s="2632"/>
      <c r="F15" s="2633"/>
      <c r="G15" s="2633"/>
      <c r="H15" s="2633"/>
      <c r="I15" s="2636"/>
      <c r="J15" s="2632"/>
      <c r="K15" s="2632"/>
      <c r="L15" s="2633"/>
      <c r="M15" s="2637"/>
      <c r="N15" s="1219"/>
      <c r="O15" s="727"/>
      <c r="P15" s="727"/>
      <c r="Q15" s="727"/>
      <c r="AF15" s="1"/>
      <c r="AG15" s="1"/>
      <c r="AQ15" s="107">
        <v>17</v>
      </c>
      <c r="AR15" s="109">
        <v>2.35</v>
      </c>
      <c r="AS15" s="26">
        <v>10.94</v>
      </c>
    </row>
    <row r="16" spans="1:45" s="5" customFormat="1" ht="16.350000000000001" customHeight="1" thickBot="1">
      <c r="A16" s="856" t="s">
        <v>89</v>
      </c>
      <c r="B16" s="678"/>
      <c r="C16" s="2624" t="s">
        <v>611</v>
      </c>
      <c r="D16" s="2624"/>
      <c r="E16" s="2624"/>
      <c r="F16" s="2624"/>
      <c r="G16" s="2624"/>
      <c r="H16" s="2624"/>
      <c r="I16" s="2624"/>
      <c r="J16" s="2624"/>
      <c r="K16" s="2624"/>
      <c r="L16" s="2624"/>
      <c r="M16" s="2624"/>
      <c r="N16" s="1244"/>
      <c r="O16" s="868"/>
      <c r="P16" s="868"/>
      <c r="Q16" s="868"/>
      <c r="AF16" s="1"/>
      <c r="AG16" s="1"/>
      <c r="AQ16" s="107">
        <v>21</v>
      </c>
      <c r="AR16" s="109">
        <v>2.13</v>
      </c>
      <c r="AS16" s="26">
        <v>13.99</v>
      </c>
    </row>
    <row r="17" spans="1:45" s="5" customFormat="1" ht="16.350000000000001" customHeight="1">
      <c r="A17" s="857"/>
      <c r="B17" s="2637" t="s">
        <v>147</v>
      </c>
      <c r="C17" s="2637" t="s">
        <v>2058</v>
      </c>
      <c r="N17" s="793"/>
      <c r="O17" s="868"/>
      <c r="P17" s="868"/>
      <c r="Q17" s="868"/>
      <c r="AF17" s="1"/>
      <c r="AG17" s="1"/>
      <c r="AQ17" s="107"/>
      <c r="AR17" s="109"/>
      <c r="AS17" s="2386"/>
    </row>
    <row r="18" spans="1:45" s="5" customFormat="1" ht="15" customHeight="1">
      <c r="A18" s="791"/>
      <c r="C18" s="2407" t="s">
        <v>2059</v>
      </c>
      <c r="D18" s="5" t="s">
        <v>2133</v>
      </c>
      <c r="L18" s="2408"/>
      <c r="N18" s="1219"/>
      <c r="O18" s="727"/>
      <c r="P18" s="727"/>
      <c r="Q18" s="727"/>
      <c r="AF18" s="1"/>
      <c r="AG18" s="1"/>
      <c r="AQ18" s="107">
        <v>23</v>
      </c>
      <c r="AR18" s="109">
        <v>2.0299999999999998</v>
      </c>
      <c r="AS18" s="26">
        <v>15.664999999999999</v>
      </c>
    </row>
    <row r="19" spans="1:45" s="5" customFormat="1" ht="15" customHeight="1">
      <c r="A19" s="791"/>
      <c r="C19" s="2407" t="s">
        <v>2060</v>
      </c>
      <c r="D19" s="5" t="s">
        <v>2061</v>
      </c>
      <c r="N19" s="1219"/>
      <c r="O19" s="727"/>
      <c r="P19" s="727"/>
      <c r="Q19" s="727"/>
      <c r="AF19" s="1"/>
      <c r="AG19" s="1"/>
      <c r="AQ19" s="107"/>
      <c r="AR19" s="109"/>
      <c r="AS19" s="2386"/>
    </row>
    <row r="20" spans="1:45" s="5" customFormat="1" ht="20.100000000000001" customHeight="1">
      <c r="A20" s="857"/>
      <c r="B20" s="2643"/>
      <c r="C20" s="2370"/>
      <c r="D20" s="1158" t="s">
        <v>94</v>
      </c>
      <c r="E20" s="3096" t="str">
        <f>IF(ISBLANK(C20)," ",(C20/12))</f>
        <v xml:space="preserve"> </v>
      </c>
      <c r="F20" s="3097"/>
      <c r="G20" s="2636" t="s">
        <v>119</v>
      </c>
      <c r="H20" s="3340">
        <f>IF(ISBLANK(G14)," ",(IF(G14="Rock",0.25,0)))</f>
        <v>0</v>
      </c>
      <c r="I20" s="3341"/>
      <c r="J20" s="5" t="s">
        <v>2125</v>
      </c>
      <c r="K20" s="2677" t="s">
        <v>102</v>
      </c>
      <c r="L20" s="3345" t="str">
        <f>IF(ISBLANK(C20)," ",(IF(G14="rock",(E20+H20+1),E20+1)))</f>
        <v xml:space="preserve"> </v>
      </c>
      <c r="M20" s="3346"/>
      <c r="N20" s="1219" t="s">
        <v>92</v>
      </c>
      <c r="Z20" s="1"/>
      <c r="AA20" s="1"/>
      <c r="AK20" s="107">
        <v>24</v>
      </c>
      <c r="AL20" s="109">
        <v>1.98</v>
      </c>
      <c r="AM20" s="26">
        <v>16.54</v>
      </c>
    </row>
    <row r="21" spans="1:45" s="5" customFormat="1" ht="20.100000000000001" customHeight="1">
      <c r="A21" s="857"/>
      <c r="B21" s="3342" t="s">
        <v>2064</v>
      </c>
      <c r="C21" s="3342"/>
      <c r="D21" s="3342"/>
      <c r="E21" s="2410" t="s">
        <v>2063</v>
      </c>
      <c r="F21" s="2410"/>
      <c r="G21" s="1158"/>
      <c r="H21" s="1158" t="s">
        <v>1472</v>
      </c>
      <c r="J21" s="2409" t="s">
        <v>2062</v>
      </c>
      <c r="K21" s="1598"/>
      <c r="L21" s="1272"/>
      <c r="M21" s="2637"/>
      <c r="N21" s="1219"/>
      <c r="AE21" s="7"/>
      <c r="AF21" s="7"/>
      <c r="AP21" s="107"/>
      <c r="AQ21" s="109"/>
      <c r="AR21" s="26"/>
    </row>
    <row r="22" spans="1:45" s="5" customFormat="1" ht="15" customHeight="1">
      <c r="A22" s="791"/>
      <c r="B22" s="120" t="s">
        <v>631</v>
      </c>
      <c r="C22" s="2636" t="s">
        <v>819</v>
      </c>
      <c r="N22" s="1219"/>
      <c r="O22" s="727"/>
      <c r="P22" s="727"/>
      <c r="Q22" s="727"/>
      <c r="AF22" s="1"/>
      <c r="AG22" s="1"/>
    </row>
    <row r="23" spans="1:45" s="5" customFormat="1" ht="20.100000000000001" customHeight="1">
      <c r="A23" s="857"/>
      <c r="C23" s="2643" t="s">
        <v>88</v>
      </c>
      <c r="D23" s="2631" t="s">
        <v>1093</v>
      </c>
      <c r="L23" s="3352"/>
      <c r="M23" s="3353"/>
      <c r="N23" s="1219"/>
      <c r="O23" s="727"/>
      <c r="P23" s="727"/>
      <c r="Q23" s="727"/>
      <c r="AE23" s="1"/>
      <c r="AF23" s="1"/>
    </row>
    <row r="24" spans="1:45" s="5" customFormat="1" ht="15" customHeight="1">
      <c r="A24" s="791"/>
      <c r="B24" s="120"/>
      <c r="C24" s="2643" t="s">
        <v>89</v>
      </c>
      <c r="D24" s="2631" t="s">
        <v>817</v>
      </c>
      <c r="N24" s="1219"/>
      <c r="O24" s="727"/>
      <c r="P24" s="727"/>
      <c r="Q24" s="727"/>
      <c r="AF24" s="1"/>
      <c r="AG24" s="1"/>
    </row>
    <row r="25" spans="1:45" s="5" customFormat="1" ht="19.5" customHeight="1">
      <c r="A25" s="857"/>
      <c r="C25" s="2633"/>
      <c r="D25" s="3345" t="str">
        <f>IF(ISBLANK(L23),"",L23)</f>
        <v/>
      </c>
      <c r="E25" s="3346"/>
      <c r="F25" s="2633" t="s">
        <v>101</v>
      </c>
      <c r="G25" s="3347" t="str">
        <f>IF(ISBLANK(D20),"",L20)</f>
        <v xml:space="preserve"> </v>
      </c>
      <c r="H25" s="3348"/>
      <c r="I25" s="2633" t="s">
        <v>118</v>
      </c>
      <c r="J25" s="3347" t="str">
        <f>IF(ISBLANK(L23),"",D25*G25)</f>
        <v/>
      </c>
      <c r="K25" s="3348"/>
      <c r="L25" s="2637" t="s">
        <v>92</v>
      </c>
      <c r="N25" s="1219"/>
      <c r="O25" s="727"/>
      <c r="P25" s="727"/>
      <c r="Q25" s="727"/>
      <c r="AF25" s="1"/>
      <c r="AG25" s="1"/>
    </row>
    <row r="26" spans="1:45" s="5" customFormat="1" ht="15" customHeight="1">
      <c r="A26" s="857"/>
      <c r="C26" s="2643" t="s">
        <v>141</v>
      </c>
      <c r="D26" s="2637" t="s">
        <v>818</v>
      </c>
      <c r="E26" s="2631"/>
      <c r="F26" s="2631"/>
      <c r="G26" s="2631"/>
      <c r="H26" s="2635"/>
      <c r="I26" s="2635"/>
      <c r="J26" s="2633"/>
      <c r="K26" s="2641"/>
      <c r="L26" s="2641"/>
      <c r="M26" s="2633"/>
      <c r="N26" s="1245"/>
      <c r="O26" s="723"/>
      <c r="P26" s="727"/>
      <c r="Q26" s="727"/>
      <c r="AF26" s="1"/>
      <c r="AG26" s="1"/>
    </row>
    <row r="27" spans="1:45" s="5" customFormat="1" ht="20.100000000000001" customHeight="1">
      <c r="A27" s="857"/>
      <c r="C27" s="2633"/>
      <c r="D27" s="3339" t="s">
        <v>932</v>
      </c>
      <c r="E27" s="3339"/>
      <c r="F27" s="2633" t="s">
        <v>101</v>
      </c>
      <c r="G27" s="3347" t="str">
        <f>K8</f>
        <v/>
      </c>
      <c r="H27" s="3351"/>
      <c r="I27" s="3349" t="s">
        <v>1097</v>
      </c>
      <c r="J27" s="3350"/>
      <c r="K27" s="3350"/>
      <c r="L27" s="3347" t="str">
        <f>IF(ISBLANK(C20),"",IF(M4&lt;=1,(0.5*G27)+5," "))</f>
        <v/>
      </c>
      <c r="M27" s="3348"/>
      <c r="N27" s="1219" t="s">
        <v>92</v>
      </c>
      <c r="O27" s="723"/>
      <c r="P27" s="727"/>
      <c r="Q27" s="727"/>
      <c r="R27" s="3391"/>
      <c r="S27" s="3391"/>
      <c r="T27" s="3391"/>
      <c r="U27" s="3391"/>
      <c r="V27" s="3391"/>
      <c r="W27" s="3391"/>
      <c r="X27" s="3391"/>
      <c r="Y27" s="3391"/>
      <c r="Z27" s="3391"/>
      <c r="AA27" s="3391"/>
      <c r="AB27" s="3391"/>
      <c r="AC27" s="3391"/>
      <c r="AF27" s="1"/>
      <c r="AG27" s="1"/>
    </row>
    <row r="28" spans="1:45" s="5" customFormat="1" ht="6" customHeight="1">
      <c r="A28" s="857"/>
      <c r="N28" s="1219"/>
      <c r="O28" s="727"/>
      <c r="P28" s="727"/>
      <c r="Q28" s="727"/>
      <c r="R28" s="3391"/>
      <c r="S28" s="3391"/>
      <c r="T28" s="3391"/>
      <c r="U28" s="3391"/>
      <c r="V28" s="3391"/>
      <c r="W28" s="3391"/>
      <c r="X28" s="3391"/>
      <c r="Y28" s="3391"/>
      <c r="Z28" s="3391"/>
      <c r="AA28" s="3391"/>
      <c r="AB28" s="3391"/>
      <c r="AC28" s="3391"/>
      <c r="AF28" s="1"/>
      <c r="AG28" s="1"/>
      <c r="AH28" s="1"/>
      <c r="AI28" s="1"/>
      <c r="AJ28" s="1"/>
    </row>
    <row r="29" spans="1:45" s="5" customFormat="1" ht="19.5" customHeight="1">
      <c r="A29" s="857"/>
      <c r="C29" s="2643" t="s">
        <v>142</v>
      </c>
      <c r="D29" s="2637" t="s">
        <v>820</v>
      </c>
      <c r="K29" s="3096" t="str">
        <f>IF(M4&gt;=1, J25, L27)</f>
        <v/>
      </c>
      <c r="L29" s="3097"/>
      <c r="M29" s="5" t="s">
        <v>92</v>
      </c>
      <c r="N29" s="1219"/>
      <c r="O29" s="727"/>
      <c r="P29" s="727"/>
      <c r="Q29" s="727"/>
      <c r="R29" s="3391"/>
      <c r="S29" s="3391"/>
      <c r="T29" s="3391"/>
      <c r="U29" s="3391"/>
      <c r="V29" s="3391"/>
      <c r="W29" s="3391"/>
      <c r="X29" s="3391"/>
      <c r="Y29" s="3391"/>
      <c r="Z29" s="3391"/>
      <c r="AA29" s="3391"/>
      <c r="AB29" s="3391"/>
      <c r="AC29" s="3391"/>
      <c r="AF29" s="1"/>
      <c r="AG29" s="1"/>
      <c r="AH29" s="1"/>
      <c r="AI29" s="1"/>
      <c r="AJ29" s="1"/>
    </row>
    <row r="30" spans="1:45" s="5" customFormat="1" ht="15" customHeight="1">
      <c r="A30" s="857"/>
      <c r="B30" s="5" t="s">
        <v>149</v>
      </c>
      <c r="C30" s="5" t="s">
        <v>824</v>
      </c>
      <c r="N30" s="1219"/>
      <c r="O30" s="727"/>
      <c r="P30" s="727"/>
      <c r="Q30" s="727"/>
      <c r="AF30" s="1"/>
      <c r="AG30" s="1"/>
      <c r="AH30" s="1"/>
      <c r="AI30" s="1"/>
      <c r="AJ30" s="1"/>
    </row>
    <row r="31" spans="1:45" s="5" customFormat="1" ht="19.5" customHeight="1">
      <c r="A31" s="857"/>
      <c r="C31" s="2643" t="s">
        <v>88</v>
      </c>
      <c r="D31" s="2631" t="s">
        <v>1095</v>
      </c>
      <c r="K31" s="3352"/>
      <c r="L31" s="3353"/>
      <c r="N31" s="1219"/>
      <c r="O31" s="727"/>
      <c r="P31" s="727"/>
      <c r="Q31" s="727"/>
      <c r="AF31" s="1"/>
      <c r="AG31" s="1"/>
      <c r="AH31" s="1"/>
      <c r="AI31" s="1"/>
      <c r="AJ31" s="1"/>
    </row>
    <row r="32" spans="1:45" s="5" customFormat="1" ht="18" customHeight="1">
      <c r="A32" s="857"/>
      <c r="C32" s="2643" t="s">
        <v>89</v>
      </c>
      <c r="D32" s="5" t="s">
        <v>1104</v>
      </c>
      <c r="N32" s="1219"/>
      <c r="O32" s="727"/>
      <c r="P32" s="727"/>
      <c r="Q32" s="727"/>
      <c r="AF32" s="1"/>
      <c r="AG32" s="1"/>
      <c r="AH32" s="1"/>
      <c r="AI32" s="1"/>
      <c r="AJ32" s="1"/>
    </row>
    <row r="33" spans="1:36" s="5" customFormat="1" ht="18" customHeight="1">
      <c r="A33" s="857"/>
      <c r="C33" s="2643"/>
      <c r="D33" s="3343" t="str">
        <f>IF(ISBLANK(K31),"",K31)</f>
        <v/>
      </c>
      <c r="E33" s="3344"/>
      <c r="F33" s="2633" t="s">
        <v>101</v>
      </c>
      <c r="G33" s="3354" t="str">
        <f>IF(ISBLANK(D20)," ",L20)</f>
        <v xml:space="preserve"> </v>
      </c>
      <c r="H33" s="3355"/>
      <c r="I33" s="2637" t="s">
        <v>648</v>
      </c>
      <c r="J33" s="3347" t="str">
        <f>IF(ISBLANK(K31),"",D33*G33)</f>
        <v/>
      </c>
      <c r="K33" s="3348"/>
      <c r="L33" s="5" t="s">
        <v>92</v>
      </c>
      <c r="M33" s="867"/>
      <c r="N33" s="1246"/>
      <c r="O33" s="869"/>
      <c r="P33" s="869"/>
      <c r="Q33" s="727"/>
      <c r="AF33" s="1"/>
      <c r="AG33" s="1"/>
      <c r="AH33" s="1"/>
      <c r="AI33" s="1"/>
      <c r="AJ33" s="1"/>
    </row>
    <row r="34" spans="1:36" s="5" customFormat="1" ht="18.75" customHeight="1">
      <c r="A34" s="792"/>
      <c r="C34" s="2643" t="s">
        <v>141</v>
      </c>
      <c r="D34" s="5" t="s">
        <v>821</v>
      </c>
      <c r="E34" s="2631"/>
      <c r="F34" s="2631"/>
      <c r="G34" s="2631"/>
      <c r="H34" s="2633" t="s">
        <v>102</v>
      </c>
      <c r="N34" s="1219"/>
      <c r="O34" s="727"/>
      <c r="P34" s="727"/>
      <c r="Q34" s="872"/>
      <c r="R34" s="79"/>
      <c r="AF34" s="1"/>
      <c r="AG34" s="1"/>
      <c r="AH34" s="1"/>
      <c r="AI34" s="1"/>
      <c r="AJ34" s="1"/>
    </row>
    <row r="35" spans="1:36" s="5" customFormat="1" ht="18.75" customHeight="1">
      <c r="A35" s="792"/>
      <c r="C35" s="2643"/>
      <c r="D35" s="3347" t="str">
        <f>K8</f>
        <v/>
      </c>
      <c r="E35" s="3351"/>
      <c r="F35" s="2635" t="s">
        <v>715</v>
      </c>
      <c r="G35" s="3339">
        <v>5</v>
      </c>
      <c r="H35" s="3339"/>
      <c r="I35" s="2641" t="s">
        <v>102</v>
      </c>
      <c r="J35" s="3347" t="str">
        <f>IF(ISBLANK(K31),"",D35+G35)</f>
        <v/>
      </c>
      <c r="K35" s="3348"/>
      <c r="L35" s="5" t="s">
        <v>92</v>
      </c>
      <c r="M35" s="2633"/>
      <c r="N35" s="1245"/>
      <c r="O35" s="869"/>
      <c r="P35" s="727"/>
      <c r="Q35" s="872"/>
      <c r="R35" s="79"/>
      <c r="AF35" s="1"/>
      <c r="AG35" s="1"/>
      <c r="AH35" s="1"/>
      <c r="AI35" s="1"/>
      <c r="AJ35" s="1"/>
    </row>
    <row r="36" spans="1:36" s="5" customFormat="1" ht="6" customHeight="1">
      <c r="A36" s="792"/>
      <c r="C36" s="2633"/>
      <c r="E36" s="2631"/>
      <c r="F36" s="2631"/>
      <c r="G36" s="2631"/>
      <c r="J36" s="2631"/>
      <c r="K36" s="2637"/>
      <c r="N36" s="1219"/>
      <c r="O36" s="872"/>
      <c r="P36" s="872"/>
      <c r="Q36" s="872"/>
      <c r="R36" s="79"/>
      <c r="AF36" s="1"/>
      <c r="AG36" s="1"/>
      <c r="AH36" s="1"/>
      <c r="AI36" s="1"/>
      <c r="AJ36" s="1"/>
    </row>
    <row r="37" spans="1:36" s="5" customFormat="1" ht="20.100000000000001" customHeight="1">
      <c r="A37" s="792"/>
      <c r="C37" s="2643" t="s">
        <v>142</v>
      </c>
      <c r="D37" s="5" t="s">
        <v>1091</v>
      </c>
      <c r="E37" s="2631"/>
      <c r="F37" s="2631"/>
      <c r="G37" s="2631"/>
      <c r="J37" s="2631"/>
      <c r="K37" s="2637"/>
      <c r="L37" s="3347" t="str">
        <f>IF(ISBLANK(K31),"",MAX(J33,J35))</f>
        <v/>
      </c>
      <c r="M37" s="3348"/>
      <c r="N37" s="1219" t="s">
        <v>92</v>
      </c>
      <c r="O37" s="727"/>
      <c r="P37" s="727"/>
      <c r="Q37" s="872"/>
      <c r="R37" s="79"/>
      <c r="AF37" s="1"/>
      <c r="AG37" s="1"/>
      <c r="AH37" s="1"/>
      <c r="AI37" s="1"/>
      <c r="AJ37" s="1"/>
    </row>
    <row r="38" spans="1:36" s="5" customFormat="1" ht="6" customHeight="1">
      <c r="A38" s="792"/>
      <c r="C38" s="2633"/>
      <c r="E38" s="2631"/>
      <c r="F38" s="2631"/>
      <c r="G38" s="2631"/>
      <c r="J38" s="2631"/>
      <c r="K38" s="2637"/>
      <c r="N38" s="1219"/>
      <c r="O38" s="872"/>
      <c r="P38" s="872"/>
      <c r="Q38" s="872"/>
      <c r="R38" s="79"/>
      <c r="AF38" s="1"/>
      <c r="AG38" s="1"/>
      <c r="AH38" s="1"/>
      <c r="AI38" s="1"/>
      <c r="AJ38" s="1"/>
    </row>
    <row r="39" spans="1:36" s="5" customFormat="1" ht="15" customHeight="1">
      <c r="A39" s="792"/>
      <c r="C39" s="2643" t="s">
        <v>91</v>
      </c>
      <c r="D39" s="5" t="s">
        <v>822</v>
      </c>
      <c r="E39" s="2631"/>
      <c r="F39" s="2631"/>
      <c r="G39" s="2631"/>
      <c r="J39" s="2631"/>
      <c r="K39" s="2637"/>
      <c r="N39" s="1219"/>
      <c r="O39" s="872"/>
      <c r="P39" s="872"/>
      <c r="Q39" s="872"/>
      <c r="R39" s="79"/>
      <c r="AF39" s="1"/>
      <c r="AG39" s="1"/>
      <c r="AH39" s="1"/>
      <c r="AI39" s="1"/>
      <c r="AJ39" s="1"/>
    </row>
    <row r="40" spans="1:36" s="5" customFormat="1" ht="20.100000000000001" customHeight="1">
      <c r="A40" s="792"/>
      <c r="C40" s="2633"/>
      <c r="D40" s="3339" t="s">
        <v>1098</v>
      </c>
      <c r="E40" s="3339"/>
      <c r="F40" s="3347" t="str">
        <f>K8</f>
        <v/>
      </c>
      <c r="G40" s="3351"/>
      <c r="H40" s="2635" t="s">
        <v>715</v>
      </c>
      <c r="I40" s="3339" t="s">
        <v>1099</v>
      </c>
      <c r="J40" s="3339"/>
      <c r="K40" s="3347" t="str">
        <f>IF(ISBLANK(K31),"",(0.5*F40)+5)</f>
        <v/>
      </c>
      <c r="L40" s="3348"/>
      <c r="M40" s="5" t="s">
        <v>92</v>
      </c>
      <c r="N40" s="1219"/>
      <c r="O40" s="727"/>
      <c r="P40" s="872"/>
      <c r="Q40" s="872"/>
      <c r="AE40" s="1"/>
      <c r="AF40" s="1"/>
      <c r="AG40" s="1"/>
      <c r="AH40" s="1"/>
      <c r="AI40" s="1"/>
    </row>
    <row r="41" spans="1:36" s="5" customFormat="1" ht="6" customHeight="1">
      <c r="A41" s="792"/>
      <c r="C41" s="2633"/>
      <c r="E41" s="2631"/>
      <c r="F41" s="2631"/>
      <c r="G41" s="2631"/>
      <c r="J41" s="2631"/>
      <c r="K41" s="2637"/>
      <c r="N41" s="1219"/>
      <c r="O41" s="872"/>
      <c r="P41" s="872"/>
      <c r="Q41" s="872"/>
      <c r="R41" s="79"/>
      <c r="AF41" s="1"/>
      <c r="AG41" s="1"/>
      <c r="AH41" s="1"/>
      <c r="AI41" s="1"/>
      <c r="AJ41" s="1"/>
    </row>
    <row r="42" spans="1:36" s="5" customFormat="1" ht="20.100000000000001" customHeight="1">
      <c r="A42" s="792"/>
      <c r="C42" s="2643" t="s">
        <v>93</v>
      </c>
      <c r="D42" s="5" t="s">
        <v>823</v>
      </c>
      <c r="E42" s="2631"/>
      <c r="F42" s="2631"/>
      <c r="G42" s="2631"/>
      <c r="J42" s="2631"/>
      <c r="K42" s="3096" t="str">
        <f>IF(M4&gt;1, L37, K40)</f>
        <v/>
      </c>
      <c r="L42" s="3097"/>
      <c r="M42" s="5" t="s">
        <v>92</v>
      </c>
      <c r="N42" s="1219"/>
      <c r="O42" s="872"/>
      <c r="P42" s="872"/>
      <c r="Q42" s="872"/>
      <c r="R42" s="79"/>
      <c r="AF42" s="1"/>
      <c r="AG42" s="1"/>
      <c r="AH42" s="1"/>
      <c r="AI42" s="1"/>
      <c r="AJ42" s="1"/>
    </row>
    <row r="43" spans="1:36" s="5" customFormat="1" ht="6" customHeight="1" thickBot="1">
      <c r="A43" s="1247"/>
      <c r="B43" s="37"/>
      <c r="C43" s="1233"/>
      <c r="D43" s="1248"/>
      <c r="E43" s="1248"/>
      <c r="F43" s="1248"/>
      <c r="G43" s="1248"/>
      <c r="H43" s="37"/>
      <c r="I43" s="37"/>
      <c r="J43" s="1248"/>
      <c r="K43" s="1229"/>
      <c r="L43" s="1233"/>
      <c r="M43" s="1233"/>
      <c r="N43" s="1249"/>
      <c r="O43" s="727"/>
      <c r="P43" s="727"/>
      <c r="Q43" s="727"/>
      <c r="R43" s="79"/>
      <c r="AF43" s="1"/>
      <c r="AG43" s="1"/>
      <c r="AH43" s="1"/>
      <c r="AI43" s="1"/>
      <c r="AJ43" s="1"/>
    </row>
    <row r="44" spans="1:36" s="40" customFormat="1" ht="6" customHeight="1">
      <c r="A44" s="1222"/>
      <c r="B44" s="1223"/>
      <c r="C44" s="1224"/>
      <c r="D44" s="1224"/>
      <c r="E44" s="1224"/>
      <c r="F44" s="1224"/>
      <c r="G44" s="1224"/>
      <c r="H44" s="1224"/>
      <c r="I44" s="1224"/>
      <c r="J44" s="1225"/>
      <c r="K44" s="1224"/>
      <c r="L44" s="1226"/>
      <c r="M44" s="1227"/>
      <c r="N44" s="1228"/>
      <c r="AA44" s="1"/>
      <c r="AB44" s="1"/>
      <c r="AC44" s="1"/>
      <c r="AD44" s="1"/>
      <c r="AE44" s="1"/>
    </row>
    <row r="45" spans="1:36" s="5" customFormat="1" ht="18.75" customHeight="1">
      <c r="A45" s="857"/>
      <c r="B45" s="120" t="s">
        <v>588</v>
      </c>
      <c r="C45" s="2631" t="s">
        <v>2056</v>
      </c>
      <c r="E45" s="2631"/>
      <c r="F45" s="2631"/>
      <c r="G45" s="2631"/>
      <c r="H45" s="3352"/>
      <c r="I45" s="3353"/>
      <c r="J45" s="2637"/>
      <c r="N45" s="1219"/>
      <c r="O45" s="727"/>
      <c r="P45" s="873"/>
      <c r="Q45" s="873"/>
      <c r="AF45" s="1"/>
      <c r="AG45" s="1"/>
      <c r="AH45" s="1"/>
      <c r="AI45" s="1"/>
      <c r="AJ45" s="1"/>
    </row>
    <row r="46" spans="1:36" s="5" customFormat="1" ht="18" customHeight="1">
      <c r="A46" s="791"/>
      <c r="B46" s="120" t="s">
        <v>589</v>
      </c>
      <c r="C46" s="2631" t="s">
        <v>1882</v>
      </c>
      <c r="E46" s="2631"/>
      <c r="F46" s="2631"/>
      <c r="G46" s="2631"/>
      <c r="H46" s="2631"/>
      <c r="I46" s="2631"/>
      <c r="J46" s="2631"/>
      <c r="K46" s="1472" t="s">
        <v>2057</v>
      </c>
      <c r="N46" s="1219"/>
      <c r="O46" s="727"/>
      <c r="P46" s="727"/>
      <c r="Q46" s="727"/>
      <c r="AF46" s="1"/>
      <c r="AG46" s="1"/>
      <c r="AH46" s="1"/>
      <c r="AI46" s="1"/>
      <c r="AJ46" s="1"/>
    </row>
    <row r="47" spans="1:36" s="5" customFormat="1" ht="20.100000000000001" customHeight="1">
      <c r="A47" s="857"/>
      <c r="C47" s="119"/>
      <c r="D47" s="2634"/>
      <c r="E47" s="3345" t="str">
        <f>IF(ISBLANK(H45),"",H45)</f>
        <v/>
      </c>
      <c r="F47" s="3346"/>
      <c r="G47" s="2633" t="s">
        <v>101</v>
      </c>
      <c r="H47" s="3347" t="str">
        <f>IF(ISBLANK(H45),"",L20)</f>
        <v/>
      </c>
      <c r="I47" s="3348"/>
      <c r="J47" s="2633" t="s">
        <v>118</v>
      </c>
      <c r="K47" s="3347" t="str">
        <f>IF(ISBLANK(H45),"",E47*H47)</f>
        <v/>
      </c>
      <c r="L47" s="3348"/>
      <c r="M47" s="2637" t="s">
        <v>92</v>
      </c>
      <c r="N47" s="1219"/>
      <c r="O47" s="874"/>
      <c r="P47" s="875"/>
      <c r="Q47" s="875"/>
      <c r="AF47" s="1"/>
      <c r="AG47" s="1"/>
      <c r="AH47" s="1"/>
      <c r="AI47" s="1"/>
      <c r="AJ47" s="1"/>
    </row>
    <row r="48" spans="1:36" s="5" customFormat="1" ht="15" customHeight="1">
      <c r="A48" s="791"/>
      <c r="B48" s="120" t="s">
        <v>641</v>
      </c>
      <c r="C48" s="2631" t="s">
        <v>1883</v>
      </c>
      <c r="D48" s="2631"/>
      <c r="E48" s="2631"/>
      <c r="F48" s="2631"/>
      <c r="G48" s="2631"/>
      <c r="H48" s="2631"/>
      <c r="I48" s="2631"/>
      <c r="J48" s="2631"/>
      <c r="K48" s="2631"/>
      <c r="L48" s="2631"/>
      <c r="M48" s="2637"/>
      <c r="N48" s="793"/>
      <c r="O48" s="727"/>
      <c r="P48" s="868"/>
      <c r="Q48" s="868"/>
      <c r="R48" s="25"/>
      <c r="AF48" s="1"/>
      <c r="AG48" s="1"/>
      <c r="AH48" s="1"/>
      <c r="AI48" s="1"/>
      <c r="AJ48" s="1"/>
    </row>
    <row r="49" spans="1:36" s="5" customFormat="1" ht="20.100000000000001" customHeight="1">
      <c r="A49" s="857"/>
      <c r="B49" s="2643"/>
      <c r="C49" s="3347" t="str">
        <f>IF(ISBLANK(L23),"",K29)</f>
        <v/>
      </c>
      <c r="D49" s="3348"/>
      <c r="E49" s="2637" t="s">
        <v>119</v>
      </c>
      <c r="F49" s="3347" t="str">
        <f>IF(ISBLANK(K31),"",K42)</f>
        <v/>
      </c>
      <c r="G49" s="3348"/>
      <c r="H49" s="2637" t="s">
        <v>120</v>
      </c>
      <c r="I49" s="3347" t="str">
        <f>(IF(ISBLANK(K31),"",C49+F49))</f>
        <v/>
      </c>
      <c r="J49" s="3348"/>
      <c r="K49" s="2637" t="s">
        <v>92</v>
      </c>
      <c r="N49" s="1219"/>
      <c r="O49" s="727"/>
      <c r="P49" s="727"/>
      <c r="Q49" s="727"/>
      <c r="AD49" s="1"/>
      <c r="AE49" s="1"/>
      <c r="AF49" s="1"/>
      <c r="AG49" s="1"/>
      <c r="AH49" s="1"/>
    </row>
    <row r="50" spans="1:36" s="5" customFormat="1" ht="15" customHeight="1">
      <c r="A50" s="791"/>
      <c r="B50" s="120" t="s">
        <v>642</v>
      </c>
      <c r="C50" s="2631" t="s">
        <v>1884</v>
      </c>
      <c r="D50" s="2631"/>
      <c r="E50" s="2631"/>
      <c r="F50" s="2631"/>
      <c r="G50" s="2631"/>
      <c r="H50" s="2631"/>
      <c r="I50" s="2631"/>
      <c r="J50" s="2631"/>
      <c r="K50" s="2631"/>
      <c r="L50" s="2631"/>
      <c r="M50" s="2631"/>
      <c r="N50" s="1251"/>
      <c r="O50" s="868"/>
      <c r="P50" s="868"/>
      <c r="Q50" s="868"/>
      <c r="R50" s="25"/>
      <c r="AF50" s="1"/>
      <c r="AG50" s="1"/>
      <c r="AH50" s="1"/>
      <c r="AI50" s="1"/>
      <c r="AJ50" s="1"/>
    </row>
    <row r="51" spans="1:36" s="5" customFormat="1" ht="20.100000000000001" customHeight="1">
      <c r="A51" s="857"/>
      <c r="B51" s="2643"/>
      <c r="C51" s="3347" t="str">
        <f>K47</f>
        <v/>
      </c>
      <c r="D51" s="3348"/>
      <c r="E51" s="2637" t="s">
        <v>124</v>
      </c>
      <c r="F51" s="3347" t="str">
        <f>K10</f>
        <v/>
      </c>
      <c r="G51" s="3348"/>
      <c r="H51" s="2637" t="s">
        <v>124</v>
      </c>
      <c r="I51" s="3347" t="str">
        <f>K47</f>
        <v/>
      </c>
      <c r="J51" s="3348"/>
      <c r="K51" s="2637" t="s">
        <v>118</v>
      </c>
      <c r="L51" s="3347" t="str">
        <f>IF(ISBLANK(L23),"",C51+F51+I51)</f>
        <v/>
      </c>
      <c r="M51" s="3348"/>
      <c r="N51" s="793" t="s">
        <v>92</v>
      </c>
      <c r="O51" s="727"/>
      <c r="P51" s="727"/>
      <c r="Q51" s="727"/>
      <c r="AD51" s="1"/>
      <c r="AE51" s="1"/>
      <c r="AF51" s="1"/>
      <c r="AG51" s="1"/>
      <c r="AH51" s="1"/>
    </row>
    <row r="52" spans="1:36" s="40" customFormat="1" ht="6" customHeight="1">
      <c r="A52" s="848"/>
      <c r="B52" s="27"/>
      <c r="C52" s="2"/>
      <c r="D52" s="2"/>
      <c r="E52" s="2"/>
      <c r="F52" s="2"/>
      <c r="G52" s="2"/>
      <c r="H52" s="2"/>
      <c r="I52" s="2"/>
      <c r="J52" s="2"/>
      <c r="K52" s="2"/>
      <c r="L52" s="2"/>
      <c r="M52" s="2"/>
      <c r="N52" s="3"/>
      <c r="O52" s="727"/>
      <c r="P52" s="727"/>
      <c r="Q52" s="727"/>
      <c r="R52" s="4"/>
      <c r="AF52" s="1"/>
      <c r="AG52" s="1"/>
      <c r="AH52" s="1"/>
      <c r="AI52" s="1"/>
      <c r="AJ52" s="1"/>
    </row>
    <row r="53" spans="1:36" s="40" customFormat="1" ht="6" customHeight="1">
      <c r="A53" s="848"/>
      <c r="B53" s="815"/>
      <c r="C53" s="813"/>
      <c r="D53" s="813"/>
      <c r="E53" s="813"/>
      <c r="F53" s="813"/>
      <c r="G53" s="813"/>
      <c r="H53" s="813"/>
      <c r="I53" s="813"/>
      <c r="J53" s="813"/>
      <c r="K53" s="813"/>
      <c r="L53" s="813"/>
      <c r="M53" s="2672"/>
      <c r="N53" s="2673"/>
      <c r="O53" s="2672"/>
      <c r="P53" s="2672"/>
      <c r="Q53" s="2672"/>
      <c r="R53" s="813"/>
      <c r="AA53" s="1"/>
      <c r="AB53" s="1"/>
      <c r="AC53" s="1"/>
      <c r="AD53" s="1"/>
      <c r="AE53" s="1"/>
    </row>
    <row r="54" spans="1:36" s="40" customFormat="1" ht="19.5" customHeight="1">
      <c r="A54" s="848"/>
      <c r="B54" s="3381" t="s">
        <v>1801</v>
      </c>
      <c r="C54" s="3381"/>
      <c r="D54" s="3381"/>
      <c r="E54" s="3381"/>
      <c r="F54" s="3381"/>
      <c r="G54" s="3381"/>
      <c r="H54" s="3381"/>
      <c r="I54" s="3381"/>
      <c r="J54" s="3381"/>
      <c r="K54" s="3381"/>
      <c r="L54" s="3381"/>
      <c r="M54" s="3381"/>
      <c r="N54" s="3"/>
      <c r="O54" s="727"/>
      <c r="P54" s="727"/>
      <c r="Q54" s="727"/>
      <c r="R54" s="1468"/>
      <c r="T54" s="1916"/>
      <c r="U54" s="1916"/>
      <c r="V54" s="1916"/>
      <c r="W54" s="1916"/>
      <c r="X54" s="1916"/>
      <c r="AF54" s="1"/>
      <c r="AG54" s="1"/>
      <c r="AH54" s="1"/>
      <c r="AI54" s="1"/>
      <c r="AJ54" s="1"/>
    </row>
    <row r="55" spans="1:36" s="40" customFormat="1" ht="6" customHeight="1" thickBot="1">
      <c r="A55" s="858"/>
      <c r="B55" s="14"/>
      <c r="C55" s="14"/>
      <c r="D55" s="14"/>
      <c r="E55" s="14"/>
      <c r="F55" s="14"/>
      <c r="G55" s="14"/>
      <c r="H55" s="14"/>
      <c r="I55" s="14"/>
      <c r="J55" s="14"/>
      <c r="K55" s="14"/>
      <c r="L55" s="14"/>
      <c r="M55" s="14"/>
      <c r="N55" s="1252"/>
      <c r="O55" s="727"/>
      <c r="P55" s="727"/>
      <c r="Q55" s="727"/>
      <c r="R55" s="4"/>
      <c r="T55" s="1916"/>
      <c r="U55" s="1916"/>
      <c r="V55" s="1916"/>
      <c r="W55" s="1916"/>
      <c r="X55" s="1916"/>
      <c r="AF55" s="1"/>
      <c r="AG55" s="1"/>
      <c r="AH55" s="1"/>
      <c r="AI55" s="1"/>
      <c r="AJ55" s="1"/>
    </row>
    <row r="56" spans="1:36" s="5" customFormat="1" ht="16.350000000000001" customHeight="1" thickBot="1">
      <c r="A56" s="856" t="s">
        <v>141</v>
      </c>
      <c r="B56" s="678"/>
      <c r="C56" s="688" t="s">
        <v>612</v>
      </c>
      <c r="D56" s="688"/>
      <c r="E56" s="688"/>
      <c r="F56" s="688" t="s">
        <v>2115</v>
      </c>
      <c r="G56" s="688"/>
      <c r="H56" s="688"/>
      <c r="I56" s="688"/>
      <c r="J56" s="3375" t="s">
        <v>1016</v>
      </c>
      <c r="K56" s="3375"/>
      <c r="L56" s="3372" t="str">
        <f>IF(ISBLANK(Summary!S3)," ",Summary!S3)</f>
        <v xml:space="preserve"> </v>
      </c>
      <c r="M56" s="3372"/>
      <c r="N56" s="859"/>
      <c r="O56" s="876"/>
      <c r="P56" s="876"/>
      <c r="Q56" s="876"/>
      <c r="T56" s="1916"/>
      <c r="U56" s="1916"/>
      <c r="V56" s="1916"/>
      <c r="W56" s="1916"/>
      <c r="X56" s="1916"/>
      <c r="AF56" s="1"/>
      <c r="AG56" s="1"/>
      <c r="AH56" s="1"/>
      <c r="AI56" s="1"/>
      <c r="AJ56" s="1"/>
    </row>
    <row r="57" spans="1:36" ht="15" customHeight="1">
      <c r="A57" s="848"/>
      <c r="B57" s="2"/>
      <c r="C57" s="2"/>
      <c r="D57" s="2"/>
      <c r="E57" s="2"/>
      <c r="F57" s="2"/>
      <c r="G57" s="2"/>
      <c r="H57" s="2"/>
      <c r="I57" s="2"/>
      <c r="J57" s="2"/>
      <c r="K57" s="2"/>
      <c r="L57" s="2"/>
      <c r="M57" s="2"/>
      <c r="N57" s="3"/>
      <c r="R57" s="2"/>
      <c r="AH57" s="1"/>
      <c r="AI57" s="1"/>
    </row>
    <row r="58" spans="1:36" s="40" customFormat="1" ht="15" customHeight="1">
      <c r="A58" s="848"/>
      <c r="B58" s="2"/>
      <c r="C58" s="2"/>
      <c r="D58" s="2"/>
      <c r="E58" s="2"/>
      <c r="F58" s="2"/>
      <c r="G58" s="2"/>
      <c r="H58" s="2"/>
      <c r="I58" s="2"/>
      <c r="J58" s="2"/>
      <c r="K58" s="2"/>
      <c r="L58" s="2"/>
      <c r="M58" s="2"/>
      <c r="N58" s="3"/>
      <c r="O58" s="727"/>
      <c r="P58" s="727"/>
      <c r="Q58" s="727"/>
      <c r="R58" s="4"/>
      <c r="AF58" s="1"/>
      <c r="AG58" s="1"/>
      <c r="AH58" s="1"/>
      <c r="AI58" s="1"/>
      <c r="AJ58" s="1"/>
    </row>
    <row r="59" spans="1:36" ht="15" customHeight="1">
      <c r="A59" s="848"/>
      <c r="B59" s="2"/>
      <c r="C59" s="2"/>
      <c r="D59" s="2"/>
      <c r="E59" s="2"/>
      <c r="F59" s="2"/>
      <c r="G59" s="2"/>
      <c r="H59" s="2"/>
      <c r="I59" s="2"/>
      <c r="J59" s="2"/>
      <c r="K59" s="2"/>
      <c r="L59" s="2"/>
      <c r="M59" s="2"/>
      <c r="N59" s="3"/>
      <c r="R59" s="2"/>
      <c r="AH59" s="1"/>
      <c r="AI59" s="1"/>
    </row>
    <row r="60" spans="1:36" ht="15" customHeight="1">
      <c r="A60" s="848"/>
      <c r="B60" s="2"/>
      <c r="C60" s="2"/>
      <c r="D60" s="2"/>
      <c r="E60" s="2"/>
      <c r="F60" s="2"/>
      <c r="G60" s="2"/>
      <c r="H60" s="2"/>
      <c r="I60" s="2"/>
      <c r="J60" s="2"/>
      <c r="K60" s="2"/>
      <c r="L60" s="2"/>
      <c r="M60" s="2"/>
      <c r="N60" s="3"/>
      <c r="R60" s="2"/>
      <c r="AH60" s="1"/>
      <c r="AI60" s="1"/>
    </row>
    <row r="61" spans="1:36" ht="15" customHeight="1">
      <c r="A61" s="848"/>
      <c r="B61" s="2"/>
      <c r="C61" s="2"/>
      <c r="D61" s="2"/>
      <c r="E61" s="2"/>
      <c r="F61" s="2"/>
      <c r="G61" s="2"/>
      <c r="H61" s="2"/>
      <c r="I61" s="2"/>
      <c r="J61" s="2"/>
      <c r="K61" s="2"/>
      <c r="L61" s="2"/>
      <c r="M61" s="2"/>
      <c r="N61" s="3"/>
      <c r="R61" s="2"/>
      <c r="S61" s="4"/>
    </row>
    <row r="62" spans="1:36" ht="15" customHeight="1">
      <c r="A62" s="848"/>
      <c r="B62" s="2"/>
      <c r="C62" s="2"/>
      <c r="D62" s="2"/>
      <c r="E62" s="2"/>
      <c r="F62" s="2"/>
      <c r="G62" s="2"/>
      <c r="H62" s="2"/>
      <c r="I62" s="2"/>
      <c r="J62" s="2"/>
      <c r="K62" s="2"/>
      <c r="L62" s="2"/>
      <c r="M62" s="2"/>
      <c r="N62" s="3"/>
      <c r="R62" s="45"/>
    </row>
    <row r="63" spans="1:36" ht="15" customHeight="1">
      <c r="A63" s="848"/>
      <c r="B63" s="2"/>
      <c r="C63" s="2"/>
      <c r="D63" s="2"/>
      <c r="E63" s="2"/>
      <c r="F63" s="2"/>
      <c r="G63" s="2"/>
      <c r="H63" s="2"/>
      <c r="I63" s="2"/>
      <c r="J63" s="2"/>
      <c r="K63" s="2"/>
      <c r="L63" s="2"/>
      <c r="M63" s="2"/>
      <c r="N63" s="3"/>
      <c r="R63" s="45"/>
      <c r="S63" s="4"/>
    </row>
    <row r="64" spans="1:36" ht="15" customHeight="1">
      <c r="A64" s="848"/>
      <c r="B64" s="2"/>
      <c r="C64" s="2"/>
      <c r="D64" s="2"/>
      <c r="E64" s="2"/>
      <c r="F64" s="2"/>
      <c r="G64" s="2"/>
      <c r="H64" s="2"/>
      <c r="I64" s="2"/>
      <c r="J64" s="2"/>
      <c r="K64" s="2"/>
      <c r="L64" s="2"/>
      <c r="M64" s="2"/>
      <c r="N64" s="3"/>
      <c r="R64" s="2"/>
      <c r="S64" s="5"/>
      <c r="T64" s="5"/>
      <c r="U64" s="5"/>
      <c r="V64" s="5"/>
      <c r="W64" s="5"/>
      <c r="X64" s="5"/>
      <c r="Y64" s="5"/>
      <c r="Z64" s="5"/>
      <c r="AA64" s="5"/>
      <c r="AB64" s="5"/>
      <c r="AC64" s="5"/>
      <c r="AD64" s="5"/>
      <c r="AE64" s="5"/>
      <c r="AF64" s="5"/>
      <c r="AG64" s="5"/>
      <c r="AH64" s="106"/>
      <c r="AI64" s="106"/>
    </row>
    <row r="65" spans="1:35" ht="15" customHeight="1">
      <c r="A65" s="848"/>
      <c r="B65" s="2"/>
      <c r="C65" s="2"/>
      <c r="D65" s="2"/>
      <c r="E65" s="2"/>
      <c r="F65" s="2"/>
      <c r="G65" s="2"/>
      <c r="H65" s="2"/>
      <c r="I65" s="2"/>
      <c r="J65" s="2"/>
      <c r="K65" s="2"/>
      <c r="L65" s="2"/>
      <c r="M65" s="2"/>
      <c r="N65" s="3"/>
      <c r="R65" s="2"/>
      <c r="S65" s="3389"/>
      <c r="T65" s="3389"/>
      <c r="U65" s="3389"/>
      <c r="V65" s="3389"/>
      <c r="W65" s="3389"/>
      <c r="X65" s="3389"/>
      <c r="Y65" s="3389"/>
      <c r="Z65" s="3389"/>
      <c r="AA65" s="3389"/>
      <c r="AB65" s="3389"/>
      <c r="AC65" s="3389"/>
      <c r="AD65" s="3389"/>
      <c r="AE65" s="5"/>
      <c r="AF65" s="5"/>
      <c r="AG65" s="5"/>
      <c r="AH65" s="106"/>
      <c r="AI65" s="106"/>
    </row>
    <row r="66" spans="1:35" ht="15" customHeight="1">
      <c r="A66" s="848"/>
      <c r="B66" s="2"/>
      <c r="C66" s="2"/>
      <c r="D66" s="2"/>
      <c r="E66" s="2"/>
      <c r="F66" s="2"/>
      <c r="G66" s="2"/>
      <c r="H66" s="2"/>
      <c r="I66" s="2"/>
      <c r="J66" s="2"/>
      <c r="K66" s="2"/>
      <c r="L66" s="2"/>
      <c r="M66" s="2"/>
      <c r="N66" s="3"/>
      <c r="R66" s="2"/>
      <c r="S66" s="3389"/>
      <c r="T66" s="3389"/>
      <c r="U66" s="3389"/>
      <c r="V66" s="3389"/>
      <c r="W66" s="3389"/>
      <c r="X66" s="3389"/>
      <c r="Y66" s="3389"/>
      <c r="Z66" s="3389"/>
      <c r="AA66" s="3389"/>
      <c r="AB66" s="3389"/>
      <c r="AC66" s="3389"/>
      <c r="AD66" s="3389"/>
      <c r="AE66" s="5"/>
      <c r="AF66" s="5"/>
      <c r="AG66" s="5"/>
      <c r="AH66" s="106"/>
      <c r="AI66" s="106"/>
    </row>
    <row r="67" spans="1:35" ht="15" customHeight="1">
      <c r="A67" s="848"/>
      <c r="B67" s="2"/>
      <c r="C67" s="2"/>
      <c r="D67" s="2"/>
      <c r="E67" s="2"/>
      <c r="F67" s="2"/>
      <c r="G67" s="2"/>
      <c r="H67" s="2"/>
      <c r="I67" s="2"/>
      <c r="J67" s="2"/>
      <c r="K67" s="2"/>
      <c r="L67" s="2"/>
      <c r="M67" s="2"/>
      <c r="N67" s="3"/>
      <c r="R67" s="2"/>
      <c r="S67" s="5"/>
      <c r="T67" s="5"/>
      <c r="U67" s="5"/>
      <c r="V67" s="5"/>
      <c r="W67" s="5"/>
      <c r="X67" s="5"/>
      <c r="Y67" s="5"/>
      <c r="Z67" s="5"/>
      <c r="AA67" s="5"/>
      <c r="AB67" s="5"/>
      <c r="AC67" s="5"/>
      <c r="AD67" s="5"/>
      <c r="AE67" s="5"/>
      <c r="AF67" s="5"/>
      <c r="AG67" s="5"/>
      <c r="AH67" s="106"/>
      <c r="AI67" s="106"/>
    </row>
    <row r="68" spans="1:35" ht="15" customHeight="1">
      <c r="A68" s="848"/>
      <c r="B68" s="2"/>
      <c r="C68" s="2"/>
      <c r="D68" s="2"/>
      <c r="E68" s="2"/>
      <c r="F68" s="2"/>
      <c r="G68" s="2"/>
      <c r="H68" s="2"/>
      <c r="I68" s="2"/>
      <c r="J68" s="2"/>
      <c r="K68" s="2"/>
      <c r="L68" s="2"/>
      <c r="M68" s="2"/>
      <c r="N68" s="3"/>
      <c r="R68" s="2"/>
      <c r="S68" s="5"/>
      <c r="T68" s="102"/>
      <c r="U68" s="102"/>
      <c r="V68" s="35"/>
      <c r="W68" s="26"/>
      <c r="X68" s="26"/>
      <c r="Y68" s="29"/>
      <c r="Z68" s="102"/>
      <c r="AA68" s="102"/>
      <c r="AB68" s="29"/>
      <c r="AC68" s="5"/>
      <c r="AD68" s="5"/>
      <c r="AE68" s="5"/>
      <c r="AF68" s="5"/>
      <c r="AG68" s="5"/>
      <c r="AH68" s="106"/>
      <c r="AI68" s="106"/>
    </row>
    <row r="69" spans="1:35" ht="15" customHeight="1">
      <c r="A69" s="848"/>
      <c r="B69" s="2"/>
      <c r="C69" s="2"/>
      <c r="D69" s="2"/>
      <c r="E69" s="2"/>
      <c r="F69" s="2"/>
      <c r="G69" s="2"/>
      <c r="H69" s="2"/>
      <c r="I69" s="2"/>
      <c r="J69" s="2"/>
      <c r="K69" s="2"/>
      <c r="L69" s="2"/>
      <c r="M69" s="2"/>
      <c r="N69" s="3"/>
      <c r="R69" s="2"/>
      <c r="S69" s="82"/>
      <c r="T69" s="29"/>
      <c r="U69" s="29"/>
      <c r="V69" s="29"/>
      <c r="W69" s="29"/>
      <c r="X69" s="29"/>
      <c r="Y69" s="29"/>
      <c r="Z69" s="29"/>
      <c r="AA69" s="29"/>
      <c r="AB69" s="29"/>
      <c r="AC69" s="29"/>
      <c r="AD69" s="29"/>
      <c r="AE69" s="5"/>
      <c r="AF69" s="5"/>
      <c r="AG69" s="5"/>
      <c r="AH69" s="106"/>
      <c r="AI69" s="106"/>
    </row>
    <row r="70" spans="1:35" ht="15" customHeight="1">
      <c r="A70" s="848"/>
      <c r="B70" s="2"/>
      <c r="C70" s="2"/>
      <c r="D70" s="2"/>
      <c r="E70" s="2"/>
      <c r="F70" s="2"/>
      <c r="G70" s="2"/>
      <c r="H70" s="2"/>
      <c r="I70" s="2"/>
      <c r="J70" s="2"/>
      <c r="K70" s="2"/>
      <c r="L70" s="2"/>
      <c r="M70" s="2"/>
      <c r="N70" s="3"/>
      <c r="R70" s="2"/>
      <c r="S70" s="33"/>
      <c r="T70" s="5"/>
      <c r="U70" s="5"/>
      <c r="V70" s="5"/>
      <c r="W70" s="5"/>
      <c r="X70" s="5"/>
      <c r="Y70" s="5"/>
      <c r="Z70" s="5"/>
      <c r="AA70" s="5"/>
      <c r="AB70" s="5"/>
      <c r="AC70" s="5"/>
      <c r="AD70" s="5"/>
      <c r="AE70" s="5"/>
      <c r="AF70" s="5"/>
      <c r="AG70" s="5"/>
      <c r="AH70" s="106"/>
      <c r="AI70" s="106"/>
    </row>
    <row r="71" spans="1:35" ht="15" customHeight="1">
      <c r="A71" s="848"/>
      <c r="B71" s="2"/>
      <c r="C71" s="2"/>
      <c r="D71" s="2"/>
      <c r="E71" s="2"/>
      <c r="F71" s="2"/>
      <c r="G71" s="2"/>
      <c r="H71" s="2"/>
      <c r="I71" s="2"/>
      <c r="J71" s="2"/>
      <c r="K71" s="2"/>
      <c r="L71" s="2"/>
      <c r="M71" s="2"/>
      <c r="N71" s="3"/>
      <c r="R71" s="2"/>
      <c r="S71" s="5"/>
      <c r="T71" s="5"/>
      <c r="U71" s="5"/>
      <c r="V71" s="5"/>
      <c r="W71" s="5"/>
      <c r="X71" s="5"/>
      <c r="Y71" s="5"/>
      <c r="Z71" s="5"/>
      <c r="AA71" s="5"/>
      <c r="AB71" s="5"/>
      <c r="AC71" s="5"/>
      <c r="AD71" s="5"/>
      <c r="AE71" s="5"/>
      <c r="AF71" s="5"/>
      <c r="AG71" s="5"/>
      <c r="AH71" s="106"/>
      <c r="AI71" s="106"/>
    </row>
    <row r="72" spans="1:35" ht="15" customHeight="1">
      <c r="A72" s="848"/>
      <c r="B72" s="2"/>
      <c r="C72" s="2"/>
      <c r="D72" s="2"/>
      <c r="E72" s="2"/>
      <c r="F72" s="2"/>
      <c r="G72" s="2"/>
      <c r="H72" s="2"/>
      <c r="I72" s="2"/>
      <c r="J72" s="2"/>
      <c r="K72" s="2"/>
      <c r="L72" s="2"/>
      <c r="M72" s="2"/>
      <c r="N72" s="3"/>
      <c r="R72" s="120"/>
      <c r="S72" s="120"/>
      <c r="T72" s="120"/>
      <c r="U72" s="120"/>
      <c r="V72" s="120"/>
      <c r="W72" s="120"/>
      <c r="X72" s="120"/>
      <c r="Y72" s="120"/>
      <c r="Z72" s="5"/>
      <c r="AA72" s="5"/>
      <c r="AB72" s="5"/>
      <c r="AC72" s="5"/>
      <c r="AD72" s="5"/>
      <c r="AE72" s="5"/>
      <c r="AF72" s="5"/>
      <c r="AG72" s="5"/>
      <c r="AH72" s="106"/>
      <c r="AI72" s="106"/>
    </row>
    <row r="73" spans="1:35" ht="15" customHeight="1">
      <c r="A73" s="848"/>
      <c r="B73" s="2"/>
      <c r="C73" s="2"/>
      <c r="D73" s="2"/>
      <c r="E73" s="2"/>
      <c r="F73" s="2"/>
      <c r="G73" s="2"/>
      <c r="H73" s="2"/>
      <c r="I73" s="2"/>
      <c r="J73" s="2"/>
      <c r="K73" s="2"/>
      <c r="L73" s="2"/>
      <c r="M73" s="2"/>
      <c r="N73" s="3"/>
      <c r="R73" s="2"/>
      <c r="S73" s="39"/>
      <c r="T73" s="39"/>
      <c r="U73" s="39"/>
      <c r="V73" s="3358"/>
      <c r="W73" s="3358"/>
      <c r="X73" s="5"/>
      <c r="Y73" s="5"/>
      <c r="Z73" s="5"/>
      <c r="AA73" s="5"/>
      <c r="AB73" s="5"/>
      <c r="AC73" s="5"/>
      <c r="AD73" s="5"/>
      <c r="AE73" s="5"/>
      <c r="AF73" s="5"/>
      <c r="AG73" s="5"/>
      <c r="AH73" s="106"/>
      <c r="AI73" s="106"/>
    </row>
    <row r="74" spans="1:35" ht="15" customHeight="1">
      <c r="A74" s="848"/>
      <c r="B74" s="2"/>
      <c r="C74" s="2"/>
      <c r="D74" s="2"/>
      <c r="E74" s="2"/>
      <c r="F74" s="2"/>
      <c r="G74" s="2"/>
      <c r="H74" s="2"/>
      <c r="I74" s="2"/>
      <c r="J74" s="2"/>
      <c r="K74" s="2"/>
      <c r="L74" s="2"/>
      <c r="M74" s="2"/>
      <c r="N74" s="3"/>
      <c r="R74" s="2"/>
      <c r="S74" s="25"/>
      <c r="T74" s="77"/>
      <c r="U74" s="33"/>
      <c r="V74" s="33"/>
      <c r="W74" s="33"/>
      <c r="X74" s="33"/>
      <c r="Y74" s="33"/>
      <c r="Z74" s="33"/>
      <c r="AA74" s="33"/>
      <c r="AB74" s="33"/>
      <c r="AC74" s="33"/>
      <c r="AD74" s="33"/>
      <c r="AE74" s="5"/>
      <c r="AF74" s="5"/>
      <c r="AG74" s="5"/>
      <c r="AH74" s="5"/>
      <c r="AI74" s="36"/>
    </row>
    <row r="75" spans="1:35" ht="15" customHeight="1">
      <c r="A75" s="848"/>
      <c r="B75" s="2"/>
      <c r="C75" s="2"/>
      <c r="D75" s="2"/>
      <c r="E75" s="2"/>
      <c r="F75" s="2"/>
      <c r="G75" s="2"/>
      <c r="H75" s="2"/>
      <c r="I75" s="2"/>
      <c r="J75" s="2"/>
      <c r="K75" s="2"/>
      <c r="L75" s="2"/>
      <c r="M75" s="2"/>
      <c r="N75" s="3"/>
      <c r="R75" s="2"/>
      <c r="S75" s="25"/>
      <c r="T75" s="5"/>
      <c r="U75" s="3390"/>
      <c r="V75" s="3339"/>
      <c r="W75" s="25"/>
      <c r="X75" s="3339"/>
      <c r="Y75" s="3339"/>
      <c r="Z75" s="25"/>
      <c r="AA75" s="5"/>
      <c r="AB75" s="5"/>
      <c r="AC75" s="5"/>
      <c r="AD75" s="29"/>
      <c r="AE75" s="3380"/>
      <c r="AF75" s="3380"/>
      <c r="AG75" s="25"/>
      <c r="AH75" s="5"/>
      <c r="AI75" s="36"/>
    </row>
    <row r="76" spans="1:35" ht="15" customHeight="1">
      <c r="A76" s="848"/>
      <c r="B76" s="2"/>
      <c r="C76" s="2"/>
      <c r="D76" s="2"/>
      <c r="E76" s="2"/>
      <c r="F76" s="2"/>
      <c r="G76" s="2"/>
      <c r="H76" s="2"/>
      <c r="I76" s="2"/>
      <c r="J76" s="2"/>
      <c r="K76" s="2"/>
      <c r="L76" s="2"/>
      <c r="M76" s="2"/>
      <c r="N76" s="3"/>
      <c r="R76" s="2"/>
      <c r="S76" s="36"/>
      <c r="T76" s="5"/>
      <c r="U76" s="5"/>
      <c r="V76" s="5"/>
      <c r="W76" s="5"/>
      <c r="X76" s="5"/>
      <c r="Y76" s="5"/>
      <c r="Z76" s="5"/>
      <c r="AA76" s="5"/>
      <c r="AB76" s="5"/>
      <c r="AC76" s="5"/>
      <c r="AD76" s="5"/>
      <c r="AE76" s="5"/>
      <c r="AF76" s="5"/>
      <c r="AG76" s="5"/>
      <c r="AH76" s="5"/>
      <c r="AI76" s="36"/>
    </row>
    <row r="77" spans="1:35" ht="15" customHeight="1">
      <c r="A77" s="848"/>
      <c r="B77" s="2"/>
      <c r="C77" s="2"/>
      <c r="D77" s="2"/>
      <c r="E77" s="2"/>
      <c r="F77" s="2"/>
      <c r="G77" s="2"/>
      <c r="H77" s="2"/>
      <c r="I77" s="2"/>
      <c r="J77" s="2"/>
      <c r="K77" s="2"/>
      <c r="L77" s="2"/>
      <c r="M77" s="2"/>
      <c r="N77" s="3"/>
      <c r="R77" s="2"/>
      <c r="S77" s="25"/>
      <c r="T77" s="58"/>
      <c r="U77" s="29"/>
      <c r="V77" s="29"/>
      <c r="W77" s="29"/>
      <c r="X77" s="29"/>
      <c r="Y77" s="29"/>
      <c r="Z77" s="29"/>
      <c r="AA77" s="29"/>
      <c r="AB77" s="29"/>
      <c r="AC77" s="29"/>
      <c r="AD77" s="29"/>
      <c r="AE77" s="29"/>
      <c r="AF77" s="5"/>
      <c r="AG77" s="5"/>
      <c r="AH77" s="5"/>
      <c r="AI77" s="36"/>
    </row>
    <row r="78" spans="1:35" ht="15" customHeight="1">
      <c r="A78" s="848"/>
      <c r="B78" s="2"/>
      <c r="C78" s="2"/>
      <c r="D78" s="2"/>
      <c r="E78" s="2"/>
      <c r="F78" s="2"/>
      <c r="G78" s="2"/>
      <c r="H78" s="2"/>
      <c r="I78" s="2"/>
      <c r="J78" s="2"/>
      <c r="K78" s="2"/>
      <c r="L78" s="2"/>
      <c r="M78" s="2"/>
      <c r="N78" s="3"/>
      <c r="R78" s="2"/>
      <c r="S78" s="25"/>
      <c r="T78" s="58"/>
      <c r="U78" s="29"/>
      <c r="V78" s="29"/>
      <c r="W78" s="29"/>
      <c r="X78" s="29"/>
      <c r="Y78" s="29"/>
      <c r="Z78" s="29"/>
      <c r="AA78" s="29"/>
      <c r="AB78" s="29"/>
      <c r="AC78" s="29"/>
      <c r="AD78" s="29"/>
      <c r="AE78" s="29"/>
      <c r="AF78" s="5"/>
      <c r="AG78" s="5"/>
      <c r="AH78" s="5"/>
      <c r="AI78" s="36"/>
    </row>
    <row r="79" spans="1:35" ht="15" customHeight="1">
      <c r="A79" s="848"/>
      <c r="B79" s="2"/>
      <c r="C79" s="2"/>
      <c r="D79" s="2"/>
      <c r="E79" s="2"/>
      <c r="F79" s="2"/>
      <c r="G79" s="2"/>
      <c r="H79" s="2"/>
      <c r="I79" s="2"/>
      <c r="J79" s="2"/>
      <c r="K79" s="2"/>
      <c r="L79" s="2"/>
      <c r="M79" s="2"/>
      <c r="N79" s="3"/>
      <c r="R79" s="2"/>
      <c r="S79" s="11"/>
      <c r="T79" s="58"/>
      <c r="U79" s="29"/>
      <c r="V79" s="29"/>
      <c r="W79" s="29"/>
      <c r="X79" s="29"/>
      <c r="Y79" s="29"/>
      <c r="Z79" s="29"/>
      <c r="AA79" s="29"/>
      <c r="AB79" s="29"/>
      <c r="AC79" s="29"/>
      <c r="AD79" s="29"/>
      <c r="AE79" s="6"/>
      <c r="AF79" s="2"/>
      <c r="AG79" s="2"/>
      <c r="AH79" s="2"/>
      <c r="AI79" s="27"/>
    </row>
    <row r="80" spans="1:35" ht="15" customHeight="1">
      <c r="A80" s="848"/>
      <c r="B80" s="2"/>
      <c r="C80" s="2"/>
      <c r="D80" s="2"/>
      <c r="E80" s="2"/>
      <c r="F80" s="2"/>
      <c r="G80" s="2"/>
      <c r="H80" s="2"/>
      <c r="I80" s="2"/>
      <c r="J80" s="2"/>
      <c r="K80" s="2"/>
      <c r="L80" s="2"/>
      <c r="M80" s="2"/>
      <c r="N80" s="3"/>
      <c r="R80" s="2"/>
      <c r="AB80" s="29"/>
      <c r="AC80" s="29"/>
      <c r="AD80" s="29"/>
      <c r="AE80" s="6"/>
      <c r="AF80" s="2"/>
      <c r="AG80" s="2"/>
      <c r="AH80" s="2"/>
      <c r="AI80" s="27"/>
    </row>
    <row r="81" spans="1:35" ht="6" customHeight="1">
      <c r="A81" s="848"/>
      <c r="B81" s="2"/>
      <c r="C81" s="2"/>
      <c r="D81" s="2"/>
      <c r="E81" s="2"/>
      <c r="F81" s="2"/>
      <c r="G81" s="2"/>
      <c r="H81" s="2"/>
      <c r="I81" s="2"/>
      <c r="J81" s="977"/>
      <c r="K81" s="977"/>
      <c r="L81" s="2"/>
      <c r="M81" s="2"/>
      <c r="N81" s="3"/>
      <c r="R81" s="2"/>
      <c r="AB81" s="2184"/>
      <c r="AC81" s="2184"/>
      <c r="AD81" s="2184"/>
      <c r="AE81" s="2186"/>
      <c r="AF81" s="2"/>
      <c r="AG81" s="2"/>
      <c r="AH81" s="2"/>
      <c r="AI81" s="27"/>
    </row>
    <row r="82" spans="1:35" ht="34.5" customHeight="1">
      <c r="A82" s="848"/>
      <c r="B82" s="2"/>
      <c r="C82" s="3376" t="s">
        <v>1963</v>
      </c>
      <c r="D82" s="3376"/>
      <c r="E82" s="3376"/>
      <c r="F82" s="3376"/>
      <c r="G82" s="3376"/>
      <c r="H82" s="3376"/>
      <c r="I82" s="3376"/>
      <c r="J82" s="3376"/>
      <c r="K82" s="3376"/>
      <c r="L82" s="3376"/>
      <c r="M82" s="3376"/>
      <c r="N82" s="3"/>
      <c r="R82" s="2"/>
      <c r="AB82" s="2566"/>
      <c r="AC82" s="2566"/>
      <c r="AD82" s="2566"/>
      <c r="AE82" s="2567"/>
      <c r="AF82" s="2"/>
      <c r="AG82" s="2"/>
      <c r="AH82" s="2"/>
      <c r="AI82" s="27"/>
    </row>
    <row r="83" spans="1:35" ht="8.1" customHeight="1">
      <c r="A83" s="848"/>
      <c r="B83" s="2"/>
      <c r="C83" s="2"/>
      <c r="D83" s="2"/>
      <c r="E83" s="2"/>
      <c r="F83" s="2"/>
      <c r="G83" s="2"/>
      <c r="H83" s="2"/>
      <c r="I83" s="2"/>
      <c r="J83" s="977"/>
      <c r="K83" s="977"/>
      <c r="L83" s="2"/>
      <c r="M83" s="2"/>
      <c r="N83" s="3"/>
      <c r="R83" s="2"/>
      <c r="AB83" s="2566"/>
      <c r="AC83" s="2566"/>
      <c r="AD83" s="2566"/>
      <c r="AE83" s="2567"/>
      <c r="AF83" s="2"/>
      <c r="AG83" s="2"/>
      <c r="AH83" s="2"/>
      <c r="AI83" s="27"/>
    </row>
    <row r="84" spans="1:35" s="1000" customFormat="1" ht="18" customHeight="1">
      <c r="A84" s="2724"/>
      <c r="B84" s="2646"/>
      <c r="C84" s="1047" t="s">
        <v>2120</v>
      </c>
      <c r="D84" s="2663"/>
      <c r="E84" s="2663"/>
      <c r="F84" s="2725">
        <f>Summary!G82</f>
        <v>0</v>
      </c>
      <c r="G84" s="2663" t="s">
        <v>2121</v>
      </c>
      <c r="H84" s="3363" t="s">
        <v>1811</v>
      </c>
      <c r="I84" s="3363"/>
      <c r="J84" s="3363"/>
      <c r="K84" s="3364" t="str">
        <f>IF(ISBLANK(G14)," ",(IF(G14="Rock",(G14),(K14))))</f>
        <v/>
      </c>
      <c r="L84" s="3364"/>
      <c r="M84" s="3364"/>
      <c r="N84" s="2726"/>
      <c r="P84" s="564"/>
      <c r="R84" s="2645"/>
      <c r="S84" s="564"/>
    </row>
    <row r="85" spans="1:35" ht="6" customHeight="1">
      <c r="A85" s="2727"/>
      <c r="B85" s="535"/>
      <c r="C85" s="535"/>
      <c r="D85" s="535"/>
      <c r="E85" s="535"/>
      <c r="F85" s="535"/>
      <c r="G85" s="535"/>
      <c r="H85" s="535"/>
      <c r="I85" s="535"/>
      <c r="J85" s="535"/>
      <c r="K85" s="535"/>
      <c r="L85" s="535"/>
      <c r="M85" s="535"/>
      <c r="N85" s="2728"/>
      <c r="R85" s="3362"/>
      <c r="S85" s="3362"/>
      <c r="T85" s="3362"/>
      <c r="U85" s="3362"/>
      <c r="V85" s="3362"/>
      <c r="AB85" s="2557"/>
      <c r="AC85" s="2557"/>
      <c r="AD85" s="2557"/>
      <c r="AE85" s="2558"/>
      <c r="AF85" s="2"/>
      <c r="AG85" s="2"/>
      <c r="AH85" s="2"/>
      <c r="AI85" s="27"/>
    </row>
    <row r="86" spans="1:35" ht="18" customHeight="1">
      <c r="A86" s="2727"/>
      <c r="B86" s="535"/>
      <c r="C86" s="2568" t="s">
        <v>2102</v>
      </c>
      <c r="D86" s="2568"/>
      <c r="E86" s="2568"/>
      <c r="F86" s="3308" t="str">
        <f>IF(Summary!AA63=3,'Pres. Dist.'!K41,"")</f>
        <v/>
      </c>
      <c r="G86" s="3284"/>
      <c r="H86" s="535"/>
      <c r="I86" s="3335" t="s">
        <v>2124</v>
      </c>
      <c r="J86" s="3335"/>
      <c r="K86" s="3366">
        <f>IF(ISBLANK(G14),"",C20)</f>
        <v>0</v>
      </c>
      <c r="L86" s="3366"/>
      <c r="M86" s="1047" t="s">
        <v>2121</v>
      </c>
      <c r="N86" s="2728"/>
      <c r="R86" s="2"/>
      <c r="AB86" s="2184"/>
      <c r="AC86" s="2184"/>
      <c r="AD86" s="2184"/>
      <c r="AE86" s="2186"/>
      <c r="AF86" s="2"/>
      <c r="AG86" s="2"/>
      <c r="AH86" s="2"/>
      <c r="AI86" s="27"/>
    </row>
    <row r="87" spans="1:35" ht="6" customHeight="1">
      <c r="A87" s="2727"/>
      <c r="B87" s="535"/>
      <c r="C87" s="2568"/>
      <c r="D87" s="2568"/>
      <c r="E87" s="2568"/>
      <c r="F87" s="2570"/>
      <c r="G87" s="2703"/>
      <c r="H87" s="1677"/>
      <c r="I87" s="2712"/>
      <c r="J87" s="2712"/>
      <c r="K87" s="2712"/>
      <c r="L87" s="2712"/>
      <c r="M87" s="1047"/>
      <c r="N87" s="2728"/>
      <c r="R87" s="2"/>
      <c r="AB87" s="2717"/>
      <c r="AC87" s="2717"/>
      <c r="AD87" s="2717"/>
      <c r="AE87" s="2718"/>
      <c r="AF87" s="2"/>
      <c r="AG87" s="2"/>
      <c r="AH87" s="2"/>
      <c r="AI87" s="27"/>
    </row>
    <row r="88" spans="1:35" ht="18" customHeight="1">
      <c r="A88" s="2727"/>
      <c r="B88" s="535"/>
      <c r="C88" s="2568" t="s">
        <v>2134</v>
      </c>
      <c r="D88" s="2568"/>
      <c r="E88" s="2568"/>
      <c r="F88" s="2723" t="str">
        <f>IF(Summary!AA63=3,'Pres. Dist.'!J13,"")</f>
        <v/>
      </c>
      <c r="G88" s="2713" t="s">
        <v>2121</v>
      </c>
      <c r="H88" s="1677"/>
      <c r="I88" s="2712" t="s">
        <v>2135</v>
      </c>
      <c r="J88" s="2712"/>
      <c r="K88" s="2719" t="str">
        <f>IF(Summary!AA63=3,('Pres. Dist.'!J11)*12,"")</f>
        <v/>
      </c>
      <c r="L88" s="2729" t="s">
        <v>2121</v>
      </c>
      <c r="M88" s="1047"/>
      <c r="N88" s="2728"/>
      <c r="R88" s="2"/>
      <c r="AB88" s="2717"/>
      <c r="AC88" s="2717"/>
      <c r="AD88" s="2717"/>
      <c r="AE88" s="2718"/>
      <c r="AF88" s="2"/>
      <c r="AG88" s="2"/>
      <c r="AH88" s="2"/>
      <c r="AI88" s="27"/>
    </row>
    <row r="89" spans="1:35" s="7" customFormat="1" ht="6" customHeight="1">
      <c r="A89" s="2730"/>
      <c r="B89" s="1677"/>
      <c r="C89" s="2568"/>
      <c r="D89" s="2568"/>
      <c r="E89" s="2568"/>
      <c r="F89" s="2570"/>
      <c r="G89" s="2703"/>
      <c r="H89" s="1677"/>
      <c r="I89" s="2712"/>
      <c r="J89" s="2712"/>
      <c r="K89" s="2708"/>
      <c r="L89" s="2712"/>
      <c r="M89" s="2361"/>
      <c r="N89" s="2106"/>
      <c r="O89" s="5"/>
      <c r="P89" s="5"/>
      <c r="Q89" s="5"/>
      <c r="R89" s="5"/>
      <c r="AB89" s="2717"/>
      <c r="AC89" s="2717"/>
      <c r="AD89" s="2717"/>
      <c r="AE89" s="2717"/>
      <c r="AF89" s="5"/>
      <c r="AG89" s="5"/>
      <c r="AH89" s="5"/>
      <c r="AI89" s="1438"/>
    </row>
    <row r="90" spans="1:35" ht="18" customHeight="1">
      <c r="A90" s="2727"/>
      <c r="B90" s="535"/>
      <c r="C90" s="3367" t="s">
        <v>2136</v>
      </c>
      <c r="D90" s="3367"/>
      <c r="E90" s="3367"/>
      <c r="F90" s="3367"/>
      <c r="G90" s="3367"/>
      <c r="H90" s="3367"/>
      <c r="I90" s="3367"/>
      <c r="J90" s="3367"/>
      <c r="K90" s="3367"/>
      <c r="L90" s="3367"/>
      <c r="M90" s="3367"/>
      <c r="N90" s="2728"/>
      <c r="R90" s="2"/>
      <c r="AB90" s="2717"/>
      <c r="AC90" s="2717"/>
      <c r="AD90" s="2717"/>
      <c r="AE90" s="2718"/>
      <c r="AF90" s="2"/>
      <c r="AG90" s="2"/>
      <c r="AH90" s="2"/>
      <c r="AI90" s="27"/>
    </row>
    <row r="91" spans="1:35" ht="15" customHeight="1" thickBot="1">
      <c r="A91" s="2731"/>
      <c r="B91" s="2732"/>
      <c r="C91" s="2732"/>
      <c r="D91" s="2732"/>
      <c r="E91" s="2732"/>
      <c r="F91" s="2732"/>
      <c r="G91" s="2732"/>
      <c r="H91" s="2732"/>
      <c r="I91" s="2732"/>
      <c r="J91" s="2732"/>
      <c r="K91" s="2732"/>
      <c r="L91" s="2732"/>
      <c r="M91" s="2732"/>
      <c r="N91" s="2733"/>
      <c r="AG91" s="2"/>
      <c r="AH91" s="2"/>
      <c r="AI91" s="27"/>
    </row>
    <row r="92" spans="1:35" ht="16.350000000000001" customHeight="1" thickBot="1">
      <c r="A92" s="856" t="s">
        <v>142</v>
      </c>
      <c r="B92" s="678"/>
      <c r="C92" s="860" t="s">
        <v>83</v>
      </c>
      <c r="D92" s="678"/>
      <c r="E92" s="678"/>
      <c r="F92" s="678"/>
      <c r="G92" s="678"/>
      <c r="H92" s="678"/>
      <c r="I92" s="678"/>
      <c r="J92" s="3375" t="s">
        <v>1016</v>
      </c>
      <c r="K92" s="3375"/>
      <c r="L92" s="3372" t="str">
        <f>IF(ISBLANK(Summary!S3)," ",Summary!S3)</f>
        <v xml:space="preserve"> </v>
      </c>
      <c r="M92" s="3372"/>
      <c r="N92" s="1253"/>
    </row>
    <row r="93" spans="1:35" ht="6" customHeight="1">
      <c r="A93" s="857"/>
      <c r="B93" s="2636"/>
      <c r="C93" s="2636"/>
      <c r="D93" s="5"/>
      <c r="E93" s="5"/>
      <c r="F93" s="5"/>
      <c r="G93" s="5"/>
      <c r="H93" s="5"/>
      <c r="I93" s="5"/>
      <c r="J93" s="5"/>
      <c r="K93" s="5"/>
      <c r="L93" s="5"/>
      <c r="M93" s="5"/>
      <c r="N93" s="1219"/>
      <c r="AH93" s="1"/>
      <c r="AI93" s="1"/>
    </row>
    <row r="94" spans="1:35" ht="14.4" customHeight="1">
      <c r="A94" s="857"/>
      <c r="B94" s="2636"/>
      <c r="C94" s="77" t="s">
        <v>934</v>
      </c>
      <c r="D94" s="5"/>
      <c r="E94" s="5"/>
      <c r="F94" s="5"/>
      <c r="G94" s="5"/>
      <c r="H94" s="5"/>
      <c r="I94" s="5"/>
      <c r="J94" s="5"/>
      <c r="K94" s="5"/>
      <c r="L94" s="5"/>
      <c r="M94" s="5"/>
      <c r="N94" s="1219"/>
      <c r="AH94" s="1"/>
      <c r="AI94" s="1"/>
    </row>
    <row r="95" spans="1:35" ht="18" customHeight="1">
      <c r="A95" s="791"/>
      <c r="B95" s="120" t="s">
        <v>147</v>
      </c>
      <c r="C95" s="77" t="s">
        <v>1895</v>
      </c>
      <c r="D95" s="2636"/>
      <c r="E95" s="2636"/>
      <c r="F95" s="2636"/>
      <c r="G95" s="2636"/>
      <c r="H95" s="2636"/>
      <c r="I95" s="2636"/>
      <c r="J95" s="2636"/>
      <c r="K95" s="2636"/>
      <c r="L95" s="2636"/>
      <c r="M95" s="2636"/>
      <c r="N95" s="1254"/>
      <c r="O95" s="871"/>
      <c r="P95" s="871"/>
      <c r="Q95" s="871"/>
      <c r="AH95" s="1"/>
      <c r="AI95" s="1"/>
    </row>
    <row r="96" spans="1:35" ht="20.100000000000001" customHeight="1">
      <c r="A96" s="863"/>
      <c r="B96" s="78"/>
      <c r="C96" s="3347" t="str">
        <f>K10</f>
        <v/>
      </c>
      <c r="D96" s="3348"/>
      <c r="E96" s="2633" t="s">
        <v>792</v>
      </c>
      <c r="F96" s="3100"/>
      <c r="G96" s="3101"/>
      <c r="H96" s="2637" t="s">
        <v>119</v>
      </c>
      <c r="I96" s="3347" t="str">
        <f>K8</f>
        <v/>
      </c>
      <c r="J96" s="3348"/>
      <c r="K96" s="2637" t="s">
        <v>791</v>
      </c>
      <c r="L96" s="3347" t="str">
        <f>IFERROR((C96*(F96+I96)),"")</f>
        <v/>
      </c>
      <c r="M96" s="3348"/>
      <c r="N96" s="793" t="s">
        <v>22</v>
      </c>
      <c r="O96" s="871"/>
      <c r="AH96" s="1"/>
      <c r="AI96" s="1"/>
    </row>
    <row r="97" spans="1:35" ht="6" customHeight="1">
      <c r="A97" s="857"/>
      <c r="B97" s="2636"/>
      <c r="C97" s="2636"/>
      <c r="D97" s="2636"/>
      <c r="E97" s="2636"/>
      <c r="F97" s="2636"/>
      <c r="G97" s="2636"/>
      <c r="H97" s="5"/>
      <c r="I97" s="5"/>
      <c r="J97" s="5"/>
      <c r="K97" s="5"/>
      <c r="L97" s="5"/>
      <c r="M97" s="5"/>
      <c r="N97" s="1219"/>
      <c r="P97" s="871"/>
      <c r="Q97" s="871"/>
      <c r="AH97" s="1"/>
      <c r="AI97" s="1"/>
    </row>
    <row r="98" spans="1:35" ht="18" customHeight="1">
      <c r="A98" s="848"/>
      <c r="B98" s="120" t="s">
        <v>631</v>
      </c>
      <c r="C98" s="77" t="s">
        <v>1894</v>
      </c>
      <c r="D98" s="2641"/>
      <c r="E98" s="2641"/>
      <c r="F98" s="2637"/>
      <c r="G98" s="2641"/>
      <c r="H98" s="2641"/>
      <c r="I98" s="2637"/>
      <c r="J98" s="2641"/>
      <c r="K98" s="2641"/>
      <c r="L98" s="2637"/>
      <c r="M98" s="2637"/>
      <c r="N98" s="1254"/>
      <c r="O98" s="871"/>
      <c r="P98" s="871"/>
      <c r="Q98" s="871"/>
      <c r="AH98" s="1"/>
      <c r="AI98" s="1"/>
    </row>
    <row r="99" spans="1:35" ht="20.100000000000001" customHeight="1">
      <c r="A99" s="857"/>
      <c r="B99" s="78"/>
      <c r="C99" s="3347" t="str">
        <f>L96</f>
        <v/>
      </c>
      <c r="D99" s="3348"/>
      <c r="E99" s="651" t="s">
        <v>1896</v>
      </c>
      <c r="F99" s="3343" t="str">
        <f>IF(ISBLANK(F96)," ",(C20/12)+0.25)</f>
        <v xml:space="preserve"> </v>
      </c>
      <c r="G99" s="3365"/>
      <c r="H99" s="651" t="s">
        <v>1820</v>
      </c>
      <c r="I99" s="3347" t="str">
        <f>IFERROR(((C99*F99)/2),"")</f>
        <v/>
      </c>
      <c r="J99" s="3348"/>
      <c r="K99" s="2637" t="s">
        <v>24</v>
      </c>
      <c r="L99" s="2"/>
      <c r="M99" s="2"/>
      <c r="N99" s="793"/>
      <c r="AH99" s="1"/>
      <c r="AI99" s="1"/>
    </row>
    <row r="100" spans="1:35" ht="6" customHeight="1">
      <c r="A100" s="857"/>
      <c r="B100" s="2636"/>
      <c r="C100" s="2636"/>
      <c r="D100" s="1468"/>
      <c r="E100" s="1468"/>
      <c r="F100" s="1468"/>
      <c r="G100" s="2633"/>
      <c r="H100" s="2"/>
      <c r="I100" s="2"/>
      <c r="J100" s="2"/>
      <c r="K100" s="2"/>
      <c r="L100" s="2"/>
      <c r="M100" s="2"/>
      <c r="N100" s="3"/>
      <c r="P100" s="877"/>
      <c r="Q100" s="877"/>
      <c r="AH100" s="1"/>
      <c r="AI100" s="1"/>
    </row>
    <row r="101" spans="1:35" ht="18" customHeight="1">
      <c r="A101" s="848"/>
      <c r="B101" s="120" t="s">
        <v>149</v>
      </c>
      <c r="C101" s="77" t="s">
        <v>1893</v>
      </c>
      <c r="D101" s="2641"/>
      <c r="E101" s="2641"/>
      <c r="F101" s="1468"/>
      <c r="G101" s="1468"/>
      <c r="H101" s="1468"/>
      <c r="I101" s="2643"/>
      <c r="J101" s="1468"/>
      <c r="K101" s="1468"/>
      <c r="L101" s="2"/>
      <c r="M101" s="2"/>
      <c r="N101" s="3"/>
      <c r="AH101" s="1"/>
      <c r="AI101" s="1"/>
    </row>
    <row r="102" spans="1:35" ht="19.5" customHeight="1">
      <c r="A102" s="857"/>
      <c r="B102" s="2636"/>
      <c r="C102" s="3347" t="str">
        <f>I99</f>
        <v/>
      </c>
      <c r="D102" s="3348"/>
      <c r="E102" s="2637" t="s">
        <v>84</v>
      </c>
      <c r="F102" s="2643">
        <v>27</v>
      </c>
      <c r="G102" s="2633" t="s">
        <v>102</v>
      </c>
      <c r="H102" s="3347" t="str">
        <f>IFERROR((C102/27),"")</f>
        <v/>
      </c>
      <c r="I102" s="3348"/>
      <c r="J102" s="2640" t="s">
        <v>1100</v>
      </c>
      <c r="K102" s="2641"/>
      <c r="L102" s="2639"/>
      <c r="M102" s="3373"/>
      <c r="N102" s="3374"/>
      <c r="O102" s="871"/>
      <c r="P102" s="877"/>
      <c r="Q102" s="877"/>
      <c r="AH102" s="1"/>
      <c r="AI102" s="1"/>
    </row>
    <row r="103" spans="1:35" ht="6.75" customHeight="1">
      <c r="A103" s="857"/>
      <c r="B103" s="2636"/>
      <c r="C103" s="2636"/>
      <c r="D103" s="1468"/>
      <c r="E103" s="1468"/>
      <c r="F103" s="1468"/>
      <c r="G103" s="1468"/>
      <c r="H103" s="2"/>
      <c r="I103" s="2"/>
      <c r="J103" s="2"/>
      <c r="K103" s="2"/>
      <c r="L103" s="2"/>
      <c r="M103" s="2"/>
      <c r="N103" s="3"/>
      <c r="O103" s="871"/>
      <c r="P103" s="877"/>
      <c r="Q103" s="877"/>
      <c r="AH103" s="1"/>
      <c r="AI103" s="1"/>
    </row>
    <row r="104" spans="1:35" ht="19.5" customHeight="1">
      <c r="A104" s="857"/>
      <c r="B104" s="2636" t="s">
        <v>588</v>
      </c>
      <c r="C104" s="2636" t="s">
        <v>709</v>
      </c>
      <c r="D104" s="1468"/>
      <c r="E104" s="1468"/>
      <c r="F104" s="1468"/>
      <c r="G104" s="1468"/>
      <c r="H104" s="3347" t="str">
        <f>H102</f>
        <v/>
      </c>
      <c r="I104" s="3348"/>
      <c r="J104" s="3368" t="s">
        <v>1103</v>
      </c>
      <c r="K104" s="3369"/>
      <c r="L104" s="3370" t="str">
        <f>IFERROR((H104*1.2),"")</f>
        <v/>
      </c>
      <c r="M104" s="3371"/>
      <c r="N104" s="1242" t="s">
        <v>25</v>
      </c>
      <c r="Q104" s="877"/>
      <c r="AH104" s="1"/>
      <c r="AI104" s="1"/>
    </row>
    <row r="105" spans="1:35" ht="6" customHeight="1">
      <c r="A105" s="857"/>
      <c r="B105" s="2636"/>
      <c r="C105" s="2636"/>
      <c r="D105" s="1468"/>
      <c r="E105" s="1468"/>
      <c r="F105" s="1468"/>
      <c r="G105" s="1468"/>
      <c r="H105" s="2"/>
      <c r="I105" s="2"/>
      <c r="J105" s="2"/>
      <c r="K105" s="2"/>
      <c r="L105" s="2"/>
      <c r="M105" s="2"/>
      <c r="N105" s="3"/>
      <c r="O105" s="871"/>
      <c r="P105" s="877"/>
      <c r="Q105" s="877"/>
      <c r="AH105" s="1"/>
      <c r="AI105" s="1"/>
    </row>
    <row r="106" spans="1:35" ht="18" customHeight="1">
      <c r="A106" s="848"/>
      <c r="B106" s="120" t="s">
        <v>589</v>
      </c>
      <c r="C106" s="8" t="s">
        <v>1821</v>
      </c>
      <c r="D106" s="2641"/>
      <c r="E106" s="2641"/>
      <c r="F106" s="2643"/>
      <c r="G106" s="2643"/>
      <c r="H106" s="2643"/>
      <c r="I106" s="2641"/>
      <c r="J106" s="2641"/>
      <c r="K106" s="2637"/>
      <c r="L106" s="2637"/>
      <c r="M106" s="2636"/>
      <c r="N106" s="1254"/>
      <c r="O106" s="871"/>
      <c r="P106" s="871"/>
      <c r="Q106" s="871"/>
      <c r="AH106" s="1"/>
      <c r="AI106" s="1"/>
    </row>
    <row r="107" spans="1:35" ht="18" customHeight="1">
      <c r="A107" s="857"/>
      <c r="B107" s="2"/>
      <c r="C107" s="8" t="s">
        <v>1889</v>
      </c>
      <c r="D107" s="1468"/>
      <c r="E107" s="1468"/>
      <c r="F107" s="1468"/>
      <c r="G107" s="1468"/>
      <c r="H107" s="1468"/>
      <c r="I107" s="1468"/>
      <c r="J107" s="1468"/>
      <c r="K107" s="1468"/>
      <c r="L107" s="1468"/>
      <c r="M107" s="1468"/>
      <c r="N107" s="1087"/>
      <c r="O107" s="871"/>
      <c r="P107" s="871"/>
      <c r="Q107" s="868"/>
      <c r="AH107" s="1"/>
      <c r="AI107" s="1"/>
    </row>
    <row r="108" spans="1:35" ht="20.100000000000001" customHeight="1">
      <c r="A108" s="857"/>
      <c r="B108" s="2636"/>
      <c r="C108" s="3347" t="str">
        <f>IF(ISBLANK(G14),"",I49)</f>
        <v/>
      </c>
      <c r="D108" s="3348"/>
      <c r="E108" s="2640" t="s">
        <v>122</v>
      </c>
      <c r="F108" s="3347" t="str">
        <f>IF(ISBLANK(G14),"",L51)</f>
        <v/>
      </c>
      <c r="G108" s="3348"/>
      <c r="H108" s="2640" t="s">
        <v>1102</v>
      </c>
      <c r="I108" s="1468" t="s">
        <v>1101</v>
      </c>
      <c r="J108" s="3347" t="str">
        <f>IF(ISBLANK(I99),"",I99)</f>
        <v/>
      </c>
      <c r="K108" s="3348"/>
      <c r="L108" s="2639" t="s">
        <v>933</v>
      </c>
      <c r="M108" s="3347" t="str">
        <f>IFERROR(((C108*F108*1.5/2)-J108),"")</f>
        <v/>
      </c>
      <c r="N108" s="3377"/>
      <c r="AH108" s="1"/>
      <c r="AI108" s="1"/>
    </row>
    <row r="109" spans="1:35" ht="6" customHeight="1">
      <c r="A109" s="857"/>
      <c r="B109" s="2636"/>
      <c r="C109" s="1468"/>
      <c r="D109" s="1468"/>
      <c r="E109" s="1468"/>
      <c r="F109" s="1468"/>
      <c r="G109" s="861"/>
      <c r="H109" s="861"/>
      <c r="I109" s="2633"/>
      <c r="J109" s="861"/>
      <c r="K109" s="861"/>
      <c r="L109" s="2633"/>
      <c r="M109" s="861"/>
      <c r="N109" s="1255"/>
      <c r="O109" s="869"/>
      <c r="P109" s="869"/>
      <c r="Q109" s="868"/>
      <c r="AH109" s="1"/>
      <c r="AI109" s="1"/>
    </row>
    <row r="110" spans="1:35" ht="18" customHeight="1">
      <c r="A110" s="848"/>
      <c r="B110" s="120" t="s">
        <v>641</v>
      </c>
      <c r="C110" s="77" t="s">
        <v>1890</v>
      </c>
      <c r="D110" s="1468"/>
      <c r="E110" s="1468"/>
      <c r="F110" s="1468"/>
      <c r="G110" s="1468"/>
      <c r="H110" s="1468"/>
      <c r="I110" s="1468"/>
      <c r="J110" s="1468"/>
      <c r="K110" s="1468"/>
      <c r="L110" s="1468"/>
      <c r="M110" s="1468"/>
      <c r="N110" s="1087"/>
      <c r="O110" s="871"/>
      <c r="P110" s="871"/>
      <c r="Q110" s="871"/>
      <c r="AH110" s="1"/>
      <c r="AI110" s="1"/>
    </row>
    <row r="111" spans="1:35" ht="20.100000000000001" customHeight="1">
      <c r="A111" s="857"/>
      <c r="B111" s="78"/>
      <c r="C111" s="3347" t="str">
        <f>M108</f>
        <v/>
      </c>
      <c r="D111" s="3348"/>
      <c r="E111" s="2639" t="s">
        <v>81</v>
      </c>
      <c r="F111" s="2632">
        <v>27</v>
      </c>
      <c r="G111" s="2639" t="s">
        <v>102</v>
      </c>
      <c r="H111" s="3347" t="str">
        <f>IFERROR((C111/27),"")</f>
        <v/>
      </c>
      <c r="I111" s="3348"/>
      <c r="J111" s="2640" t="s">
        <v>25</v>
      </c>
      <c r="K111" s="2"/>
      <c r="L111" s="2"/>
      <c r="M111" s="2"/>
      <c r="N111" s="3"/>
      <c r="O111" s="869"/>
      <c r="P111" s="869"/>
      <c r="Q111" s="868"/>
      <c r="AH111" s="1"/>
      <c r="AI111" s="1"/>
    </row>
    <row r="112" spans="1:35" ht="6" customHeight="1">
      <c r="A112" s="857"/>
      <c r="B112" s="2636"/>
      <c r="C112" s="1468" t="s">
        <v>36</v>
      </c>
      <c r="D112" s="1468"/>
      <c r="E112" s="1468"/>
      <c r="F112" s="861"/>
      <c r="G112" s="861"/>
      <c r="H112" s="2633"/>
      <c r="I112" s="861"/>
      <c r="J112" s="861"/>
      <c r="K112" s="2633"/>
      <c r="L112" s="1468"/>
      <c r="M112" s="1468"/>
      <c r="N112" s="1087"/>
      <c r="O112" s="871"/>
      <c r="P112" s="871"/>
      <c r="Q112" s="868"/>
      <c r="AH112" s="1"/>
      <c r="AI112" s="1"/>
    </row>
    <row r="113" spans="1:35" ht="20.100000000000001" customHeight="1">
      <c r="A113" s="848"/>
      <c r="B113" s="120" t="s">
        <v>642</v>
      </c>
      <c r="C113" s="1468" t="s">
        <v>709</v>
      </c>
      <c r="D113" s="1468"/>
      <c r="E113" s="1468"/>
      <c r="F113" s="1468"/>
      <c r="G113" s="3347" t="str">
        <f>H111</f>
        <v/>
      </c>
      <c r="H113" s="3348"/>
      <c r="I113" s="2639" t="s">
        <v>82</v>
      </c>
      <c r="J113" s="2641">
        <v>1.2</v>
      </c>
      <c r="K113" s="2639" t="s">
        <v>102</v>
      </c>
      <c r="L113" s="3370" t="str">
        <f>IFERROR((G113*1.2),"")</f>
        <v/>
      </c>
      <c r="M113" s="3371"/>
      <c r="N113" s="1242" t="s">
        <v>25</v>
      </c>
      <c r="O113" s="871"/>
      <c r="P113" s="871"/>
      <c r="AH113" s="1"/>
      <c r="AI113" s="1"/>
    </row>
    <row r="114" spans="1:35" ht="6" customHeight="1">
      <c r="A114" s="857"/>
      <c r="B114" s="2636"/>
      <c r="C114" s="2636"/>
      <c r="D114" s="2636"/>
      <c r="E114" s="2636"/>
      <c r="F114" s="2636"/>
      <c r="G114" s="2636"/>
      <c r="H114" s="2636"/>
      <c r="I114" s="2636"/>
      <c r="J114" s="2636"/>
      <c r="K114" s="2641"/>
      <c r="L114" s="2641"/>
      <c r="M114" s="2633"/>
      <c r="N114" s="1245"/>
      <c r="O114" s="869"/>
      <c r="P114" s="869"/>
      <c r="Q114" s="868"/>
      <c r="AH114" s="1"/>
      <c r="AI114" s="1"/>
    </row>
    <row r="115" spans="1:35" ht="18" customHeight="1">
      <c r="A115" s="848"/>
      <c r="B115" s="120" t="s">
        <v>643</v>
      </c>
      <c r="C115" s="2636" t="s">
        <v>1891</v>
      </c>
      <c r="D115" s="2636"/>
      <c r="E115" s="2636"/>
      <c r="F115" s="2636"/>
      <c r="G115" s="2636"/>
      <c r="H115" s="2636"/>
      <c r="I115" s="2636"/>
      <c r="J115" s="2636"/>
      <c r="K115" s="2641"/>
      <c r="L115" s="2641"/>
      <c r="M115" s="2633"/>
      <c r="N115" s="1245"/>
      <c r="O115" s="869"/>
      <c r="P115" s="869"/>
      <c r="Q115" s="868"/>
      <c r="AH115" s="1"/>
      <c r="AI115" s="1"/>
    </row>
    <row r="116" spans="1:35" ht="20.100000000000001" customHeight="1">
      <c r="A116" s="857"/>
      <c r="B116" s="2636"/>
      <c r="C116" s="3347" t="str">
        <f>IF(ISBLANK(#REF!),"",I49)</f>
        <v/>
      </c>
      <c r="D116" s="3348"/>
      <c r="E116" s="2633" t="s">
        <v>122</v>
      </c>
      <c r="F116" s="3347" t="str">
        <f>IF(ISBLANK(#REF!),"",L51)</f>
        <v/>
      </c>
      <c r="G116" s="3348"/>
      <c r="H116" s="2633" t="s">
        <v>123</v>
      </c>
      <c r="I116" s="2641">
        <v>0.5</v>
      </c>
      <c r="J116" s="2633" t="s">
        <v>102</v>
      </c>
      <c r="K116" s="3347" t="str">
        <f>IFERROR((C116*F116*0.5),"")</f>
        <v/>
      </c>
      <c r="L116" s="3348"/>
      <c r="M116" s="2640" t="s">
        <v>24</v>
      </c>
      <c r="N116" s="3"/>
      <c r="AH116" s="1"/>
      <c r="AI116" s="1"/>
    </row>
    <row r="117" spans="1:35" ht="6" customHeight="1">
      <c r="A117" s="857"/>
      <c r="B117" s="2636"/>
      <c r="C117" s="2636"/>
      <c r="D117" s="2636"/>
      <c r="E117" s="2636"/>
      <c r="F117" s="2636"/>
      <c r="G117" s="2636"/>
      <c r="H117" s="2633"/>
      <c r="I117" s="2633"/>
      <c r="J117" s="2633"/>
      <c r="K117" s="2633"/>
      <c r="L117" s="2633"/>
      <c r="M117" s="2633"/>
      <c r="N117" s="1245"/>
      <c r="O117" s="723"/>
      <c r="P117" s="723"/>
      <c r="Q117" s="868"/>
      <c r="AH117" s="1"/>
      <c r="AI117" s="1"/>
    </row>
    <row r="118" spans="1:35" ht="18" customHeight="1">
      <c r="A118" s="848"/>
      <c r="B118" s="120" t="s">
        <v>644</v>
      </c>
      <c r="C118" s="77" t="s">
        <v>1892</v>
      </c>
      <c r="D118" s="2636"/>
      <c r="E118" s="2636"/>
      <c r="F118" s="2636"/>
      <c r="G118" s="1468"/>
      <c r="H118" s="2636"/>
      <c r="I118" s="2636"/>
      <c r="J118" s="2636"/>
      <c r="K118" s="2636"/>
      <c r="L118" s="2636"/>
      <c r="M118" s="1468"/>
      <c r="N118" s="1087"/>
      <c r="O118" s="869"/>
      <c r="P118" s="869"/>
      <c r="Q118" s="868"/>
      <c r="AH118" s="1"/>
      <c r="AI118" s="1"/>
    </row>
    <row r="119" spans="1:35" ht="20.100000000000001" customHeight="1">
      <c r="A119" s="857"/>
      <c r="B119" s="2636"/>
      <c r="C119" s="3347" t="str">
        <f>IF(ISBLANK(#REF!),"",K116)</f>
        <v/>
      </c>
      <c r="D119" s="3348"/>
      <c r="E119" s="2637" t="s">
        <v>84</v>
      </c>
      <c r="F119" s="2643">
        <v>27</v>
      </c>
      <c r="G119" s="2633" t="s">
        <v>102</v>
      </c>
      <c r="H119" s="3347" t="str">
        <f>IFERROR((C119/27),"")</f>
        <v/>
      </c>
      <c r="I119" s="3348"/>
      <c r="J119" s="2637" t="s">
        <v>25</v>
      </c>
      <c r="K119" s="2641"/>
      <c r="L119" s="2641"/>
      <c r="M119" s="2637"/>
      <c r="N119" s="3"/>
      <c r="AH119" s="1"/>
      <c r="AI119" s="1"/>
    </row>
    <row r="120" spans="1:35" ht="6" customHeight="1">
      <c r="A120" s="857"/>
      <c r="B120" s="2636"/>
      <c r="C120" s="2636"/>
      <c r="D120" s="2636"/>
      <c r="E120" s="2636"/>
      <c r="F120" s="2636"/>
      <c r="G120" s="1468"/>
      <c r="H120" s="2641"/>
      <c r="I120" s="2641"/>
      <c r="J120" s="2637"/>
      <c r="K120" s="2643"/>
      <c r="L120" s="2633"/>
      <c r="M120" s="2641"/>
      <c r="N120" s="1245"/>
      <c r="O120" s="869"/>
      <c r="P120" s="869"/>
      <c r="Q120" s="868"/>
      <c r="AH120" s="1"/>
      <c r="AI120" s="1"/>
    </row>
    <row r="121" spans="1:35" ht="20.100000000000001" customHeight="1">
      <c r="A121" s="848"/>
      <c r="B121" s="120" t="s">
        <v>710</v>
      </c>
      <c r="C121" s="1468" t="s">
        <v>709</v>
      </c>
      <c r="D121" s="1468"/>
      <c r="E121" s="1468"/>
      <c r="F121" s="1468"/>
      <c r="G121" s="3347" t="str">
        <f>H119</f>
        <v/>
      </c>
      <c r="H121" s="3348"/>
      <c r="I121" s="2640" t="s">
        <v>1094</v>
      </c>
      <c r="J121" s="2641">
        <v>1.2</v>
      </c>
      <c r="K121" s="2639" t="s">
        <v>102</v>
      </c>
      <c r="L121" s="3370" t="str">
        <f>IFERROR((G121*1.2),"")</f>
        <v/>
      </c>
      <c r="M121" s="3371"/>
      <c r="N121" s="1242" t="s">
        <v>25</v>
      </c>
      <c r="AH121" s="1"/>
      <c r="AI121" s="1"/>
    </row>
    <row r="122" spans="1:35" ht="6" customHeight="1" thickBot="1">
      <c r="A122" s="857"/>
      <c r="B122" s="5"/>
      <c r="C122" s="2"/>
      <c r="D122" s="2"/>
      <c r="E122" s="2"/>
      <c r="F122" s="2"/>
      <c r="G122" s="2"/>
      <c r="H122" s="2"/>
      <c r="I122" s="2"/>
      <c r="J122" s="2"/>
      <c r="K122" s="2"/>
      <c r="L122" s="2"/>
      <c r="M122" s="2"/>
      <c r="N122" s="3"/>
      <c r="AH122" s="1"/>
      <c r="AI122" s="1"/>
    </row>
    <row r="123" spans="1:35" ht="16.350000000000001" customHeight="1" thickBot="1">
      <c r="A123" s="856" t="s">
        <v>91</v>
      </c>
      <c r="B123" s="678"/>
      <c r="C123" s="688" t="s">
        <v>31</v>
      </c>
      <c r="D123" s="688"/>
      <c r="E123" s="688"/>
      <c r="F123" s="688"/>
      <c r="G123" s="688"/>
      <c r="H123" s="688"/>
      <c r="I123" s="688"/>
      <c r="J123" s="688"/>
      <c r="K123" s="688"/>
      <c r="L123" s="688"/>
      <c r="M123" s="688"/>
      <c r="N123" s="859"/>
      <c r="O123" s="876"/>
      <c r="P123" s="876"/>
      <c r="Q123" s="876"/>
      <c r="AH123" s="1"/>
      <c r="AI123" s="1"/>
    </row>
    <row r="124" spans="1:35" ht="6" customHeight="1">
      <c r="A124" s="857"/>
      <c r="B124" s="5"/>
      <c r="C124" s="120"/>
      <c r="D124" s="120"/>
      <c r="E124" s="120"/>
      <c r="F124" s="120"/>
      <c r="G124" s="120"/>
      <c r="H124" s="120"/>
      <c r="I124" s="120"/>
      <c r="J124" s="120"/>
      <c r="K124" s="120"/>
      <c r="L124" s="120"/>
      <c r="M124" s="120"/>
      <c r="N124" s="1256"/>
      <c r="O124" s="876"/>
      <c r="P124" s="876"/>
      <c r="Q124" s="876"/>
      <c r="AH124" s="1"/>
      <c r="AI124" s="1"/>
    </row>
    <row r="125" spans="1:35" ht="90" customHeight="1">
      <c r="A125" s="857"/>
      <c r="B125" s="2159"/>
      <c r="C125" s="3359"/>
      <c r="D125" s="3360"/>
      <c r="E125" s="3360"/>
      <c r="F125" s="3360"/>
      <c r="G125" s="3360"/>
      <c r="H125" s="3360"/>
      <c r="I125" s="3360"/>
      <c r="J125" s="3360"/>
      <c r="K125" s="3360"/>
      <c r="L125" s="3360"/>
      <c r="M125" s="3361"/>
      <c r="N125" s="2674"/>
      <c r="O125" s="875"/>
      <c r="P125" s="875"/>
      <c r="Q125" s="875"/>
      <c r="AH125" s="1"/>
      <c r="AI125" s="1"/>
    </row>
    <row r="126" spans="1:35" ht="6" customHeight="1" thickBot="1">
      <c r="A126" s="864"/>
      <c r="B126" s="37"/>
      <c r="C126" s="37"/>
      <c r="D126" s="37"/>
      <c r="E126" s="37"/>
      <c r="F126" s="37"/>
      <c r="G126" s="37"/>
      <c r="H126" s="37"/>
      <c r="I126" s="37"/>
      <c r="J126" s="37"/>
      <c r="K126" s="37"/>
      <c r="L126" s="37"/>
      <c r="M126" s="37"/>
      <c r="N126" s="1249"/>
      <c r="AH126" s="1"/>
      <c r="AI126" s="1"/>
    </row>
    <row r="127" spans="1:35" ht="14.1" customHeight="1">
      <c r="C127" s="723"/>
      <c r="D127" s="723"/>
      <c r="E127" s="723"/>
      <c r="F127" s="723"/>
      <c r="G127" s="723"/>
      <c r="H127" s="723"/>
      <c r="I127" s="723"/>
      <c r="J127" s="723"/>
      <c r="K127" s="723"/>
      <c r="L127" s="723"/>
      <c r="M127" s="723"/>
      <c r="N127" s="723"/>
      <c r="AH127" s="1"/>
      <c r="AI127" s="1"/>
    </row>
    <row r="128" spans="1:35" ht="14.1" customHeight="1">
      <c r="C128" s="723"/>
      <c r="D128" s="723"/>
      <c r="E128" s="723"/>
      <c r="F128" s="723"/>
      <c r="G128" s="723"/>
      <c r="H128" s="723"/>
      <c r="I128" s="723"/>
      <c r="J128" s="723"/>
      <c r="K128" s="723"/>
      <c r="L128" s="723"/>
      <c r="M128" s="723"/>
      <c r="N128" s="723"/>
      <c r="AH128" s="1"/>
      <c r="AI128" s="1"/>
    </row>
    <row r="129" spans="3:35" ht="14.1" customHeight="1">
      <c r="C129" s="862"/>
      <c r="D129" s="862"/>
      <c r="E129" s="725"/>
      <c r="F129" s="725"/>
      <c r="G129" s="725"/>
      <c r="H129" s="725"/>
      <c r="I129" s="862"/>
      <c r="J129" s="862"/>
      <c r="K129" s="862"/>
      <c r="L129" s="862"/>
      <c r="M129" s="862"/>
      <c r="N129" s="862"/>
      <c r="X129" s="26"/>
      <c r="AH129" s="1"/>
      <c r="AI129" s="1"/>
    </row>
    <row r="130" spans="3:35" ht="14.1" customHeight="1">
      <c r="C130" s="862"/>
      <c r="D130" s="862"/>
      <c r="E130" s="725"/>
      <c r="F130" s="725"/>
      <c r="G130" s="725"/>
      <c r="H130" s="725"/>
      <c r="I130" s="862"/>
      <c r="J130" s="862"/>
      <c r="K130" s="862"/>
      <c r="L130" s="862"/>
      <c r="M130" s="862"/>
      <c r="N130" s="862"/>
      <c r="X130" s="122"/>
      <c r="AH130" s="1"/>
      <c r="AI130" s="1"/>
    </row>
    <row r="131" spans="3:35" ht="14.1" customHeight="1">
      <c r="C131" s="723"/>
      <c r="D131" s="723"/>
      <c r="E131" s="724"/>
      <c r="F131" s="724"/>
      <c r="G131" s="725"/>
      <c r="H131" s="725"/>
      <c r="I131" s="726"/>
      <c r="J131" s="726"/>
      <c r="K131" s="726"/>
      <c r="L131" s="727"/>
      <c r="M131" s="723"/>
      <c r="N131" s="723"/>
      <c r="P131" s="738"/>
      <c r="X131" s="26"/>
      <c r="AH131" s="1"/>
      <c r="AI131" s="1"/>
    </row>
    <row r="132" spans="3:35" ht="14.1" customHeight="1">
      <c r="C132" s="723"/>
      <c r="D132" s="723"/>
      <c r="E132" s="724"/>
      <c r="F132" s="724"/>
      <c r="G132" s="725"/>
      <c r="H132" s="725"/>
      <c r="I132" s="726"/>
      <c r="J132" s="726"/>
      <c r="K132" s="726"/>
      <c r="L132" s="727"/>
      <c r="M132" s="723"/>
      <c r="N132" s="723"/>
      <c r="P132" s="738"/>
      <c r="X132" s="122"/>
      <c r="AH132" s="1"/>
      <c r="AI132" s="1"/>
    </row>
    <row r="133" spans="3:35" ht="14.1" customHeight="1">
      <c r="C133" s="29"/>
      <c r="D133" s="29"/>
      <c r="E133" s="26"/>
      <c r="F133" s="26"/>
      <c r="G133" s="51"/>
      <c r="H133" s="51"/>
      <c r="I133" s="63"/>
      <c r="J133" s="63"/>
      <c r="K133" s="63"/>
      <c r="L133" s="5"/>
      <c r="M133" s="29"/>
      <c r="N133" s="29"/>
      <c r="P133" s="738"/>
      <c r="X133" s="26"/>
      <c r="AH133" s="1"/>
      <c r="AI133" s="1"/>
    </row>
    <row r="134" spans="3:35" ht="14.1" customHeight="1">
      <c r="C134" s="29"/>
      <c r="D134" s="29"/>
      <c r="E134" s="26"/>
      <c r="F134" s="26"/>
      <c r="G134" s="51"/>
      <c r="H134" s="51"/>
      <c r="I134" s="63"/>
      <c r="J134" s="63"/>
      <c r="K134" s="63"/>
      <c r="L134" s="5"/>
      <c r="M134" s="39"/>
      <c r="N134" s="39"/>
      <c r="P134" s="738"/>
      <c r="X134" s="122"/>
      <c r="AH134" s="1"/>
      <c r="AI134" s="1"/>
    </row>
    <row r="135" spans="3:35" ht="14.1" customHeight="1">
      <c r="C135" s="29"/>
      <c r="D135" s="29"/>
      <c r="E135" s="26"/>
      <c r="F135" s="26"/>
      <c r="G135" s="51"/>
      <c r="H135" s="51"/>
      <c r="I135" s="63"/>
      <c r="J135" s="63"/>
      <c r="K135" s="63"/>
      <c r="L135" s="5"/>
      <c r="M135" s="39"/>
      <c r="N135" s="39"/>
      <c r="P135" s="738"/>
      <c r="X135" s="26"/>
      <c r="AH135" s="1"/>
      <c r="AI135" s="1"/>
    </row>
    <row r="136" spans="3:35" ht="14.1" customHeight="1">
      <c r="C136" s="29"/>
      <c r="D136" s="29"/>
      <c r="E136" s="26"/>
      <c r="F136" s="26"/>
      <c r="G136" s="51"/>
      <c r="H136" s="51"/>
      <c r="I136" s="63"/>
      <c r="J136" s="63"/>
      <c r="K136" s="63"/>
      <c r="L136" s="5"/>
      <c r="M136" s="39"/>
      <c r="N136" s="39"/>
      <c r="P136" s="738"/>
      <c r="X136" s="122"/>
    </row>
    <row r="137" spans="3:35" ht="14.1" customHeight="1">
      <c r="C137" s="29"/>
      <c r="D137" s="29"/>
      <c r="E137" s="26"/>
      <c r="F137" s="26"/>
      <c r="G137" s="51"/>
      <c r="H137" s="51"/>
      <c r="I137" s="63"/>
      <c r="J137" s="63"/>
      <c r="K137" s="63"/>
      <c r="L137" s="5"/>
      <c r="M137" s="39"/>
      <c r="N137" s="39"/>
      <c r="P137" s="738"/>
      <c r="X137" s="26"/>
    </row>
    <row r="138" spans="3:35" ht="14.1" customHeight="1">
      <c r="C138" s="29"/>
      <c r="D138" s="29"/>
      <c r="E138" s="26"/>
      <c r="F138" s="26"/>
      <c r="G138" s="51"/>
      <c r="H138" s="51"/>
      <c r="I138" s="63"/>
      <c r="J138" s="63"/>
      <c r="K138" s="63"/>
      <c r="L138" s="5"/>
      <c r="M138" s="39"/>
      <c r="N138" s="39"/>
      <c r="X138" s="122"/>
    </row>
    <row r="139" spans="3:35" ht="14.1" customHeight="1">
      <c r="C139" s="29"/>
      <c r="D139" s="29"/>
      <c r="E139" s="26"/>
      <c r="F139" s="26"/>
      <c r="G139" s="29"/>
      <c r="H139" s="29"/>
      <c r="I139" s="5"/>
      <c r="J139" s="5"/>
      <c r="K139" s="5"/>
      <c r="L139" s="5"/>
      <c r="M139" s="29"/>
      <c r="N139" s="29"/>
      <c r="X139" s="26"/>
    </row>
    <row r="140" spans="3:35" ht="14.1" customHeight="1">
      <c r="C140" s="29"/>
      <c r="D140" s="29"/>
      <c r="E140" s="26"/>
      <c r="F140" s="26"/>
      <c r="G140" s="29"/>
      <c r="H140" s="29"/>
      <c r="I140" s="5"/>
      <c r="J140" s="5"/>
      <c r="K140" s="5"/>
      <c r="L140" s="5"/>
      <c r="M140" s="29"/>
      <c r="N140" s="29"/>
      <c r="X140" s="122"/>
    </row>
    <row r="141" spans="3:35" ht="14.1" customHeight="1">
      <c r="C141" s="29"/>
      <c r="D141" s="29"/>
      <c r="E141" s="26"/>
      <c r="F141" s="26"/>
      <c r="G141" s="29"/>
      <c r="H141" s="29"/>
      <c r="I141" s="5"/>
      <c r="J141" s="5"/>
      <c r="K141" s="5"/>
      <c r="L141" s="5"/>
      <c r="M141" s="29"/>
      <c r="N141" s="29"/>
      <c r="X141" s="26"/>
    </row>
    <row r="142" spans="3:35" ht="14.1" customHeight="1">
      <c r="C142" s="29"/>
      <c r="D142" s="29"/>
      <c r="E142" s="26"/>
      <c r="F142" s="26"/>
      <c r="G142" s="29"/>
      <c r="H142" s="29"/>
      <c r="I142" s="5"/>
      <c r="J142" s="5"/>
      <c r="K142" s="5"/>
      <c r="L142" s="5"/>
      <c r="M142" s="29"/>
      <c r="N142" s="29"/>
      <c r="X142" s="122"/>
    </row>
    <row r="143" spans="3:35" ht="14.1" customHeight="1">
      <c r="C143" s="29"/>
      <c r="D143" s="29"/>
      <c r="E143" s="26"/>
      <c r="F143" s="26"/>
      <c r="G143" s="29"/>
      <c r="H143" s="29"/>
      <c r="I143" s="5"/>
      <c r="J143" s="5"/>
      <c r="K143" s="5"/>
      <c r="L143" s="5"/>
      <c r="M143" s="29"/>
      <c r="N143" s="29"/>
      <c r="X143" s="26"/>
    </row>
    <row r="144" spans="3:35" ht="14.1" customHeight="1">
      <c r="C144" s="29"/>
      <c r="D144" s="29"/>
      <c r="E144" s="26"/>
      <c r="F144" s="26"/>
      <c r="G144" s="29"/>
      <c r="H144" s="29"/>
      <c r="I144" s="5"/>
      <c r="J144" s="5"/>
      <c r="K144" s="5"/>
      <c r="L144" s="5"/>
      <c r="M144" s="29"/>
      <c r="N144" s="29"/>
      <c r="X144" s="122"/>
    </row>
    <row r="145" spans="3:24" ht="14.1" customHeight="1">
      <c r="C145" s="29"/>
      <c r="D145" s="29"/>
      <c r="E145" s="26"/>
      <c r="F145" s="26"/>
      <c r="G145" s="29"/>
      <c r="H145" s="29"/>
      <c r="I145" s="5"/>
      <c r="J145" s="5"/>
      <c r="K145" s="5"/>
      <c r="L145" s="5"/>
      <c r="M145" s="29"/>
      <c r="N145" s="29"/>
      <c r="X145" s="26"/>
    </row>
    <row r="146" spans="3:24" ht="14.1" customHeight="1">
      <c r="C146" s="29"/>
      <c r="D146" s="29"/>
      <c r="E146" s="26"/>
      <c r="F146" s="26"/>
      <c r="G146" s="51"/>
      <c r="H146" s="51"/>
      <c r="I146" s="5"/>
      <c r="J146" s="5"/>
      <c r="K146" s="5"/>
      <c r="L146" s="5"/>
      <c r="M146" s="29"/>
      <c r="N146" s="29"/>
      <c r="X146" s="122"/>
    </row>
    <row r="147" spans="3:24" ht="14.1" customHeight="1">
      <c r="C147" s="29"/>
      <c r="D147" s="29"/>
      <c r="E147" s="26"/>
      <c r="F147" s="26"/>
      <c r="G147" s="51"/>
      <c r="H147" s="51"/>
      <c r="I147" s="5"/>
      <c r="J147" s="5"/>
      <c r="K147" s="5"/>
      <c r="L147" s="5"/>
      <c r="M147" s="29"/>
      <c r="N147" s="29"/>
      <c r="X147" s="26"/>
    </row>
    <row r="148" spans="3:24" ht="14.1" customHeight="1">
      <c r="C148" s="29"/>
      <c r="D148" s="29"/>
      <c r="E148" s="26"/>
      <c r="F148" s="26"/>
      <c r="G148" s="51"/>
      <c r="H148" s="51"/>
      <c r="I148" s="5"/>
      <c r="J148" s="5"/>
      <c r="K148" s="5"/>
      <c r="L148" s="5"/>
      <c r="M148" s="29"/>
      <c r="N148" s="29"/>
      <c r="X148" s="122"/>
    </row>
    <row r="149" spans="3:24" ht="14.1" customHeight="1">
      <c r="C149" s="29"/>
      <c r="D149" s="29"/>
      <c r="E149" s="26"/>
      <c r="F149" s="26"/>
      <c r="G149" s="51"/>
      <c r="H149" s="51"/>
      <c r="I149" s="5"/>
      <c r="J149" s="5"/>
      <c r="K149" s="5"/>
      <c r="L149" s="5"/>
      <c r="M149" s="29"/>
      <c r="N149" s="29"/>
      <c r="X149" s="26"/>
    </row>
    <row r="150" spans="3:24" ht="14.1" customHeight="1">
      <c r="C150" s="29"/>
      <c r="D150" s="29"/>
      <c r="E150" s="26"/>
      <c r="F150" s="26"/>
      <c r="G150" s="51"/>
      <c r="H150" s="51"/>
      <c r="I150" s="5"/>
      <c r="J150" s="5"/>
      <c r="K150" s="5"/>
      <c r="L150" s="5"/>
      <c r="M150" s="29"/>
      <c r="N150" s="29"/>
      <c r="X150" s="122"/>
    </row>
    <row r="151" spans="3:24" ht="14.1" customHeight="1">
      <c r="C151" s="29"/>
      <c r="D151" s="29"/>
      <c r="E151" s="26"/>
      <c r="F151" s="26"/>
      <c r="G151" s="51"/>
      <c r="H151" s="51"/>
      <c r="I151" s="5"/>
      <c r="J151" s="5"/>
      <c r="K151" s="5"/>
      <c r="L151" s="5"/>
      <c r="M151" s="29"/>
      <c r="N151" s="29"/>
      <c r="X151" s="26"/>
    </row>
    <row r="152" spans="3:24" ht="14.1" customHeight="1">
      <c r="C152" s="29"/>
      <c r="D152" s="29"/>
      <c r="E152" s="26"/>
      <c r="F152" s="26"/>
      <c r="G152" s="51"/>
      <c r="H152" s="51"/>
      <c r="I152" s="5"/>
      <c r="J152" s="5"/>
      <c r="K152" s="5"/>
      <c r="L152" s="5"/>
      <c r="M152" s="29"/>
      <c r="N152" s="29"/>
      <c r="X152" s="122"/>
    </row>
    <row r="153" spans="3:24" ht="14.1" customHeight="1">
      <c r="C153" s="51"/>
      <c r="D153" s="51"/>
      <c r="E153" s="26"/>
      <c r="F153" s="26"/>
      <c r="G153" s="5"/>
      <c r="H153" s="5"/>
      <c r="I153" s="5"/>
      <c r="J153" s="5"/>
      <c r="K153" s="5"/>
      <c r="L153" s="5"/>
      <c r="M153" s="29"/>
      <c r="N153" s="29"/>
      <c r="X153" s="26"/>
    </row>
    <row r="154" spans="3:24" ht="14.1" customHeight="1">
      <c r="C154" s="51"/>
      <c r="D154" s="51"/>
      <c r="E154" s="26"/>
      <c r="F154" s="26"/>
      <c r="G154" s="5"/>
      <c r="H154" s="5"/>
      <c r="I154" s="5"/>
      <c r="J154" s="5"/>
      <c r="K154" s="5"/>
      <c r="L154" s="5"/>
      <c r="M154" s="29"/>
      <c r="N154" s="29"/>
      <c r="X154" s="122"/>
    </row>
    <row r="155" spans="3:24" ht="14.1" customHeight="1">
      <c r="C155" s="51"/>
      <c r="D155" s="51"/>
      <c r="E155" s="26"/>
      <c r="F155" s="26"/>
      <c r="G155" s="39"/>
      <c r="H155" s="39"/>
      <c r="I155" s="5"/>
      <c r="J155" s="5"/>
      <c r="K155" s="5"/>
      <c r="L155" s="5"/>
      <c r="M155" s="29"/>
      <c r="N155" s="29"/>
    </row>
    <row r="156" spans="3:24" ht="14.1" customHeight="1">
      <c r="C156" s="51"/>
      <c r="D156" s="51"/>
      <c r="E156" s="26"/>
      <c r="F156" s="26"/>
      <c r="G156" s="39"/>
      <c r="H156" s="39"/>
      <c r="I156" s="5"/>
      <c r="J156" s="5"/>
      <c r="K156" s="5"/>
      <c r="L156" s="5"/>
      <c r="M156" s="29"/>
      <c r="N156" s="29"/>
    </row>
    <row r="157" spans="3:24" ht="14.1" customHeight="1">
      <c r="C157" s="51"/>
      <c r="D157" s="51"/>
      <c r="E157" s="26"/>
      <c r="F157" s="26"/>
      <c r="G157" s="39"/>
      <c r="H157" s="39"/>
      <c r="I157" s="5"/>
      <c r="J157" s="5"/>
      <c r="K157" s="5"/>
      <c r="L157" s="5"/>
      <c r="M157" s="29"/>
      <c r="N157" s="29"/>
    </row>
    <row r="158" spans="3:24" ht="14.1" customHeight="1">
      <c r="C158" s="51"/>
      <c r="D158" s="51"/>
      <c r="E158" s="26"/>
      <c r="F158" s="26"/>
      <c r="G158" s="5"/>
      <c r="H158" s="5"/>
      <c r="I158" s="5"/>
      <c r="J158" s="5"/>
      <c r="K158" s="5"/>
      <c r="L158" s="5"/>
      <c r="M158" s="29"/>
      <c r="N158" s="29"/>
    </row>
    <row r="159" spans="3:24" ht="14.1" customHeight="1">
      <c r="C159" s="51"/>
      <c r="D159" s="51"/>
      <c r="E159" s="26"/>
      <c r="F159" s="26"/>
      <c r="G159" s="5"/>
      <c r="H159" s="5"/>
      <c r="I159" s="5"/>
      <c r="J159" s="5"/>
      <c r="K159" s="5"/>
      <c r="L159" s="5"/>
      <c r="M159" s="29"/>
      <c r="N159" s="29"/>
    </row>
    <row r="160" spans="3:24" ht="14.1" customHeight="1">
      <c r="C160" s="5"/>
      <c r="D160" s="5"/>
      <c r="E160" s="5"/>
      <c r="F160" s="5"/>
      <c r="G160" s="5"/>
      <c r="H160" s="5"/>
      <c r="I160" s="5"/>
      <c r="J160" s="5"/>
      <c r="K160" s="107"/>
      <c r="L160" s="106"/>
      <c r="M160" s="5"/>
      <c r="N160" s="5"/>
    </row>
    <row r="161" spans="3:23" ht="14.1" customHeight="1">
      <c r="C161" s="39"/>
      <c r="D161" s="39"/>
      <c r="E161" s="39"/>
      <c r="F161" s="39"/>
      <c r="G161" s="39"/>
      <c r="H161" s="39"/>
      <c r="I161" s="5"/>
      <c r="J161" s="532"/>
      <c r="K161" s="532"/>
      <c r="L161" s="532"/>
      <c r="M161" s="532"/>
      <c r="N161" s="532"/>
    </row>
    <row r="162" spans="3:23" ht="14.1" customHeight="1">
      <c r="C162" s="3357"/>
      <c r="D162" s="3357"/>
      <c r="E162" s="3357"/>
      <c r="F162" s="3357"/>
      <c r="G162" s="851"/>
      <c r="H162" s="851"/>
      <c r="I162" s="5"/>
      <c r="J162" s="533"/>
      <c r="K162" s="533"/>
      <c r="L162" s="534"/>
      <c r="M162" s="534"/>
      <c r="N162" s="533"/>
    </row>
    <row r="163" spans="3:23" ht="14.1" customHeight="1">
      <c r="C163" s="3357"/>
      <c r="D163" s="3357"/>
      <c r="E163" s="3357"/>
      <c r="F163" s="3357"/>
      <c r="G163" s="851"/>
      <c r="H163" s="851"/>
      <c r="I163" s="5"/>
      <c r="J163" s="533"/>
      <c r="K163" s="533"/>
      <c r="L163" s="534"/>
      <c r="M163" s="534"/>
      <c r="N163" s="533"/>
    </row>
    <row r="164" spans="3:23" ht="14.1" customHeight="1">
      <c r="C164" s="3358"/>
      <c r="D164" s="3358"/>
      <c r="E164" s="3356"/>
      <c r="F164" s="3356"/>
      <c r="G164" s="34"/>
      <c r="H164" s="34"/>
      <c r="I164" s="5"/>
      <c r="J164" s="39"/>
      <c r="K164" s="39"/>
      <c r="L164" s="34"/>
      <c r="M164" s="34"/>
      <c r="N164" s="26"/>
      <c r="U164" s="34"/>
      <c r="V164" s="34"/>
      <c r="W164" s="26"/>
    </row>
    <row r="165" spans="3:23" ht="14.1" customHeight="1">
      <c r="C165" s="3358"/>
      <c r="D165" s="3358"/>
      <c r="E165" s="3356"/>
      <c r="F165" s="3356"/>
      <c r="G165" s="34"/>
      <c r="H165" s="34"/>
      <c r="I165" s="5"/>
      <c r="J165" s="532"/>
      <c r="K165" s="532"/>
      <c r="L165" s="121"/>
      <c r="M165" s="121"/>
      <c r="N165" s="122"/>
      <c r="U165" s="121"/>
      <c r="V165" s="121"/>
      <c r="W165" s="122"/>
    </row>
    <row r="166" spans="3:23" ht="14.1" customHeight="1">
      <c r="C166" s="3358"/>
      <c r="D166" s="3358"/>
      <c r="E166" s="3356"/>
      <c r="F166" s="3356"/>
      <c r="G166" s="34"/>
      <c r="H166" s="34"/>
      <c r="I166" s="5"/>
      <c r="J166" s="39"/>
      <c r="K166" s="39"/>
      <c r="L166" s="34"/>
      <c r="M166" s="34"/>
      <c r="N166" s="26"/>
      <c r="U166" s="34"/>
      <c r="V166" s="34"/>
      <c r="W166" s="26"/>
    </row>
    <row r="167" spans="3:23" ht="14.1" customHeight="1">
      <c r="C167" s="3358"/>
      <c r="D167" s="3358"/>
      <c r="E167" s="3356"/>
      <c r="F167" s="3356"/>
      <c r="G167" s="34"/>
      <c r="H167" s="34"/>
      <c r="I167" s="5"/>
      <c r="J167" s="532"/>
      <c r="K167" s="532"/>
      <c r="L167" s="121"/>
      <c r="M167" s="121"/>
      <c r="N167" s="122"/>
      <c r="U167" s="121"/>
      <c r="V167" s="121"/>
      <c r="W167" s="122"/>
    </row>
    <row r="168" spans="3:23" ht="14.1" customHeight="1">
      <c r="C168" s="3358"/>
      <c r="D168" s="3358"/>
      <c r="E168" s="3356"/>
      <c r="F168" s="3356"/>
      <c r="G168" s="34"/>
      <c r="H168" s="34"/>
      <c r="I168" s="5"/>
      <c r="J168" s="39"/>
      <c r="K168" s="39"/>
      <c r="L168" s="34"/>
      <c r="M168" s="34"/>
      <c r="N168" s="26"/>
      <c r="U168" s="34"/>
      <c r="V168" s="34"/>
      <c r="W168" s="26"/>
    </row>
    <row r="169" spans="3:23" ht="14.1" customHeight="1">
      <c r="C169" s="3358"/>
      <c r="D169" s="3358"/>
      <c r="E169" s="3356"/>
      <c r="F169" s="3356"/>
      <c r="G169" s="34"/>
      <c r="H169" s="34"/>
      <c r="I169" s="5"/>
      <c r="J169" s="532"/>
      <c r="K169" s="532"/>
      <c r="L169" s="121"/>
      <c r="M169" s="121"/>
      <c r="N169" s="122"/>
      <c r="U169" s="121"/>
      <c r="V169" s="121"/>
      <c r="W169" s="122"/>
    </row>
    <row r="170" spans="3:23" ht="14.1" customHeight="1">
      <c r="C170" s="3358"/>
      <c r="D170" s="3358"/>
      <c r="E170" s="3356"/>
      <c r="F170" s="3356"/>
      <c r="G170" s="34"/>
      <c r="H170" s="34"/>
      <c r="I170" s="5"/>
      <c r="J170" s="39"/>
      <c r="K170" s="39"/>
      <c r="L170" s="34"/>
      <c r="M170" s="34"/>
      <c r="N170" s="26"/>
      <c r="U170" s="34"/>
      <c r="V170" s="34"/>
      <c r="W170" s="26"/>
    </row>
    <row r="171" spans="3:23" ht="14.1" customHeight="1">
      <c r="C171" s="3358"/>
      <c r="D171" s="3358"/>
      <c r="E171" s="3356"/>
      <c r="F171" s="3356"/>
      <c r="G171" s="34"/>
      <c r="H171" s="34"/>
      <c r="I171" s="5"/>
      <c r="J171" s="532"/>
      <c r="K171" s="532"/>
      <c r="L171" s="121"/>
      <c r="M171" s="121"/>
      <c r="N171" s="122"/>
      <c r="U171" s="121"/>
      <c r="V171" s="121"/>
      <c r="W171" s="122"/>
    </row>
    <row r="172" spans="3:23" ht="14.1" customHeight="1">
      <c r="C172" s="3379"/>
      <c r="D172" s="3379"/>
      <c r="E172" s="3356"/>
      <c r="F172" s="3356"/>
      <c r="G172" s="34"/>
      <c r="H172" s="34"/>
      <c r="I172" s="5"/>
      <c r="J172" s="529"/>
      <c r="K172" s="529"/>
      <c r="L172" s="34"/>
      <c r="M172" s="34"/>
      <c r="N172" s="26"/>
      <c r="U172" s="34"/>
      <c r="V172" s="34"/>
      <c r="W172" s="26"/>
    </row>
    <row r="173" spans="3:23" ht="14.1" customHeight="1">
      <c r="C173" s="3358"/>
      <c r="D173" s="3358"/>
      <c r="E173" s="3356"/>
      <c r="F173" s="3356"/>
      <c r="G173" s="34"/>
      <c r="H173" s="34"/>
      <c r="I173" s="5"/>
      <c r="J173" s="532"/>
      <c r="K173" s="532"/>
      <c r="L173" s="121"/>
      <c r="M173" s="121"/>
      <c r="N173" s="122"/>
      <c r="U173" s="121"/>
      <c r="V173" s="121"/>
      <c r="W173" s="122"/>
    </row>
    <row r="174" spans="3:23" ht="14.1" customHeight="1">
      <c r="C174" s="3358"/>
      <c r="D174" s="3358"/>
      <c r="E174" s="3356"/>
      <c r="F174" s="3356"/>
      <c r="G174" s="34"/>
      <c r="H174" s="34"/>
      <c r="I174" s="5"/>
      <c r="J174" s="39"/>
      <c r="K174" s="39"/>
      <c r="L174" s="34"/>
      <c r="M174" s="34"/>
      <c r="N174" s="26"/>
      <c r="U174" s="34"/>
      <c r="V174" s="34"/>
      <c r="W174" s="26"/>
    </row>
    <row r="175" spans="3:23" ht="14.1" customHeight="1">
      <c r="C175" s="3358"/>
      <c r="D175" s="3358"/>
      <c r="E175" s="3356"/>
      <c r="F175" s="3356"/>
      <c r="G175" s="34"/>
      <c r="H175" s="34"/>
      <c r="I175" s="80"/>
      <c r="J175" s="532"/>
      <c r="K175" s="532"/>
      <c r="L175" s="121"/>
      <c r="M175" s="121"/>
      <c r="N175" s="122"/>
      <c r="U175" s="121"/>
      <c r="V175" s="121"/>
      <c r="W175" s="122"/>
    </row>
    <row r="176" spans="3:23" ht="14.1" customHeight="1">
      <c r="C176" s="3358"/>
      <c r="D176" s="3358"/>
      <c r="E176" s="3356"/>
      <c r="F176" s="3356"/>
      <c r="G176" s="34"/>
      <c r="H176" s="34"/>
      <c r="I176" s="80"/>
      <c r="J176" s="39"/>
      <c r="K176" s="39"/>
      <c r="L176" s="34"/>
      <c r="M176" s="34"/>
      <c r="N176" s="26"/>
      <c r="U176" s="34"/>
      <c r="V176" s="34"/>
      <c r="W176" s="26"/>
    </row>
    <row r="177" spans="3:23" ht="14.1" customHeight="1">
      <c r="C177" s="3339"/>
      <c r="D177" s="3339"/>
      <c r="E177" s="3378"/>
      <c r="F177" s="3378"/>
      <c r="G177" s="26"/>
      <c r="H177" s="26"/>
      <c r="I177" s="80"/>
      <c r="J177" s="525"/>
      <c r="K177" s="525"/>
      <c r="L177" s="122"/>
      <c r="M177" s="122"/>
      <c r="N177" s="122"/>
      <c r="U177" s="122"/>
      <c r="V177" s="122"/>
      <c r="W177" s="122"/>
    </row>
    <row r="178" spans="3:23" ht="14.1" customHeight="1">
      <c r="C178" s="3339"/>
      <c r="D178" s="3339"/>
      <c r="E178" s="3378"/>
      <c r="F178" s="3378"/>
      <c r="G178" s="26"/>
      <c r="H178" s="26"/>
      <c r="I178" s="80"/>
      <c r="J178" s="29"/>
      <c r="K178" s="29"/>
      <c r="L178" s="26"/>
      <c r="M178" s="26"/>
      <c r="N178" s="26"/>
      <c r="U178" s="26"/>
      <c r="V178" s="26"/>
      <c r="W178" s="26"/>
    </row>
    <row r="179" spans="3:23" ht="14.1" customHeight="1">
      <c r="C179" s="3339"/>
      <c r="D179" s="3339"/>
      <c r="E179" s="3378"/>
      <c r="F179" s="3378"/>
      <c r="G179" s="26"/>
      <c r="H179" s="26"/>
      <c r="I179" s="80"/>
      <c r="J179" s="525"/>
      <c r="K179" s="525"/>
      <c r="L179" s="122"/>
      <c r="M179" s="122"/>
      <c r="N179" s="122"/>
      <c r="U179" s="122"/>
      <c r="V179" s="122"/>
      <c r="W179" s="122"/>
    </row>
    <row r="180" spans="3:23" ht="14.1" customHeight="1">
      <c r="C180" s="3339"/>
      <c r="D180" s="3339"/>
      <c r="E180" s="3378"/>
      <c r="F180" s="3378"/>
      <c r="G180" s="26"/>
      <c r="H180" s="26"/>
      <c r="I180" s="80"/>
      <c r="J180" s="29"/>
      <c r="K180" s="29"/>
      <c r="L180" s="26"/>
      <c r="M180" s="26"/>
      <c r="N180" s="26"/>
      <c r="U180" s="26"/>
      <c r="V180" s="26"/>
      <c r="W180" s="26"/>
    </row>
    <row r="181" spans="3:23" ht="14.1" customHeight="1">
      <c r="C181" s="3339"/>
      <c r="D181" s="3339"/>
      <c r="E181" s="3378"/>
      <c r="F181" s="3378"/>
      <c r="G181" s="26"/>
      <c r="H181" s="26"/>
      <c r="I181" s="80"/>
      <c r="J181" s="525"/>
      <c r="K181" s="525"/>
      <c r="L181" s="122"/>
      <c r="M181" s="122"/>
      <c r="N181" s="122"/>
      <c r="U181" s="122"/>
      <c r="V181" s="122"/>
      <c r="W181" s="122"/>
    </row>
    <row r="182" spans="3:23" ht="14.1" customHeight="1">
      <c r="C182" s="3339"/>
      <c r="D182" s="3339"/>
      <c r="E182" s="3378"/>
      <c r="F182" s="3378"/>
      <c r="G182" s="26"/>
      <c r="H182" s="26"/>
      <c r="I182" s="80"/>
      <c r="J182" s="29"/>
      <c r="K182" s="29"/>
      <c r="L182" s="26"/>
      <c r="M182" s="26"/>
      <c r="N182" s="26"/>
      <c r="U182" s="26"/>
      <c r="V182" s="26"/>
      <c r="W182" s="26"/>
    </row>
    <row r="183" spans="3:23" ht="14.1" customHeight="1">
      <c r="C183" s="3339"/>
      <c r="D183" s="3339"/>
      <c r="E183" s="3378"/>
      <c r="F183" s="3378"/>
      <c r="G183" s="26"/>
      <c r="H183" s="26"/>
      <c r="I183" s="80"/>
      <c r="J183" s="525"/>
      <c r="K183" s="525"/>
      <c r="L183" s="122"/>
      <c r="M183" s="122"/>
      <c r="N183" s="122"/>
      <c r="U183" s="122"/>
      <c r="V183" s="122"/>
      <c r="W183" s="122"/>
    </row>
    <row r="184" spans="3:23" ht="14.1" customHeight="1">
      <c r="C184" s="3339"/>
      <c r="D184" s="3339"/>
      <c r="E184" s="3378"/>
      <c r="F184" s="3378"/>
      <c r="G184" s="26"/>
      <c r="H184" s="26"/>
      <c r="I184" s="80"/>
      <c r="J184" s="29"/>
      <c r="K184" s="29"/>
      <c r="L184" s="26"/>
      <c r="M184" s="26"/>
      <c r="N184" s="26"/>
      <c r="U184" s="26"/>
      <c r="V184" s="26"/>
      <c r="W184" s="26"/>
    </row>
    <row r="185" spans="3:23" ht="14.1" customHeight="1">
      <c r="C185" s="3339"/>
      <c r="D185" s="3339"/>
      <c r="E185" s="3378"/>
      <c r="F185" s="3378"/>
      <c r="G185" s="26"/>
      <c r="H185" s="26"/>
      <c r="I185" s="80"/>
      <c r="J185" s="525"/>
      <c r="K185" s="525"/>
      <c r="L185" s="122"/>
      <c r="M185" s="122"/>
      <c r="N185" s="122"/>
      <c r="U185" s="122"/>
      <c r="V185" s="122"/>
      <c r="W185" s="122"/>
    </row>
    <row r="186" spans="3:23" ht="14.1" customHeight="1">
      <c r="C186" s="3339"/>
      <c r="D186" s="3339"/>
      <c r="E186" s="3378"/>
      <c r="F186" s="3378"/>
      <c r="G186" s="26"/>
      <c r="H186" s="26"/>
      <c r="I186" s="80"/>
      <c r="J186" s="29"/>
      <c r="K186" s="29"/>
      <c r="L186" s="26"/>
      <c r="M186" s="26"/>
      <c r="N186" s="26"/>
      <c r="U186" s="26"/>
      <c r="V186" s="26"/>
      <c r="W186" s="26"/>
    </row>
    <row r="187" spans="3:23" ht="14.1" customHeight="1">
      <c r="C187" s="3339"/>
      <c r="D187" s="3339"/>
      <c r="E187" s="3378"/>
      <c r="F187" s="3378"/>
      <c r="G187" s="26"/>
      <c r="H187" s="26"/>
      <c r="I187" s="80"/>
      <c r="J187" s="525"/>
      <c r="K187" s="525"/>
      <c r="L187" s="122"/>
      <c r="M187" s="122"/>
      <c r="N187" s="122"/>
      <c r="U187" s="122"/>
      <c r="V187" s="122"/>
      <c r="W187" s="122"/>
    </row>
    <row r="188" spans="3:23" ht="14.1" customHeight="1">
      <c r="C188" s="3339"/>
      <c r="D188" s="3339"/>
      <c r="E188" s="3378"/>
      <c r="F188" s="3378"/>
      <c r="G188" s="26"/>
      <c r="H188" s="26"/>
      <c r="I188" s="5"/>
      <c r="J188" s="29"/>
      <c r="K188" s="29"/>
      <c r="L188" s="26"/>
      <c r="M188" s="26"/>
      <c r="N188" s="26"/>
      <c r="U188" s="26"/>
      <c r="V188" s="26"/>
      <c r="W188" s="26"/>
    </row>
    <row r="189" spans="3:23" ht="14.1" customHeight="1">
      <c r="C189" s="3339"/>
      <c r="D189" s="3339"/>
      <c r="E189" s="3378"/>
      <c r="F189" s="3378"/>
      <c r="G189" s="26"/>
      <c r="H189" s="26"/>
      <c r="I189" s="5"/>
      <c r="J189" s="525"/>
      <c r="K189" s="525"/>
      <c r="L189" s="122"/>
      <c r="M189" s="122"/>
      <c r="N189" s="122"/>
      <c r="U189" s="122"/>
      <c r="V189" s="122"/>
      <c r="W189" s="122"/>
    </row>
  </sheetData>
  <sheetProtection sheet="1" objects="1" scenarios="1"/>
  <customSheetViews>
    <customSheetView guid="{3320ADAB-1745-4CE0-B739-BF2E8269138B}" showGridLines="0" fitToPage="1" showRuler="0" topLeftCell="A76">
      <selection activeCell="C96" sqref="C96"/>
      <pageMargins left="0.4" right="0.4" top="0.4" bottom="0.4" header="0.5" footer="0.5"/>
      <printOptions horizontalCentered="1"/>
      <pageSetup scale="48" orientation="portrait" r:id="rId1"/>
      <headerFooter alignWithMargins="0"/>
    </customSheetView>
    <customSheetView guid="{D1431318-1DB8-4C45-813B-5A8065DFC797}" showPageBreaks="1" showGridLines="0" printArea="1" view="pageBreakPreview">
      <selection activeCell="M6" sqref="M6"/>
      <rowBreaks count="3" manualBreakCount="3">
        <brk id="47" max="14" man="1"/>
        <brk id="85" max="14" man="1"/>
        <brk id="118" max="14" man="1"/>
      </rowBreaks>
      <pageMargins left="0.25" right="0.25" top="0.75" bottom="0.75" header="0.3" footer="0.3"/>
      <printOptions horizontalCentered="1"/>
      <pageSetup fitToHeight="2" orientation="portrait" blackAndWhite="1" r:id="rId2"/>
      <headerFooter alignWithMargins="0"/>
    </customSheetView>
  </customSheetViews>
  <mergeCells count="160">
    <mergeCell ref="J56:K56"/>
    <mergeCell ref="L56:M56"/>
    <mergeCell ref="S65:AD66"/>
    <mergeCell ref="U75:V75"/>
    <mergeCell ref="C10:D10"/>
    <mergeCell ref="R27:AC29"/>
    <mergeCell ref="C8:D8"/>
    <mergeCell ref="H12:I12"/>
    <mergeCell ref="L51:M51"/>
    <mergeCell ref="L37:M37"/>
    <mergeCell ref="H47:I47"/>
    <mergeCell ref="F40:G40"/>
    <mergeCell ref="F51:G51"/>
    <mergeCell ref="J35:K35"/>
    <mergeCell ref="D35:E35"/>
    <mergeCell ref="I49:J49"/>
    <mergeCell ref="H45:I45"/>
    <mergeCell ref="K47:L47"/>
    <mergeCell ref="C49:D49"/>
    <mergeCell ref="F49:G49"/>
    <mergeCell ref="I51:J51"/>
    <mergeCell ref="E47:F47"/>
    <mergeCell ref="V73:W73"/>
    <mergeCell ref="G35:H35"/>
    <mergeCell ref="C51:D51"/>
    <mergeCell ref="B54:M54"/>
    <mergeCell ref="E1:J1"/>
    <mergeCell ref="K8:L8"/>
    <mergeCell ref="K10:L10"/>
    <mergeCell ref="F4:G4"/>
    <mergeCell ref="F6:G6"/>
    <mergeCell ref="F12:G12"/>
    <mergeCell ref="I2:J2"/>
    <mergeCell ref="K2:L2"/>
    <mergeCell ref="G8:H8"/>
    <mergeCell ref="G10:H10"/>
    <mergeCell ref="E8:F8"/>
    <mergeCell ref="I8:J8"/>
    <mergeCell ref="E10:F10"/>
    <mergeCell ref="I10:J10"/>
    <mergeCell ref="C12:D12"/>
    <mergeCell ref="K31:L31"/>
    <mergeCell ref="K29:L29"/>
    <mergeCell ref="K12:L12"/>
    <mergeCell ref="K40:L40"/>
    <mergeCell ref="L20:M20"/>
    <mergeCell ref="L27:M27"/>
    <mergeCell ref="K42:L42"/>
    <mergeCell ref="C189:D189"/>
    <mergeCell ref="C188:D188"/>
    <mergeCell ref="E187:F187"/>
    <mergeCell ref="E188:F188"/>
    <mergeCell ref="E189:F189"/>
    <mergeCell ref="E183:F183"/>
    <mergeCell ref="C186:D186"/>
    <mergeCell ref="E186:F186"/>
    <mergeCell ref="C184:D184"/>
    <mergeCell ref="E185:F185"/>
    <mergeCell ref="E184:F184"/>
    <mergeCell ref="C187:D187"/>
    <mergeCell ref="C185:D185"/>
    <mergeCell ref="C183:D183"/>
    <mergeCell ref="C174:D174"/>
    <mergeCell ref="E181:F181"/>
    <mergeCell ref="E182:F182"/>
    <mergeCell ref="AE75:AF75"/>
    <mergeCell ref="H119:I119"/>
    <mergeCell ref="G113:H113"/>
    <mergeCell ref="K116:L116"/>
    <mergeCell ref="X75:Y75"/>
    <mergeCell ref="E177:F177"/>
    <mergeCell ref="H111:I111"/>
    <mergeCell ref="L113:M113"/>
    <mergeCell ref="L121:M121"/>
    <mergeCell ref="E173:F173"/>
    <mergeCell ref="C182:D182"/>
    <mergeCell ref="C181:D181"/>
    <mergeCell ref="E180:F180"/>
    <mergeCell ref="E169:F169"/>
    <mergeCell ref="C175:D175"/>
    <mergeCell ref="C180:D180"/>
    <mergeCell ref="C179:D179"/>
    <mergeCell ref="H104:I104"/>
    <mergeCell ref="E166:F166"/>
    <mergeCell ref="F96:G96"/>
    <mergeCell ref="C102:D102"/>
    <mergeCell ref="C165:D165"/>
    <mergeCell ref="C166:D166"/>
    <mergeCell ref="E174:F174"/>
    <mergeCell ref="C167:D167"/>
    <mergeCell ref="C119:D119"/>
    <mergeCell ref="E179:F179"/>
    <mergeCell ref="C173:D173"/>
    <mergeCell ref="E175:F175"/>
    <mergeCell ref="C178:D178"/>
    <mergeCell ref="E178:F178"/>
    <mergeCell ref="C172:D172"/>
    <mergeCell ref="E172:F172"/>
    <mergeCell ref="C168:D168"/>
    <mergeCell ref="C169:D169"/>
    <mergeCell ref="C170:D170"/>
    <mergeCell ref="E168:F168"/>
    <mergeCell ref="E170:F170"/>
    <mergeCell ref="C171:D171"/>
    <mergeCell ref="E171:F171"/>
    <mergeCell ref="E167:F167"/>
    <mergeCell ref="E165:F165"/>
    <mergeCell ref="C176:D176"/>
    <mergeCell ref="C177:D177"/>
    <mergeCell ref="E176:F176"/>
    <mergeCell ref="H102:I102"/>
    <mergeCell ref="J104:K104"/>
    <mergeCell ref="L104:M104"/>
    <mergeCell ref="J108:K108"/>
    <mergeCell ref="L92:M92"/>
    <mergeCell ref="M102:N102"/>
    <mergeCell ref="J92:K92"/>
    <mergeCell ref="C82:M82"/>
    <mergeCell ref="F86:G86"/>
    <mergeCell ref="M108:N108"/>
    <mergeCell ref="R85:V85"/>
    <mergeCell ref="H84:J84"/>
    <mergeCell ref="K84:M84"/>
    <mergeCell ref="F99:G99"/>
    <mergeCell ref="C99:D99"/>
    <mergeCell ref="L96:M96"/>
    <mergeCell ref="I96:J96"/>
    <mergeCell ref="C96:D96"/>
    <mergeCell ref="I86:J86"/>
    <mergeCell ref="K86:L86"/>
    <mergeCell ref="I99:J99"/>
    <mergeCell ref="C90:M90"/>
    <mergeCell ref="E164:F164"/>
    <mergeCell ref="C108:D108"/>
    <mergeCell ref="C162:D163"/>
    <mergeCell ref="E162:F163"/>
    <mergeCell ref="C111:D111"/>
    <mergeCell ref="G121:H121"/>
    <mergeCell ref="C116:D116"/>
    <mergeCell ref="F108:G108"/>
    <mergeCell ref="C164:D164"/>
    <mergeCell ref="F116:G116"/>
    <mergeCell ref="C125:M125"/>
    <mergeCell ref="D40:E40"/>
    <mergeCell ref="I40:J40"/>
    <mergeCell ref="H20:I20"/>
    <mergeCell ref="B21:D21"/>
    <mergeCell ref="G14:I14"/>
    <mergeCell ref="E20:F20"/>
    <mergeCell ref="D33:E33"/>
    <mergeCell ref="D25:E25"/>
    <mergeCell ref="G25:H25"/>
    <mergeCell ref="D27:E27"/>
    <mergeCell ref="J25:K25"/>
    <mergeCell ref="I27:K27"/>
    <mergeCell ref="G27:H27"/>
    <mergeCell ref="K14:M14"/>
    <mergeCell ref="L23:M23"/>
    <mergeCell ref="J33:K33"/>
    <mergeCell ref="G33:H33"/>
  </mergeCells>
  <phoneticPr fontId="22" type="noConversion"/>
  <dataValidations count="7">
    <dataValidation allowBlank="1" showInputMessage="1" showErrorMessage="1" prompt="&lt;1% value = 0_x000a_&gt;1% slope &gt;1 foot" sqref="F96:G96"/>
    <dataValidation type="list" allowBlank="1" showInputMessage="1" showErrorMessage="1" sqref="K31">
      <formula1>AtGradeDown</formula1>
    </dataValidation>
    <dataValidation type="list" allowBlank="1" showInputMessage="1" showErrorMessage="1" sqref="L23">
      <formula1>AtGradeUp</formula1>
    </dataValidation>
    <dataValidation allowBlank="1" showInputMessage="1" showErrorMessage="1" error="Cannot exceed 15" sqref="K8:L8"/>
    <dataValidation allowBlank="1" showInputMessage="1" showErrorMessage="1" prompt="Select value from Table I" sqref="M6"/>
    <dataValidation allowBlank="1" showInputMessage="1" showErrorMessage="1" promptTitle="Type of Distribution Product" prompt="Rock or Registered Product" sqref="G14:I14"/>
    <dataValidation allowBlank="1" showInputMessage="1" showErrorMessage="1" promptTitle="Registered Product" prompt="If using a Registered Product, choose which product_x000a_ " sqref="K14:M14"/>
  </dataValidations>
  <printOptions horizontalCentered="1"/>
  <pageMargins left="0.25" right="0.25" top="0.75" bottom="0.75" header="0.3" footer="0.3"/>
  <pageSetup scale="90" fitToHeight="2" orientation="portrait" blackAndWhite="1" r:id="rId3"/>
  <headerFooter alignWithMargins="0"/>
  <rowBreaks count="2" manualBreakCount="2">
    <brk id="43" max="13" man="1"/>
    <brk id="91" max="13" man="1"/>
  </rowBreaks>
  <ignoredErrors>
    <ignoredError sqref="C23 C24 C26 C29 C31 C32 C34 C37 C39 C42" numberStoredAsText="1"/>
  </ignoredErrors>
  <drawing r:id="rId4"/>
  <extLst>
    <ext xmlns:x14="http://schemas.microsoft.com/office/spreadsheetml/2009/9/main" uri="{CCE6A557-97BC-4b89-ADB6-D9C93CAAB3DF}">
      <x14:dataValidations xmlns:xm="http://schemas.microsoft.com/office/excel/2006/main" count="1">
        <x14:dataValidation type="list" errorStyle="information" allowBlank="1" showInputMessage="1" showErrorMessage="1" error="Check inches of rock" prompt="Inches of Rock Below Pipe">
          <x14:formula1>
            <xm:f>'Drop-Down Lists'!$F$69:$F$75</xm:f>
          </x14:formula1>
          <xm:sqref>C20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indexed="13"/>
  </sheetPr>
  <dimension ref="A1:AP54"/>
  <sheetViews>
    <sheetView showGridLines="0" view="pageBreakPreview" zoomScaleNormal="100" zoomScaleSheetLayoutView="100" workbookViewId="0">
      <selection activeCell="F11" sqref="F11"/>
    </sheetView>
  </sheetViews>
  <sheetFormatPr defaultColWidth="8.88671875" defaultRowHeight="11.4"/>
  <cols>
    <col min="1" max="1" width="1.109375" style="1504" customWidth="1"/>
    <col min="2" max="21" width="4.88671875" style="1504" customWidth="1"/>
    <col min="22" max="22" width="1.109375" style="1504" customWidth="1"/>
    <col min="23" max="16384" width="8.88671875" style="1504"/>
  </cols>
  <sheetData>
    <row r="1" spans="1:22" s="1505" customFormat="1" ht="13.5" customHeight="1">
      <c r="A1" s="1508"/>
      <c r="B1" s="1509" t="str">
        <f>'Drop-Down Lists'!J40</f>
        <v>v 04.01.2021</v>
      </c>
      <c r="C1" s="1509"/>
      <c r="D1" s="1509"/>
      <c r="E1" s="1509"/>
      <c r="F1" s="1509"/>
      <c r="G1" s="1509"/>
      <c r="H1" s="1509"/>
      <c r="I1" s="1509"/>
      <c r="J1" s="1509"/>
      <c r="K1" s="1509"/>
      <c r="L1" s="1509"/>
      <c r="M1" s="1509"/>
      <c r="N1" s="1509"/>
      <c r="O1" s="1509"/>
      <c r="P1" s="1509"/>
      <c r="Q1" s="1509"/>
      <c r="R1" s="1509"/>
      <c r="S1" s="1509"/>
      <c r="T1" s="1509"/>
      <c r="U1" s="1509"/>
      <c r="V1" s="1510"/>
    </row>
    <row r="2" spans="1:22" s="1505" customFormat="1" ht="13.5" customHeight="1">
      <c r="A2" s="1511"/>
      <c r="B2" s="2740" t="s">
        <v>2148</v>
      </c>
      <c r="C2" s="2740"/>
      <c r="D2" s="2740"/>
      <c r="E2" s="2740"/>
      <c r="F2" s="2740"/>
      <c r="G2" s="2740"/>
      <c r="H2" s="2740"/>
      <c r="I2" s="2740"/>
      <c r="J2" s="2740"/>
      <c r="K2" s="2740"/>
      <c r="L2" s="2740"/>
      <c r="M2" s="2740"/>
      <c r="N2" s="2740"/>
      <c r="O2" s="2740"/>
      <c r="P2" s="2740"/>
      <c r="Q2" s="2740"/>
      <c r="R2" s="2740"/>
      <c r="S2" s="2740"/>
      <c r="T2" s="2740"/>
      <c r="U2" s="2740"/>
      <c r="V2" s="1512"/>
    </row>
    <row r="3" spans="1:22" s="1505" customFormat="1" ht="13.5" customHeight="1">
      <c r="A3" s="1513"/>
      <c r="B3" s="2741"/>
      <c r="C3" s="2741"/>
      <c r="D3" s="2741"/>
      <c r="E3" s="2741"/>
      <c r="F3" s="2741"/>
      <c r="G3" s="2741"/>
      <c r="H3" s="2741"/>
      <c r="I3" s="2741"/>
      <c r="J3" s="2741"/>
      <c r="K3" s="2741"/>
      <c r="L3" s="2741"/>
      <c r="M3" s="2741"/>
      <c r="N3" s="2741"/>
      <c r="O3" s="2741"/>
      <c r="P3" s="2741"/>
      <c r="Q3" s="2741"/>
      <c r="R3" s="2741"/>
      <c r="S3" s="2741"/>
      <c r="T3" s="2741"/>
      <c r="U3" s="2741"/>
      <c r="V3" s="1514"/>
    </row>
    <row r="4" spans="1:22" s="1505" customFormat="1" ht="13.5" customHeight="1">
      <c r="A4" s="1515"/>
      <c r="B4" s="2742"/>
      <c r="C4" s="2742"/>
      <c r="D4" s="2742"/>
      <c r="E4" s="2742"/>
      <c r="F4" s="2742"/>
      <c r="G4" s="2742"/>
      <c r="H4" s="2742"/>
      <c r="I4" s="2742"/>
      <c r="J4" s="2742"/>
      <c r="K4" s="2742"/>
      <c r="L4" s="2742"/>
      <c r="M4" s="2742"/>
      <c r="N4" s="2742"/>
      <c r="O4" s="2742"/>
      <c r="P4" s="2742"/>
      <c r="Q4" s="2742"/>
      <c r="R4" s="2742"/>
      <c r="S4" s="2742"/>
      <c r="T4" s="2742"/>
      <c r="U4" s="2742"/>
      <c r="V4" s="1516"/>
    </row>
    <row r="5" spans="1:22" s="1505" customFormat="1" ht="13.5" customHeight="1">
      <c r="A5" s="1517"/>
      <c r="B5" s="2100"/>
      <c r="C5" s="2099" t="s">
        <v>1123</v>
      </c>
      <c r="D5" s="2100"/>
      <c r="E5" s="2100"/>
      <c r="F5" s="2100"/>
      <c r="G5" s="2099"/>
      <c r="H5" s="2099" t="s">
        <v>1532</v>
      </c>
      <c r="I5" s="2100"/>
      <c r="J5" s="2099"/>
      <c r="K5" s="2099"/>
      <c r="L5" s="2100"/>
      <c r="M5" s="2100"/>
      <c r="N5" s="2100"/>
      <c r="O5" s="2099" t="s">
        <v>1541</v>
      </c>
      <c r="P5" s="2100"/>
      <c r="Q5" s="2100"/>
      <c r="R5" s="2100"/>
      <c r="S5" s="2100"/>
      <c r="T5" s="2100"/>
      <c r="U5" s="2100"/>
      <c r="V5" s="1518"/>
    </row>
    <row r="6" spans="1:22" s="1505" customFormat="1" ht="13.5" customHeight="1">
      <c r="A6" s="1517"/>
      <c r="B6" s="2100"/>
      <c r="C6" s="2099" t="s">
        <v>1125</v>
      </c>
      <c r="D6" s="2100"/>
      <c r="E6" s="2100"/>
      <c r="F6" s="2100"/>
      <c r="G6" s="2099"/>
      <c r="H6" s="2099" t="s">
        <v>1533</v>
      </c>
      <c r="I6" s="2100"/>
      <c r="J6" s="2099"/>
      <c r="K6" s="2099"/>
      <c r="L6" s="2100"/>
      <c r="M6" s="2100"/>
      <c r="N6" s="2100"/>
      <c r="O6" s="2099" t="s">
        <v>1542</v>
      </c>
      <c r="P6" s="2100"/>
      <c r="Q6" s="2100"/>
      <c r="R6" s="2100"/>
      <c r="S6" s="2100"/>
      <c r="T6" s="2100"/>
      <c r="U6" s="2100"/>
      <c r="V6" s="1518"/>
    </row>
    <row r="7" spans="1:22" s="1505" customFormat="1" ht="13.5" customHeight="1">
      <c r="A7" s="1517"/>
      <c r="B7" s="2100"/>
      <c r="C7" s="2099" t="s">
        <v>2146</v>
      </c>
      <c r="D7" s="2100"/>
      <c r="E7" s="2100"/>
      <c r="F7" s="2100"/>
      <c r="G7" s="2099"/>
      <c r="H7" s="2099" t="s">
        <v>1534</v>
      </c>
      <c r="I7" s="2100"/>
      <c r="J7" s="2099"/>
      <c r="K7" s="2099"/>
      <c r="L7" s="2100"/>
      <c r="M7" s="2100"/>
      <c r="N7" s="2100"/>
      <c r="O7" s="2099" t="s">
        <v>1543</v>
      </c>
      <c r="P7" s="2100"/>
      <c r="Q7" s="2100"/>
      <c r="R7" s="2100"/>
      <c r="S7" s="2100"/>
      <c r="T7" s="2100"/>
      <c r="U7" s="2100"/>
      <c r="V7" s="1518"/>
    </row>
    <row r="8" spans="1:22" s="1505" customFormat="1" ht="13.5" customHeight="1">
      <c r="A8" s="1517"/>
      <c r="B8" s="2100"/>
      <c r="C8" s="2101" t="s">
        <v>2147</v>
      </c>
      <c r="D8" s="2100"/>
      <c r="E8" s="2100"/>
      <c r="F8" s="2100"/>
      <c r="G8" s="2099"/>
      <c r="H8" s="2099" t="s">
        <v>1535</v>
      </c>
      <c r="I8" s="2100"/>
      <c r="J8" s="2099"/>
      <c r="K8" s="2099"/>
      <c r="L8" s="2100"/>
      <c r="M8" s="2100"/>
      <c r="N8" s="2100"/>
      <c r="O8" s="2099" t="s">
        <v>1544</v>
      </c>
      <c r="P8" s="2100"/>
      <c r="Q8" s="2100"/>
      <c r="R8" s="2100"/>
      <c r="S8" s="2100"/>
      <c r="T8" s="2100"/>
      <c r="U8" s="2100"/>
      <c r="V8" s="1518"/>
    </row>
    <row r="9" spans="1:22" s="1505" customFormat="1" ht="13.5" customHeight="1">
      <c r="A9" s="1517"/>
      <c r="B9" s="2100"/>
      <c r="C9" s="2099" t="s">
        <v>1124</v>
      </c>
      <c r="D9" s="2100"/>
      <c r="E9" s="2100"/>
      <c r="F9" s="2100"/>
      <c r="G9" s="2099"/>
      <c r="H9" s="2099" t="s">
        <v>1536</v>
      </c>
      <c r="I9" s="2100"/>
      <c r="J9" s="2099"/>
      <c r="K9" s="2099"/>
      <c r="L9" s="2100"/>
      <c r="M9" s="2100"/>
      <c r="N9" s="2100"/>
      <c r="O9" s="2099" t="s">
        <v>1545</v>
      </c>
      <c r="P9" s="2100"/>
      <c r="Q9" s="2100"/>
      <c r="R9" s="2100"/>
      <c r="S9" s="2100"/>
      <c r="T9" s="2100"/>
      <c r="U9" s="2100"/>
      <c r="V9" s="1518"/>
    </row>
    <row r="10" spans="1:22" s="1505" customFormat="1" ht="13.5" customHeight="1">
      <c r="A10" s="1517"/>
      <c r="B10" s="2100"/>
      <c r="C10" s="2099" t="s">
        <v>1126</v>
      </c>
      <c r="D10" s="2100"/>
      <c r="E10" s="2100"/>
      <c r="F10" s="2100"/>
      <c r="G10" s="2099"/>
      <c r="H10" s="2099" t="s">
        <v>1537</v>
      </c>
      <c r="I10" s="2100"/>
      <c r="J10" s="2099"/>
      <c r="K10" s="2099"/>
      <c r="L10" s="2100"/>
      <c r="M10" s="2100"/>
      <c r="N10" s="2100"/>
      <c r="O10" s="2099" t="s">
        <v>1546</v>
      </c>
      <c r="P10" s="2100"/>
      <c r="Q10" s="2100"/>
      <c r="R10" s="2100"/>
      <c r="S10" s="2100"/>
      <c r="T10" s="2100"/>
      <c r="U10" s="2100"/>
      <c r="V10" s="1518"/>
    </row>
    <row r="11" spans="1:22" s="1505" customFormat="1" ht="13.5" customHeight="1">
      <c r="A11" s="1517"/>
      <c r="B11" s="2100"/>
      <c r="C11" s="2099" t="s">
        <v>1529</v>
      </c>
      <c r="D11" s="2100"/>
      <c r="E11" s="2100"/>
      <c r="F11" s="2100"/>
      <c r="G11" s="2099"/>
      <c r="H11" s="2099" t="s">
        <v>1538</v>
      </c>
      <c r="I11" s="2100"/>
      <c r="J11" s="2099"/>
      <c r="K11" s="2099"/>
      <c r="L11" s="2100"/>
      <c r="M11" s="2100"/>
      <c r="N11" s="2100"/>
      <c r="O11" s="2099" t="s">
        <v>1547</v>
      </c>
      <c r="P11" s="2100"/>
      <c r="Q11" s="2100"/>
      <c r="R11" s="2100"/>
      <c r="S11" s="2100"/>
      <c r="T11" s="2100"/>
      <c r="U11" s="2100"/>
      <c r="V11" s="1518"/>
    </row>
    <row r="12" spans="1:22" s="1505" customFormat="1" ht="13.5" customHeight="1">
      <c r="A12" s="1517"/>
      <c r="B12" s="2100"/>
      <c r="C12" s="2101" t="s">
        <v>1530</v>
      </c>
      <c r="D12" s="2100"/>
      <c r="E12" s="2099"/>
      <c r="F12" s="2100"/>
      <c r="G12" s="2099"/>
      <c r="H12" s="2099" t="s">
        <v>1539</v>
      </c>
      <c r="I12" s="2100"/>
      <c r="J12" s="2099"/>
      <c r="K12" s="2099"/>
      <c r="L12" s="2100"/>
      <c r="M12" s="2100"/>
      <c r="N12" s="2100"/>
      <c r="O12" s="2099" t="s">
        <v>1548</v>
      </c>
      <c r="P12" s="2100"/>
      <c r="Q12" s="2100"/>
      <c r="R12" s="2100"/>
      <c r="S12" s="2100"/>
      <c r="T12" s="2100"/>
      <c r="U12" s="2100"/>
      <c r="V12" s="1518"/>
    </row>
    <row r="13" spans="1:22" s="1505" customFormat="1" ht="13.5" customHeight="1">
      <c r="A13" s="1517"/>
      <c r="B13" s="2100"/>
      <c r="C13" s="2099" t="s">
        <v>1531</v>
      </c>
      <c r="D13" s="2100"/>
      <c r="E13" s="2099"/>
      <c r="F13" s="2100"/>
      <c r="G13" s="2099"/>
      <c r="H13" s="2099" t="s">
        <v>1540</v>
      </c>
      <c r="I13" s="2100"/>
      <c r="J13" s="2099"/>
      <c r="K13" s="2099"/>
      <c r="L13" s="2100"/>
      <c r="M13" s="2100"/>
      <c r="N13" s="2100"/>
      <c r="O13" s="2099" t="s">
        <v>1848</v>
      </c>
      <c r="P13" s="2100"/>
      <c r="Q13" s="2100"/>
      <c r="R13" s="2100"/>
      <c r="S13" s="2100"/>
      <c r="T13" s="2100"/>
      <c r="U13" s="2100"/>
      <c r="V13" s="1518"/>
    </row>
    <row r="14" spans="1:22" s="1505" customFormat="1" ht="13.5" customHeight="1">
      <c r="A14" s="1511"/>
      <c r="B14" s="2746" t="s">
        <v>1646</v>
      </c>
      <c r="C14" s="2746"/>
      <c r="D14" s="2746"/>
      <c r="E14" s="2746"/>
      <c r="F14" s="2746"/>
      <c r="G14" s="2746"/>
      <c r="H14" s="2746"/>
      <c r="I14" s="2746"/>
      <c r="J14" s="2746"/>
      <c r="K14" s="2746"/>
      <c r="L14" s="2746"/>
      <c r="M14" s="2746"/>
      <c r="N14" s="2746"/>
      <c r="O14" s="2746"/>
      <c r="P14" s="2746"/>
      <c r="Q14" s="2746"/>
      <c r="R14" s="2746"/>
      <c r="S14" s="2746"/>
      <c r="T14" s="2746"/>
      <c r="U14" s="2746"/>
      <c r="V14" s="1512"/>
    </row>
    <row r="15" spans="1:22" s="1505" customFormat="1" ht="13.5" customHeight="1">
      <c r="A15" s="1515"/>
      <c r="B15" s="2747"/>
      <c r="C15" s="2747"/>
      <c r="D15" s="2747"/>
      <c r="E15" s="2747"/>
      <c r="F15" s="2747"/>
      <c r="G15" s="2747"/>
      <c r="H15" s="2747"/>
      <c r="I15" s="2747"/>
      <c r="J15" s="2747"/>
      <c r="K15" s="2747"/>
      <c r="L15" s="2747"/>
      <c r="M15" s="2747"/>
      <c r="N15" s="2747"/>
      <c r="O15" s="2747"/>
      <c r="P15" s="2747"/>
      <c r="Q15" s="2747"/>
      <c r="R15" s="2747"/>
      <c r="S15" s="2747"/>
      <c r="T15" s="2747"/>
      <c r="U15" s="2747"/>
      <c r="V15" s="1516"/>
    </row>
    <row r="16" spans="1:22" s="1505" customFormat="1" ht="13.5" customHeight="1">
      <c r="A16" s="1517"/>
      <c r="B16" s="1220" t="s">
        <v>1112</v>
      </c>
      <c r="C16" s="1220"/>
      <c r="D16" s="1220"/>
      <c r="E16" s="1220"/>
      <c r="F16" s="1220"/>
      <c r="G16" s="1220"/>
      <c r="H16" s="1220"/>
      <c r="I16" s="1220"/>
      <c r="J16" s="1220"/>
      <c r="K16" s="1220"/>
      <c r="L16" s="1220"/>
      <c r="M16" s="1506"/>
      <c r="N16" s="1506"/>
      <c r="O16" s="1506"/>
      <c r="P16" s="1506"/>
      <c r="Q16" s="1506"/>
      <c r="R16" s="1506"/>
      <c r="S16" s="1506"/>
      <c r="T16" s="1506"/>
      <c r="U16" s="1506"/>
      <c r="V16" s="1518"/>
    </row>
    <row r="17" spans="1:22" s="1505" customFormat="1" ht="13.5" customHeight="1">
      <c r="A17" s="1517"/>
      <c r="B17" s="2738" t="s">
        <v>1528</v>
      </c>
      <c r="C17" s="2738"/>
      <c r="D17" s="2738"/>
      <c r="E17" s="2738"/>
      <c r="F17" s="2738"/>
      <c r="G17" s="2738"/>
      <c r="H17" s="2738"/>
      <c r="I17" s="2738"/>
      <c r="J17" s="2738"/>
      <c r="K17" s="2738"/>
      <c r="L17" s="2738"/>
      <c r="M17" s="2738"/>
      <c r="N17" s="2738"/>
      <c r="O17" s="2738"/>
      <c r="P17" s="2738"/>
      <c r="Q17" s="2738"/>
      <c r="R17" s="2738"/>
      <c r="S17" s="2738"/>
      <c r="T17" s="2738"/>
      <c r="U17" s="2738"/>
      <c r="V17" s="1518"/>
    </row>
    <row r="18" spans="1:22" s="1505" customFormat="1" ht="13.5" customHeight="1">
      <c r="A18" s="1517"/>
      <c r="B18" s="2738"/>
      <c r="C18" s="2738"/>
      <c r="D18" s="2738"/>
      <c r="E18" s="2738"/>
      <c r="F18" s="2738"/>
      <c r="G18" s="2738"/>
      <c r="H18" s="2738"/>
      <c r="I18" s="2738"/>
      <c r="J18" s="2738"/>
      <c r="K18" s="2738"/>
      <c r="L18" s="2738"/>
      <c r="M18" s="2738"/>
      <c r="N18" s="2738"/>
      <c r="O18" s="2738"/>
      <c r="P18" s="2738"/>
      <c r="Q18" s="2738"/>
      <c r="R18" s="2738"/>
      <c r="S18" s="2738"/>
      <c r="T18" s="2738"/>
      <c r="U18" s="2738"/>
      <c r="V18" s="1518"/>
    </row>
    <row r="19" spans="1:22" s="1505" customFormat="1" ht="13.5" customHeight="1">
      <c r="A19" s="1517"/>
      <c r="B19" s="2738" t="s">
        <v>1113</v>
      </c>
      <c r="C19" s="2738"/>
      <c r="D19" s="2738"/>
      <c r="E19" s="2738"/>
      <c r="F19" s="2738"/>
      <c r="G19" s="2738"/>
      <c r="H19" s="2738"/>
      <c r="I19" s="2738"/>
      <c r="J19" s="2738"/>
      <c r="K19" s="2738"/>
      <c r="L19" s="2738"/>
      <c r="M19" s="2738"/>
      <c r="N19" s="2738"/>
      <c r="O19" s="2738"/>
      <c r="P19" s="2738"/>
      <c r="Q19" s="2738"/>
      <c r="R19" s="2738"/>
      <c r="S19" s="2738"/>
      <c r="T19" s="2738"/>
      <c r="U19" s="2738"/>
      <c r="V19" s="1518"/>
    </row>
    <row r="20" spans="1:22" s="1505" customFormat="1" ht="13.5" customHeight="1">
      <c r="A20" s="1519"/>
      <c r="B20" s="2739" t="s">
        <v>1114</v>
      </c>
      <c r="C20" s="2739"/>
      <c r="D20" s="2739"/>
      <c r="E20" s="2739"/>
      <c r="F20" s="2739"/>
      <c r="G20" s="2739"/>
      <c r="H20" s="2739"/>
      <c r="I20" s="2739"/>
      <c r="J20" s="2739"/>
      <c r="K20" s="2739"/>
      <c r="L20" s="2739"/>
      <c r="M20" s="2739"/>
      <c r="N20" s="2739"/>
      <c r="O20" s="2739"/>
      <c r="P20" s="2739"/>
      <c r="Q20" s="2739"/>
      <c r="R20" s="2739"/>
      <c r="S20" s="2739"/>
      <c r="T20" s="2739"/>
      <c r="U20" s="2739"/>
      <c r="V20" s="1520"/>
    </row>
    <row r="21" spans="1:22" s="1505" customFormat="1" ht="13.5" customHeight="1">
      <c r="A21" s="1517"/>
      <c r="B21" s="2738" t="s">
        <v>1115</v>
      </c>
      <c r="C21" s="2738"/>
      <c r="D21" s="2738"/>
      <c r="E21" s="2738"/>
      <c r="F21" s="2738"/>
      <c r="G21" s="2738"/>
      <c r="H21" s="2738"/>
      <c r="I21" s="2738"/>
      <c r="J21" s="2738"/>
      <c r="K21" s="2738"/>
      <c r="L21" s="2738"/>
      <c r="M21" s="2738"/>
      <c r="N21" s="2738"/>
      <c r="O21" s="2738"/>
      <c r="P21" s="2738"/>
      <c r="Q21" s="2738"/>
      <c r="R21" s="2738"/>
      <c r="S21" s="2738"/>
      <c r="T21" s="2738"/>
      <c r="U21" s="2738"/>
      <c r="V21" s="1518"/>
    </row>
    <row r="22" spans="1:22" s="1505" customFormat="1" ht="13.5" customHeight="1">
      <c r="A22" s="1517"/>
      <c r="B22" s="2738" t="s">
        <v>1648</v>
      </c>
      <c r="C22" s="2738"/>
      <c r="D22" s="2738"/>
      <c r="E22" s="2738"/>
      <c r="F22" s="2738"/>
      <c r="G22" s="2738"/>
      <c r="H22" s="2738"/>
      <c r="I22" s="2738"/>
      <c r="J22" s="2738"/>
      <c r="K22" s="2738"/>
      <c r="L22" s="2738"/>
      <c r="M22" s="2738"/>
      <c r="N22" s="2738"/>
      <c r="O22" s="2738"/>
      <c r="P22" s="2738"/>
      <c r="Q22" s="2738"/>
      <c r="R22" s="2738"/>
      <c r="S22" s="2738"/>
      <c r="T22" s="2738"/>
      <c r="U22" s="2738"/>
      <c r="V22" s="1518"/>
    </row>
    <row r="23" spans="1:22" s="1505" customFormat="1" ht="13.5" customHeight="1">
      <c r="A23" s="1517"/>
      <c r="B23" s="2738"/>
      <c r="C23" s="2738"/>
      <c r="D23" s="2738"/>
      <c r="E23" s="2738"/>
      <c r="F23" s="2738"/>
      <c r="G23" s="2738"/>
      <c r="H23" s="2738"/>
      <c r="I23" s="2738"/>
      <c r="J23" s="2738"/>
      <c r="K23" s="2738"/>
      <c r="L23" s="2738"/>
      <c r="M23" s="2738"/>
      <c r="N23" s="2738"/>
      <c r="O23" s="2738"/>
      <c r="P23" s="2738"/>
      <c r="Q23" s="2738"/>
      <c r="R23" s="2738"/>
      <c r="S23" s="2738"/>
      <c r="T23" s="2738"/>
      <c r="U23" s="2738"/>
      <c r="V23" s="1518"/>
    </row>
    <row r="24" spans="1:22" s="1505" customFormat="1" ht="13.5" customHeight="1">
      <c r="A24" s="1517"/>
      <c r="B24" s="2738"/>
      <c r="C24" s="2738"/>
      <c r="D24" s="2738"/>
      <c r="E24" s="2738"/>
      <c r="F24" s="2738"/>
      <c r="G24" s="2738"/>
      <c r="H24" s="2738"/>
      <c r="I24" s="2738"/>
      <c r="J24" s="2738"/>
      <c r="K24" s="2738"/>
      <c r="L24" s="2738"/>
      <c r="M24" s="2738"/>
      <c r="N24" s="2738"/>
      <c r="O24" s="2738"/>
      <c r="P24" s="2738"/>
      <c r="Q24" s="2738"/>
      <c r="R24" s="2738"/>
      <c r="S24" s="2738"/>
      <c r="T24" s="2738"/>
      <c r="U24" s="2738"/>
      <c r="V24" s="1518"/>
    </row>
    <row r="25" spans="1:22" s="1505" customFormat="1" ht="13.5" customHeight="1">
      <c r="A25" s="1517"/>
      <c r="B25" s="2738" t="s">
        <v>1116</v>
      </c>
      <c r="C25" s="2738"/>
      <c r="D25" s="2738"/>
      <c r="E25" s="2738"/>
      <c r="F25" s="2738"/>
      <c r="G25" s="2738"/>
      <c r="H25" s="2738"/>
      <c r="I25" s="2738"/>
      <c r="J25" s="2738"/>
      <c r="K25" s="2738"/>
      <c r="L25" s="2738"/>
      <c r="M25" s="2738"/>
      <c r="N25" s="2738"/>
      <c r="O25" s="2738"/>
      <c r="P25" s="2738"/>
      <c r="Q25" s="2738"/>
      <c r="R25" s="2738"/>
      <c r="S25" s="2738"/>
      <c r="T25" s="2738"/>
      <c r="U25" s="2738"/>
      <c r="V25" s="1518"/>
    </row>
    <row r="26" spans="1:22" s="1505" customFormat="1" ht="13.5" customHeight="1">
      <c r="A26" s="1519"/>
      <c r="B26" s="2739" t="s">
        <v>1117</v>
      </c>
      <c r="C26" s="2739"/>
      <c r="D26" s="2739"/>
      <c r="E26" s="2739"/>
      <c r="F26" s="2739"/>
      <c r="G26" s="2739"/>
      <c r="H26" s="2739"/>
      <c r="I26" s="2739"/>
      <c r="J26" s="2739"/>
      <c r="K26" s="2739"/>
      <c r="L26" s="2739"/>
      <c r="M26" s="2739"/>
      <c r="N26" s="2739"/>
      <c r="O26" s="2739"/>
      <c r="P26" s="2739"/>
      <c r="Q26" s="2739"/>
      <c r="R26" s="2739"/>
      <c r="S26" s="2739"/>
      <c r="T26" s="2739"/>
      <c r="U26" s="2739"/>
      <c r="V26" s="1520"/>
    </row>
    <row r="27" spans="1:22" s="1505" customFormat="1" ht="13.5" customHeight="1">
      <c r="A27" s="1517"/>
      <c r="B27" s="2738" t="s">
        <v>1477</v>
      </c>
      <c r="C27" s="2738"/>
      <c r="D27" s="2738"/>
      <c r="E27" s="2738"/>
      <c r="F27" s="2738"/>
      <c r="G27" s="2738"/>
      <c r="H27" s="2738"/>
      <c r="I27" s="2738"/>
      <c r="J27" s="2738"/>
      <c r="K27" s="2738"/>
      <c r="L27" s="2738"/>
      <c r="M27" s="2738"/>
      <c r="N27" s="2738"/>
      <c r="O27" s="2738"/>
      <c r="P27" s="2738"/>
      <c r="Q27" s="2738"/>
      <c r="R27" s="2738"/>
      <c r="S27" s="2738"/>
      <c r="T27" s="2738"/>
      <c r="U27" s="2738"/>
      <c r="V27" s="1518"/>
    </row>
    <row r="28" spans="1:22" s="1505" customFormat="1" ht="13.5" customHeight="1">
      <c r="A28" s="1517"/>
      <c r="B28" s="2738" t="s">
        <v>1478</v>
      </c>
      <c r="C28" s="2738"/>
      <c r="D28" s="2738"/>
      <c r="E28" s="2738"/>
      <c r="F28" s="2738"/>
      <c r="G28" s="2738"/>
      <c r="H28" s="2738"/>
      <c r="I28" s="2738"/>
      <c r="J28" s="2738"/>
      <c r="K28" s="2738"/>
      <c r="L28" s="2738"/>
      <c r="M28" s="2738"/>
      <c r="N28" s="2738"/>
      <c r="O28" s="2738"/>
      <c r="P28" s="2738"/>
      <c r="Q28" s="2738"/>
      <c r="R28" s="2738"/>
      <c r="S28" s="2738"/>
      <c r="T28" s="2738"/>
      <c r="U28" s="2738"/>
      <c r="V28" s="1518"/>
    </row>
    <row r="29" spans="1:22" s="1505" customFormat="1" ht="13.5" customHeight="1">
      <c r="A29" s="1517"/>
      <c r="B29" s="2738"/>
      <c r="C29" s="2738"/>
      <c r="D29" s="2738"/>
      <c r="E29" s="2738"/>
      <c r="F29" s="2738"/>
      <c r="G29" s="2738"/>
      <c r="H29" s="2738"/>
      <c r="I29" s="2738"/>
      <c r="J29" s="2738"/>
      <c r="K29" s="2738"/>
      <c r="L29" s="2738"/>
      <c r="M29" s="2738"/>
      <c r="N29" s="2738"/>
      <c r="O29" s="2738"/>
      <c r="P29" s="2738"/>
      <c r="Q29" s="2738"/>
      <c r="R29" s="2738"/>
      <c r="S29" s="2738"/>
      <c r="T29" s="2738"/>
      <c r="U29" s="2738"/>
      <c r="V29" s="1518"/>
    </row>
    <row r="30" spans="1:22" s="1505" customFormat="1" ht="13.5" customHeight="1">
      <c r="A30" s="1517"/>
      <c r="B30" s="2738"/>
      <c r="C30" s="2738"/>
      <c r="D30" s="2738"/>
      <c r="E30" s="2738"/>
      <c r="F30" s="2738"/>
      <c r="G30" s="2738"/>
      <c r="H30" s="2738"/>
      <c r="I30" s="2738"/>
      <c r="J30" s="2738"/>
      <c r="K30" s="2738"/>
      <c r="L30" s="2738"/>
      <c r="M30" s="2738"/>
      <c r="N30" s="2738"/>
      <c r="O30" s="2738"/>
      <c r="P30" s="2738"/>
      <c r="Q30" s="2738"/>
      <c r="R30" s="2738"/>
      <c r="S30" s="2738"/>
      <c r="T30" s="2738"/>
      <c r="U30" s="2738"/>
      <c r="V30" s="1518"/>
    </row>
    <row r="31" spans="1:22" s="1505" customFormat="1" ht="13.5" customHeight="1">
      <c r="A31" s="1517"/>
      <c r="B31" s="2738" t="s">
        <v>1527</v>
      </c>
      <c r="C31" s="2738"/>
      <c r="D31" s="2738"/>
      <c r="E31" s="2738"/>
      <c r="F31" s="2738"/>
      <c r="G31" s="2738"/>
      <c r="H31" s="2738"/>
      <c r="I31" s="2738"/>
      <c r="J31" s="2738"/>
      <c r="K31" s="2738"/>
      <c r="L31" s="2738"/>
      <c r="M31" s="2738"/>
      <c r="N31" s="2738"/>
      <c r="O31" s="2738"/>
      <c r="P31" s="2738"/>
      <c r="Q31" s="2738"/>
      <c r="R31" s="2738"/>
      <c r="S31" s="2738"/>
      <c r="T31" s="2738"/>
      <c r="U31" s="2738"/>
      <c r="V31" s="1518"/>
    </row>
    <row r="32" spans="1:22" s="1505" customFormat="1" ht="13.5" customHeight="1">
      <c r="A32" s="1519"/>
      <c r="B32" s="2739" t="s">
        <v>1118</v>
      </c>
      <c r="C32" s="2739"/>
      <c r="D32" s="2739"/>
      <c r="E32" s="2739"/>
      <c r="F32" s="2739"/>
      <c r="G32" s="2739"/>
      <c r="H32" s="2739"/>
      <c r="I32" s="2739"/>
      <c r="J32" s="2739"/>
      <c r="K32" s="2739"/>
      <c r="L32" s="2739"/>
      <c r="M32" s="2739"/>
      <c r="N32" s="2739"/>
      <c r="O32" s="2739"/>
      <c r="P32" s="2739"/>
      <c r="Q32" s="2739"/>
      <c r="R32" s="2739"/>
      <c r="S32" s="2739"/>
      <c r="T32" s="2739"/>
      <c r="U32" s="2739"/>
      <c r="V32" s="1520"/>
    </row>
    <row r="33" spans="1:42" s="1505" customFormat="1" ht="13.5" customHeight="1">
      <c r="A33" s="1517"/>
      <c r="B33" s="2743" t="s">
        <v>1651</v>
      </c>
      <c r="C33" s="2743"/>
      <c r="D33" s="2743"/>
      <c r="E33" s="2743"/>
      <c r="F33" s="2743"/>
      <c r="G33" s="2743"/>
      <c r="H33" s="2743"/>
      <c r="I33" s="2743"/>
      <c r="J33" s="2743"/>
      <c r="K33" s="2743"/>
      <c r="L33" s="2743"/>
      <c r="M33" s="2743"/>
      <c r="N33" s="2743"/>
      <c r="O33" s="2743"/>
      <c r="P33" s="2743"/>
      <c r="Q33" s="2743"/>
      <c r="R33" s="2743"/>
      <c r="S33" s="2743"/>
      <c r="T33" s="2743"/>
      <c r="U33" s="2743"/>
      <c r="V33" s="1518"/>
    </row>
    <row r="34" spans="1:42" s="1505" customFormat="1" ht="13.5" customHeight="1">
      <c r="A34" s="1517"/>
      <c r="B34" s="2738"/>
      <c r="C34" s="2738"/>
      <c r="D34" s="2738"/>
      <c r="E34" s="2738"/>
      <c r="F34" s="2738"/>
      <c r="G34" s="2738"/>
      <c r="H34" s="2738"/>
      <c r="I34" s="2738"/>
      <c r="J34" s="2738"/>
      <c r="K34" s="2738"/>
      <c r="L34" s="2738"/>
      <c r="M34" s="2738"/>
      <c r="N34" s="2738"/>
      <c r="O34" s="2738"/>
      <c r="P34" s="2738"/>
      <c r="Q34" s="2738"/>
      <c r="R34" s="2738"/>
      <c r="S34" s="2738"/>
      <c r="T34" s="2738"/>
      <c r="U34" s="2738"/>
      <c r="V34" s="1518"/>
    </row>
    <row r="35" spans="1:42" s="1505" customFormat="1" ht="13.5" customHeight="1">
      <c r="A35" s="1517"/>
      <c r="B35" s="2745"/>
      <c r="C35" s="2745"/>
      <c r="D35" s="2745"/>
      <c r="E35" s="2745"/>
      <c r="F35" s="2745"/>
      <c r="G35" s="2745"/>
      <c r="H35" s="2745"/>
      <c r="I35" s="2745"/>
      <c r="J35" s="2745"/>
      <c r="K35" s="2745"/>
      <c r="L35" s="2745"/>
      <c r="M35" s="2745"/>
      <c r="N35" s="2745"/>
      <c r="O35" s="2745"/>
      <c r="P35" s="2745"/>
      <c r="Q35" s="2745"/>
      <c r="R35" s="2745"/>
      <c r="S35" s="2745"/>
      <c r="T35" s="2745"/>
      <c r="U35" s="2745"/>
      <c r="V35" s="1518"/>
    </row>
    <row r="36" spans="1:42" s="1505" customFormat="1" ht="13.5" customHeight="1">
      <c r="A36" s="1519"/>
      <c r="B36" s="2739" t="s">
        <v>1119</v>
      </c>
      <c r="C36" s="2739"/>
      <c r="D36" s="2739"/>
      <c r="E36" s="2739"/>
      <c r="F36" s="2739"/>
      <c r="G36" s="2739"/>
      <c r="H36" s="2739"/>
      <c r="I36" s="2739"/>
      <c r="J36" s="2739"/>
      <c r="K36" s="2739"/>
      <c r="L36" s="2739"/>
      <c r="M36" s="2739"/>
      <c r="N36" s="2739"/>
      <c r="O36" s="2739"/>
      <c r="P36" s="2739"/>
      <c r="Q36" s="2739"/>
      <c r="R36" s="2739"/>
      <c r="S36" s="2739"/>
      <c r="T36" s="2739"/>
      <c r="U36" s="2739"/>
      <c r="V36" s="1520"/>
    </row>
    <row r="37" spans="1:42" s="1505" customFormat="1" ht="13.5" customHeight="1">
      <c r="A37" s="1517"/>
      <c r="B37" s="2743" t="s">
        <v>1647</v>
      </c>
      <c r="C37" s="2743"/>
      <c r="D37" s="2743"/>
      <c r="E37" s="2743"/>
      <c r="F37" s="2743"/>
      <c r="G37" s="2743"/>
      <c r="H37" s="2743"/>
      <c r="I37" s="2743"/>
      <c r="J37" s="2743"/>
      <c r="K37" s="2743"/>
      <c r="L37" s="2743"/>
      <c r="M37" s="2743"/>
      <c r="N37" s="2743"/>
      <c r="O37" s="2743"/>
      <c r="P37" s="2743"/>
      <c r="Q37" s="2743"/>
      <c r="R37" s="2743"/>
      <c r="S37" s="2743"/>
      <c r="T37" s="2743"/>
      <c r="U37" s="2743"/>
      <c r="V37" s="1518"/>
      <c r="W37" s="1150"/>
      <c r="X37" s="1150"/>
      <c r="Y37" s="1150"/>
      <c r="Z37" s="1150"/>
      <c r="AA37" s="1150"/>
      <c r="AB37" s="1150"/>
      <c r="AC37" s="1150"/>
      <c r="AD37" s="1150"/>
      <c r="AE37" s="1150"/>
      <c r="AF37" s="1150"/>
      <c r="AG37" s="1150"/>
      <c r="AH37" s="1150"/>
      <c r="AI37" s="1150"/>
      <c r="AJ37" s="1150"/>
      <c r="AK37" s="1150"/>
      <c r="AL37" s="1150"/>
      <c r="AM37" s="1150"/>
      <c r="AN37" s="1150"/>
      <c r="AO37" s="1150"/>
      <c r="AP37" s="1150"/>
    </row>
    <row r="38" spans="1:42" s="1505" customFormat="1" ht="13.5" customHeight="1">
      <c r="A38" s="1517"/>
      <c r="B38" s="2738"/>
      <c r="C38" s="2738"/>
      <c r="D38" s="2738"/>
      <c r="E38" s="2738"/>
      <c r="F38" s="2738"/>
      <c r="G38" s="2738"/>
      <c r="H38" s="2738"/>
      <c r="I38" s="2738"/>
      <c r="J38" s="2738"/>
      <c r="K38" s="2738"/>
      <c r="L38" s="2738"/>
      <c r="M38" s="2738"/>
      <c r="N38" s="2738"/>
      <c r="O38" s="2738"/>
      <c r="P38" s="2738"/>
      <c r="Q38" s="2738"/>
      <c r="R38" s="2738"/>
      <c r="S38" s="2738"/>
      <c r="T38" s="2738"/>
      <c r="U38" s="2738"/>
      <c r="V38" s="1518"/>
      <c r="W38" s="1507"/>
      <c r="X38" s="1507"/>
      <c r="Y38" s="1507"/>
      <c r="Z38" s="1507"/>
      <c r="AA38" s="1507"/>
      <c r="AB38" s="1507"/>
      <c r="AC38" s="1507"/>
      <c r="AD38" s="1507"/>
      <c r="AE38" s="1507"/>
      <c r="AF38" s="1507"/>
      <c r="AG38" s="1507"/>
      <c r="AH38" s="1507"/>
      <c r="AI38" s="1507"/>
      <c r="AJ38" s="1507"/>
      <c r="AK38" s="1507"/>
      <c r="AL38" s="1507"/>
      <c r="AM38" s="1507"/>
      <c r="AN38" s="1507"/>
      <c r="AO38" s="1507"/>
      <c r="AP38" s="1507"/>
    </row>
    <row r="39" spans="1:42" s="1505" customFormat="1" ht="13.5" customHeight="1">
      <c r="A39" s="1517"/>
      <c r="B39" s="2745"/>
      <c r="C39" s="2745"/>
      <c r="D39" s="2745"/>
      <c r="E39" s="2745"/>
      <c r="F39" s="2745"/>
      <c r="G39" s="2745"/>
      <c r="H39" s="2745"/>
      <c r="I39" s="2745"/>
      <c r="J39" s="2745"/>
      <c r="K39" s="2745"/>
      <c r="L39" s="2745"/>
      <c r="M39" s="2745"/>
      <c r="N39" s="2745"/>
      <c r="O39" s="2745"/>
      <c r="P39" s="2745"/>
      <c r="Q39" s="2745"/>
      <c r="R39" s="2745"/>
      <c r="S39" s="2745"/>
      <c r="T39" s="2745"/>
      <c r="U39" s="2745"/>
      <c r="V39" s="1518"/>
      <c r="W39" s="1507"/>
      <c r="X39" s="1507"/>
      <c r="Y39" s="1507"/>
      <c r="Z39" s="1507"/>
      <c r="AA39" s="1507"/>
      <c r="AB39" s="1507"/>
      <c r="AC39" s="1507"/>
      <c r="AD39" s="1507"/>
      <c r="AE39" s="1507"/>
      <c r="AF39" s="1507"/>
      <c r="AG39" s="1507"/>
      <c r="AH39" s="1507"/>
      <c r="AI39" s="1507"/>
      <c r="AJ39" s="1507"/>
      <c r="AK39" s="1507"/>
      <c r="AL39" s="1507"/>
      <c r="AM39" s="1507"/>
      <c r="AN39" s="1507"/>
      <c r="AO39" s="1507"/>
      <c r="AP39" s="1507"/>
    </row>
    <row r="40" spans="1:42" s="1505" customFormat="1" ht="13.5" customHeight="1">
      <c r="A40" s="1519"/>
      <c r="B40" s="2739" t="s">
        <v>1120</v>
      </c>
      <c r="C40" s="2739"/>
      <c r="D40" s="2739"/>
      <c r="E40" s="2739"/>
      <c r="F40" s="2739"/>
      <c r="G40" s="2739"/>
      <c r="H40" s="2739"/>
      <c r="I40" s="2739"/>
      <c r="J40" s="2739"/>
      <c r="K40" s="2739"/>
      <c r="L40" s="2739"/>
      <c r="M40" s="2739"/>
      <c r="N40" s="2739"/>
      <c r="O40" s="2739"/>
      <c r="P40" s="2739"/>
      <c r="Q40" s="2739"/>
      <c r="R40" s="2739"/>
      <c r="S40" s="2739"/>
      <c r="T40" s="2739"/>
      <c r="U40" s="2739"/>
      <c r="V40" s="1520"/>
    </row>
    <row r="41" spans="1:42" s="1505" customFormat="1" ht="13.5" customHeight="1">
      <c r="A41" s="1517"/>
      <c r="B41" s="2743" t="s">
        <v>1649</v>
      </c>
      <c r="C41" s="2743"/>
      <c r="D41" s="2743"/>
      <c r="E41" s="2743"/>
      <c r="F41" s="2743"/>
      <c r="G41" s="2743"/>
      <c r="H41" s="2743"/>
      <c r="I41" s="2743"/>
      <c r="J41" s="2743"/>
      <c r="K41" s="2743"/>
      <c r="L41" s="2743"/>
      <c r="M41" s="2743"/>
      <c r="N41" s="2743"/>
      <c r="O41" s="2743"/>
      <c r="P41" s="2743"/>
      <c r="Q41" s="2743"/>
      <c r="R41" s="2743"/>
      <c r="S41" s="2743"/>
      <c r="T41" s="2743"/>
      <c r="U41" s="2743"/>
      <c r="V41" s="1518"/>
    </row>
    <row r="42" spans="1:42" s="1505" customFormat="1" ht="13.5" customHeight="1">
      <c r="A42" s="1517"/>
      <c r="B42" s="2738"/>
      <c r="C42" s="2738"/>
      <c r="D42" s="2738"/>
      <c r="E42" s="2738"/>
      <c r="F42" s="2738"/>
      <c r="G42" s="2738"/>
      <c r="H42" s="2738"/>
      <c r="I42" s="2738"/>
      <c r="J42" s="2738"/>
      <c r="K42" s="2738"/>
      <c r="L42" s="2738"/>
      <c r="M42" s="2738"/>
      <c r="N42" s="2738"/>
      <c r="O42" s="2738"/>
      <c r="P42" s="2738"/>
      <c r="Q42" s="2738"/>
      <c r="R42" s="2738"/>
      <c r="S42" s="2738"/>
      <c r="T42" s="2738"/>
      <c r="U42" s="2738"/>
      <c r="V42" s="1518"/>
    </row>
    <row r="43" spans="1:42" s="1505" customFormat="1" ht="13.5" customHeight="1">
      <c r="A43" s="1517"/>
      <c r="B43" s="2745"/>
      <c r="C43" s="2745"/>
      <c r="D43" s="2745"/>
      <c r="E43" s="2745"/>
      <c r="F43" s="2745"/>
      <c r="G43" s="2745"/>
      <c r="H43" s="2745"/>
      <c r="I43" s="2745"/>
      <c r="J43" s="2745"/>
      <c r="K43" s="2745"/>
      <c r="L43" s="2745"/>
      <c r="M43" s="2745"/>
      <c r="N43" s="2745"/>
      <c r="O43" s="2745"/>
      <c r="P43" s="2745"/>
      <c r="Q43" s="2745"/>
      <c r="R43" s="2745"/>
      <c r="S43" s="2745"/>
      <c r="T43" s="2745"/>
      <c r="U43" s="2745"/>
      <c r="V43" s="1518"/>
    </row>
    <row r="44" spans="1:42" s="1505" customFormat="1" ht="13.5" customHeight="1">
      <c r="A44" s="1519"/>
      <c r="B44" s="2739" t="s">
        <v>1121</v>
      </c>
      <c r="C44" s="2739"/>
      <c r="D44" s="2739"/>
      <c r="E44" s="2739"/>
      <c r="F44" s="2739"/>
      <c r="G44" s="2739"/>
      <c r="H44" s="2739"/>
      <c r="I44" s="2739"/>
      <c r="J44" s="2739"/>
      <c r="K44" s="2739"/>
      <c r="L44" s="2739"/>
      <c r="M44" s="2739"/>
      <c r="N44" s="2739"/>
      <c r="O44" s="2739"/>
      <c r="P44" s="2739"/>
      <c r="Q44" s="2739"/>
      <c r="R44" s="2739"/>
      <c r="S44" s="2739"/>
      <c r="T44" s="2739"/>
      <c r="U44" s="2739"/>
      <c r="V44" s="1520"/>
    </row>
    <row r="45" spans="1:42" s="1505" customFormat="1" ht="13.5" customHeight="1">
      <c r="A45" s="1517"/>
      <c r="B45" s="2743" t="s">
        <v>1650</v>
      </c>
      <c r="C45" s="2743"/>
      <c r="D45" s="2743"/>
      <c r="E45" s="2743"/>
      <c r="F45" s="2743"/>
      <c r="G45" s="2743"/>
      <c r="H45" s="2743"/>
      <c r="I45" s="2743"/>
      <c r="J45" s="2743"/>
      <c r="K45" s="2743"/>
      <c r="L45" s="2743"/>
      <c r="M45" s="2743"/>
      <c r="N45" s="2743"/>
      <c r="O45" s="2743"/>
      <c r="P45" s="2743"/>
      <c r="Q45" s="2743"/>
      <c r="R45" s="2743"/>
      <c r="S45" s="2743"/>
      <c r="T45" s="2743"/>
      <c r="U45" s="2743"/>
      <c r="V45" s="1518"/>
    </row>
    <row r="46" spans="1:42" s="1505" customFormat="1" ht="13.5" customHeight="1">
      <c r="A46" s="1517"/>
      <c r="B46" s="2738"/>
      <c r="C46" s="2738"/>
      <c r="D46" s="2738"/>
      <c r="E46" s="2738"/>
      <c r="F46" s="2738"/>
      <c r="G46" s="2738"/>
      <c r="H46" s="2738"/>
      <c r="I46" s="2738"/>
      <c r="J46" s="2738"/>
      <c r="K46" s="2738"/>
      <c r="L46" s="2738"/>
      <c r="M46" s="2738"/>
      <c r="N46" s="2738"/>
      <c r="O46" s="2738"/>
      <c r="P46" s="2738"/>
      <c r="Q46" s="2738"/>
      <c r="R46" s="2738"/>
      <c r="S46" s="2738"/>
      <c r="T46" s="2738"/>
      <c r="U46" s="2738"/>
      <c r="V46" s="1518"/>
    </row>
    <row r="47" spans="1:42" s="1505" customFormat="1" ht="13.5" customHeight="1">
      <c r="A47" s="1517"/>
      <c r="B47" s="2738"/>
      <c r="C47" s="2738"/>
      <c r="D47" s="2738"/>
      <c r="E47" s="2738"/>
      <c r="F47" s="2738"/>
      <c r="G47" s="2738"/>
      <c r="H47" s="2738"/>
      <c r="I47" s="2738"/>
      <c r="J47" s="2738"/>
      <c r="K47" s="2738"/>
      <c r="L47" s="2738"/>
      <c r="M47" s="2738"/>
      <c r="N47" s="2738"/>
      <c r="O47" s="2738"/>
      <c r="P47" s="2738"/>
      <c r="Q47" s="2738"/>
      <c r="R47" s="2738"/>
      <c r="S47" s="2738"/>
      <c r="T47" s="2738"/>
      <c r="U47" s="2738"/>
      <c r="V47" s="1518"/>
    </row>
    <row r="48" spans="1:42" s="1505" customFormat="1" ht="13.5" customHeight="1">
      <c r="A48" s="1517"/>
      <c r="B48" s="2745"/>
      <c r="C48" s="2745"/>
      <c r="D48" s="2745"/>
      <c r="E48" s="2745"/>
      <c r="F48" s="2745"/>
      <c r="G48" s="2745"/>
      <c r="H48" s="2745"/>
      <c r="I48" s="2745"/>
      <c r="J48" s="2745"/>
      <c r="K48" s="2745"/>
      <c r="L48" s="2745"/>
      <c r="M48" s="2745"/>
      <c r="N48" s="2745"/>
      <c r="O48" s="2745"/>
      <c r="P48" s="2745"/>
      <c r="Q48" s="2745"/>
      <c r="R48" s="2745"/>
      <c r="S48" s="2745"/>
      <c r="T48" s="2745"/>
      <c r="U48" s="2745"/>
      <c r="V48" s="1518"/>
    </row>
    <row r="49" spans="1:22" s="1505" customFormat="1" ht="13.5" customHeight="1">
      <c r="A49" s="1519"/>
      <c r="B49" s="2739" t="s">
        <v>1122</v>
      </c>
      <c r="C49" s="2739"/>
      <c r="D49" s="2739"/>
      <c r="E49" s="2739"/>
      <c r="F49" s="2739"/>
      <c r="G49" s="2739"/>
      <c r="H49" s="2739"/>
      <c r="I49" s="2739"/>
      <c r="J49" s="2739"/>
      <c r="K49" s="2739"/>
      <c r="L49" s="2739"/>
      <c r="M49" s="2739"/>
      <c r="N49" s="2739"/>
      <c r="O49" s="2739"/>
      <c r="P49" s="2739"/>
      <c r="Q49" s="2739"/>
      <c r="R49" s="2739"/>
      <c r="S49" s="2739"/>
      <c r="T49" s="2739"/>
      <c r="U49" s="2739"/>
      <c r="V49" s="1520"/>
    </row>
    <row r="50" spans="1:22" s="1505" customFormat="1" ht="13.5" customHeight="1">
      <c r="A50" s="1517"/>
      <c r="B50" s="2743" t="s">
        <v>1849</v>
      </c>
      <c r="C50" s="2743"/>
      <c r="D50" s="2743"/>
      <c r="E50" s="2743"/>
      <c r="F50" s="2743"/>
      <c r="G50" s="2743"/>
      <c r="H50" s="2743"/>
      <c r="I50" s="2743"/>
      <c r="J50" s="2743"/>
      <c r="K50" s="2743"/>
      <c r="L50" s="2743"/>
      <c r="M50" s="2743"/>
      <c r="N50" s="2743"/>
      <c r="O50" s="2743"/>
      <c r="P50" s="2743"/>
      <c r="Q50" s="2743"/>
      <c r="R50" s="2743"/>
      <c r="S50" s="2743"/>
      <c r="T50" s="2743"/>
      <c r="U50" s="2743"/>
      <c r="V50" s="1518"/>
    </row>
    <row r="51" spans="1:22" s="1505" customFormat="1" ht="13.5" customHeight="1">
      <c r="A51" s="1517"/>
      <c r="B51" s="2738"/>
      <c r="C51" s="2738"/>
      <c r="D51" s="2738"/>
      <c r="E51" s="2738"/>
      <c r="F51" s="2738"/>
      <c r="G51" s="2738"/>
      <c r="H51" s="2738"/>
      <c r="I51" s="2738"/>
      <c r="J51" s="2738"/>
      <c r="K51" s="2738"/>
      <c r="L51" s="2738"/>
      <c r="M51" s="2738"/>
      <c r="N51" s="2738"/>
      <c r="O51" s="2738"/>
      <c r="P51" s="2738"/>
      <c r="Q51" s="2738"/>
      <c r="R51" s="2738"/>
      <c r="S51" s="2738"/>
      <c r="T51" s="2738"/>
      <c r="U51" s="2738"/>
      <c r="V51" s="1518"/>
    </row>
    <row r="52" spans="1:22" s="1505" customFormat="1" ht="13.5" customHeight="1" thickBot="1">
      <c r="A52" s="1522"/>
      <c r="B52" s="2744"/>
      <c r="C52" s="2744"/>
      <c r="D52" s="2744"/>
      <c r="E52" s="2744"/>
      <c r="F52" s="2744"/>
      <c r="G52" s="2744"/>
      <c r="H52" s="2744"/>
      <c r="I52" s="2744"/>
      <c r="J52" s="2744"/>
      <c r="K52" s="2744"/>
      <c r="L52" s="2744"/>
      <c r="M52" s="2744"/>
      <c r="N52" s="2744"/>
      <c r="O52" s="2744"/>
      <c r="P52" s="2744"/>
      <c r="Q52" s="2744"/>
      <c r="R52" s="2744"/>
      <c r="S52" s="2744"/>
      <c r="T52" s="2744"/>
      <c r="U52" s="2744"/>
      <c r="V52" s="1521"/>
    </row>
    <row r="53" spans="1:22" s="1505" customFormat="1" ht="13.5" customHeight="1"/>
    <row r="54" spans="1:22" s="1505" customFormat="1" ht="13.5" customHeight="1"/>
  </sheetData>
  <customSheetViews>
    <customSheetView guid="{D1431318-1DB8-4C45-813B-5A8065DFC797}">
      <selection activeCell="M9" sqref="M9"/>
      <pageMargins left="0.25" right="0.25" top="0.5" bottom="0.17" header="0.5" footer="0.2"/>
      <printOptions horizontalCentered="1"/>
      <pageSetup scale="78" orientation="portrait" blackAndWhite="1" r:id="rId1"/>
      <headerFooter scaleWithDoc="0" alignWithMargins="0"/>
    </customSheetView>
  </customSheetViews>
  <mergeCells count="22">
    <mergeCell ref="B2:U4"/>
    <mergeCell ref="B50:U52"/>
    <mergeCell ref="B37:U39"/>
    <mergeCell ref="B33:U35"/>
    <mergeCell ref="B41:U43"/>
    <mergeCell ref="B28:U30"/>
    <mergeCell ref="B22:U24"/>
    <mergeCell ref="B17:U18"/>
    <mergeCell ref="B14:U15"/>
    <mergeCell ref="B45:U48"/>
    <mergeCell ref="B36:U36"/>
    <mergeCell ref="B25:U25"/>
    <mergeCell ref="B26:U26"/>
    <mergeCell ref="B27:U27"/>
    <mergeCell ref="B19:U19"/>
    <mergeCell ref="B20:U20"/>
    <mergeCell ref="B21:U21"/>
    <mergeCell ref="B40:U40"/>
    <mergeCell ref="B44:U44"/>
    <mergeCell ref="B49:U49"/>
    <mergeCell ref="B31:U31"/>
    <mergeCell ref="B32:U32"/>
  </mergeCells>
  <hyperlinks>
    <hyperlink ref="B14" r:id="rId2" display="http://www.openoffice.org/"/>
  </hyperlinks>
  <printOptions horizontalCentered="1"/>
  <pageMargins left="0.4" right="0.4" top="1" bottom="0.4" header="0.4" footer="0.25"/>
  <pageSetup scale="99" fitToWidth="0" fitToHeight="0" orientation="portrait" blackAndWhite="1" r:id="rId3"/>
  <headerFooter differentFirst="1" scaleWithDoc="0">
    <firstHeader>&amp;L&amp;G&amp;C&amp;"Trebuchet MS,Regular"&amp;16Instructions for
2019 SSTS Design Forms&amp;R&amp;G</firstHeader>
  </headerFooter>
  <legacyDrawingHF r:id="rId4"/>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tabColor theme="9" tint="0.39997558519241921"/>
  </sheetPr>
  <dimension ref="A1:BU210"/>
  <sheetViews>
    <sheetView showGridLines="0" view="pageBreakPreview" zoomScaleNormal="100" zoomScaleSheetLayoutView="100" workbookViewId="0">
      <selection activeCell="H12" sqref="H12:I12"/>
    </sheetView>
  </sheetViews>
  <sheetFormatPr defaultColWidth="8.88671875" defaultRowHeight="14.4"/>
  <cols>
    <col min="1" max="1" width="2.44140625" style="999" customWidth="1"/>
    <col min="2" max="2" width="2.44140625" style="1016" customWidth="1"/>
    <col min="3" max="17" width="5.44140625" style="1000" customWidth="1"/>
    <col min="18" max="18" width="5.44140625" style="993" customWidth="1"/>
    <col min="19" max="20" width="2.44140625" style="1000" customWidth="1"/>
    <col min="21" max="21" width="6.44140625" style="1000" customWidth="1"/>
    <col min="22" max="35" width="5.44140625" style="1000" customWidth="1"/>
    <col min="36" max="36" width="2" style="1000" customWidth="1"/>
    <col min="37" max="16384" width="8.88671875" style="1000"/>
  </cols>
  <sheetData>
    <row r="1" spans="1:48" ht="66" customHeight="1" thickBot="1">
      <c r="A1" s="574"/>
      <c r="B1" s="595"/>
      <c r="C1" s="595"/>
      <c r="D1" s="595"/>
      <c r="E1" s="564"/>
      <c r="F1" s="3413" t="s">
        <v>1768</v>
      </c>
      <c r="G1" s="3413"/>
      <c r="H1" s="3413"/>
      <c r="I1" s="3413"/>
      <c r="J1" s="3413"/>
      <c r="K1" s="3413"/>
      <c r="L1" s="3413"/>
      <c r="M1" s="3413"/>
      <c r="N1" s="595"/>
      <c r="O1" s="593"/>
      <c r="P1" s="593"/>
      <c r="Q1" s="593"/>
      <c r="R1" s="594"/>
      <c r="AK1" s="580"/>
    </row>
    <row r="2" spans="1:48" ht="16.350000000000001" customHeight="1" thickBot="1">
      <c r="A2" s="729" t="s">
        <v>88</v>
      </c>
      <c r="B2" s="1001"/>
      <c r="C2" s="679" t="s">
        <v>634</v>
      </c>
      <c r="D2" s="679"/>
      <c r="E2" s="679"/>
      <c r="F2" s="679"/>
      <c r="G2" s="679"/>
      <c r="H2" s="1002"/>
      <c r="I2" s="3429" t="s">
        <v>1016</v>
      </c>
      <c r="J2" s="3429"/>
      <c r="K2" s="3414" t="str">
        <f>IF(ISBLANK(Summary!S3)," ",Summary!S3)</f>
        <v xml:space="preserve"> </v>
      </c>
      <c r="L2" s="3414"/>
      <c r="M2" s="1002" t="str">
        <f>IF(ISBLANK(Summary!L3)," ",Summary!L3)</f>
        <v xml:space="preserve"> </v>
      </c>
      <c r="N2" s="1002"/>
      <c r="O2" s="1002"/>
      <c r="P2" s="3421" t="str">
        <f>'Drop-Down Lists'!J40</f>
        <v>v 04.01.2021</v>
      </c>
      <c r="Q2" s="3421"/>
      <c r="R2" s="3422"/>
      <c r="S2" s="580"/>
      <c r="T2" s="580"/>
      <c r="U2" s="580"/>
      <c r="V2" s="580"/>
      <c r="W2" s="580"/>
      <c r="X2" s="580"/>
      <c r="Y2" s="580"/>
      <c r="Z2" s="580"/>
      <c r="AA2" s="580"/>
      <c r="AB2" s="580"/>
      <c r="AS2" s="567"/>
      <c r="AT2" s="567"/>
      <c r="AU2" s="567"/>
    </row>
    <row r="3" spans="1:48" ht="3.6" customHeight="1">
      <c r="A3" s="583"/>
      <c r="B3" s="579"/>
      <c r="C3" s="564"/>
      <c r="D3" s="564"/>
      <c r="E3" s="564"/>
      <c r="F3" s="564"/>
      <c r="G3" s="564"/>
      <c r="H3" s="564"/>
      <c r="I3" s="564"/>
      <c r="J3" s="564"/>
      <c r="K3" s="564"/>
      <c r="L3" s="564"/>
      <c r="M3" s="564"/>
      <c r="N3" s="564"/>
      <c r="O3" s="564"/>
      <c r="P3" s="564"/>
      <c r="Q3" s="564"/>
      <c r="R3" s="1084"/>
      <c r="S3" s="564"/>
      <c r="T3" s="564"/>
      <c r="U3" s="564"/>
      <c r="V3" s="564"/>
      <c r="W3" s="564"/>
      <c r="X3" s="564"/>
      <c r="Y3" s="564"/>
      <c r="Z3" s="564"/>
      <c r="AA3" s="564"/>
      <c r="AB3" s="564"/>
      <c r="AS3" s="567"/>
      <c r="AT3" s="567"/>
      <c r="AU3" s="567"/>
    </row>
    <row r="4" spans="1:48" ht="20.100000000000001" customHeight="1">
      <c r="A4" s="583"/>
      <c r="B4" s="554" t="s">
        <v>147</v>
      </c>
      <c r="C4" s="2627" t="s">
        <v>1225</v>
      </c>
      <c r="D4" s="2627"/>
      <c r="E4" s="2627"/>
      <c r="F4" s="2627"/>
      <c r="G4" s="2627"/>
      <c r="H4" s="3411" t="str">
        <f>IF(Summary!AA63=0,"",IF(Summary!AA63=4,Summary!I11,""))</f>
        <v/>
      </c>
      <c r="I4" s="3412"/>
      <c r="J4" s="2627" t="s">
        <v>313</v>
      </c>
      <c r="K4" s="2627"/>
      <c r="L4" s="564"/>
      <c r="M4" s="2629"/>
      <c r="N4" s="2629"/>
      <c r="O4" s="2629"/>
      <c r="P4" s="2629"/>
      <c r="Q4" s="2629"/>
      <c r="R4" s="1085"/>
      <c r="S4" s="576"/>
      <c r="T4" s="564"/>
      <c r="U4" s="589"/>
      <c r="V4" s="589"/>
      <c r="W4" s="589"/>
      <c r="X4" s="589"/>
      <c r="Y4" s="589"/>
      <c r="Z4" s="589"/>
      <c r="AA4" s="589"/>
      <c r="AB4" s="589"/>
      <c r="AS4" s="567"/>
      <c r="AT4" s="567"/>
      <c r="AU4" s="567"/>
    </row>
    <row r="5" spans="1:48" ht="3.6" customHeight="1">
      <c r="A5" s="583"/>
      <c r="B5" s="554"/>
      <c r="C5" s="2627"/>
      <c r="D5" s="2627"/>
      <c r="E5" s="2627"/>
      <c r="F5" s="2627"/>
      <c r="G5" s="2627"/>
      <c r="H5" s="551"/>
      <c r="I5" s="551"/>
      <c r="J5" s="2627"/>
      <c r="K5" s="2627"/>
      <c r="L5" s="564"/>
      <c r="M5" s="2629"/>
      <c r="N5" s="2629"/>
      <c r="O5" s="2629"/>
      <c r="P5" s="2629"/>
      <c r="Q5" s="2629"/>
      <c r="R5" s="1085"/>
      <c r="S5" s="576"/>
      <c r="T5" s="564"/>
      <c r="U5" s="589"/>
      <c r="V5" s="589"/>
      <c r="W5" s="589"/>
      <c r="X5" s="589"/>
      <c r="Y5" s="589"/>
      <c r="Z5" s="589"/>
      <c r="AA5" s="589"/>
      <c r="AB5" s="589"/>
      <c r="AS5" s="567"/>
      <c r="AT5" s="567"/>
      <c r="AU5" s="567"/>
    </row>
    <row r="6" spans="1:48" ht="20.100000000000001" customHeight="1">
      <c r="A6" s="583"/>
      <c r="B6" s="554" t="s">
        <v>631</v>
      </c>
      <c r="C6" s="2627" t="s">
        <v>1089</v>
      </c>
      <c r="D6" s="2627"/>
      <c r="E6" s="2627"/>
      <c r="F6" s="2627"/>
      <c r="G6" s="2627"/>
      <c r="H6" s="3432" t="str">
        <f>IF(Summary!AA63=0,"",IF(Summary!AA63=4,Summary!G89,""))</f>
        <v/>
      </c>
      <c r="I6" s="3433"/>
      <c r="J6" s="2627" t="s">
        <v>86</v>
      </c>
      <c r="K6" s="2627"/>
      <c r="L6" s="564"/>
      <c r="M6" s="591"/>
      <c r="N6" s="591"/>
      <c r="O6" s="2629"/>
      <c r="P6" s="2629"/>
      <c r="Q6" s="2629"/>
      <c r="R6" s="1085"/>
      <c r="S6" s="567"/>
      <c r="T6" s="564"/>
      <c r="U6" s="587"/>
      <c r="V6" s="587"/>
      <c r="W6" s="587"/>
      <c r="X6" s="587"/>
      <c r="Y6" s="587"/>
      <c r="Z6" s="587"/>
      <c r="AA6" s="587"/>
      <c r="AB6" s="587"/>
      <c r="AS6" s="567"/>
      <c r="AT6" s="567"/>
      <c r="AU6" s="567"/>
    </row>
    <row r="7" spans="1:48" ht="3.6" customHeight="1">
      <c r="A7" s="583"/>
      <c r="B7" s="554"/>
      <c r="C7" s="2627"/>
      <c r="D7" s="2627"/>
      <c r="E7" s="2627"/>
      <c r="F7" s="2627"/>
      <c r="G7" s="2627"/>
      <c r="H7" s="544"/>
      <c r="I7" s="544"/>
      <c r="J7" s="2627"/>
      <c r="K7" s="2627"/>
      <c r="L7" s="548"/>
      <c r="M7" s="591"/>
      <c r="N7" s="591"/>
      <c r="O7" s="2629"/>
      <c r="P7" s="2629"/>
      <c r="Q7" s="2629"/>
      <c r="R7" s="1085"/>
      <c r="S7" s="567"/>
      <c r="T7" s="564"/>
      <c r="U7" s="587"/>
      <c r="V7" s="587"/>
      <c r="W7" s="587"/>
      <c r="X7" s="587"/>
      <c r="Y7" s="587"/>
      <c r="Z7" s="587"/>
      <c r="AA7" s="587"/>
      <c r="AB7" s="587"/>
      <c r="AS7" s="567"/>
      <c r="AT7" s="567"/>
      <c r="AU7" s="567"/>
      <c r="AV7" s="567"/>
    </row>
    <row r="8" spans="1:48" ht="20.100000000000001" customHeight="1">
      <c r="A8" s="583"/>
      <c r="B8" s="554" t="s">
        <v>149</v>
      </c>
      <c r="C8" s="2627" t="s">
        <v>76</v>
      </c>
      <c r="D8" s="2627"/>
      <c r="E8" s="2627"/>
      <c r="F8" s="2627"/>
      <c r="G8" s="2627"/>
      <c r="H8" s="3399" t="str">
        <f>IF(Summary!AA63=0,"",IF(Summary!AA63=4,(Summary!G80/12),""))</f>
        <v/>
      </c>
      <c r="I8" s="3400"/>
      <c r="J8" s="2627" t="s">
        <v>92</v>
      </c>
      <c r="K8" s="564"/>
      <c r="L8" s="564"/>
      <c r="M8" s="591"/>
      <c r="N8" s="591"/>
      <c r="O8" s="2629"/>
      <c r="P8" s="2629"/>
      <c r="Q8" s="2629"/>
      <c r="R8" s="1085"/>
      <c r="S8" s="567"/>
      <c r="T8" s="564"/>
      <c r="U8" s="548"/>
      <c r="V8" s="548"/>
      <c r="W8" s="548"/>
      <c r="X8" s="548"/>
      <c r="Y8" s="548"/>
      <c r="Z8" s="592"/>
      <c r="AA8" s="592"/>
      <c r="AB8" s="567"/>
      <c r="AS8" s="567"/>
      <c r="AT8" s="567"/>
      <c r="AU8" s="567"/>
      <c r="AV8" s="567"/>
    </row>
    <row r="9" spans="1:48" ht="3.6" customHeight="1">
      <c r="A9" s="583"/>
      <c r="B9" s="554"/>
      <c r="C9" s="2627"/>
      <c r="D9" s="2627"/>
      <c r="E9" s="2627"/>
      <c r="F9" s="2627"/>
      <c r="G9" s="2627"/>
      <c r="H9" s="544"/>
      <c r="I9" s="544"/>
      <c r="J9" s="2627"/>
      <c r="K9" s="564"/>
      <c r="L9" s="548"/>
      <c r="M9" s="591"/>
      <c r="N9" s="591"/>
      <c r="O9" s="2629"/>
      <c r="P9" s="2629"/>
      <c r="Q9" s="2629"/>
      <c r="R9" s="1085"/>
      <c r="S9" s="567"/>
      <c r="T9" s="564"/>
      <c r="U9" s="548"/>
      <c r="V9" s="548"/>
      <c r="W9" s="548"/>
      <c r="X9" s="548"/>
      <c r="Y9" s="548"/>
      <c r="Z9" s="592"/>
      <c r="AA9" s="592"/>
      <c r="AB9" s="567"/>
      <c r="AS9" s="567"/>
      <c r="AT9" s="567"/>
      <c r="AU9" s="567"/>
      <c r="AV9" s="567"/>
    </row>
    <row r="10" spans="1:48" ht="20.100000000000001" customHeight="1">
      <c r="A10" s="583"/>
      <c r="B10" s="554" t="s">
        <v>588</v>
      </c>
      <c r="C10" s="2627" t="s">
        <v>807</v>
      </c>
      <c r="D10" s="2627"/>
      <c r="E10" s="2627"/>
      <c r="F10" s="2627"/>
      <c r="G10" s="2627"/>
      <c r="H10" s="3399" t="str">
        <f>IF(Summary!AA63=0,"",IF(Summary!AA63=4,Summary!G93,""))</f>
        <v/>
      </c>
      <c r="I10" s="3400"/>
      <c r="J10" s="564" t="s">
        <v>630</v>
      </c>
      <c r="K10" s="564"/>
      <c r="L10" s="564"/>
      <c r="M10" s="591"/>
      <c r="N10" s="591"/>
      <c r="O10" s="2629"/>
      <c r="P10" s="2629"/>
      <c r="Q10" s="2629"/>
      <c r="R10" s="1085"/>
      <c r="S10" s="567"/>
      <c r="T10" s="564"/>
      <c r="U10" s="550"/>
      <c r="V10" s="550"/>
      <c r="W10" s="550"/>
      <c r="X10" s="550"/>
      <c r="Y10" s="550"/>
      <c r="Z10" s="542"/>
      <c r="AA10" s="542"/>
      <c r="AB10" s="542"/>
      <c r="AS10" s="567"/>
      <c r="AT10" s="567"/>
      <c r="AU10" s="567"/>
      <c r="AV10" s="567"/>
    </row>
    <row r="11" spans="1:48" ht="3.6" customHeight="1">
      <c r="A11" s="583"/>
      <c r="B11" s="554"/>
      <c r="C11" s="2627"/>
      <c r="D11" s="2627"/>
      <c r="E11" s="2627"/>
      <c r="F11" s="2627"/>
      <c r="G11" s="2627"/>
      <c r="H11" s="592"/>
      <c r="I11" s="592"/>
      <c r="J11" s="564"/>
      <c r="K11" s="564"/>
      <c r="L11" s="548"/>
      <c r="M11" s="591"/>
      <c r="N11" s="591"/>
      <c r="O11" s="2629"/>
      <c r="P11" s="2629"/>
      <c r="Q11" s="2629"/>
      <c r="R11" s="1085"/>
      <c r="S11" s="567"/>
      <c r="T11" s="564"/>
      <c r="U11" s="550"/>
      <c r="V11" s="550"/>
      <c r="W11" s="550"/>
      <c r="X11" s="550"/>
      <c r="Y11" s="550"/>
      <c r="Z11" s="542"/>
      <c r="AA11" s="542"/>
      <c r="AB11" s="542"/>
      <c r="AS11" s="567"/>
      <c r="AT11" s="567"/>
      <c r="AU11" s="567"/>
      <c r="AV11" s="567"/>
    </row>
    <row r="12" spans="1:48" ht="20.100000000000001" customHeight="1">
      <c r="A12" s="583"/>
      <c r="B12" s="554" t="s">
        <v>589</v>
      </c>
      <c r="C12" s="2627" t="s">
        <v>720</v>
      </c>
      <c r="D12" s="2627"/>
      <c r="E12" s="2627"/>
      <c r="F12" s="2627"/>
      <c r="G12" s="2627"/>
      <c r="H12" s="3425"/>
      <c r="I12" s="3426"/>
      <c r="J12" s="564" t="s">
        <v>86</v>
      </c>
      <c r="K12" s="564"/>
      <c r="L12" s="564"/>
      <c r="M12" s="591"/>
      <c r="N12" s="591"/>
      <c r="O12" s="2629"/>
      <c r="P12" s="2629"/>
      <c r="Q12" s="2629"/>
      <c r="R12" s="1085"/>
      <c r="S12" s="567"/>
      <c r="T12" s="564"/>
      <c r="AS12" s="567"/>
      <c r="AT12" s="567"/>
      <c r="AU12" s="567"/>
      <c r="AV12" s="567"/>
    </row>
    <row r="13" spans="1:48" ht="3.6" customHeight="1">
      <c r="A13" s="583"/>
      <c r="B13" s="554"/>
      <c r="C13" s="2627"/>
      <c r="D13" s="2627"/>
      <c r="E13" s="2627"/>
      <c r="F13" s="2627"/>
      <c r="G13" s="2627"/>
      <c r="H13" s="592"/>
      <c r="I13" s="592"/>
      <c r="J13" s="564"/>
      <c r="K13" s="564"/>
      <c r="L13" s="548"/>
      <c r="M13" s="591"/>
      <c r="N13" s="591"/>
      <c r="O13" s="2629"/>
      <c r="P13" s="2629"/>
      <c r="Q13" s="2629"/>
      <c r="R13" s="1085"/>
      <c r="S13" s="567"/>
      <c r="T13" s="564"/>
      <c r="AS13" s="567"/>
      <c r="AT13" s="567"/>
      <c r="AU13" s="567"/>
      <c r="AV13" s="567"/>
    </row>
    <row r="14" spans="1:48" ht="20.100000000000001" customHeight="1">
      <c r="A14" s="583"/>
      <c r="B14" s="588" t="s">
        <v>641</v>
      </c>
      <c r="C14" s="2627" t="s">
        <v>1308</v>
      </c>
      <c r="D14" s="2627"/>
      <c r="E14" s="2627"/>
      <c r="F14" s="2627"/>
      <c r="G14" s="2627"/>
      <c r="H14" s="3427"/>
      <c r="I14" s="3428"/>
      <c r="J14" s="564"/>
      <c r="K14" s="564"/>
      <c r="L14" s="564"/>
      <c r="M14" s="591"/>
      <c r="N14" s="591"/>
      <c r="O14" s="544"/>
      <c r="P14" s="544"/>
      <c r="Q14" s="544"/>
      <c r="R14" s="1086"/>
      <c r="S14" s="567"/>
      <c r="T14" s="564"/>
      <c r="AS14" s="567"/>
      <c r="AT14" s="567"/>
      <c r="AU14" s="567"/>
      <c r="AV14" s="567"/>
    </row>
    <row r="15" spans="1:48" ht="3.6" customHeight="1">
      <c r="A15" s="583"/>
      <c r="B15" s="588"/>
      <c r="C15" s="2627"/>
      <c r="D15" s="2627"/>
      <c r="E15" s="2627"/>
      <c r="F15" s="2627"/>
      <c r="G15" s="2627"/>
      <c r="H15" s="544"/>
      <c r="I15" s="544"/>
      <c r="J15" s="2627"/>
      <c r="K15" s="564"/>
      <c r="L15" s="586"/>
      <c r="M15" s="1003"/>
      <c r="N15" s="591"/>
      <c r="O15" s="544"/>
      <c r="P15" s="544"/>
      <c r="Q15" s="544"/>
      <c r="R15" s="1086"/>
      <c r="S15" s="567"/>
      <c r="T15" s="564"/>
      <c r="U15" s="564"/>
      <c r="V15" s="564"/>
      <c r="W15" s="564"/>
      <c r="X15" s="564"/>
      <c r="Y15" s="564"/>
      <c r="Z15" s="564"/>
      <c r="AA15" s="564"/>
      <c r="AB15" s="564"/>
      <c r="AC15" s="564"/>
      <c r="AS15" s="567"/>
      <c r="AT15" s="567"/>
      <c r="AU15" s="567"/>
      <c r="AV15" s="567"/>
    </row>
    <row r="16" spans="1:48" ht="18" customHeight="1">
      <c r="A16" s="583"/>
      <c r="B16" s="588"/>
      <c r="C16" s="2627"/>
      <c r="D16" s="2627"/>
      <c r="E16" s="2627"/>
      <c r="F16" s="2627"/>
      <c r="G16" s="2627"/>
      <c r="H16" s="2630"/>
      <c r="I16" s="2630"/>
      <c r="J16" s="2627"/>
      <c r="K16" s="2627"/>
      <c r="L16" s="564"/>
      <c r="M16" s="564"/>
      <c r="N16" s="564"/>
      <c r="O16" s="564"/>
      <c r="P16" s="564"/>
      <c r="Q16" s="564"/>
      <c r="R16" s="1084"/>
      <c r="S16" s="564"/>
      <c r="T16" s="564"/>
      <c r="U16" s="587"/>
      <c r="V16" s="587"/>
      <c r="W16" s="567"/>
      <c r="X16" s="587"/>
      <c r="Y16" s="587"/>
      <c r="Z16" s="587"/>
      <c r="AA16" s="587"/>
      <c r="AB16" s="587"/>
      <c r="AC16" s="564"/>
      <c r="AS16" s="567"/>
      <c r="AT16" s="567"/>
      <c r="AU16" s="567"/>
      <c r="AV16" s="567"/>
    </row>
    <row r="17" spans="1:48" ht="18" customHeight="1">
      <c r="A17" s="583"/>
      <c r="B17" s="588"/>
      <c r="C17" s="2627"/>
      <c r="D17" s="2627"/>
      <c r="E17" s="2627"/>
      <c r="F17" s="2627"/>
      <c r="G17" s="2627"/>
      <c r="H17" s="2630"/>
      <c r="I17" s="2630"/>
      <c r="J17" s="2627"/>
      <c r="K17" s="2627"/>
      <c r="L17" s="564"/>
      <c r="M17" s="564"/>
      <c r="N17" s="564"/>
      <c r="O17" s="564"/>
      <c r="P17" s="564"/>
      <c r="Q17" s="564"/>
      <c r="R17" s="1084"/>
      <c r="S17" s="564"/>
      <c r="T17" s="564"/>
      <c r="U17" s="587"/>
      <c r="V17" s="587"/>
      <c r="W17" s="567"/>
      <c r="X17" s="587"/>
      <c r="Y17" s="587"/>
      <c r="Z17" s="587"/>
      <c r="AA17" s="587"/>
      <c r="AB17" s="587"/>
      <c r="AC17" s="564"/>
      <c r="AS17" s="567"/>
      <c r="AT17" s="567"/>
      <c r="AU17" s="567"/>
      <c r="AV17" s="567"/>
    </row>
    <row r="18" spans="1:48" ht="18" customHeight="1">
      <c r="A18" s="583"/>
      <c r="B18" s="588"/>
      <c r="C18" s="2627"/>
      <c r="D18" s="2627"/>
      <c r="E18" s="2627"/>
      <c r="F18" s="2627"/>
      <c r="G18" s="2627"/>
      <c r="H18" s="2630"/>
      <c r="I18" s="2630"/>
      <c r="J18" s="2627"/>
      <c r="K18" s="2627"/>
      <c r="L18" s="564"/>
      <c r="M18" s="564"/>
      <c r="N18" s="564"/>
      <c r="O18" s="564"/>
      <c r="P18" s="564"/>
      <c r="Q18" s="564"/>
      <c r="R18" s="1084"/>
      <c r="S18" s="564"/>
      <c r="T18" s="564"/>
      <c r="U18" s="587"/>
      <c r="V18" s="587"/>
      <c r="W18" s="567"/>
      <c r="X18" s="587"/>
      <c r="Y18" s="587"/>
      <c r="Z18" s="587"/>
      <c r="AA18" s="587"/>
      <c r="AB18" s="587"/>
      <c r="AC18" s="564"/>
      <c r="AS18" s="567"/>
      <c r="AT18" s="567"/>
      <c r="AU18" s="567"/>
      <c r="AV18" s="567"/>
    </row>
    <row r="19" spans="1:48" ht="18" customHeight="1">
      <c r="A19" s="583"/>
      <c r="B19" s="588"/>
      <c r="C19" s="2627"/>
      <c r="D19" s="2627"/>
      <c r="E19" s="2627"/>
      <c r="F19" s="2627"/>
      <c r="G19" s="2627"/>
      <c r="H19" s="2630"/>
      <c r="I19" s="2630"/>
      <c r="J19" s="2627"/>
      <c r="K19" s="2627"/>
      <c r="L19" s="564"/>
      <c r="M19" s="564"/>
      <c r="N19" s="564"/>
      <c r="O19" s="564"/>
      <c r="P19" s="564"/>
      <c r="Q19" s="564"/>
      <c r="R19" s="1084"/>
      <c r="S19" s="564"/>
      <c r="T19" s="564"/>
      <c r="U19" s="587"/>
      <c r="V19" s="587"/>
      <c r="W19" s="567"/>
      <c r="X19" s="587"/>
      <c r="Y19" s="587"/>
      <c r="Z19" s="587"/>
      <c r="AA19" s="587"/>
      <c r="AB19" s="587"/>
      <c r="AC19" s="564"/>
      <c r="AS19" s="567"/>
      <c r="AT19" s="567"/>
      <c r="AU19" s="567"/>
      <c r="AV19" s="567"/>
    </row>
    <row r="20" spans="1:48" ht="18" customHeight="1">
      <c r="A20" s="583"/>
      <c r="B20" s="588"/>
      <c r="C20" s="2627"/>
      <c r="D20" s="2627"/>
      <c r="E20" s="2627"/>
      <c r="F20" s="2627"/>
      <c r="G20" s="2627"/>
      <c r="H20" s="2630"/>
      <c r="I20" s="2630"/>
      <c r="J20" s="2627"/>
      <c r="K20" s="2627"/>
      <c r="L20" s="564"/>
      <c r="M20" s="564"/>
      <c r="N20" s="564"/>
      <c r="O20" s="564"/>
      <c r="P20" s="564"/>
      <c r="Q20" s="564"/>
      <c r="R20" s="1084"/>
      <c r="S20" s="564"/>
      <c r="T20" s="564"/>
      <c r="U20" s="587"/>
      <c r="V20" s="587"/>
      <c r="W20" s="567"/>
      <c r="X20" s="587"/>
      <c r="Y20" s="587"/>
      <c r="Z20" s="587"/>
      <c r="AA20" s="587"/>
      <c r="AB20" s="587"/>
      <c r="AC20" s="564"/>
      <c r="AS20" s="567"/>
      <c r="AT20" s="567"/>
      <c r="AU20" s="567"/>
      <c r="AV20" s="567"/>
    </row>
    <row r="21" spans="1:48" ht="18" customHeight="1">
      <c r="A21" s="583"/>
      <c r="B21" s="588"/>
      <c r="C21" s="2627"/>
      <c r="D21" s="2627"/>
      <c r="E21" s="2627"/>
      <c r="F21" s="2627"/>
      <c r="G21" s="2627"/>
      <c r="H21" s="2630"/>
      <c r="I21" s="2630"/>
      <c r="J21" s="564"/>
      <c r="K21" s="3415" t="s">
        <v>949</v>
      </c>
      <c r="L21" s="3415"/>
      <c r="M21" s="3415"/>
      <c r="N21" s="3415"/>
      <c r="O21" s="3415"/>
      <c r="P21" s="3415"/>
      <c r="Q21" s="3415"/>
      <c r="R21" s="3416"/>
      <c r="S21" s="564"/>
      <c r="AB21" s="1004"/>
      <c r="AC21" s="564"/>
      <c r="AS21" s="567"/>
      <c r="AT21" s="567"/>
      <c r="AU21" s="567"/>
      <c r="AV21" s="567"/>
    </row>
    <row r="22" spans="1:48" ht="18" customHeight="1" thickBot="1">
      <c r="A22" s="583"/>
      <c r="B22" s="588"/>
      <c r="C22" s="2627"/>
      <c r="D22" s="2627"/>
      <c r="E22" s="2627"/>
      <c r="F22" s="2627"/>
      <c r="G22" s="2627"/>
      <c r="H22" s="2630"/>
      <c r="I22" s="2630"/>
      <c r="J22" s="732"/>
      <c r="K22" s="3417"/>
      <c r="L22" s="3417"/>
      <c r="M22" s="3417"/>
      <c r="N22" s="3417"/>
      <c r="O22" s="3417"/>
      <c r="P22" s="3417"/>
      <c r="Q22" s="3417"/>
      <c r="R22" s="3418"/>
      <c r="S22" s="564"/>
      <c r="AB22" s="1004"/>
      <c r="AC22" s="564"/>
      <c r="AS22" s="567"/>
      <c r="AT22" s="567"/>
      <c r="AU22" s="567"/>
      <c r="AV22" s="567"/>
    </row>
    <row r="23" spans="1:48" ht="18" customHeight="1">
      <c r="A23" s="583"/>
      <c r="B23" s="588"/>
      <c r="C23" s="2627"/>
      <c r="D23" s="2627"/>
      <c r="E23" s="2627"/>
      <c r="F23" s="2627"/>
      <c r="G23" s="2627"/>
      <c r="H23" s="2630"/>
      <c r="I23" s="2630"/>
      <c r="J23" s="991"/>
      <c r="K23" s="3350"/>
      <c r="L23" s="3350"/>
      <c r="M23" s="3350"/>
      <c r="N23" s="3350"/>
      <c r="O23" s="3350"/>
      <c r="P23" s="3350"/>
      <c r="Q23" s="3350"/>
      <c r="R23" s="3419"/>
      <c r="S23" s="564"/>
      <c r="T23" s="1004"/>
      <c r="U23" s="1004"/>
      <c r="V23" s="1004"/>
      <c r="W23" s="1004"/>
      <c r="X23" s="1004"/>
      <c r="Y23" s="1004"/>
      <c r="Z23" s="1004"/>
      <c r="AA23" s="1004"/>
      <c r="AB23" s="1004"/>
      <c r="AC23" s="564"/>
      <c r="AS23" s="567"/>
      <c r="AT23" s="567"/>
      <c r="AU23" s="567"/>
      <c r="AV23" s="567"/>
    </row>
    <row r="24" spans="1:48" ht="9" customHeight="1" thickBot="1">
      <c r="A24" s="582"/>
      <c r="B24" s="600"/>
      <c r="C24" s="599"/>
      <c r="D24" s="599"/>
      <c r="E24" s="599"/>
      <c r="F24" s="599"/>
      <c r="G24" s="599"/>
      <c r="H24" s="599"/>
      <c r="I24" s="599"/>
      <c r="J24" s="599"/>
      <c r="K24" s="599"/>
      <c r="L24" s="599"/>
      <c r="M24" s="599"/>
      <c r="N24" s="599"/>
      <c r="O24" s="599"/>
      <c r="P24" s="599"/>
      <c r="Q24" s="599"/>
      <c r="R24" s="1088"/>
      <c r="S24" s="564"/>
      <c r="T24" s="1004"/>
      <c r="U24" s="1004"/>
      <c r="V24" s="1004"/>
      <c r="W24" s="1004"/>
      <c r="X24" s="1004"/>
      <c r="Y24" s="1004"/>
      <c r="Z24" s="1004"/>
      <c r="AA24" s="1004"/>
      <c r="AB24" s="1004"/>
      <c r="AC24" s="564"/>
      <c r="AS24" s="567"/>
      <c r="AT24" s="567"/>
      <c r="AU24" s="567"/>
      <c r="AV24" s="567"/>
    </row>
    <row r="25" spans="1:48" ht="16.350000000000001" customHeight="1" thickBot="1">
      <c r="A25" s="681" t="s">
        <v>89</v>
      </c>
      <c r="B25" s="1001"/>
      <c r="C25" s="679" t="s">
        <v>70</v>
      </c>
      <c r="D25" s="679"/>
      <c r="E25" s="679"/>
      <c r="F25" s="679"/>
      <c r="G25" s="679"/>
      <c r="H25" s="679"/>
      <c r="I25" s="679"/>
      <c r="J25" s="679"/>
      <c r="K25" s="679"/>
      <c r="L25" s="679"/>
      <c r="M25" s="679"/>
      <c r="N25" s="679"/>
      <c r="O25" s="679"/>
      <c r="P25" s="679"/>
      <c r="Q25" s="1005"/>
      <c r="R25" s="1006"/>
      <c r="S25" s="564"/>
      <c r="T25" s="564"/>
      <c r="U25" s="587"/>
      <c r="V25" s="587"/>
      <c r="W25" s="587"/>
      <c r="X25" s="587"/>
      <c r="Y25" s="587"/>
      <c r="Z25" s="587"/>
      <c r="AA25" s="587"/>
      <c r="AB25" s="587"/>
      <c r="AC25" s="564"/>
      <c r="AS25" s="567"/>
      <c r="AT25" s="567"/>
      <c r="AU25" s="567"/>
      <c r="AV25" s="567"/>
    </row>
    <row r="26" spans="1:48" ht="6" customHeight="1">
      <c r="A26" s="643"/>
      <c r="B26" s="644"/>
      <c r="C26" s="645"/>
      <c r="D26" s="645"/>
      <c r="E26" s="645"/>
      <c r="F26" s="645"/>
      <c r="G26" s="645"/>
      <c r="H26" s="645"/>
      <c r="I26" s="645"/>
      <c r="J26" s="645"/>
      <c r="K26" s="645"/>
      <c r="L26" s="645"/>
      <c r="M26" s="645"/>
      <c r="N26" s="645"/>
      <c r="O26" s="645"/>
      <c r="P26" s="645"/>
      <c r="Q26" s="645"/>
      <c r="R26" s="1094"/>
      <c r="S26" s="564"/>
      <c r="T26" s="564"/>
      <c r="U26" s="550"/>
      <c r="V26" s="550"/>
      <c r="W26" s="587"/>
      <c r="X26" s="587"/>
      <c r="Y26" s="587"/>
      <c r="Z26" s="587"/>
      <c r="AA26" s="550"/>
      <c r="AB26" s="550"/>
      <c r="AC26" s="564"/>
      <c r="AS26" s="567"/>
      <c r="AT26" s="567"/>
      <c r="AU26" s="567"/>
      <c r="AV26" s="567"/>
    </row>
    <row r="27" spans="1:48" ht="18" customHeight="1">
      <c r="A27" s="583"/>
      <c r="B27" s="585" t="s">
        <v>147</v>
      </c>
      <c r="C27" s="2627" t="s">
        <v>1871</v>
      </c>
      <c r="D27" s="2627"/>
      <c r="E27" s="2627"/>
      <c r="F27" s="2627"/>
      <c r="G27" s="2627"/>
      <c r="H27" s="2627"/>
      <c r="I27" s="2627"/>
      <c r="J27" s="2627"/>
      <c r="K27" s="2627"/>
      <c r="L27" s="2627"/>
      <c r="M27" s="2627"/>
      <c r="N27" s="2627"/>
      <c r="O27" s="2627"/>
      <c r="P27" s="2627"/>
      <c r="Q27" s="564"/>
      <c r="R27" s="1084"/>
      <c r="S27" s="564"/>
      <c r="T27" s="564"/>
      <c r="AB27" s="550"/>
      <c r="AC27" s="564"/>
      <c r="AS27" s="567"/>
      <c r="AT27" s="567"/>
      <c r="AU27" s="567"/>
      <c r="AV27" s="567"/>
    </row>
    <row r="28" spans="1:48" ht="20.100000000000001" customHeight="1">
      <c r="A28" s="583"/>
      <c r="B28" s="579"/>
      <c r="C28" s="564"/>
      <c r="D28" s="3423" t="str">
        <f>IF(ISBLANK(H4),"",H4)</f>
        <v/>
      </c>
      <c r="E28" s="3424"/>
      <c r="F28" s="3430" t="s">
        <v>1320</v>
      </c>
      <c r="G28" s="3431"/>
      <c r="H28" s="3399" t="str">
        <f>IF(ISBLANK(H12),"",H12)</f>
        <v/>
      </c>
      <c r="I28" s="3400"/>
      <c r="J28" s="2627" t="s">
        <v>27</v>
      </c>
      <c r="K28" s="564"/>
      <c r="L28" s="3411" t="str">
        <f>IF(ISBLANK(H12),"",D28/H28)</f>
        <v/>
      </c>
      <c r="M28" s="3420"/>
      <c r="N28" s="2627" t="s">
        <v>22</v>
      </c>
      <c r="O28" s="564"/>
      <c r="P28" s="564"/>
      <c r="Q28" s="564"/>
      <c r="R28" s="602"/>
      <c r="AA28" s="550"/>
      <c r="AB28" s="550"/>
      <c r="AC28" s="564"/>
      <c r="AS28" s="567"/>
      <c r="AT28" s="567"/>
      <c r="AU28" s="567"/>
      <c r="AV28" s="567"/>
    </row>
    <row r="29" spans="1:48" ht="6" customHeight="1">
      <c r="A29" s="583"/>
      <c r="B29" s="579"/>
      <c r="C29" s="992"/>
      <c r="D29" s="992"/>
      <c r="E29" s="992"/>
      <c r="F29" s="992"/>
      <c r="G29" s="586"/>
      <c r="H29" s="564"/>
      <c r="I29" s="564"/>
      <c r="J29" s="564"/>
      <c r="K29" s="564"/>
      <c r="L29" s="564"/>
      <c r="M29" s="564"/>
      <c r="N29" s="564"/>
      <c r="O29" s="564"/>
      <c r="P29" s="564"/>
      <c r="Q29" s="564"/>
      <c r="R29" s="1084"/>
      <c r="S29" s="564"/>
      <c r="T29" s="564"/>
      <c r="U29" s="564"/>
      <c r="V29" s="564"/>
      <c r="W29" s="564"/>
      <c r="X29" s="564"/>
      <c r="Y29" s="564"/>
      <c r="Z29" s="564"/>
      <c r="AA29" s="564"/>
      <c r="AB29" s="564"/>
      <c r="AC29" s="564"/>
      <c r="AS29" s="567"/>
      <c r="AT29" s="567"/>
      <c r="AU29" s="567"/>
      <c r="AV29" s="567"/>
    </row>
    <row r="30" spans="1:48" ht="20.100000000000001" customHeight="1">
      <c r="A30" s="583"/>
      <c r="B30" s="3404" t="s">
        <v>71</v>
      </c>
      <c r="C30" s="3404"/>
      <c r="D30" s="3404"/>
      <c r="E30" s="3404"/>
      <c r="F30" s="3404"/>
      <c r="G30" s="3404"/>
      <c r="H30" s="3404"/>
      <c r="I30" s="3404"/>
      <c r="J30" s="3404"/>
      <c r="K30" s="3405"/>
      <c r="L30" s="3402"/>
      <c r="M30" s="3403"/>
      <c r="N30" s="548" t="s">
        <v>22</v>
      </c>
      <c r="O30" s="564"/>
      <c r="P30" s="564"/>
      <c r="Q30" s="564"/>
      <c r="R30" s="1084"/>
      <c r="T30" s="564"/>
      <c r="U30" s="564"/>
      <c r="V30" s="564"/>
      <c r="W30" s="564"/>
      <c r="X30" s="564"/>
      <c r="Y30" s="564"/>
      <c r="Z30" s="564"/>
      <c r="AA30" s="564"/>
      <c r="AB30" s="564"/>
      <c r="AC30" s="564"/>
      <c r="AV30" s="564"/>
    </row>
    <row r="31" spans="1:48" ht="6" customHeight="1">
      <c r="A31" s="583"/>
      <c r="B31" s="553"/>
      <c r="C31" s="586"/>
      <c r="D31" s="586"/>
      <c r="E31" s="586"/>
      <c r="F31" s="586"/>
      <c r="G31" s="586"/>
      <c r="H31" s="586"/>
      <c r="I31" s="586"/>
      <c r="J31" s="586"/>
      <c r="K31" s="2630"/>
      <c r="L31" s="2630"/>
      <c r="M31" s="550"/>
      <c r="N31" s="564"/>
      <c r="O31" s="564"/>
      <c r="P31" s="2627"/>
      <c r="Q31" s="564"/>
      <c r="R31" s="1084"/>
      <c r="T31" s="564"/>
      <c r="U31" s="564"/>
      <c r="V31" s="564"/>
      <c r="W31" s="564"/>
      <c r="X31" s="564"/>
      <c r="Y31" s="564"/>
      <c r="Z31" s="564"/>
      <c r="AA31" s="564"/>
      <c r="AB31" s="564"/>
      <c r="AC31" s="564"/>
      <c r="AV31" s="564"/>
    </row>
    <row r="32" spans="1:48" ht="20.100000000000001" customHeight="1">
      <c r="A32" s="583"/>
      <c r="B32" s="585" t="s">
        <v>631</v>
      </c>
      <c r="C32" s="2627" t="s">
        <v>1310</v>
      </c>
      <c r="D32" s="2627"/>
      <c r="E32" s="2627"/>
      <c r="F32" s="2627"/>
      <c r="G32" s="564"/>
      <c r="H32" s="3402"/>
      <c r="I32" s="3403"/>
      <c r="J32" s="548" t="s">
        <v>92</v>
      </c>
      <c r="K32" s="1739" t="s">
        <v>1337</v>
      </c>
      <c r="L32" s="2627"/>
      <c r="M32" s="564"/>
      <c r="N32" s="564"/>
      <c r="O32" s="564"/>
      <c r="P32" s="564"/>
      <c r="Q32" s="564"/>
      <c r="R32" s="1084"/>
    </row>
    <row r="33" spans="1:48" ht="18" customHeight="1">
      <c r="A33" s="583"/>
      <c r="B33" s="585" t="s">
        <v>149</v>
      </c>
      <c r="C33" s="2627" t="s">
        <v>1335</v>
      </c>
      <c r="D33" s="2627"/>
      <c r="E33" s="2627"/>
      <c r="F33" s="2627"/>
      <c r="G33" s="2627"/>
      <c r="H33" s="2627"/>
      <c r="I33" s="2627"/>
      <c r="J33" s="2627"/>
      <c r="K33" s="2627"/>
      <c r="L33" s="2627"/>
      <c r="M33" s="2627"/>
      <c r="N33" s="564"/>
      <c r="O33" s="564"/>
      <c r="P33" s="564"/>
      <c r="Q33" s="564"/>
      <c r="R33" s="1084"/>
    </row>
    <row r="34" spans="1:48" ht="20.100000000000001" customHeight="1">
      <c r="A34" s="583"/>
      <c r="B34" s="585"/>
      <c r="C34" s="564"/>
      <c r="D34" s="3411" t="str">
        <f>IF(ISBLANK(H32),"",H32)</f>
        <v/>
      </c>
      <c r="E34" s="3412"/>
      <c r="F34" s="2627" t="s">
        <v>1334</v>
      </c>
      <c r="G34" s="3399" t="str">
        <f>IF(ISBLANK(H28), "", H28)</f>
        <v/>
      </c>
      <c r="H34" s="3400"/>
      <c r="I34" s="2627" t="s">
        <v>27</v>
      </c>
      <c r="J34" s="564"/>
      <c r="K34" s="3399" t="str">
        <f>IF(ISBLANK(H32),"",D34*G34)</f>
        <v/>
      </c>
      <c r="L34" s="3400"/>
      <c r="M34" s="2627" t="s">
        <v>1292</v>
      </c>
      <c r="N34" s="564"/>
      <c r="O34" s="1739" t="s">
        <v>1311</v>
      </c>
      <c r="P34" s="564"/>
      <c r="Q34" s="564"/>
      <c r="R34" s="602"/>
    </row>
    <row r="35" spans="1:48" ht="18" customHeight="1">
      <c r="A35" s="583"/>
      <c r="B35" s="585" t="s">
        <v>588</v>
      </c>
      <c r="C35" s="2627" t="s">
        <v>1872</v>
      </c>
      <c r="D35" s="2627"/>
      <c r="E35" s="2627"/>
      <c r="F35" s="2627"/>
      <c r="G35" s="2627"/>
      <c r="H35" s="2627"/>
      <c r="I35" s="2627"/>
      <c r="J35" s="2627"/>
      <c r="K35" s="2627"/>
      <c r="L35" s="2627"/>
      <c r="M35" s="2627"/>
      <c r="N35" s="564"/>
      <c r="O35" s="564"/>
      <c r="P35" s="564"/>
      <c r="Q35" s="564"/>
      <c r="R35" s="1084"/>
    </row>
    <row r="36" spans="1:48" ht="20.100000000000001" customHeight="1">
      <c r="A36" s="583"/>
      <c r="B36" s="585"/>
      <c r="C36" s="564"/>
      <c r="D36" s="3409" t="str">
        <f>IF(ISBLANK(H12),"",MAX(L28,L30))</f>
        <v/>
      </c>
      <c r="E36" s="3409"/>
      <c r="F36" s="2627" t="s">
        <v>1332</v>
      </c>
      <c r="G36" s="3409" t="str">
        <f>IF(ISBLANK(H32), "", H32)</f>
        <v/>
      </c>
      <c r="H36" s="3409"/>
      <c r="I36" s="2627" t="s">
        <v>118</v>
      </c>
      <c r="J36" s="3410" t="str">
        <f>IF(ISBLANK(H32),"",D36/G36)</f>
        <v/>
      </c>
      <c r="K36" s="3410"/>
      <c r="L36" s="2627" t="s">
        <v>92</v>
      </c>
      <c r="M36" s="564"/>
      <c r="N36" s="564"/>
      <c r="O36" s="564"/>
      <c r="P36" s="564"/>
      <c r="Q36" s="564"/>
      <c r="R36" s="1084"/>
    </row>
    <row r="37" spans="1:48" s="567" customFormat="1" ht="6" customHeight="1">
      <c r="A37" s="2560"/>
      <c r="B37" s="566"/>
      <c r="D37" s="606"/>
      <c r="E37" s="606"/>
      <c r="F37" s="548"/>
      <c r="G37" s="606"/>
      <c r="H37" s="606"/>
      <c r="I37" s="548"/>
      <c r="J37" s="557"/>
      <c r="K37" s="557"/>
      <c r="L37" s="548"/>
      <c r="R37" s="1092"/>
    </row>
    <row r="38" spans="1:48" s="2556" customFormat="1" ht="20.100000000000001" customHeight="1">
      <c r="A38" s="2553"/>
      <c r="B38" s="3404" t="s">
        <v>2112</v>
      </c>
      <c r="C38" s="3404"/>
      <c r="D38" s="3404"/>
      <c r="E38" s="3404"/>
      <c r="F38" s="3404"/>
      <c r="G38" s="3404"/>
      <c r="H38" s="3404"/>
      <c r="I38" s="3404"/>
      <c r="J38" s="3404"/>
      <c r="K38" s="3405"/>
      <c r="L38" s="3407"/>
      <c r="M38" s="3407"/>
      <c r="N38" s="2554" t="s">
        <v>92</v>
      </c>
      <c r="O38" s="2669"/>
      <c r="P38" s="2669"/>
      <c r="Q38" s="2669"/>
      <c r="R38" s="2555"/>
    </row>
    <row r="39" spans="1:48" ht="6" customHeight="1" thickBot="1">
      <c r="A39" s="582"/>
      <c r="B39" s="600"/>
      <c r="C39" s="599"/>
      <c r="D39" s="599"/>
      <c r="E39" s="599"/>
      <c r="F39" s="599"/>
      <c r="G39" s="599"/>
      <c r="H39" s="599"/>
      <c r="I39" s="599"/>
      <c r="J39" s="599"/>
      <c r="K39" s="599"/>
      <c r="L39" s="599"/>
      <c r="M39" s="559"/>
      <c r="N39" s="559"/>
      <c r="O39" s="560"/>
      <c r="P39" s="559"/>
      <c r="Q39" s="559"/>
      <c r="R39" s="1088"/>
      <c r="S39" s="564"/>
      <c r="T39" s="564"/>
      <c r="U39" s="564"/>
      <c r="V39" s="564"/>
      <c r="W39" s="564"/>
      <c r="X39" s="564"/>
      <c r="Y39" s="564"/>
      <c r="Z39" s="564"/>
      <c r="AA39" s="564"/>
      <c r="AB39" s="564"/>
      <c r="AC39" s="564"/>
      <c r="AD39" s="564"/>
      <c r="AS39" s="567"/>
      <c r="AT39" s="567"/>
      <c r="AU39" s="567"/>
      <c r="AV39" s="567"/>
    </row>
    <row r="40" spans="1:48" ht="16.350000000000001" customHeight="1" thickBot="1">
      <c r="A40" s="1007" t="s">
        <v>141</v>
      </c>
      <c r="B40" s="1001"/>
      <c r="C40" s="679" t="s">
        <v>1317</v>
      </c>
      <c r="D40" s="679"/>
      <c r="E40" s="679"/>
      <c r="F40" s="679"/>
      <c r="G40" s="679"/>
      <c r="H40" s="679"/>
      <c r="I40" s="679"/>
      <c r="J40" s="679"/>
      <c r="K40" s="679"/>
      <c r="L40" s="679"/>
      <c r="M40" s="679"/>
      <c r="N40" s="679"/>
      <c r="O40" s="679"/>
      <c r="P40" s="679"/>
      <c r="Q40" s="679"/>
      <c r="R40" s="680"/>
      <c r="S40" s="580"/>
      <c r="T40" s="580"/>
      <c r="U40" s="580"/>
      <c r="V40" s="580"/>
      <c r="W40" s="580"/>
      <c r="X40" s="580"/>
      <c r="Y40" s="580"/>
      <c r="Z40" s="580"/>
      <c r="AA40" s="580"/>
      <c r="AB40" s="580"/>
      <c r="AC40" s="564"/>
      <c r="AD40" s="564"/>
    </row>
    <row r="41" spans="1:48" ht="6" customHeight="1">
      <c r="A41" s="643"/>
      <c r="B41" s="644"/>
      <c r="C41" s="645"/>
      <c r="D41" s="645"/>
      <c r="E41" s="645"/>
      <c r="F41" s="645"/>
      <c r="G41" s="645"/>
      <c r="H41" s="645"/>
      <c r="I41" s="645"/>
      <c r="J41" s="645"/>
      <c r="K41" s="645"/>
      <c r="L41" s="645"/>
      <c r="M41" s="1095"/>
      <c r="N41" s="1095"/>
      <c r="O41" s="1096"/>
      <c r="P41" s="1095"/>
      <c r="Q41" s="1095"/>
      <c r="R41" s="1094"/>
      <c r="S41" s="564"/>
      <c r="T41" s="564"/>
      <c r="U41" s="564"/>
      <c r="V41" s="564"/>
      <c r="W41" s="564"/>
      <c r="X41" s="564"/>
      <c r="Y41" s="564"/>
      <c r="Z41" s="564"/>
      <c r="AA41" s="564"/>
      <c r="AB41" s="564"/>
      <c r="AC41" s="564"/>
      <c r="AD41" s="564"/>
      <c r="AS41" s="567"/>
      <c r="AT41" s="567"/>
      <c r="AU41" s="567"/>
      <c r="AV41" s="567"/>
    </row>
    <row r="42" spans="1:48" ht="18" customHeight="1">
      <c r="A42" s="583"/>
      <c r="B42" s="563" t="s">
        <v>147</v>
      </c>
      <c r="C42" s="564" t="s">
        <v>1873</v>
      </c>
      <c r="D42" s="564"/>
      <c r="E42" s="564"/>
      <c r="F42" s="564"/>
      <c r="G42" s="564"/>
      <c r="H42" s="564"/>
      <c r="I42" s="564"/>
      <c r="J42" s="564"/>
      <c r="K42" s="564"/>
      <c r="L42" s="564"/>
      <c r="M42" s="2630"/>
      <c r="N42" s="564"/>
      <c r="O42" s="564"/>
      <c r="P42" s="564"/>
      <c r="Q42" s="564"/>
      <c r="R42" s="1084"/>
      <c r="S42" s="564"/>
      <c r="T42" s="564"/>
      <c r="AD42" s="564"/>
      <c r="AS42" s="567"/>
      <c r="AT42" s="567"/>
      <c r="AU42" s="567"/>
      <c r="AV42" s="567"/>
    </row>
    <row r="43" spans="1:48" ht="20.100000000000001" customHeight="1">
      <c r="A43" s="583"/>
      <c r="B43" s="563"/>
      <c r="C43" s="564"/>
      <c r="D43" s="3394">
        <f>H32</f>
        <v>0</v>
      </c>
      <c r="E43" s="3395"/>
      <c r="F43" s="2627" t="s">
        <v>123</v>
      </c>
      <c r="G43" s="3434">
        <f>H14</f>
        <v>0</v>
      </c>
      <c r="H43" s="3435"/>
      <c r="I43" s="2621" t="s">
        <v>102</v>
      </c>
      <c r="J43" s="3394" t="str">
        <f>IF(ISBLANK(H12),"",D43*G43)</f>
        <v/>
      </c>
      <c r="K43" s="3395"/>
      <c r="L43" s="2627" t="s">
        <v>92</v>
      </c>
      <c r="M43" s="564"/>
      <c r="N43" s="564"/>
      <c r="O43" s="564"/>
      <c r="P43" s="564"/>
      <c r="Q43" s="564"/>
      <c r="R43" s="1084"/>
      <c r="S43" s="564"/>
      <c r="T43" s="564"/>
      <c r="U43" s="564"/>
      <c r="V43" s="564"/>
      <c r="W43" s="564"/>
      <c r="X43" s="564"/>
      <c r="Y43" s="564"/>
      <c r="Z43" s="564"/>
      <c r="AA43" s="564"/>
      <c r="AB43" s="564"/>
      <c r="AC43" s="564"/>
      <c r="AD43" s="564"/>
      <c r="AS43" s="567"/>
      <c r="AT43" s="567"/>
      <c r="AU43" s="567"/>
      <c r="AV43" s="567"/>
    </row>
    <row r="44" spans="1:48" ht="6" customHeight="1">
      <c r="A44" s="583"/>
      <c r="B44" s="563"/>
      <c r="C44" s="2630"/>
      <c r="D44" s="2630"/>
      <c r="E44" s="550"/>
      <c r="F44" s="2630"/>
      <c r="G44" s="2630"/>
      <c r="H44" s="550"/>
      <c r="I44" s="2630"/>
      <c r="J44" s="2630"/>
      <c r="K44" s="550"/>
      <c r="L44" s="567"/>
      <c r="M44" s="564"/>
      <c r="N44" s="564"/>
      <c r="O44" s="564"/>
      <c r="P44" s="564"/>
      <c r="Q44" s="564"/>
      <c r="R44" s="1084"/>
      <c r="S44" s="564"/>
      <c r="T44" s="564"/>
      <c r="U44" s="564"/>
      <c r="V44" s="564"/>
      <c r="W44" s="564"/>
      <c r="X44" s="564"/>
      <c r="Y44" s="564"/>
      <c r="Z44" s="564"/>
      <c r="AA44" s="564"/>
      <c r="AB44" s="564"/>
      <c r="AC44" s="564"/>
      <c r="AD44" s="564"/>
      <c r="AS44" s="567"/>
      <c r="AT44" s="567"/>
      <c r="AU44" s="567"/>
      <c r="AV44" s="567"/>
    </row>
    <row r="45" spans="1:48" ht="18" customHeight="1">
      <c r="A45" s="583"/>
      <c r="B45" s="563" t="s">
        <v>631</v>
      </c>
      <c r="C45" s="564" t="s">
        <v>1309</v>
      </c>
      <c r="D45" s="564"/>
      <c r="E45" s="564"/>
      <c r="F45" s="564"/>
      <c r="G45" s="564"/>
      <c r="H45" s="564"/>
      <c r="I45" s="564"/>
      <c r="J45" s="564"/>
      <c r="K45" s="564"/>
      <c r="L45" s="564"/>
      <c r="M45" s="564"/>
      <c r="N45" s="564"/>
      <c r="O45" s="564"/>
      <c r="P45" s="564"/>
      <c r="Q45" s="564"/>
      <c r="R45" s="1084"/>
      <c r="S45" s="564"/>
      <c r="AS45" s="567"/>
      <c r="AT45" s="567"/>
      <c r="AU45" s="567"/>
      <c r="AV45" s="567"/>
    </row>
    <row r="46" spans="1:48" ht="18" customHeight="1">
      <c r="A46" s="583"/>
      <c r="B46" s="564"/>
      <c r="C46" s="564" t="s">
        <v>1874</v>
      </c>
      <c r="D46" s="564"/>
      <c r="E46" s="564"/>
      <c r="F46" s="564"/>
      <c r="G46" s="564"/>
      <c r="H46" s="564"/>
      <c r="I46" s="564"/>
      <c r="J46" s="564"/>
      <c r="K46" s="564"/>
      <c r="L46" s="564"/>
      <c r="M46" s="564"/>
      <c r="N46" s="564"/>
      <c r="O46" s="564"/>
      <c r="P46" s="564"/>
      <c r="Q46" s="564"/>
      <c r="R46" s="1084"/>
      <c r="S46" s="564"/>
      <c r="AS46" s="567"/>
      <c r="AT46" s="567"/>
      <c r="AU46" s="567"/>
      <c r="AV46" s="567"/>
    </row>
    <row r="47" spans="1:48" ht="20.100000000000001" customHeight="1">
      <c r="A47" s="583"/>
      <c r="B47" s="563"/>
      <c r="C47" s="584" t="s">
        <v>310</v>
      </c>
      <c r="D47" s="3394" t="str">
        <f>J43</f>
        <v/>
      </c>
      <c r="E47" s="3395"/>
      <c r="F47" s="2627" t="s">
        <v>714</v>
      </c>
      <c r="G47" s="3394">
        <f>H32</f>
        <v>0</v>
      </c>
      <c r="H47" s="3395"/>
      <c r="I47" s="2627" t="s">
        <v>1319</v>
      </c>
      <c r="J47" s="626">
        <v>2</v>
      </c>
      <c r="K47" s="2621" t="s">
        <v>102</v>
      </c>
      <c r="L47" s="3399" t="str">
        <f>IF(ISBLANK(H12),"",(D47-G47)/J47)</f>
        <v/>
      </c>
      <c r="M47" s="3400"/>
      <c r="N47" s="2627" t="s">
        <v>92</v>
      </c>
      <c r="O47" s="564"/>
      <c r="P47" s="564"/>
      <c r="Q47" s="564"/>
      <c r="R47" s="602"/>
      <c r="S47" s="564"/>
      <c r="AS47" s="567"/>
      <c r="AT47" s="567"/>
      <c r="AU47" s="567"/>
      <c r="AV47" s="567"/>
    </row>
    <row r="48" spans="1:48" ht="6" customHeight="1" thickBot="1">
      <c r="A48" s="582"/>
      <c r="B48" s="600"/>
      <c r="C48" s="559"/>
      <c r="D48" s="559"/>
      <c r="E48" s="560"/>
      <c r="F48" s="559"/>
      <c r="G48" s="559"/>
      <c r="H48" s="599"/>
      <c r="I48" s="599"/>
      <c r="J48" s="599"/>
      <c r="K48" s="599"/>
      <c r="L48" s="599"/>
      <c r="M48" s="599"/>
      <c r="N48" s="599"/>
      <c r="O48" s="599"/>
      <c r="P48" s="599"/>
      <c r="Q48" s="599"/>
      <c r="R48" s="1088"/>
    </row>
    <row r="49" spans="1:45" s="837" customFormat="1" ht="18" customHeight="1" thickBot="1">
      <c r="A49" s="833" t="s">
        <v>564</v>
      </c>
      <c r="B49" s="832"/>
      <c r="C49" s="831" t="s">
        <v>574</v>
      </c>
      <c r="D49" s="830"/>
      <c r="E49" s="830"/>
      <c r="F49" s="830"/>
      <c r="G49" s="830"/>
      <c r="H49" s="830"/>
      <c r="I49" s="3408" t="s">
        <v>1015</v>
      </c>
      <c r="J49" s="3408"/>
      <c r="K49" s="3408"/>
      <c r="L49" s="3408"/>
      <c r="M49" s="3408"/>
      <c r="N49" s="3406" t="str">
        <f>IF(ISBLANK(Prelim!S5)," ",Prelim!S5)</f>
        <v xml:space="preserve"> </v>
      </c>
      <c r="O49" s="3406"/>
      <c r="P49" s="3406"/>
      <c r="Q49" s="3406"/>
      <c r="R49" s="829"/>
      <c r="AK49" s="1008"/>
      <c r="AM49" s="1009"/>
      <c r="AN49" s="1010"/>
      <c r="AO49" s="1008"/>
      <c r="AQ49" s="1010"/>
    </row>
    <row r="50" spans="1:45" s="837" customFormat="1" ht="5.0999999999999996" customHeight="1" thickBot="1">
      <c r="A50" s="818"/>
      <c r="B50" s="815"/>
      <c r="C50" s="813"/>
      <c r="D50" s="813"/>
      <c r="E50" s="813"/>
      <c r="F50" s="813"/>
      <c r="G50" s="813"/>
      <c r="H50" s="813"/>
      <c r="I50" s="813"/>
      <c r="J50" s="813"/>
      <c r="K50" s="813"/>
      <c r="L50" s="813"/>
      <c r="M50" s="813"/>
      <c r="N50" s="813"/>
      <c r="O50" s="813"/>
      <c r="P50" s="813"/>
      <c r="Q50" s="813"/>
      <c r="R50" s="817"/>
      <c r="AK50" s="1008"/>
      <c r="AM50" s="1009"/>
      <c r="AN50" s="1010"/>
      <c r="AO50" s="1008"/>
      <c r="AQ50" s="1010"/>
    </row>
    <row r="51" spans="1:45" s="837" customFormat="1" ht="5.0999999999999996" customHeight="1">
      <c r="A51" s="1031"/>
      <c r="B51" s="1032"/>
      <c r="C51" s="1033"/>
      <c r="D51" s="1033"/>
      <c r="E51" s="1033"/>
      <c r="F51" s="1033"/>
      <c r="G51" s="1033"/>
      <c r="H51" s="1033"/>
      <c r="I51" s="1033"/>
      <c r="J51" s="1033"/>
      <c r="K51" s="1033"/>
      <c r="L51" s="1033"/>
      <c r="M51" s="1033"/>
      <c r="N51" s="1033"/>
      <c r="O51" s="1033"/>
      <c r="P51" s="1033"/>
      <c r="Q51" s="1033"/>
      <c r="R51" s="1034"/>
      <c r="T51" s="813"/>
      <c r="U51" s="813"/>
      <c r="AK51" s="1008"/>
      <c r="AM51" s="1009"/>
      <c r="AN51" s="1010"/>
      <c r="AO51" s="1008"/>
      <c r="AQ51" s="1010"/>
    </row>
    <row r="52" spans="1:45" s="837" customFormat="1" ht="18" customHeight="1">
      <c r="A52" s="818"/>
      <c r="B52" s="815"/>
      <c r="C52" s="2607" t="s">
        <v>1295</v>
      </c>
      <c r="D52" s="813"/>
      <c r="E52" s="813"/>
      <c r="F52" s="813"/>
      <c r="G52" s="3282" t="str">
        <f>IF(Summary!AA63=0,"",IF(Summary!AA63=4,Summary!O67,""))</f>
        <v/>
      </c>
      <c r="H52" s="3283"/>
      <c r="I52" s="3283"/>
      <c r="J52" s="3284"/>
      <c r="K52" s="813"/>
      <c r="L52" s="813" t="s">
        <v>2110</v>
      </c>
      <c r="M52" s="813"/>
      <c r="N52" s="813"/>
      <c r="O52" s="813"/>
      <c r="P52" s="813"/>
      <c r="Q52" s="813"/>
      <c r="R52" s="817"/>
      <c r="S52" s="813"/>
      <c r="T52" s="813"/>
      <c r="U52" s="813"/>
      <c r="AK52" s="1008"/>
      <c r="AM52" s="1009"/>
      <c r="AN52" s="1010"/>
      <c r="AO52" s="1008"/>
      <c r="AQ52" s="1010"/>
    </row>
    <row r="53" spans="1:45" s="837" customFormat="1" ht="18" customHeight="1">
      <c r="A53" s="818"/>
      <c r="B53" s="815" t="s">
        <v>147</v>
      </c>
      <c r="C53" s="3317" t="s">
        <v>1822</v>
      </c>
      <c r="D53" s="3317"/>
      <c r="E53" s="3317"/>
      <c r="F53" s="3317"/>
      <c r="G53" s="3317"/>
      <c r="H53" s="3317"/>
      <c r="I53" s="3317"/>
      <c r="J53" s="3317"/>
      <c r="K53" s="3317"/>
      <c r="L53" s="3317"/>
      <c r="M53" s="3317"/>
      <c r="N53" s="3317"/>
      <c r="O53" s="3317"/>
      <c r="P53" s="3317"/>
      <c r="Q53" s="3317"/>
      <c r="R53" s="3438"/>
      <c r="S53" s="813"/>
      <c r="T53" s="813"/>
      <c r="U53" s="813"/>
      <c r="AK53" s="1008"/>
      <c r="AM53" s="1009"/>
      <c r="AN53" s="1010"/>
      <c r="AO53" s="1008"/>
      <c r="AQ53" s="1010"/>
    </row>
    <row r="54" spans="1:45" s="837" customFormat="1" ht="3.6" customHeight="1">
      <c r="A54" s="818"/>
      <c r="B54" s="815"/>
      <c r="C54" s="813"/>
      <c r="D54" s="813"/>
      <c r="E54" s="813"/>
      <c r="F54" s="813"/>
      <c r="G54" s="813"/>
      <c r="H54" s="813"/>
      <c r="I54" s="813"/>
      <c r="J54" s="813"/>
      <c r="K54" s="813"/>
      <c r="L54" s="813"/>
      <c r="M54" s="813"/>
      <c r="N54" s="813"/>
      <c r="O54" s="813"/>
      <c r="P54" s="813"/>
      <c r="Q54" s="813"/>
      <c r="R54" s="817"/>
      <c r="S54" s="813"/>
      <c r="T54" s="813"/>
      <c r="U54" s="813"/>
      <c r="AK54" s="1008"/>
      <c r="AM54" s="1009"/>
      <c r="AN54" s="1010"/>
      <c r="AO54" s="1008"/>
      <c r="AQ54" s="1010"/>
    </row>
    <row r="55" spans="1:45" s="837" customFormat="1" ht="18" customHeight="1">
      <c r="A55" s="818"/>
      <c r="B55" s="815"/>
      <c r="C55" s="3407"/>
      <c r="D55" s="3407"/>
      <c r="E55" s="1218" t="s">
        <v>94</v>
      </c>
      <c r="F55" s="1469"/>
      <c r="G55" s="1469"/>
      <c r="H55" s="1218"/>
      <c r="I55" s="820"/>
      <c r="J55" s="820"/>
      <c r="K55" s="820"/>
      <c r="L55" s="820"/>
      <c r="M55" s="820"/>
      <c r="N55" s="820"/>
      <c r="O55" s="820"/>
      <c r="P55" s="820"/>
      <c r="Q55" s="820"/>
      <c r="R55" s="1083"/>
      <c r="S55" s="813"/>
      <c r="T55" s="813"/>
      <c r="U55" s="813"/>
      <c r="AE55" s="2529"/>
      <c r="AF55" s="2529"/>
      <c r="AG55" s="2529"/>
      <c r="AH55" s="813"/>
      <c r="AN55" s="1010"/>
      <c r="AS55" s="1008"/>
    </row>
    <row r="56" spans="1:45" s="813" customFormat="1" ht="3.6" customHeight="1">
      <c r="A56" s="818"/>
      <c r="B56" s="815"/>
      <c r="H56" s="820"/>
      <c r="I56" s="820"/>
      <c r="J56" s="820"/>
      <c r="K56" s="820"/>
      <c r="L56" s="820"/>
      <c r="M56" s="3449" t="s">
        <v>1801</v>
      </c>
      <c r="N56" s="3449"/>
      <c r="O56" s="3449"/>
      <c r="P56" s="3449"/>
      <c r="Q56" s="3449"/>
      <c r="R56" s="1083"/>
    </row>
    <row r="57" spans="1:45" s="837" customFormat="1" ht="5.0999999999999996" customHeight="1">
      <c r="A57" s="818"/>
      <c r="B57" s="815"/>
      <c r="C57" s="813"/>
      <c r="D57" s="813"/>
      <c r="E57" s="813"/>
      <c r="F57" s="813"/>
      <c r="G57" s="813"/>
      <c r="H57" s="820"/>
      <c r="I57" s="820"/>
      <c r="J57" s="820"/>
      <c r="K57" s="820"/>
      <c r="L57" s="820"/>
      <c r="M57" s="3449"/>
      <c r="N57" s="3449"/>
      <c r="O57" s="3449"/>
      <c r="P57" s="3449"/>
      <c r="Q57" s="3449"/>
      <c r="R57" s="1083"/>
      <c r="S57" s="813"/>
      <c r="T57" s="813"/>
      <c r="U57" s="813"/>
      <c r="AK57" s="1008"/>
      <c r="AM57" s="1009"/>
      <c r="AN57" s="1010"/>
      <c r="AO57" s="1008"/>
      <c r="AQ57" s="1010"/>
    </row>
    <row r="58" spans="1:45" ht="18" customHeight="1">
      <c r="A58" s="583"/>
      <c r="B58" s="574" t="s">
        <v>631</v>
      </c>
      <c r="C58" s="2627" t="s">
        <v>1970</v>
      </c>
      <c r="D58" s="2627"/>
      <c r="E58" s="2627"/>
      <c r="F58" s="2627"/>
      <c r="G58" s="2627"/>
      <c r="H58" s="3450" t="str">
        <f>IF(Summary!AA63=0,"",IF(Summary!AA63=4,Summary!O69,""))</f>
        <v/>
      </c>
      <c r="I58" s="3450"/>
      <c r="J58" s="3450"/>
      <c r="K58" s="3450"/>
      <c r="L58" s="2646"/>
      <c r="M58" s="3449"/>
      <c r="N58" s="3449"/>
      <c r="O58" s="3449"/>
      <c r="P58" s="3449"/>
      <c r="Q58" s="3449"/>
      <c r="R58" s="1092"/>
      <c r="S58" s="564"/>
      <c r="T58" s="2552"/>
      <c r="U58" s="564"/>
    </row>
    <row r="59" spans="1:45" ht="6" customHeight="1">
      <c r="A59" s="583"/>
      <c r="B59" s="574"/>
      <c r="C59" s="2627"/>
      <c r="D59" s="2627"/>
      <c r="E59" s="2627"/>
      <c r="F59" s="2627"/>
      <c r="G59" s="2627"/>
      <c r="H59" s="2647"/>
      <c r="I59" s="2647"/>
      <c r="J59" s="2647"/>
      <c r="K59" s="2647"/>
      <c r="L59" s="2646"/>
      <c r="M59" s="3449"/>
      <c r="N59" s="3449"/>
      <c r="O59" s="3449"/>
      <c r="P59" s="3449"/>
      <c r="Q59" s="3449"/>
      <c r="R59" s="1092"/>
      <c r="S59" s="564"/>
      <c r="T59" s="2552"/>
      <c r="U59" s="564"/>
    </row>
    <row r="60" spans="1:45" ht="18" customHeight="1">
      <c r="A60" s="583"/>
      <c r="B60" s="574"/>
      <c r="C60" s="2627"/>
      <c r="D60" s="3437" t="s">
        <v>2111</v>
      </c>
      <c r="E60" s="3437"/>
      <c r="F60" s="3437"/>
      <c r="G60" s="3437"/>
      <c r="H60" s="3407"/>
      <c r="I60" s="3407"/>
      <c r="J60" s="1218" t="s">
        <v>94</v>
      </c>
      <c r="K60" s="2647"/>
      <c r="L60" s="2646"/>
      <c r="M60" s="3449"/>
      <c r="N60" s="3449"/>
      <c r="O60" s="3449"/>
      <c r="P60" s="3449"/>
      <c r="Q60" s="3449"/>
      <c r="R60" s="1092"/>
      <c r="S60" s="564"/>
      <c r="T60" s="2552"/>
      <c r="U60" s="564"/>
    </row>
    <row r="61" spans="1:45" ht="18" customHeight="1">
      <c r="A61" s="583"/>
      <c r="B61" s="579"/>
      <c r="C61" s="564" t="s">
        <v>2109</v>
      </c>
      <c r="D61" s="564"/>
      <c r="E61" s="564"/>
      <c r="F61" s="564"/>
      <c r="G61" s="564"/>
      <c r="H61" s="567"/>
      <c r="I61" s="567"/>
      <c r="J61" s="567"/>
      <c r="K61" s="567"/>
      <c r="L61" s="567"/>
      <c r="M61" s="3449"/>
      <c r="N61" s="3449"/>
      <c r="O61" s="3449"/>
      <c r="P61" s="3449"/>
      <c r="Q61" s="3449"/>
      <c r="R61" s="1092"/>
      <c r="S61" s="564"/>
      <c r="T61" s="564"/>
      <c r="U61" s="564"/>
    </row>
    <row r="62" spans="1:45" ht="36" customHeight="1">
      <c r="A62" s="583"/>
      <c r="B62" s="579"/>
      <c r="C62" s="3446"/>
      <c r="D62" s="3447"/>
      <c r="E62" s="3447"/>
      <c r="F62" s="3447"/>
      <c r="G62" s="3447"/>
      <c r="H62" s="3447"/>
      <c r="I62" s="3447"/>
      <c r="J62" s="3447"/>
      <c r="K62" s="3447"/>
      <c r="L62" s="3447"/>
      <c r="M62" s="3447"/>
      <c r="N62" s="3447"/>
      <c r="O62" s="3447"/>
      <c r="P62" s="3447"/>
      <c r="Q62" s="3448"/>
      <c r="R62" s="2670"/>
      <c r="S62" s="564"/>
      <c r="T62" s="564"/>
      <c r="U62" s="564"/>
    </row>
    <row r="63" spans="1:45" ht="6" customHeight="1" thickBot="1">
      <c r="A63" s="2648"/>
      <c r="B63" s="2649"/>
      <c r="C63" s="2650"/>
      <c r="D63" s="2650"/>
      <c r="E63" s="2651"/>
      <c r="F63" s="2650"/>
      <c r="G63" s="2650"/>
      <c r="H63" s="2652"/>
      <c r="I63" s="2652"/>
      <c r="J63" s="2652"/>
      <c r="K63" s="2652"/>
      <c r="L63" s="2652"/>
      <c r="M63" s="2652"/>
      <c r="N63" s="2652"/>
      <c r="O63" s="2652"/>
      <c r="P63" s="2652"/>
      <c r="Q63" s="2652"/>
      <c r="R63" s="2653"/>
    </row>
    <row r="64" spans="1:45" ht="16.350000000000001" customHeight="1" thickBot="1">
      <c r="A64" s="2654" t="s">
        <v>93</v>
      </c>
      <c r="B64" s="2655"/>
      <c r="C64" s="2656" t="s">
        <v>713</v>
      </c>
      <c r="D64" s="2656"/>
      <c r="E64" s="2656"/>
      <c r="F64" s="2656"/>
      <c r="G64" s="2656"/>
      <c r="H64" s="2656"/>
      <c r="I64" s="2656"/>
      <c r="J64" s="2656"/>
      <c r="K64" s="2656"/>
      <c r="L64" s="2656"/>
      <c r="M64" s="2656"/>
      <c r="N64" s="2656"/>
      <c r="O64" s="2656"/>
      <c r="P64" s="2656"/>
      <c r="Q64" s="2656"/>
      <c r="R64" s="2657"/>
      <c r="S64" s="580"/>
      <c r="T64" s="580"/>
      <c r="U64" s="580"/>
      <c r="V64" s="580"/>
      <c r="W64" s="580"/>
      <c r="X64" s="580"/>
      <c r="Y64" s="580"/>
      <c r="Z64" s="580"/>
      <c r="AA64" s="580"/>
      <c r="AB64" s="580"/>
      <c r="AC64" s="564"/>
      <c r="AD64" s="564"/>
    </row>
    <row r="65" spans="1:48" ht="4.3499999999999996" customHeight="1">
      <c r="A65" s="2658"/>
      <c r="B65" s="2659"/>
      <c r="C65" s="2659"/>
      <c r="D65" s="2659"/>
      <c r="E65" s="2659"/>
      <c r="F65" s="2659"/>
      <c r="G65" s="2659"/>
      <c r="H65" s="2659"/>
      <c r="I65" s="2659"/>
      <c r="J65" s="2659"/>
      <c r="K65" s="2659"/>
      <c r="L65" s="2659"/>
      <c r="M65" s="2659"/>
      <c r="N65" s="2659"/>
      <c r="O65" s="2659"/>
      <c r="P65" s="2659"/>
      <c r="Q65" s="2659"/>
      <c r="R65" s="2660"/>
      <c r="S65" s="580"/>
      <c r="T65" s="580"/>
      <c r="U65" s="580"/>
      <c r="V65" s="580"/>
      <c r="W65" s="580"/>
      <c r="X65" s="580"/>
      <c r="Y65" s="580"/>
      <c r="Z65" s="580"/>
      <c r="AA65" s="580"/>
      <c r="AB65" s="564"/>
      <c r="AC65" s="564"/>
      <c r="AD65" s="564"/>
    </row>
    <row r="66" spans="1:48" ht="18" customHeight="1">
      <c r="A66" s="2661"/>
      <c r="B66" s="2662" t="s">
        <v>147</v>
      </c>
      <c r="C66" s="2663" t="s">
        <v>2084</v>
      </c>
      <c r="D66" s="2663"/>
      <c r="E66" s="2663"/>
      <c r="F66" s="2663"/>
      <c r="G66" s="2663"/>
      <c r="H66" s="2663"/>
      <c r="I66" s="2663"/>
      <c r="J66" s="2663"/>
      <c r="K66" s="2663"/>
      <c r="L66" s="2663"/>
      <c r="M66" s="2663"/>
      <c r="N66" s="2646"/>
      <c r="O66" s="2663"/>
      <c r="P66" s="2663"/>
      <c r="Q66" s="2663"/>
      <c r="R66" s="2664"/>
      <c r="AB66" s="567"/>
      <c r="AC66" s="564"/>
      <c r="AD66" s="564"/>
    </row>
    <row r="67" spans="1:48" ht="4.3499999999999996" customHeight="1">
      <c r="A67" s="583"/>
      <c r="B67" s="579"/>
      <c r="C67" s="564"/>
      <c r="D67" s="564"/>
      <c r="E67" s="564"/>
      <c r="F67" s="564"/>
      <c r="G67" s="564"/>
      <c r="H67" s="564"/>
      <c r="I67" s="564"/>
      <c r="J67" s="579"/>
      <c r="K67" s="578"/>
      <c r="L67" s="564"/>
      <c r="M67" s="564"/>
      <c r="N67" s="564"/>
      <c r="O67" s="564"/>
      <c r="P67" s="564"/>
      <c r="Q67" s="575"/>
      <c r="R67" s="1084"/>
      <c r="AB67" s="564"/>
      <c r="AC67" s="564"/>
      <c r="AD67" s="564"/>
      <c r="AI67" s="576"/>
      <c r="AJ67" s="576"/>
      <c r="AK67" s="576"/>
      <c r="AL67" s="576"/>
      <c r="AM67" s="576"/>
      <c r="AN67" s="576"/>
      <c r="AO67" s="576"/>
      <c r="AP67" s="576"/>
      <c r="AQ67" s="576"/>
    </row>
    <row r="68" spans="1:48" ht="20.100000000000001" customHeight="1">
      <c r="A68" s="583"/>
      <c r="B68" s="574"/>
      <c r="C68" s="2615">
        <f>Summary!G82/12</f>
        <v>0</v>
      </c>
      <c r="D68" s="550" t="s">
        <v>714</v>
      </c>
      <c r="E68" s="3394" t="str">
        <f>IF(ISBLANK(H12),"",H8)</f>
        <v/>
      </c>
      <c r="F68" s="3395"/>
      <c r="G68" s="2621" t="s">
        <v>120</v>
      </c>
      <c r="H68" s="3394" t="str">
        <f>IF(ISBLANK(H12),"",MAX(1,C68-E68))</f>
        <v/>
      </c>
      <c r="I68" s="3395"/>
      <c r="J68" s="2627" t="s">
        <v>92</v>
      </c>
      <c r="K68" s="2627" t="s">
        <v>825</v>
      </c>
      <c r="L68" s="564"/>
      <c r="M68" s="564"/>
      <c r="N68" s="564"/>
      <c r="O68" s="564"/>
      <c r="P68" s="3396"/>
      <c r="Q68" s="3397"/>
      <c r="R68" s="1091" t="s">
        <v>92</v>
      </c>
      <c r="AI68" s="550"/>
      <c r="AJ68" s="576"/>
      <c r="AK68" s="576"/>
      <c r="AL68" s="576"/>
      <c r="AM68" s="576"/>
      <c r="AN68" s="576"/>
      <c r="AO68" s="576"/>
      <c r="AP68" s="576"/>
      <c r="AQ68" s="576"/>
    </row>
    <row r="69" spans="1:48" ht="4.3499999999999996" customHeight="1">
      <c r="A69" s="583"/>
      <c r="B69" s="574"/>
      <c r="C69" s="2630"/>
      <c r="D69" s="550"/>
      <c r="E69" s="2630"/>
      <c r="F69" s="2630"/>
      <c r="G69" s="550"/>
      <c r="H69" s="564"/>
      <c r="I69" s="564"/>
      <c r="J69" s="564"/>
      <c r="K69" s="564"/>
      <c r="L69" s="564"/>
      <c r="M69" s="564"/>
      <c r="N69" s="564"/>
      <c r="O69" s="564"/>
      <c r="P69" s="564"/>
      <c r="Q69" s="575"/>
      <c r="R69" s="1084"/>
      <c r="AB69" s="564"/>
      <c r="AC69" s="564"/>
      <c r="AD69" s="564"/>
      <c r="AI69" s="550"/>
      <c r="AJ69" s="550"/>
      <c r="AK69" s="550"/>
      <c r="AL69" s="550"/>
      <c r="AM69" s="550"/>
      <c r="AN69" s="550"/>
      <c r="AO69" s="550"/>
      <c r="AP69" s="550"/>
      <c r="AQ69" s="550"/>
    </row>
    <row r="70" spans="1:48" ht="18" customHeight="1">
      <c r="A70" s="583"/>
      <c r="B70" s="563" t="s">
        <v>631</v>
      </c>
      <c r="C70" s="567" t="s">
        <v>2079</v>
      </c>
      <c r="D70" s="567"/>
      <c r="E70" s="567"/>
      <c r="F70" s="567"/>
      <c r="G70" s="567"/>
      <c r="H70" s="567"/>
      <c r="I70" s="567"/>
      <c r="J70" s="567"/>
      <c r="K70" s="567"/>
      <c r="L70" s="567"/>
      <c r="M70" s="567"/>
      <c r="N70" s="567"/>
      <c r="O70" s="567"/>
      <c r="P70" s="567"/>
      <c r="Q70" s="567"/>
      <c r="R70" s="1092"/>
      <c r="AB70" s="564"/>
      <c r="AC70" s="564"/>
      <c r="AD70" s="564"/>
      <c r="AI70" s="550"/>
      <c r="AJ70" s="550"/>
      <c r="AK70" s="550"/>
      <c r="AL70" s="550"/>
      <c r="AM70" s="550"/>
      <c r="AN70" s="550"/>
      <c r="AO70" s="550"/>
      <c r="AP70" s="550"/>
      <c r="AQ70" s="550"/>
    </row>
    <row r="71" spans="1:48" ht="19.5" customHeight="1">
      <c r="A71" s="583"/>
      <c r="B71" s="574"/>
      <c r="C71" s="3394">
        <f>MAX(H68,P68)</f>
        <v>0</v>
      </c>
      <c r="D71" s="3395"/>
      <c r="E71" s="629" t="s">
        <v>944</v>
      </c>
      <c r="F71" s="3439">
        <f>IF(ISBLANK(G52)," ",(IF(G52="Rock",(C55/12),(H60/12))))</f>
        <v>0</v>
      </c>
      <c r="G71" s="3440"/>
      <c r="H71" s="629" t="s">
        <v>944</v>
      </c>
      <c r="I71" s="3441"/>
      <c r="J71" s="3441"/>
      <c r="K71" s="629" t="s">
        <v>944</v>
      </c>
      <c r="L71" s="3451" t="str">
        <f>IF(ISBLANK(H12)," ",1)</f>
        <v xml:space="preserve"> </v>
      </c>
      <c r="M71" s="3452"/>
      <c r="N71" s="1012" t="s">
        <v>107</v>
      </c>
      <c r="O71" s="3399" t="str">
        <f>IF(ISBLANK(H12),"",C71+F71+I71+L71)</f>
        <v/>
      </c>
      <c r="P71" s="3400"/>
      <c r="Q71" s="2627" t="s">
        <v>92</v>
      </c>
      <c r="R71" s="1084"/>
      <c r="V71" s="1000" t="s">
        <v>2114</v>
      </c>
      <c r="AI71" s="550"/>
      <c r="AJ71" s="550"/>
      <c r="AK71" s="550"/>
      <c r="AL71" s="550"/>
      <c r="AM71" s="550"/>
      <c r="AN71" s="550"/>
      <c r="AO71" s="550"/>
      <c r="AP71" s="550"/>
      <c r="AQ71" s="550"/>
    </row>
    <row r="72" spans="1:48" ht="3.75" customHeight="1">
      <c r="A72" s="583"/>
      <c r="B72" s="574"/>
      <c r="C72" s="564"/>
      <c r="D72" s="564"/>
      <c r="E72" s="564"/>
      <c r="F72" s="564"/>
      <c r="G72" s="564"/>
      <c r="H72" s="564"/>
      <c r="I72" s="564"/>
      <c r="J72" s="564"/>
      <c r="K72" s="564"/>
      <c r="L72" s="564"/>
      <c r="M72" s="564"/>
      <c r="N72" s="564"/>
      <c r="O72" s="564"/>
      <c r="P72" s="564"/>
      <c r="Q72" s="564"/>
      <c r="R72" s="1084"/>
      <c r="AB72" s="564"/>
      <c r="AC72" s="564"/>
      <c r="AD72" s="564"/>
      <c r="AI72" s="550"/>
      <c r="AJ72" s="550"/>
      <c r="AK72" s="550"/>
      <c r="AL72" s="550"/>
      <c r="AM72" s="550"/>
      <c r="AN72" s="550"/>
      <c r="AO72" s="550"/>
      <c r="AP72" s="550"/>
      <c r="AQ72" s="550"/>
    </row>
    <row r="73" spans="1:48" ht="15" customHeight="1">
      <c r="A73" s="583"/>
      <c r="B73" s="574" t="s">
        <v>149</v>
      </c>
      <c r="C73" s="564" t="s">
        <v>1875</v>
      </c>
      <c r="D73" s="564"/>
      <c r="E73" s="564"/>
      <c r="F73" s="564"/>
      <c r="G73" s="564"/>
      <c r="H73" s="564"/>
      <c r="I73" s="564"/>
      <c r="J73" s="564"/>
      <c r="K73" s="564"/>
      <c r="L73" s="564"/>
      <c r="M73" s="564"/>
      <c r="N73" s="564"/>
      <c r="O73" s="564"/>
      <c r="P73" s="564"/>
      <c r="Q73" s="564"/>
      <c r="R73" s="1084"/>
      <c r="AB73" s="564"/>
      <c r="AC73" s="564"/>
      <c r="AD73" s="564"/>
      <c r="AI73" s="550"/>
      <c r="AJ73" s="550"/>
      <c r="AK73" s="550"/>
      <c r="AL73" s="550"/>
      <c r="AM73" s="550"/>
      <c r="AN73" s="550"/>
      <c r="AO73" s="550"/>
      <c r="AP73" s="550"/>
      <c r="AQ73" s="550"/>
    </row>
    <row r="74" spans="1:48" ht="19.5" customHeight="1">
      <c r="A74" s="583"/>
      <c r="B74" s="574"/>
      <c r="C74" s="3399" t="str">
        <f>O71</f>
        <v/>
      </c>
      <c r="D74" s="3400"/>
      <c r="E74" s="629" t="s">
        <v>126</v>
      </c>
      <c r="F74" s="3396"/>
      <c r="G74" s="3397"/>
      <c r="H74" s="629" t="s">
        <v>107</v>
      </c>
      <c r="I74" s="3399" t="str">
        <f>IF(ISBLANK(H12),"",C74*F74)</f>
        <v/>
      </c>
      <c r="J74" s="3400"/>
      <c r="K74" s="564" t="s">
        <v>92</v>
      </c>
      <c r="L74" s="564"/>
      <c r="M74" s="564"/>
      <c r="N74" s="564"/>
      <c r="O74" s="564"/>
      <c r="P74" s="564"/>
      <c r="Q74" s="564"/>
      <c r="R74" s="1084"/>
      <c r="AI74" s="550"/>
      <c r="AJ74" s="550"/>
      <c r="AK74" s="550"/>
      <c r="AL74" s="550"/>
      <c r="AM74" s="550"/>
      <c r="AN74" s="550"/>
      <c r="AO74" s="550"/>
      <c r="AP74" s="550"/>
      <c r="AQ74" s="550"/>
    </row>
    <row r="75" spans="1:48" ht="3.75" customHeight="1">
      <c r="A75" s="583"/>
      <c r="B75" s="574"/>
      <c r="C75" s="564"/>
      <c r="D75" s="564"/>
      <c r="E75" s="564"/>
      <c r="F75" s="564"/>
      <c r="G75" s="564"/>
      <c r="H75" s="564"/>
      <c r="I75" s="564"/>
      <c r="J75" s="564"/>
      <c r="K75" s="564"/>
      <c r="L75" s="564"/>
      <c r="M75" s="564"/>
      <c r="N75" s="564"/>
      <c r="O75" s="564"/>
      <c r="P75" s="564"/>
      <c r="Q75" s="564"/>
      <c r="R75" s="1084"/>
      <c r="AB75" s="564"/>
      <c r="AC75" s="564"/>
      <c r="AD75" s="564"/>
      <c r="AI75" s="550"/>
      <c r="AJ75" s="550"/>
      <c r="AK75" s="550"/>
      <c r="AL75" s="550"/>
      <c r="AM75" s="550"/>
      <c r="AN75" s="550"/>
      <c r="AO75" s="550"/>
      <c r="AP75" s="550"/>
      <c r="AQ75" s="550"/>
    </row>
    <row r="76" spans="1:48" ht="15" customHeight="1">
      <c r="A76" s="583"/>
      <c r="B76" s="574" t="s">
        <v>588</v>
      </c>
      <c r="C76" s="564" t="s">
        <v>1312</v>
      </c>
      <c r="D76" s="564"/>
      <c r="E76" s="564"/>
      <c r="F76" s="564"/>
      <c r="G76" s="564"/>
      <c r="H76" s="564"/>
      <c r="I76" s="564"/>
      <c r="J76" s="564"/>
      <c r="K76" s="564"/>
      <c r="L76" s="564"/>
      <c r="M76" s="564"/>
      <c r="N76" s="564"/>
      <c r="O76" s="564"/>
      <c r="P76" s="564"/>
      <c r="Q76" s="564"/>
      <c r="R76" s="602"/>
      <c r="AB76" s="564"/>
      <c r="AC76" s="564"/>
      <c r="AD76" s="564"/>
      <c r="AI76" s="550"/>
      <c r="AJ76" s="573"/>
      <c r="AK76" s="573"/>
      <c r="AL76" s="572"/>
      <c r="AM76" s="572"/>
      <c r="AN76" s="573"/>
      <c r="AO76" s="573"/>
      <c r="AP76" s="572"/>
      <c r="AQ76" s="572"/>
    </row>
    <row r="77" spans="1:48" ht="20.100000000000001" customHeight="1">
      <c r="A77" s="583"/>
      <c r="B77" s="563"/>
      <c r="C77" s="3444" t="str">
        <f>I74</f>
        <v/>
      </c>
      <c r="D77" s="3445"/>
      <c r="E77" s="627" t="s">
        <v>944</v>
      </c>
      <c r="F77" s="3442" t="str">
        <f>IF(ISBLANK(H32), "", H32)</f>
        <v/>
      </c>
      <c r="G77" s="3443"/>
      <c r="H77" s="628" t="s">
        <v>944</v>
      </c>
      <c r="I77" s="3399" t="str">
        <f>I74</f>
        <v/>
      </c>
      <c r="J77" s="3400"/>
      <c r="K77" s="1020" t="s">
        <v>107</v>
      </c>
      <c r="L77" s="3399" t="str">
        <f>IF(ISBLANK(H12),"",C77+F77+I77)</f>
        <v/>
      </c>
      <c r="M77" s="3400"/>
      <c r="N77" s="567" t="s">
        <v>92</v>
      </c>
      <c r="O77" s="564"/>
      <c r="P77" s="564"/>
      <c r="Q77" s="567"/>
      <c r="R77" s="1092"/>
      <c r="AI77" s="550"/>
      <c r="AJ77" s="542"/>
      <c r="AK77" s="542"/>
      <c r="AL77" s="544"/>
      <c r="AM77" s="544"/>
      <c r="AN77" s="542"/>
      <c r="AO77" s="542"/>
      <c r="AP77" s="544"/>
      <c r="AQ77" s="544"/>
    </row>
    <row r="78" spans="1:48" ht="4.3499999999999996" customHeight="1">
      <c r="A78" s="583"/>
      <c r="B78" s="1013"/>
      <c r="C78" s="617"/>
      <c r="D78" s="617"/>
      <c r="E78" s="617"/>
      <c r="F78" s="617"/>
      <c r="G78" s="617"/>
      <c r="H78" s="618"/>
      <c r="I78" s="567"/>
      <c r="J78" s="567"/>
      <c r="K78" s="567"/>
      <c r="L78" s="568"/>
      <c r="M78" s="568"/>
      <c r="N78" s="567"/>
      <c r="O78" s="567"/>
      <c r="P78" s="567"/>
      <c r="Q78" s="567"/>
      <c r="R78" s="1093"/>
      <c r="AB78" s="564"/>
      <c r="AC78" s="564"/>
      <c r="AD78" s="564"/>
      <c r="AI78" s="550"/>
      <c r="AJ78" s="542"/>
      <c r="AK78" s="542"/>
      <c r="AL78" s="544"/>
      <c r="AM78" s="544"/>
      <c r="AN78" s="542"/>
      <c r="AO78" s="542"/>
      <c r="AP78" s="544"/>
      <c r="AQ78" s="544"/>
      <c r="AS78" s="567"/>
      <c r="AT78" s="567"/>
      <c r="AU78" s="567"/>
      <c r="AV78" s="567"/>
    </row>
    <row r="79" spans="1:48" ht="15" customHeight="1">
      <c r="A79" s="583"/>
      <c r="B79" s="574" t="s">
        <v>589</v>
      </c>
      <c r="C79" s="564" t="s">
        <v>1318</v>
      </c>
      <c r="D79" s="564"/>
      <c r="E79" s="564"/>
      <c r="F79" s="564"/>
      <c r="G79" s="564"/>
      <c r="H79" s="564"/>
      <c r="I79" s="564"/>
      <c r="J79" s="564"/>
      <c r="K79" s="564"/>
      <c r="L79" s="564"/>
      <c r="M79" s="564"/>
      <c r="N79" s="564"/>
      <c r="O79" s="564"/>
      <c r="P79" s="564"/>
      <c r="Q79" s="564"/>
      <c r="R79" s="602"/>
      <c r="AB79" s="564"/>
      <c r="AC79" s="564"/>
      <c r="AD79" s="564"/>
      <c r="AI79" s="550"/>
      <c r="AJ79" s="573"/>
      <c r="AK79" s="573"/>
      <c r="AL79" s="572"/>
      <c r="AM79" s="572"/>
      <c r="AN79" s="573"/>
      <c r="AO79" s="573"/>
      <c r="AP79" s="572"/>
      <c r="AQ79" s="572"/>
    </row>
    <row r="80" spans="1:48" ht="19.5" customHeight="1">
      <c r="A80" s="583"/>
      <c r="B80" s="563"/>
      <c r="C80" s="3394" t="str">
        <f>J43</f>
        <v/>
      </c>
      <c r="D80" s="3395"/>
      <c r="E80" s="626" t="s">
        <v>945</v>
      </c>
      <c r="F80" s="3399" t="str">
        <f>L77</f>
        <v/>
      </c>
      <c r="G80" s="3400"/>
      <c r="H80" s="626" t="s">
        <v>121</v>
      </c>
      <c r="I80" s="3432" t="str">
        <f>IF(ISBLANK(H12),"",IF(C80&lt;F80,"0",C80-F80))</f>
        <v/>
      </c>
      <c r="J80" s="3433"/>
      <c r="K80" s="567" t="s">
        <v>92</v>
      </c>
      <c r="L80" s="567" t="s">
        <v>810</v>
      </c>
      <c r="M80" s="564"/>
      <c r="N80" s="567"/>
      <c r="O80" s="564"/>
      <c r="P80" s="567"/>
      <c r="Q80" s="567"/>
      <c r="R80" s="1092"/>
      <c r="AJ80" s="542"/>
      <c r="AK80" s="542"/>
      <c r="AL80" s="544"/>
      <c r="AM80" s="544"/>
      <c r="AN80" s="542"/>
      <c r="AO80" s="542"/>
      <c r="AP80" s="544"/>
      <c r="AQ80" s="544"/>
    </row>
    <row r="81" spans="1:48" ht="4.5" customHeight="1">
      <c r="A81" s="583"/>
      <c r="B81" s="563"/>
      <c r="C81" s="567"/>
      <c r="D81" s="567"/>
      <c r="E81" s="567"/>
      <c r="F81" s="567"/>
      <c r="G81" s="565"/>
      <c r="H81" s="570"/>
      <c r="I81" s="550"/>
      <c r="J81" s="2630"/>
      <c r="K81" s="2616"/>
      <c r="L81" s="567"/>
      <c r="M81" s="2630"/>
      <c r="N81" s="2630"/>
      <c r="O81" s="567"/>
      <c r="P81" s="567"/>
      <c r="Q81" s="567"/>
      <c r="R81" s="1092"/>
      <c r="AB81" s="564"/>
      <c r="AC81" s="564"/>
      <c r="AD81" s="564"/>
      <c r="AI81" s="550"/>
      <c r="AJ81" s="542"/>
      <c r="AK81" s="542"/>
      <c r="AL81" s="544"/>
      <c r="AM81" s="544"/>
      <c r="AN81" s="542"/>
      <c r="AO81" s="542"/>
      <c r="AP81" s="544"/>
      <c r="AQ81" s="544"/>
    </row>
    <row r="82" spans="1:48" ht="20.100000000000001" customHeight="1">
      <c r="A82" s="583"/>
      <c r="B82" s="563" t="s">
        <v>641</v>
      </c>
      <c r="C82" s="564" t="s">
        <v>1313</v>
      </c>
      <c r="D82" s="567"/>
      <c r="E82" s="567"/>
      <c r="F82" s="567"/>
      <c r="G82" s="567"/>
      <c r="H82" s="620"/>
      <c r="I82" s="620"/>
      <c r="J82" s="550"/>
      <c r="K82" s="621"/>
      <c r="L82" s="621"/>
      <c r="M82" s="567"/>
      <c r="N82" s="567"/>
      <c r="O82" s="621"/>
      <c r="P82" s="621"/>
      <c r="Q82" s="548"/>
      <c r="R82" s="1092"/>
      <c r="AB82" s="564"/>
      <c r="AC82" s="564"/>
      <c r="AD82" s="564"/>
      <c r="AI82" s="550"/>
      <c r="AJ82" s="542"/>
      <c r="AK82" s="542"/>
      <c r="AL82" s="544"/>
      <c r="AM82" s="544"/>
      <c r="AN82" s="542"/>
      <c r="AO82" s="542"/>
      <c r="AP82" s="544"/>
      <c r="AQ82" s="544"/>
    </row>
    <row r="83" spans="1:48" ht="19.5" customHeight="1">
      <c r="A83" s="583"/>
      <c r="B83" s="563"/>
      <c r="C83" s="3432" t="str">
        <f>I80</f>
        <v/>
      </c>
      <c r="D83" s="3398"/>
      <c r="E83" s="626" t="s">
        <v>715</v>
      </c>
      <c r="F83" s="3399" t="str">
        <f>I74</f>
        <v/>
      </c>
      <c r="G83" s="3400"/>
      <c r="H83" s="626" t="s">
        <v>121</v>
      </c>
      <c r="I83" s="3394" t="str">
        <f>IF(ISBLANK(H12),"",C83+F83)</f>
        <v/>
      </c>
      <c r="J83" s="3395"/>
      <c r="K83" s="567" t="s">
        <v>92</v>
      </c>
      <c r="L83" s="564"/>
      <c r="M83" s="567"/>
      <c r="N83" s="567"/>
      <c r="O83" s="567"/>
      <c r="P83" s="567"/>
      <c r="Q83" s="567"/>
      <c r="R83" s="1092"/>
      <c r="AI83" s="550"/>
      <c r="AJ83" s="542"/>
      <c r="AK83" s="542"/>
      <c r="AL83" s="544"/>
      <c r="AM83" s="544"/>
      <c r="AN83" s="542"/>
      <c r="AO83" s="542"/>
      <c r="AP83" s="544"/>
      <c r="AQ83" s="544"/>
    </row>
    <row r="84" spans="1:48" ht="3.75" customHeight="1">
      <c r="A84" s="583"/>
      <c r="B84" s="563"/>
      <c r="C84" s="567"/>
      <c r="D84" s="567"/>
      <c r="E84" s="567"/>
      <c r="F84" s="567"/>
      <c r="G84" s="567"/>
      <c r="H84" s="620"/>
      <c r="I84" s="620"/>
      <c r="J84" s="550"/>
      <c r="K84" s="621"/>
      <c r="L84" s="621"/>
      <c r="M84" s="550"/>
      <c r="N84" s="620"/>
      <c r="O84" s="620"/>
      <c r="P84" s="550"/>
      <c r="Q84" s="567"/>
      <c r="R84" s="1092"/>
      <c r="AB84" s="564"/>
      <c r="AC84" s="564"/>
      <c r="AD84" s="564"/>
      <c r="AI84" s="550"/>
      <c r="AJ84" s="542"/>
      <c r="AK84" s="542"/>
      <c r="AL84" s="544"/>
      <c r="AM84" s="544"/>
      <c r="AN84" s="542"/>
      <c r="AO84" s="542"/>
      <c r="AP84" s="544"/>
      <c r="AQ84" s="544"/>
    </row>
    <row r="85" spans="1:48" s="567" customFormat="1" ht="19.5" customHeight="1">
      <c r="A85" s="583"/>
      <c r="B85" s="563" t="s">
        <v>642</v>
      </c>
      <c r="C85" s="552" t="s">
        <v>1314</v>
      </c>
      <c r="D85" s="616"/>
      <c r="E85" s="616"/>
      <c r="F85" s="616"/>
      <c r="G85" s="616"/>
      <c r="M85" s="568"/>
      <c r="P85" s="548"/>
      <c r="R85" s="1092"/>
      <c r="AB85" s="564"/>
      <c r="AI85" s="550"/>
      <c r="AJ85" s="542"/>
      <c r="AK85" s="542"/>
      <c r="AL85" s="544"/>
      <c r="AM85" s="544"/>
      <c r="AN85" s="542"/>
      <c r="AO85" s="542"/>
      <c r="AP85" s="544"/>
      <c r="AQ85" s="544"/>
    </row>
    <row r="86" spans="1:48" ht="19.5" customHeight="1">
      <c r="A86" s="583"/>
      <c r="B86" s="567"/>
      <c r="C86" s="3394" t="str">
        <f>I83</f>
        <v/>
      </c>
      <c r="D86" s="3398"/>
      <c r="E86" s="626" t="s">
        <v>715</v>
      </c>
      <c r="F86" s="3399" t="str">
        <f>IF(ISBLANK(H32), "", H32)</f>
        <v/>
      </c>
      <c r="G86" s="3398"/>
      <c r="H86" s="626" t="s">
        <v>715</v>
      </c>
      <c r="I86" s="3394" t="str">
        <f>I83</f>
        <v/>
      </c>
      <c r="J86" s="3398"/>
      <c r="K86" s="626" t="s">
        <v>120</v>
      </c>
      <c r="L86" s="3399" t="str">
        <f>IF(ISBLANK(H12),"",C86+F86+I86)</f>
        <v/>
      </c>
      <c r="M86" s="3398"/>
      <c r="N86" s="564" t="s">
        <v>92</v>
      </c>
      <c r="O86" s="567"/>
      <c r="P86" s="567"/>
      <c r="Q86" s="567"/>
      <c r="R86" s="1092"/>
      <c r="AJ86" s="542"/>
      <c r="AK86" s="542"/>
      <c r="AL86" s="544"/>
      <c r="AM86" s="544"/>
      <c r="AN86" s="542"/>
      <c r="AO86" s="542"/>
      <c r="AP86" s="544"/>
      <c r="AQ86" s="544"/>
    </row>
    <row r="87" spans="1:48" ht="3.75" customHeight="1">
      <c r="A87" s="583"/>
      <c r="B87" s="563"/>
      <c r="C87" s="567"/>
      <c r="D87" s="567"/>
      <c r="E87" s="567"/>
      <c r="F87" s="567"/>
      <c r="G87" s="567"/>
      <c r="H87" s="567"/>
      <c r="I87" s="567"/>
      <c r="J87" s="567"/>
      <c r="K87" s="567"/>
      <c r="L87" s="567"/>
      <c r="M87" s="567"/>
      <c r="N87" s="567"/>
      <c r="O87" s="567"/>
      <c r="P87" s="567"/>
      <c r="Q87" s="567"/>
      <c r="R87" s="1092"/>
      <c r="AB87" s="564"/>
      <c r="AC87" s="564"/>
      <c r="AD87" s="564"/>
      <c r="AI87" s="550"/>
      <c r="AJ87" s="542"/>
      <c r="AK87" s="542"/>
      <c r="AL87" s="544"/>
      <c r="AM87" s="544"/>
      <c r="AN87" s="542"/>
      <c r="AO87" s="542"/>
      <c r="AP87" s="544"/>
      <c r="AQ87" s="544"/>
    </row>
    <row r="88" spans="1:48" ht="20.100000000000001" customHeight="1">
      <c r="A88" s="583"/>
      <c r="B88" s="563" t="s">
        <v>643</v>
      </c>
      <c r="C88" s="568" t="s">
        <v>1315</v>
      </c>
      <c r="D88" s="565"/>
      <c r="E88" s="550"/>
      <c r="F88" s="2630"/>
      <c r="G88" s="2630"/>
      <c r="H88" s="619"/>
      <c r="I88" s="619"/>
      <c r="J88" s="550"/>
      <c r="K88" s="620"/>
      <c r="L88" s="620"/>
      <c r="M88" s="550"/>
      <c r="N88" s="620"/>
      <c r="O88" s="620"/>
      <c r="P88" s="548"/>
      <c r="Q88" s="567"/>
      <c r="R88" s="1092"/>
      <c r="AB88" s="564"/>
      <c r="AC88" s="564"/>
      <c r="AD88" s="564"/>
      <c r="AI88" s="550"/>
      <c r="AJ88" s="542"/>
      <c r="AK88" s="542"/>
      <c r="AL88" s="544"/>
      <c r="AM88" s="544"/>
      <c r="AN88" s="542"/>
      <c r="AO88" s="542"/>
      <c r="AP88" s="544"/>
      <c r="AQ88" s="544"/>
    </row>
    <row r="89" spans="1:48" ht="19.5" customHeight="1">
      <c r="A89" s="583"/>
      <c r="B89" s="563"/>
      <c r="C89" s="3394" t="str">
        <f>I83</f>
        <v/>
      </c>
      <c r="D89" s="3395"/>
      <c r="E89" s="626" t="s">
        <v>715</v>
      </c>
      <c r="F89" s="3394">
        <f>MAX(J36,L38)</f>
        <v>0</v>
      </c>
      <c r="G89" s="3395"/>
      <c r="H89" s="626" t="s">
        <v>715</v>
      </c>
      <c r="I89" s="3394" t="str">
        <f>I83</f>
        <v/>
      </c>
      <c r="J89" s="3395"/>
      <c r="K89" s="626" t="s">
        <v>120</v>
      </c>
      <c r="L89" s="3399" t="str">
        <f>IF(ISBLANK(H12),"",C89+F89+I89)</f>
        <v/>
      </c>
      <c r="M89" s="3400"/>
      <c r="N89" s="567" t="s">
        <v>92</v>
      </c>
      <c r="O89" s="564"/>
      <c r="P89" s="567"/>
      <c r="Q89" s="567"/>
      <c r="R89" s="1092"/>
      <c r="AD89" s="564"/>
      <c r="AI89" s="550"/>
      <c r="AJ89" s="542"/>
      <c r="AK89" s="542"/>
      <c r="AL89" s="544"/>
      <c r="AM89" s="544"/>
      <c r="AN89" s="542"/>
      <c r="AO89" s="542"/>
      <c r="AP89" s="544"/>
      <c r="AQ89" s="544"/>
    </row>
    <row r="90" spans="1:48" ht="3.75" customHeight="1">
      <c r="A90" s="583"/>
      <c r="B90" s="563"/>
      <c r="C90" s="548"/>
      <c r="D90" s="548"/>
      <c r="E90" s="548"/>
      <c r="F90" s="548"/>
      <c r="G90" s="548"/>
      <c r="H90" s="620"/>
      <c r="I90" s="622"/>
      <c r="J90" s="550"/>
      <c r="K90" s="622"/>
      <c r="L90" s="622"/>
      <c r="M90" s="550"/>
      <c r="N90" s="620"/>
      <c r="O90" s="620"/>
      <c r="P90" s="548"/>
      <c r="Q90" s="567"/>
      <c r="R90" s="1092"/>
      <c r="AB90" s="564"/>
      <c r="AC90" s="564"/>
      <c r="AD90" s="564"/>
      <c r="AI90" s="550"/>
      <c r="AJ90" s="542"/>
      <c r="AK90" s="542"/>
      <c r="AL90" s="544"/>
      <c r="AM90" s="544"/>
      <c r="AN90" s="542"/>
      <c r="AO90" s="542"/>
      <c r="AP90" s="544"/>
      <c r="AQ90" s="544"/>
    </row>
    <row r="91" spans="1:48" ht="19.5" customHeight="1">
      <c r="A91" s="583"/>
      <c r="B91" s="563" t="s">
        <v>644</v>
      </c>
      <c r="C91" s="548" t="s">
        <v>1316</v>
      </c>
      <c r="D91" s="548"/>
      <c r="E91" s="548"/>
      <c r="F91" s="548"/>
      <c r="G91" s="548"/>
      <c r="H91" s="548"/>
      <c r="I91" s="2630"/>
      <c r="J91" s="550"/>
      <c r="K91" s="550"/>
      <c r="L91" s="567"/>
      <c r="M91" s="550"/>
      <c r="N91" s="2630"/>
      <c r="O91" s="567"/>
      <c r="P91" s="567"/>
      <c r="Q91" s="567"/>
      <c r="R91" s="1092"/>
      <c r="AD91" s="564"/>
      <c r="AI91" s="550"/>
      <c r="AJ91" s="542"/>
      <c r="AK91" s="542"/>
      <c r="AL91" s="544"/>
      <c r="AM91" s="544"/>
      <c r="AN91" s="542"/>
      <c r="AO91" s="542"/>
      <c r="AP91" s="544"/>
      <c r="AQ91" s="544"/>
    </row>
    <row r="92" spans="1:48" ht="20.100000000000001" customHeight="1">
      <c r="A92" s="583"/>
      <c r="B92" s="625" t="s">
        <v>310</v>
      </c>
      <c r="C92" s="3394" t="str">
        <f>J43</f>
        <v/>
      </c>
      <c r="D92" s="3398"/>
      <c r="E92" s="626" t="s">
        <v>946</v>
      </c>
      <c r="F92" s="3399" t="str">
        <f>IF(ISBLANK(H32), "", H32)</f>
        <v/>
      </c>
      <c r="G92" s="3398"/>
      <c r="H92" s="548" t="s">
        <v>811</v>
      </c>
      <c r="I92" s="626">
        <v>2</v>
      </c>
      <c r="J92" s="626" t="s">
        <v>102</v>
      </c>
      <c r="K92" s="3394" t="str">
        <f>IF(ISBLANK(H12),"",(C92-F92)/2)</f>
        <v/>
      </c>
      <c r="L92" s="3395"/>
      <c r="M92" s="548" t="s">
        <v>92</v>
      </c>
      <c r="N92" s="567"/>
      <c r="O92" s="567"/>
      <c r="P92" s="567"/>
      <c r="Q92" s="567"/>
      <c r="R92" s="1092"/>
      <c r="AB92" s="564"/>
      <c r="AC92" s="564"/>
      <c r="AD92" s="564"/>
      <c r="AI92" s="550"/>
      <c r="AJ92" s="542"/>
      <c r="AK92" s="542"/>
      <c r="AL92" s="544"/>
      <c r="AM92" s="544"/>
      <c r="AN92" s="542"/>
      <c r="AO92" s="542"/>
      <c r="AP92" s="544"/>
      <c r="AQ92" s="544"/>
    </row>
    <row r="93" spans="1:48" ht="4.3499999999999996" customHeight="1" thickBot="1">
      <c r="A93" s="582"/>
      <c r="B93" s="1097"/>
      <c r="C93" s="1098"/>
      <c r="D93" s="1098"/>
      <c r="E93" s="1098"/>
      <c r="F93" s="1098"/>
      <c r="G93" s="1098"/>
      <c r="H93" s="1098"/>
      <c r="I93" s="1098"/>
      <c r="J93" s="559"/>
      <c r="K93" s="559"/>
      <c r="L93" s="560"/>
      <c r="M93" s="1099"/>
      <c r="N93" s="1099"/>
      <c r="O93" s="1099"/>
      <c r="P93" s="1099"/>
      <c r="Q93" s="1099"/>
      <c r="R93" s="1100"/>
      <c r="S93" s="564"/>
      <c r="T93" s="564"/>
      <c r="U93" s="564"/>
      <c r="V93" s="564"/>
      <c r="W93" s="564"/>
      <c r="X93" s="564"/>
      <c r="Y93" s="564"/>
      <c r="Z93" s="564"/>
      <c r="AA93" s="564"/>
      <c r="AB93" s="564"/>
      <c r="AC93" s="564"/>
      <c r="AD93" s="564"/>
      <c r="AI93" s="550"/>
      <c r="AJ93" s="542"/>
      <c r="AK93" s="542"/>
      <c r="AL93" s="544"/>
      <c r="AM93" s="544"/>
      <c r="AN93" s="542"/>
      <c r="AO93" s="542"/>
      <c r="AP93" s="544"/>
      <c r="AQ93" s="544"/>
    </row>
    <row r="94" spans="1:48" ht="17.100000000000001" customHeight="1" thickBot="1">
      <c r="A94" s="681" t="s">
        <v>95</v>
      </c>
      <c r="B94" s="1001"/>
      <c r="C94" s="679" t="s">
        <v>2113</v>
      </c>
      <c r="D94" s="679"/>
      <c r="E94" s="1005"/>
      <c r="F94" s="679"/>
      <c r="G94" s="679"/>
      <c r="H94" s="679"/>
      <c r="I94" s="3408" t="s">
        <v>1015</v>
      </c>
      <c r="J94" s="3408"/>
      <c r="K94" s="3408"/>
      <c r="L94" s="3408"/>
      <c r="M94" s="3408"/>
      <c r="N94" s="2704"/>
      <c r="O94" s="3401" t="str">
        <f>IF(ISBLANK(Prelim!S5)," ",Prelim!S5)</f>
        <v xml:space="preserve"> </v>
      </c>
      <c r="P94" s="3401"/>
      <c r="Q94" s="3401"/>
      <c r="R94" s="680"/>
      <c r="S94" s="564"/>
      <c r="T94" s="564"/>
      <c r="U94" s="564"/>
      <c r="V94" s="564"/>
      <c r="W94" s="564"/>
      <c r="X94" s="564"/>
      <c r="Y94" s="564"/>
      <c r="Z94" s="564"/>
      <c r="AA94" s="564"/>
      <c r="AB94" s="564"/>
      <c r="AC94" s="564"/>
      <c r="AD94" s="564"/>
      <c r="AS94" s="567"/>
      <c r="AT94" s="567"/>
      <c r="AU94" s="567"/>
      <c r="AV94" s="567"/>
    </row>
    <row r="95" spans="1:48" ht="6" customHeight="1">
      <c r="A95" s="583"/>
      <c r="B95" s="564"/>
      <c r="C95" s="564"/>
      <c r="D95" s="564"/>
      <c r="E95" s="564"/>
      <c r="F95" s="564"/>
      <c r="G95" s="564"/>
      <c r="H95" s="564"/>
      <c r="I95" s="564"/>
      <c r="J95" s="564"/>
      <c r="K95" s="564"/>
      <c r="L95" s="564"/>
      <c r="M95" s="564"/>
      <c r="N95" s="564"/>
      <c r="O95" s="564"/>
      <c r="P95" s="564"/>
      <c r="Q95" s="564"/>
      <c r="R95" s="1084"/>
      <c r="S95" s="564"/>
      <c r="T95" s="564"/>
      <c r="U95" s="564"/>
      <c r="V95" s="564"/>
      <c r="W95" s="564"/>
      <c r="X95" s="564"/>
      <c r="Y95" s="564"/>
      <c r="Z95" s="564"/>
      <c r="AA95" s="564"/>
      <c r="AB95" s="564"/>
      <c r="AC95" s="564"/>
      <c r="AD95" s="564"/>
      <c r="AS95" s="567"/>
      <c r="AT95" s="567"/>
      <c r="AU95" s="567"/>
      <c r="AV95" s="567"/>
    </row>
    <row r="96" spans="1:48" ht="16.350000000000001" customHeight="1">
      <c r="A96" s="583"/>
      <c r="B96" s="564"/>
      <c r="C96" s="564"/>
      <c r="D96" s="564"/>
      <c r="E96" s="564"/>
      <c r="F96" s="564"/>
      <c r="G96" s="564"/>
      <c r="H96" s="564"/>
      <c r="I96" s="564"/>
      <c r="J96" s="564"/>
      <c r="K96" s="564"/>
      <c r="L96" s="564"/>
      <c r="M96" s="564"/>
      <c r="N96" s="564"/>
      <c r="O96" s="564"/>
      <c r="P96" s="564"/>
      <c r="Q96" s="564"/>
      <c r="R96" s="1084"/>
    </row>
    <row r="97" spans="1:46" ht="15" customHeight="1">
      <c r="A97" s="603"/>
      <c r="B97" s="564"/>
      <c r="C97" s="564"/>
      <c r="D97" s="564"/>
      <c r="E97" s="564"/>
      <c r="F97" s="564"/>
      <c r="G97" s="564"/>
      <c r="H97" s="564"/>
      <c r="I97" s="564"/>
      <c r="J97" s="564"/>
      <c r="K97" s="564"/>
      <c r="L97" s="564"/>
      <c r="M97" s="564"/>
      <c r="N97" s="564"/>
      <c r="O97" s="564"/>
      <c r="P97" s="564"/>
      <c r="Q97" s="564"/>
      <c r="R97" s="1084"/>
      <c r="AR97" s="557"/>
      <c r="AS97" s="1014"/>
      <c r="AT97" s="1015"/>
    </row>
    <row r="98" spans="1:46" ht="15" customHeight="1">
      <c r="A98" s="603"/>
      <c r="B98" s="564"/>
      <c r="C98" s="564"/>
      <c r="D98" s="564"/>
      <c r="E98" s="564"/>
      <c r="F98" s="564"/>
      <c r="G98" s="564"/>
      <c r="H98" s="564"/>
      <c r="I98" s="564"/>
      <c r="J98" s="564"/>
      <c r="K98" s="564"/>
      <c r="L98" s="564"/>
      <c r="M98" s="564"/>
      <c r="N98" s="564"/>
      <c r="O98" s="564"/>
      <c r="P98" s="564"/>
      <c r="Q98" s="564"/>
      <c r="R98" s="1084"/>
      <c r="U98" s="564"/>
      <c r="V98" s="564"/>
      <c r="W98" s="564"/>
      <c r="X98" s="564"/>
      <c r="Y98" s="564"/>
      <c r="Z98" s="564"/>
      <c r="AA98" s="564"/>
      <c r="AB98" s="564"/>
      <c r="AC98" s="564"/>
      <c r="AD98" s="564"/>
      <c r="AE98" s="562"/>
      <c r="AF98" s="562"/>
      <c r="AG98" s="562"/>
      <c r="AH98" s="562"/>
      <c r="AI98" s="562"/>
      <c r="AJ98" s="564"/>
      <c r="AR98" s="557"/>
      <c r="AS98" s="1014"/>
      <c r="AT98" s="1015"/>
    </row>
    <row r="99" spans="1:46" ht="15" customHeight="1">
      <c r="A99" s="603"/>
      <c r="B99" s="564"/>
      <c r="C99" s="564"/>
      <c r="D99" s="564"/>
      <c r="E99" s="564"/>
      <c r="F99" s="564"/>
      <c r="G99" s="564"/>
      <c r="H99" s="564"/>
      <c r="I99" s="564"/>
      <c r="J99" s="564"/>
      <c r="K99" s="564"/>
      <c r="L99" s="564"/>
      <c r="M99" s="564"/>
      <c r="N99" s="564"/>
      <c r="O99" s="564"/>
      <c r="P99" s="564"/>
      <c r="Q99" s="564"/>
      <c r="R99" s="1084"/>
      <c r="AK99" s="999"/>
      <c r="AR99" s="557"/>
      <c r="AT99" s="1015"/>
    </row>
    <row r="100" spans="1:46" ht="15" customHeight="1">
      <c r="A100" s="603"/>
      <c r="B100" s="564"/>
      <c r="C100" s="564"/>
      <c r="D100" s="564"/>
      <c r="E100" s="564"/>
      <c r="F100" s="564"/>
      <c r="G100" s="564"/>
      <c r="H100" s="564"/>
      <c r="I100" s="564"/>
      <c r="J100" s="564"/>
      <c r="K100" s="564"/>
      <c r="L100" s="564"/>
      <c r="M100" s="564"/>
      <c r="N100" s="564"/>
      <c r="O100" s="564"/>
      <c r="P100" s="564"/>
      <c r="Q100" s="564"/>
      <c r="R100" s="1084"/>
      <c r="AK100" s="999"/>
      <c r="AR100" s="557"/>
      <c r="AT100" s="1015"/>
    </row>
    <row r="101" spans="1:46" ht="15" customHeight="1">
      <c r="A101" s="603"/>
      <c r="B101" s="564"/>
      <c r="C101" s="564"/>
      <c r="D101" s="564"/>
      <c r="E101" s="564"/>
      <c r="F101" s="564"/>
      <c r="G101" s="564"/>
      <c r="H101" s="564"/>
      <c r="I101" s="564"/>
      <c r="J101" s="564"/>
      <c r="K101" s="564"/>
      <c r="L101" s="564"/>
      <c r="M101" s="564"/>
      <c r="N101" s="564"/>
      <c r="O101" s="564"/>
      <c r="P101" s="564"/>
      <c r="Q101" s="564"/>
      <c r="R101" s="1084"/>
      <c r="AK101" s="999"/>
      <c r="AR101" s="557"/>
      <c r="AT101" s="1015"/>
    </row>
    <row r="102" spans="1:46" ht="15" customHeight="1">
      <c r="A102" s="603"/>
      <c r="B102" s="564"/>
      <c r="C102" s="564"/>
      <c r="D102" s="564"/>
      <c r="E102" s="564"/>
      <c r="F102" s="564"/>
      <c r="G102" s="564"/>
      <c r="H102" s="564"/>
      <c r="I102" s="564"/>
      <c r="J102" s="564"/>
      <c r="K102" s="564"/>
      <c r="L102" s="564"/>
      <c r="M102" s="564"/>
      <c r="N102" s="564"/>
      <c r="O102" s="564"/>
      <c r="P102" s="564"/>
      <c r="Q102" s="564"/>
      <c r="R102" s="1084"/>
      <c r="AK102" s="999"/>
      <c r="AL102" s="1016"/>
      <c r="AR102" s="557"/>
      <c r="AT102" s="1015"/>
    </row>
    <row r="103" spans="1:46" ht="15" customHeight="1">
      <c r="A103" s="603"/>
      <c r="B103" s="564"/>
      <c r="C103" s="564"/>
      <c r="D103" s="564"/>
      <c r="E103" s="564"/>
      <c r="F103" s="564"/>
      <c r="G103" s="564"/>
      <c r="H103" s="564"/>
      <c r="I103" s="564"/>
      <c r="J103" s="564"/>
      <c r="K103" s="564"/>
      <c r="L103" s="564"/>
      <c r="M103" s="564"/>
      <c r="N103" s="564"/>
      <c r="O103" s="564"/>
      <c r="P103" s="564"/>
      <c r="Q103" s="564"/>
      <c r="R103" s="1084"/>
      <c r="AT103" s="1015"/>
    </row>
    <row r="104" spans="1:46" ht="15" customHeight="1">
      <c r="A104" s="603"/>
      <c r="B104" s="564"/>
      <c r="C104" s="564"/>
      <c r="D104" s="564"/>
      <c r="E104" s="564"/>
      <c r="F104" s="564"/>
      <c r="G104" s="564"/>
      <c r="H104" s="1017"/>
      <c r="I104" s="564"/>
      <c r="J104" s="564"/>
      <c r="K104" s="1018"/>
      <c r="L104" s="564"/>
      <c r="M104" s="564"/>
      <c r="N104" s="564"/>
      <c r="O104" s="564"/>
      <c r="P104" s="564"/>
      <c r="Q104" s="564"/>
      <c r="R104" s="1084"/>
      <c r="AT104" s="1015"/>
    </row>
    <row r="105" spans="1:46" ht="15" customHeight="1">
      <c r="A105" s="603"/>
      <c r="B105" s="564"/>
      <c r="C105" s="564"/>
      <c r="D105" s="564"/>
      <c r="E105" s="564"/>
      <c r="F105" s="564"/>
      <c r="G105" s="564"/>
      <c r="H105" s="564"/>
      <c r="I105" s="564"/>
      <c r="J105" s="564"/>
      <c r="K105" s="564"/>
      <c r="L105" s="564"/>
      <c r="M105" s="564"/>
      <c r="N105" s="564"/>
      <c r="O105" s="564"/>
      <c r="P105" s="564"/>
      <c r="Q105" s="564"/>
      <c r="R105" s="1084"/>
      <c r="AT105" s="1015"/>
    </row>
    <row r="106" spans="1:46" ht="15" customHeight="1">
      <c r="A106" s="603"/>
      <c r="B106" s="564"/>
      <c r="C106" s="564"/>
      <c r="D106" s="564"/>
      <c r="E106" s="564"/>
      <c r="F106" s="564"/>
      <c r="G106" s="564"/>
      <c r="H106" s="564"/>
      <c r="I106" s="564"/>
      <c r="J106" s="564"/>
      <c r="K106" s="2715" t="str">
        <f>IF(ISBLANK(H32),"",(F77*F89))</f>
        <v/>
      </c>
      <c r="L106" s="564"/>
      <c r="M106" s="2715"/>
      <c r="N106" s="564"/>
      <c r="O106" s="564"/>
      <c r="P106" s="564"/>
      <c r="Q106" s="564"/>
      <c r="R106" s="1084"/>
      <c r="Z106" s="564"/>
      <c r="AA106" s="564"/>
      <c r="AB106" s="564"/>
      <c r="AC106" s="564"/>
      <c r="AD106" s="564"/>
      <c r="AE106" s="564"/>
      <c r="AT106" s="1015"/>
    </row>
    <row r="107" spans="1:46" ht="15" customHeight="1">
      <c r="A107" s="603"/>
      <c r="B107" s="564"/>
      <c r="C107" s="564"/>
      <c r="D107" s="564"/>
      <c r="E107" s="564"/>
      <c r="F107" s="564"/>
      <c r="G107" s="564"/>
      <c r="H107" s="564"/>
      <c r="I107" s="564"/>
      <c r="J107" s="564"/>
      <c r="K107" s="564"/>
      <c r="L107" s="564"/>
      <c r="M107" s="564"/>
      <c r="N107" s="564"/>
      <c r="O107" s="564"/>
      <c r="P107" s="564"/>
      <c r="Q107" s="564"/>
      <c r="R107" s="1084"/>
      <c r="Z107" s="564"/>
      <c r="AA107" s="564"/>
      <c r="AB107" s="564"/>
      <c r="AC107" s="564"/>
      <c r="AD107" s="564"/>
      <c r="AE107" s="564"/>
      <c r="AT107" s="1015"/>
    </row>
    <row r="108" spans="1:46" ht="15" customHeight="1">
      <c r="A108" s="603"/>
      <c r="B108" s="564"/>
      <c r="C108" s="564"/>
      <c r="D108" s="564"/>
      <c r="E108" s="564"/>
      <c r="F108" s="564"/>
      <c r="G108" s="564"/>
      <c r="H108" s="564"/>
      <c r="I108" s="564"/>
      <c r="J108" s="564"/>
      <c r="K108" s="564"/>
      <c r="L108" s="564"/>
      <c r="M108" s="564"/>
      <c r="N108" s="564"/>
      <c r="O108" s="564"/>
      <c r="P108" s="564"/>
      <c r="Q108" s="564"/>
      <c r="R108" s="1084"/>
      <c r="Z108" s="3393"/>
      <c r="AA108" s="3393"/>
      <c r="AB108" s="2572"/>
      <c r="AC108" s="564"/>
      <c r="AD108" s="564"/>
      <c r="AE108" s="564"/>
      <c r="AT108" s="1015"/>
    </row>
    <row r="109" spans="1:46" ht="15" customHeight="1">
      <c r="A109" s="603"/>
      <c r="B109" s="564"/>
      <c r="C109" s="564"/>
      <c r="D109" s="564"/>
      <c r="E109" s="564"/>
      <c r="F109" s="564"/>
      <c r="G109" s="564"/>
      <c r="H109" s="564"/>
      <c r="I109" s="564"/>
      <c r="J109" s="564"/>
      <c r="K109" s="564"/>
      <c r="L109" s="564"/>
      <c r="M109" s="564"/>
      <c r="N109" s="564"/>
      <c r="O109" s="564"/>
      <c r="P109" s="564"/>
      <c r="Q109" s="564"/>
      <c r="R109" s="1084"/>
      <c r="Z109" s="564"/>
      <c r="AA109" s="564"/>
      <c r="AB109" s="564"/>
      <c r="AC109" s="564"/>
      <c r="AD109" s="564"/>
      <c r="AE109" s="564"/>
    </row>
    <row r="110" spans="1:46" ht="15" customHeight="1">
      <c r="A110" s="603"/>
      <c r="B110" s="564"/>
      <c r="C110" s="564"/>
      <c r="D110" s="564"/>
      <c r="E110" s="564"/>
      <c r="F110" s="564"/>
      <c r="G110" s="564"/>
      <c r="H110" s="564"/>
      <c r="I110" s="564"/>
      <c r="J110" s="564"/>
      <c r="K110" s="564"/>
      <c r="L110" s="564"/>
      <c r="M110" s="564"/>
      <c r="N110" s="564"/>
      <c r="O110" s="564"/>
      <c r="P110" s="564"/>
      <c r="Q110" s="564"/>
      <c r="R110" s="1084"/>
      <c r="Z110" s="564"/>
      <c r="AA110" s="564"/>
      <c r="AB110" s="564"/>
      <c r="AC110" s="564"/>
      <c r="AD110" s="564"/>
      <c r="AE110" s="564"/>
    </row>
    <row r="111" spans="1:46" ht="15" customHeight="1">
      <c r="A111" s="603"/>
      <c r="B111" s="564"/>
      <c r="C111" s="564"/>
      <c r="D111" s="564"/>
      <c r="E111" s="564"/>
      <c r="F111" s="564"/>
      <c r="G111" s="564"/>
      <c r="H111" s="564"/>
      <c r="I111" s="564"/>
      <c r="J111" s="564"/>
      <c r="K111" s="564"/>
      <c r="L111" s="564"/>
      <c r="M111" s="564"/>
      <c r="N111" s="564"/>
      <c r="O111" s="564"/>
      <c r="P111" s="564"/>
      <c r="Q111" s="564"/>
      <c r="R111" s="1084"/>
      <c r="Z111" s="564"/>
      <c r="AA111" s="564"/>
      <c r="AB111" s="564"/>
      <c r="AC111" s="564"/>
      <c r="AD111" s="564"/>
      <c r="AE111" s="564"/>
    </row>
    <row r="112" spans="1:46" ht="15" customHeight="1">
      <c r="A112" s="603"/>
      <c r="B112" s="564"/>
      <c r="C112" s="564"/>
      <c r="D112" s="564"/>
      <c r="E112" s="564"/>
      <c r="F112" s="564"/>
      <c r="G112" s="564"/>
      <c r="H112" s="564"/>
      <c r="I112" s="564"/>
      <c r="J112" s="564"/>
      <c r="K112" s="564"/>
      <c r="L112" s="564"/>
      <c r="M112" s="564"/>
      <c r="N112" s="564"/>
      <c r="O112" s="564"/>
      <c r="P112" s="564"/>
      <c r="Q112" s="564"/>
      <c r="R112" s="1084"/>
      <c r="Z112" s="564"/>
      <c r="AA112" s="564"/>
      <c r="AB112" s="564"/>
      <c r="AC112" s="564"/>
      <c r="AD112" s="564"/>
      <c r="AE112" s="564"/>
    </row>
    <row r="113" spans="1:31" ht="15" customHeight="1">
      <c r="A113" s="603"/>
      <c r="B113" s="564"/>
      <c r="C113" s="564"/>
      <c r="D113" s="564"/>
      <c r="E113" s="564"/>
      <c r="F113" s="564"/>
      <c r="G113" s="564"/>
      <c r="H113" s="564"/>
      <c r="I113" s="564"/>
      <c r="J113" s="564"/>
      <c r="K113" s="564"/>
      <c r="L113" s="564"/>
      <c r="M113" s="564"/>
      <c r="N113" s="564"/>
      <c r="O113" s="564"/>
      <c r="P113" s="564"/>
      <c r="Q113" s="564"/>
      <c r="R113" s="1084"/>
      <c r="Z113" s="564"/>
      <c r="AA113" s="564"/>
      <c r="AB113" s="564"/>
      <c r="AC113" s="564"/>
      <c r="AD113" s="564"/>
      <c r="AE113" s="564"/>
    </row>
    <row r="114" spans="1:31" ht="15" customHeight="1">
      <c r="A114" s="603"/>
      <c r="B114" s="564"/>
      <c r="C114" s="564"/>
      <c r="D114" s="564"/>
      <c r="E114" s="564"/>
      <c r="F114" s="564"/>
      <c r="G114" s="564"/>
      <c r="H114" s="564"/>
      <c r="I114" s="564"/>
      <c r="J114" s="564"/>
      <c r="K114" s="564"/>
      <c r="L114" s="564"/>
      <c r="M114" s="564"/>
      <c r="N114" s="564"/>
      <c r="O114" s="564"/>
      <c r="P114" s="564"/>
      <c r="Q114" s="564"/>
      <c r="R114" s="1084"/>
      <c r="Z114" s="564"/>
      <c r="AA114" s="3455"/>
      <c r="AB114" s="3455"/>
      <c r="AC114" s="3455"/>
      <c r="AD114" s="3455"/>
      <c r="AE114" s="564"/>
    </row>
    <row r="115" spans="1:31" ht="15" customHeight="1">
      <c r="A115" s="603"/>
      <c r="B115" s="564"/>
      <c r="C115" s="564"/>
      <c r="D115" s="564"/>
      <c r="E115" s="564"/>
      <c r="F115" s="564"/>
      <c r="G115" s="564"/>
      <c r="H115" s="564"/>
      <c r="I115" s="564"/>
      <c r="J115" s="564"/>
      <c r="K115" s="564"/>
      <c r="L115" s="564"/>
      <c r="M115" s="564"/>
      <c r="N115" s="564"/>
      <c r="O115" s="564"/>
      <c r="P115" s="564"/>
      <c r="Q115" s="564"/>
      <c r="R115" s="1084"/>
      <c r="Z115" s="564"/>
      <c r="AA115" s="564"/>
      <c r="AB115" s="564"/>
      <c r="AC115" s="564"/>
      <c r="AD115" s="564"/>
      <c r="AE115" s="564"/>
    </row>
    <row r="116" spans="1:31" ht="15" customHeight="1">
      <c r="A116" s="603"/>
      <c r="B116" s="564"/>
      <c r="C116" s="564"/>
      <c r="D116" s="564"/>
      <c r="E116" s="564"/>
      <c r="F116" s="564"/>
      <c r="G116" s="564"/>
      <c r="H116" s="564"/>
      <c r="I116" s="564"/>
      <c r="J116" s="564"/>
      <c r="K116" s="564"/>
      <c r="L116" s="564"/>
      <c r="M116" s="564"/>
      <c r="N116" s="564"/>
      <c r="O116" s="564"/>
      <c r="P116" s="564"/>
      <c r="Q116" s="564"/>
      <c r="R116" s="1084"/>
      <c r="Z116" s="564"/>
      <c r="AA116" s="564"/>
      <c r="AB116" s="564"/>
      <c r="AC116" s="564"/>
      <c r="AD116" s="564"/>
      <c r="AE116" s="564"/>
    </row>
    <row r="117" spans="1:31" ht="15" customHeight="1">
      <c r="A117" s="603"/>
      <c r="B117" s="564"/>
      <c r="C117" s="564"/>
      <c r="D117" s="564"/>
      <c r="E117" s="564"/>
      <c r="F117" s="564"/>
      <c r="G117" s="564"/>
      <c r="H117" s="564"/>
      <c r="I117" s="564"/>
      <c r="J117" s="564"/>
      <c r="K117" s="564"/>
      <c r="L117" s="564"/>
      <c r="M117" s="564"/>
      <c r="N117" s="564"/>
      <c r="O117" s="564"/>
      <c r="P117" s="564"/>
      <c r="Q117" s="564"/>
      <c r="R117" s="1084"/>
      <c r="Z117" s="564"/>
      <c r="AA117" s="564"/>
      <c r="AB117" s="564"/>
      <c r="AC117" s="564"/>
      <c r="AD117" s="564"/>
      <c r="AE117" s="564"/>
    </row>
    <row r="118" spans="1:31" ht="15" customHeight="1">
      <c r="A118" s="603"/>
      <c r="B118" s="564"/>
      <c r="C118" s="564"/>
      <c r="D118" s="564"/>
      <c r="E118" s="564"/>
      <c r="F118" s="564"/>
      <c r="G118" s="564"/>
      <c r="H118" s="564"/>
      <c r="I118" s="564"/>
      <c r="J118" s="564"/>
      <c r="K118" s="564"/>
      <c r="L118" s="564"/>
      <c r="M118" s="564"/>
      <c r="N118" s="564"/>
      <c r="O118" s="564"/>
      <c r="P118" s="564"/>
      <c r="Q118" s="564"/>
      <c r="R118" s="1084"/>
      <c r="Z118" s="564"/>
      <c r="AA118" s="564"/>
      <c r="AB118" s="564"/>
      <c r="AC118" s="564"/>
      <c r="AD118" s="564"/>
      <c r="AE118" s="564"/>
    </row>
    <row r="119" spans="1:31" ht="15" customHeight="1">
      <c r="A119" s="603"/>
      <c r="B119" s="564"/>
      <c r="C119" s="564"/>
      <c r="D119" s="564"/>
      <c r="E119" s="564"/>
      <c r="F119" s="564"/>
      <c r="G119" s="564"/>
      <c r="H119" s="564"/>
      <c r="I119" s="564"/>
      <c r="J119" s="564"/>
      <c r="K119" s="564"/>
      <c r="L119" s="564"/>
      <c r="M119" s="564"/>
      <c r="N119" s="564"/>
      <c r="O119" s="564"/>
      <c r="P119" s="564"/>
      <c r="Q119" s="564"/>
      <c r="R119" s="1084"/>
    </row>
    <row r="120" spans="1:31" ht="15" customHeight="1">
      <c r="A120" s="603"/>
      <c r="B120" s="564"/>
      <c r="C120" s="564"/>
      <c r="D120" s="564"/>
      <c r="E120" s="564"/>
      <c r="F120" s="564"/>
      <c r="G120" s="564"/>
      <c r="H120" s="564"/>
      <c r="I120" s="564"/>
      <c r="J120" s="564"/>
      <c r="K120" s="564"/>
      <c r="L120" s="564"/>
      <c r="M120" s="564"/>
      <c r="N120" s="564"/>
      <c r="O120" s="564"/>
      <c r="P120" s="564"/>
      <c r="Q120" s="564"/>
      <c r="R120" s="1084"/>
    </row>
    <row r="121" spans="1:31" ht="15" customHeight="1">
      <c r="A121" s="603"/>
      <c r="B121" s="564"/>
      <c r="C121" s="564"/>
      <c r="D121" s="564"/>
      <c r="E121" s="564"/>
      <c r="F121" s="564"/>
      <c r="G121" s="564"/>
      <c r="H121" s="564"/>
      <c r="I121" s="564"/>
      <c r="J121" s="564"/>
      <c r="K121" s="564"/>
      <c r="L121" s="564"/>
      <c r="M121" s="564"/>
      <c r="N121" s="564"/>
      <c r="O121" s="564"/>
      <c r="P121" s="564"/>
      <c r="Q121" s="564"/>
      <c r="R121" s="1084"/>
    </row>
    <row r="122" spans="1:31" ht="15" customHeight="1">
      <c r="A122" s="603"/>
      <c r="B122" s="564"/>
      <c r="C122" s="564"/>
      <c r="D122" s="564"/>
      <c r="E122" s="564"/>
      <c r="F122" s="564"/>
      <c r="G122" s="564"/>
      <c r="H122" s="564"/>
      <c r="I122" s="564"/>
      <c r="J122" s="564"/>
      <c r="K122" s="564"/>
      <c r="L122" s="564"/>
      <c r="M122" s="564"/>
      <c r="N122" s="564"/>
      <c r="O122" s="564"/>
      <c r="P122" s="564"/>
      <c r="Q122" s="564"/>
      <c r="R122" s="1084"/>
    </row>
    <row r="123" spans="1:31" ht="15" customHeight="1">
      <c r="A123" s="603"/>
      <c r="B123" s="564"/>
      <c r="C123" s="564"/>
      <c r="D123" s="564"/>
      <c r="E123" s="564"/>
      <c r="F123" s="564"/>
      <c r="G123" s="564"/>
      <c r="H123" s="564"/>
      <c r="I123" s="564"/>
      <c r="J123" s="564"/>
      <c r="K123" s="564"/>
      <c r="L123" s="564"/>
      <c r="M123" s="564"/>
      <c r="N123" s="564"/>
      <c r="O123" s="564"/>
      <c r="P123" s="564"/>
      <c r="Q123" s="564"/>
      <c r="R123" s="1084"/>
    </row>
    <row r="124" spans="1:31" ht="15" customHeight="1">
      <c r="A124" s="603"/>
      <c r="B124" s="564"/>
      <c r="C124" s="564"/>
      <c r="D124" s="564"/>
      <c r="E124" s="564"/>
      <c r="F124" s="564"/>
      <c r="G124" s="564"/>
      <c r="H124" s="564"/>
      <c r="I124" s="564"/>
      <c r="J124" s="564"/>
      <c r="K124" s="564"/>
      <c r="L124" s="564"/>
      <c r="M124" s="564"/>
      <c r="N124" s="564"/>
      <c r="O124" s="564"/>
      <c r="P124" s="564"/>
      <c r="Q124" s="564"/>
      <c r="R124" s="1084"/>
    </row>
    <row r="125" spans="1:31" ht="15" customHeight="1">
      <c r="A125" s="603"/>
      <c r="B125" s="564"/>
      <c r="C125" s="564"/>
      <c r="D125" s="564"/>
      <c r="E125" s="564"/>
      <c r="F125" s="564"/>
      <c r="G125" s="564"/>
      <c r="H125" s="564"/>
      <c r="I125" s="564"/>
      <c r="J125" s="564"/>
      <c r="K125" s="564"/>
      <c r="L125" s="564"/>
      <c r="M125" s="564"/>
      <c r="N125" s="564"/>
      <c r="O125" s="564"/>
      <c r="P125" s="564"/>
      <c r="Q125" s="564"/>
      <c r="R125" s="1084"/>
    </row>
    <row r="126" spans="1:31" ht="15" customHeight="1">
      <c r="A126" s="603"/>
      <c r="B126" s="564"/>
      <c r="C126" s="564"/>
      <c r="D126" s="564"/>
      <c r="E126" s="564"/>
      <c r="F126" s="564"/>
      <c r="G126" s="564"/>
      <c r="H126" s="564"/>
      <c r="I126" s="564"/>
      <c r="J126" s="564"/>
      <c r="K126" s="564"/>
      <c r="L126" s="564"/>
      <c r="M126" s="564"/>
      <c r="N126" s="564"/>
      <c r="O126" s="564"/>
      <c r="P126" s="564"/>
      <c r="Q126" s="564"/>
      <c r="R126" s="1084"/>
    </row>
    <row r="127" spans="1:31" ht="15" customHeight="1">
      <c r="A127" s="603"/>
      <c r="B127" s="564"/>
      <c r="C127" s="564"/>
      <c r="D127" s="564"/>
      <c r="E127" s="564"/>
      <c r="F127" s="564"/>
      <c r="G127" s="564"/>
      <c r="H127" s="564"/>
      <c r="I127" s="564"/>
      <c r="J127" s="564"/>
      <c r="K127" s="564"/>
      <c r="L127" s="564"/>
      <c r="M127" s="564"/>
      <c r="N127" s="564"/>
      <c r="O127" s="564"/>
      <c r="P127" s="564"/>
      <c r="Q127" s="564"/>
      <c r="R127" s="1084"/>
    </row>
    <row r="128" spans="1:31" ht="15" customHeight="1">
      <c r="A128" s="603"/>
      <c r="B128" s="564"/>
      <c r="C128" s="564"/>
      <c r="D128" s="564"/>
      <c r="E128" s="564"/>
      <c r="F128" s="564"/>
      <c r="G128" s="564"/>
      <c r="H128" s="564"/>
      <c r="I128" s="564"/>
      <c r="J128" s="564"/>
      <c r="K128" s="564"/>
      <c r="L128" s="564"/>
      <c r="M128" s="564"/>
      <c r="N128" s="564"/>
      <c r="O128" s="564"/>
      <c r="P128" s="564"/>
      <c r="Q128" s="564"/>
      <c r="R128" s="1084"/>
    </row>
    <row r="129" spans="1:73" ht="15" customHeight="1">
      <c r="A129" s="603"/>
      <c r="B129" s="564"/>
      <c r="C129" s="564"/>
      <c r="D129" s="564"/>
      <c r="E129" s="564"/>
      <c r="F129" s="564"/>
      <c r="G129" s="564"/>
      <c r="H129" s="564"/>
      <c r="I129" s="564"/>
      <c r="J129" s="564"/>
      <c r="K129" s="564"/>
      <c r="L129" s="564"/>
      <c r="M129" s="564"/>
      <c r="N129" s="564"/>
      <c r="O129" s="564"/>
      <c r="P129" s="564"/>
      <c r="Q129" s="564"/>
      <c r="R129" s="1084"/>
    </row>
    <row r="130" spans="1:73" ht="15" customHeight="1">
      <c r="A130" s="603"/>
      <c r="B130" s="564"/>
      <c r="C130" s="564"/>
      <c r="D130" s="564"/>
      <c r="E130" s="564"/>
      <c r="F130" s="564"/>
      <c r="G130" s="564"/>
      <c r="H130" s="564"/>
      <c r="I130" s="564"/>
      <c r="J130" s="564"/>
      <c r="K130" s="564"/>
      <c r="L130" s="564"/>
      <c r="M130" s="564"/>
      <c r="N130" s="564"/>
      <c r="O130" s="564"/>
      <c r="P130" s="564"/>
      <c r="Q130" s="564"/>
      <c r="R130" s="1084"/>
    </row>
    <row r="131" spans="1:73" ht="15" customHeight="1">
      <c r="A131" s="603"/>
      <c r="B131" s="564"/>
      <c r="C131" s="564"/>
      <c r="D131" s="564"/>
      <c r="E131" s="564"/>
      <c r="F131" s="564"/>
      <c r="G131" s="564"/>
      <c r="H131" s="564"/>
      <c r="I131" s="564"/>
      <c r="J131" s="564"/>
      <c r="K131" s="564"/>
      <c r="L131" s="564"/>
      <c r="M131" s="564"/>
      <c r="N131" s="564"/>
      <c r="O131" s="564"/>
      <c r="P131" s="564"/>
      <c r="Q131" s="564"/>
      <c r="R131" s="1084"/>
    </row>
    <row r="132" spans="1:73" ht="15" customHeight="1">
      <c r="A132" s="603"/>
      <c r="B132" s="564"/>
      <c r="C132" s="564"/>
      <c r="D132" s="564"/>
      <c r="E132" s="564"/>
      <c r="F132" s="564"/>
      <c r="G132" s="564"/>
      <c r="H132" s="564"/>
      <c r="I132" s="564"/>
      <c r="J132" s="564"/>
      <c r="K132" s="564"/>
      <c r="L132" s="564"/>
      <c r="M132" s="564"/>
      <c r="N132" s="564"/>
      <c r="O132" s="564"/>
      <c r="P132" s="564"/>
      <c r="Q132" s="564"/>
      <c r="R132" s="1084"/>
    </row>
    <row r="133" spans="1:73" ht="6" customHeight="1">
      <c r="A133" s="603"/>
      <c r="B133" s="564"/>
      <c r="C133" s="564"/>
      <c r="D133" s="564"/>
      <c r="E133" s="564"/>
      <c r="F133" s="564"/>
      <c r="G133" s="564"/>
      <c r="H133" s="564"/>
      <c r="I133" s="564"/>
      <c r="J133" s="564"/>
      <c r="K133" s="564"/>
      <c r="L133" s="564"/>
      <c r="M133" s="564"/>
      <c r="N133" s="564"/>
      <c r="O133" s="564"/>
      <c r="P133" s="564"/>
      <c r="Q133" s="564"/>
      <c r="R133" s="1084"/>
    </row>
    <row r="134" spans="1:73" ht="18" customHeight="1">
      <c r="A134" s="603"/>
      <c r="B134" s="567"/>
      <c r="C134" s="813" t="s">
        <v>2123</v>
      </c>
      <c r="D134" s="813"/>
      <c r="E134" s="813"/>
      <c r="F134" s="2571"/>
      <c r="G134" s="3246">
        <f>Summary!G82</f>
        <v>0</v>
      </c>
      <c r="H134" s="3247"/>
      <c r="I134" s="564" t="s">
        <v>2121</v>
      </c>
      <c r="J134" s="564"/>
      <c r="K134" s="3245" t="s">
        <v>1811</v>
      </c>
      <c r="L134" s="3245"/>
      <c r="M134" s="3245"/>
      <c r="N134" s="3436" t="str">
        <f>IF(ISBLANK(G52)," ",(IF(G52="Rock",(G52),(H58))))</f>
        <v/>
      </c>
      <c r="O134" s="3436"/>
      <c r="P134" s="3436"/>
      <c r="Q134" s="3436"/>
      <c r="R134" s="1084"/>
      <c r="S134" s="564"/>
      <c r="T134" s="564"/>
    </row>
    <row r="135" spans="1:73" s="1019" customFormat="1" ht="6" customHeight="1">
      <c r="A135" s="2563"/>
      <c r="B135" s="567"/>
      <c r="C135" s="567"/>
      <c r="D135" s="2707"/>
      <c r="E135" s="2707"/>
      <c r="F135" s="820"/>
      <c r="G135" s="567"/>
      <c r="H135" s="567"/>
      <c r="I135" s="567"/>
      <c r="J135" s="567"/>
      <c r="K135" s="2528"/>
      <c r="L135" s="2528"/>
      <c r="M135" s="2528"/>
      <c r="N135" s="2528"/>
      <c r="O135" s="2564"/>
      <c r="P135" s="2564"/>
      <c r="Q135" s="2564"/>
      <c r="R135" s="1092"/>
      <c r="S135" s="567"/>
    </row>
    <row r="136" spans="1:73" ht="18" customHeight="1">
      <c r="A136" s="583"/>
      <c r="B136" s="564"/>
      <c r="C136" s="3453" t="s">
        <v>1578</v>
      </c>
      <c r="D136" s="3453"/>
      <c r="E136" s="3453"/>
      <c r="F136" s="3454"/>
      <c r="G136" s="3456" t="str">
        <f>IF(Summary!AA63=4,'Pres. Dist.'!K41,"")</f>
        <v/>
      </c>
      <c r="H136" s="3334"/>
      <c r="I136" s="564"/>
      <c r="J136" s="564"/>
      <c r="K136" s="3295" t="s">
        <v>2122</v>
      </c>
      <c r="L136" s="3295"/>
      <c r="M136" s="3295"/>
      <c r="N136" s="3330">
        <f>IF(ISBLANK(G52)," ",(IF(G52="Rock",(C55),(H60))))</f>
        <v>0</v>
      </c>
      <c r="O136" s="3330"/>
      <c r="P136" s="3330"/>
      <c r="Q136" s="564" t="s">
        <v>2121</v>
      </c>
      <c r="R136" s="1084"/>
    </row>
    <row r="137" spans="1:73" s="567" customFormat="1" ht="6" customHeight="1">
      <c r="A137" s="2560"/>
      <c r="C137" s="2714"/>
      <c r="D137" s="2714"/>
      <c r="E137" s="2714"/>
      <c r="F137" s="2714"/>
      <c r="G137" s="2570"/>
      <c r="H137" s="2703"/>
      <c r="K137" s="2710"/>
      <c r="L137" s="2710"/>
      <c r="M137" s="2710"/>
      <c r="N137" s="2710"/>
      <c r="O137" s="2710"/>
      <c r="P137" s="2710"/>
      <c r="R137" s="1092"/>
    </row>
    <row r="138" spans="1:73" s="1019" customFormat="1" ht="18" customHeight="1">
      <c r="A138" s="2560"/>
      <c r="B138" s="567"/>
      <c r="C138" s="2714" t="s">
        <v>2137</v>
      </c>
      <c r="D138" s="2714"/>
      <c r="E138" s="2714"/>
      <c r="F138" s="2714"/>
      <c r="G138" s="2723" t="str">
        <f>IF(Summary!AA63=4,'Pres. Dist.'!J13,"")</f>
        <v/>
      </c>
      <c r="H138" s="2713" t="s">
        <v>2121</v>
      </c>
      <c r="I138" s="2716"/>
      <c r="J138" s="3295" t="s">
        <v>2138</v>
      </c>
      <c r="K138" s="3295"/>
      <c r="L138" s="3295"/>
      <c r="M138" s="3296"/>
      <c r="N138" s="2709" t="str">
        <f>IF(Summary!AA63=4,('Pres. Dist.'!J11)*12,"")</f>
        <v/>
      </c>
      <c r="O138" s="2713" t="s">
        <v>2121</v>
      </c>
      <c r="P138" s="564"/>
      <c r="Q138" s="564"/>
      <c r="R138" s="1092"/>
    </row>
    <row r="139" spans="1:73" s="1019" customFormat="1" ht="6" customHeight="1">
      <c r="A139" s="2560"/>
      <c r="B139" s="567"/>
      <c r="C139" s="2714"/>
      <c r="D139" s="2714"/>
      <c r="E139" s="2714"/>
      <c r="F139" s="2714"/>
      <c r="G139" s="2570"/>
      <c r="H139" s="2713"/>
      <c r="I139" s="2716"/>
      <c r="J139" s="2710"/>
      <c r="K139" s="2710"/>
      <c r="L139" s="2710"/>
      <c r="M139" s="2710"/>
      <c r="N139" s="2710"/>
      <c r="O139" s="2713"/>
      <c r="P139" s="567"/>
      <c r="Q139" s="567"/>
      <c r="R139" s="1092"/>
    </row>
    <row r="140" spans="1:73" s="1019" customFormat="1" ht="18" customHeight="1">
      <c r="A140" s="2560"/>
      <c r="B140" s="567"/>
      <c r="C140" s="564" t="s">
        <v>2136</v>
      </c>
      <c r="D140" s="564"/>
      <c r="E140" s="564"/>
      <c r="F140" s="564"/>
      <c r="G140" s="564"/>
      <c r="H140" s="564"/>
      <c r="I140" s="564"/>
      <c r="J140" s="564"/>
      <c r="K140" s="564"/>
      <c r="L140" s="564"/>
      <c r="M140" s="564"/>
      <c r="N140" s="564"/>
      <c r="O140" s="564"/>
      <c r="P140" s="564"/>
      <c r="Q140" s="2710"/>
      <c r="R140" s="1092"/>
    </row>
    <row r="141" spans="1:73" ht="15" customHeight="1">
      <c r="A141" s="583"/>
      <c r="B141" s="553" t="s">
        <v>31</v>
      </c>
      <c r="C141" s="564"/>
      <c r="D141" s="564"/>
      <c r="E141" s="564"/>
      <c r="F141" s="564"/>
      <c r="G141" s="564"/>
      <c r="H141" s="2716"/>
      <c r="I141" s="2716"/>
      <c r="J141" s="548"/>
      <c r="K141" s="2716"/>
      <c r="L141" s="2716"/>
      <c r="M141" s="548"/>
      <c r="N141" s="2716"/>
      <c r="O141" s="2716"/>
      <c r="P141" s="2715"/>
      <c r="Q141" s="564"/>
      <c r="R141" s="1084"/>
    </row>
    <row r="142" spans="1:73" ht="64.5" customHeight="1" thickBot="1">
      <c r="A142" s="582"/>
      <c r="B142" s="2734"/>
      <c r="C142" s="3457"/>
      <c r="D142" s="3458"/>
      <c r="E142" s="3458"/>
      <c r="F142" s="3458"/>
      <c r="G142" s="3458"/>
      <c r="H142" s="3458"/>
      <c r="I142" s="3458"/>
      <c r="J142" s="3458"/>
      <c r="K142" s="3458"/>
      <c r="L142" s="3458"/>
      <c r="M142" s="3458"/>
      <c r="N142" s="3458"/>
      <c r="O142" s="3458"/>
      <c r="P142" s="3458"/>
      <c r="Q142" s="3459"/>
      <c r="R142" s="2735"/>
      <c r="BJ142" s="548"/>
      <c r="BK142" s="548"/>
      <c r="BL142" s="548"/>
      <c r="BM142" s="548"/>
      <c r="BN142" s="548"/>
      <c r="BO142" s="548"/>
      <c r="BP142" s="548"/>
      <c r="BQ142" s="548"/>
      <c r="BR142" s="549"/>
      <c r="BS142" s="549"/>
      <c r="BT142" s="550"/>
      <c r="BU142" s="551"/>
    </row>
    <row r="143" spans="1:73">
      <c r="AW143" s="544"/>
      <c r="AX143" s="542"/>
    </row>
    <row r="144" spans="1:73">
      <c r="A144" s="1000"/>
      <c r="B144" s="1000"/>
      <c r="AW144" s="542"/>
      <c r="AX144" s="542"/>
    </row>
    <row r="145" spans="1:50">
      <c r="AW145" s="544"/>
      <c r="AX145" s="542"/>
    </row>
    <row r="146" spans="1:50">
      <c r="AW146" s="542"/>
      <c r="AX146" s="544"/>
    </row>
    <row r="147" spans="1:50">
      <c r="AW147" s="544"/>
      <c r="AX147" s="542"/>
    </row>
    <row r="148" spans="1:50">
      <c r="AW148" s="542"/>
      <c r="AX148" s="542"/>
    </row>
    <row r="149" spans="1:50">
      <c r="AW149" s="544"/>
      <c r="AX149" s="542"/>
    </row>
    <row r="150" spans="1:50">
      <c r="AW150" s="542"/>
      <c r="AX150" s="544"/>
    </row>
    <row r="151" spans="1:50">
      <c r="A151" s="1000"/>
      <c r="B151" s="1000"/>
      <c r="R151" s="1000"/>
      <c r="AW151" s="544"/>
      <c r="AX151" s="542"/>
    </row>
    <row r="152" spans="1:50">
      <c r="A152" s="1000"/>
      <c r="B152" s="1000"/>
      <c r="R152" s="1000"/>
      <c r="AW152" s="542"/>
      <c r="AX152" s="542"/>
    </row>
    <row r="153" spans="1:50">
      <c r="A153" s="1000"/>
      <c r="B153" s="1000"/>
      <c r="R153" s="1000"/>
      <c r="AW153" s="544"/>
      <c r="AX153" s="542"/>
    </row>
    <row r="154" spans="1:50">
      <c r="A154" s="1000"/>
      <c r="B154" s="1000"/>
      <c r="R154" s="1000"/>
      <c r="AW154" s="542"/>
      <c r="AX154" s="542"/>
    </row>
    <row r="155" spans="1:50">
      <c r="A155" s="1000"/>
      <c r="B155" s="1000"/>
      <c r="R155" s="1000"/>
      <c r="AW155" s="544"/>
      <c r="AX155" s="544"/>
    </row>
    <row r="156" spans="1:50">
      <c r="A156" s="1000"/>
      <c r="B156" s="1000"/>
      <c r="R156" s="1000"/>
      <c r="AW156" s="542"/>
      <c r="AX156" s="542"/>
    </row>
    <row r="157" spans="1:50">
      <c r="A157" s="1000"/>
      <c r="B157" s="1000"/>
      <c r="R157" s="1000"/>
      <c r="AW157" s="544"/>
      <c r="AX157" s="542"/>
    </row>
    <row r="158" spans="1:50">
      <c r="A158" s="1000"/>
      <c r="B158" s="1000"/>
      <c r="R158" s="1000"/>
      <c r="AW158" s="544"/>
      <c r="AX158" s="542"/>
    </row>
    <row r="159" spans="1:50">
      <c r="A159" s="1000"/>
      <c r="B159" s="1000"/>
      <c r="R159" s="1000"/>
      <c r="AW159" s="542"/>
      <c r="AX159" s="542"/>
    </row>
    <row r="160" spans="1:50">
      <c r="A160" s="1000"/>
      <c r="B160" s="1000"/>
      <c r="R160" s="1000"/>
      <c r="AW160" s="544"/>
      <c r="AX160" s="544"/>
    </row>
    <row r="161" spans="1:50">
      <c r="A161" s="1000"/>
      <c r="B161" s="1000"/>
      <c r="R161" s="1000"/>
      <c r="AW161" s="542"/>
      <c r="AX161" s="542"/>
    </row>
    <row r="162" spans="1:50">
      <c r="A162" s="1000"/>
      <c r="B162" s="1000"/>
      <c r="R162" s="1000"/>
      <c r="AW162" s="544"/>
      <c r="AX162" s="542"/>
    </row>
    <row r="163" spans="1:50">
      <c r="A163" s="1000"/>
      <c r="B163" s="1000"/>
      <c r="R163" s="1000"/>
      <c r="AW163" s="542"/>
      <c r="AX163" s="542"/>
    </row>
    <row r="164" spans="1:50">
      <c r="A164" s="1000"/>
      <c r="B164" s="1000"/>
      <c r="R164" s="1000"/>
      <c r="AW164" s="544"/>
      <c r="AX164" s="542"/>
    </row>
    <row r="165" spans="1:50">
      <c r="A165" s="1000"/>
      <c r="B165" s="1000"/>
      <c r="R165" s="1000"/>
      <c r="AW165" s="542"/>
      <c r="AX165" s="544"/>
    </row>
    <row r="166" spans="1:50">
      <c r="A166" s="1000"/>
      <c r="B166" s="1000"/>
      <c r="R166" s="1000"/>
      <c r="AW166" s="542"/>
      <c r="AX166" s="542"/>
    </row>
    <row r="167" spans="1:50">
      <c r="A167" s="1000"/>
      <c r="B167" s="1000"/>
      <c r="R167" s="1000"/>
      <c r="AW167" s="544"/>
      <c r="AX167" s="542"/>
    </row>
    <row r="168" spans="1:50">
      <c r="A168" s="1000"/>
      <c r="B168" s="1000"/>
      <c r="R168" s="1000"/>
      <c r="AW168" s="544"/>
      <c r="AX168" s="542"/>
    </row>
    <row r="169" spans="1:50">
      <c r="A169" s="1000"/>
      <c r="B169" s="1000"/>
      <c r="R169" s="1000"/>
      <c r="AW169" s="544"/>
      <c r="AX169" s="542"/>
    </row>
    <row r="170" spans="1:50">
      <c r="A170" s="1000"/>
      <c r="B170" s="1000"/>
      <c r="R170" s="1000"/>
      <c r="AW170" s="544"/>
      <c r="AX170" s="542"/>
    </row>
    <row r="171" spans="1:50">
      <c r="A171" s="1000"/>
      <c r="B171" s="1000"/>
      <c r="R171" s="1000"/>
      <c r="AW171" s="544"/>
      <c r="AX171" s="542"/>
    </row>
    <row r="172" spans="1:50">
      <c r="A172" s="1000"/>
      <c r="B172" s="1000"/>
      <c r="R172" s="1000"/>
      <c r="AW172" s="544"/>
      <c r="AX172" s="542"/>
    </row>
    <row r="173" spans="1:50">
      <c r="A173" s="1000"/>
      <c r="B173" s="1000"/>
      <c r="R173" s="1000"/>
      <c r="AW173" s="542"/>
      <c r="AX173" s="542"/>
    </row>
    <row r="174" spans="1:50">
      <c r="A174" s="1000"/>
      <c r="B174" s="1000"/>
      <c r="R174" s="1000"/>
      <c r="AW174" s="542"/>
      <c r="AX174" s="542"/>
    </row>
    <row r="175" spans="1:50">
      <c r="A175" s="1000"/>
      <c r="B175" s="1000"/>
      <c r="R175" s="1000"/>
      <c r="AW175" s="544"/>
      <c r="AX175" s="544"/>
    </row>
    <row r="176" spans="1:50">
      <c r="A176" s="1000"/>
      <c r="B176" s="1000"/>
      <c r="R176" s="1000"/>
      <c r="AW176" s="542"/>
      <c r="AX176" s="542"/>
    </row>
    <row r="177" spans="1:50">
      <c r="A177" s="1000"/>
      <c r="B177" s="1000"/>
      <c r="R177" s="1000"/>
      <c r="AW177" s="542"/>
      <c r="AX177" s="542"/>
    </row>
    <row r="178" spans="1:50">
      <c r="A178" s="1000"/>
      <c r="B178" s="1000"/>
      <c r="R178" s="1000"/>
      <c r="AW178" s="544"/>
      <c r="AX178" s="542"/>
    </row>
    <row r="179" spans="1:50">
      <c r="A179" s="1000"/>
      <c r="B179" s="1000"/>
      <c r="R179" s="1000"/>
      <c r="AW179" s="542"/>
      <c r="AX179" s="542"/>
    </row>
    <row r="180" spans="1:50">
      <c r="A180" s="1000"/>
      <c r="B180" s="1000"/>
      <c r="R180" s="1000"/>
      <c r="AW180" s="542"/>
      <c r="AX180" s="544"/>
    </row>
    <row r="181" spans="1:50">
      <c r="A181" s="1000"/>
      <c r="B181" s="1000"/>
      <c r="R181" s="1000"/>
      <c r="AW181" s="544"/>
      <c r="AX181" s="542"/>
    </row>
    <row r="182" spans="1:50">
      <c r="A182" s="1000"/>
      <c r="B182" s="1000"/>
      <c r="R182" s="1000"/>
      <c r="AW182" s="542"/>
      <c r="AX182" s="542"/>
    </row>
    <row r="183" spans="1:50">
      <c r="A183" s="1000"/>
      <c r="B183" s="1000"/>
      <c r="R183" s="1000"/>
      <c r="AW183" s="542"/>
      <c r="AX183" s="542"/>
    </row>
    <row r="184" spans="1:50">
      <c r="A184" s="1000"/>
      <c r="B184" s="1000"/>
      <c r="R184" s="1000"/>
      <c r="AW184" s="542"/>
      <c r="AX184" s="544"/>
    </row>
    <row r="185" spans="1:50">
      <c r="A185" s="1000"/>
      <c r="B185" s="1000"/>
      <c r="R185" s="1000"/>
      <c r="AW185" s="542"/>
      <c r="AX185" s="544"/>
    </row>
    <row r="186" spans="1:50">
      <c r="A186" s="1000"/>
      <c r="B186" s="1000"/>
      <c r="R186" s="1000"/>
      <c r="AW186" s="542"/>
      <c r="AX186" s="542"/>
    </row>
    <row r="187" spans="1:50">
      <c r="A187" s="1000"/>
      <c r="B187" s="1000"/>
      <c r="R187" s="1000"/>
      <c r="AT187" s="567"/>
      <c r="AU187" s="567"/>
      <c r="AV187" s="567"/>
      <c r="AW187" s="542"/>
      <c r="AX187" s="544"/>
    </row>
    <row r="188" spans="1:50">
      <c r="A188" s="1000"/>
      <c r="B188" s="1000"/>
      <c r="R188" s="1000"/>
      <c r="AW188" s="542"/>
      <c r="AX188" s="542"/>
    </row>
    <row r="189" spans="1:50">
      <c r="A189" s="1000"/>
      <c r="B189" s="1000"/>
      <c r="R189" s="1000"/>
      <c r="AW189" s="542"/>
      <c r="AX189" s="542"/>
    </row>
    <row r="190" spans="1:50">
      <c r="A190" s="1000"/>
      <c r="B190" s="1000"/>
      <c r="R190" s="1000"/>
      <c r="AW190" s="542"/>
      <c r="AX190" s="544"/>
    </row>
    <row r="191" spans="1:50">
      <c r="A191" s="1000"/>
      <c r="B191" s="1000"/>
      <c r="R191" s="1000"/>
      <c r="AW191" s="542"/>
      <c r="AX191" s="542"/>
    </row>
    <row r="192" spans="1:50">
      <c r="A192" s="1000"/>
      <c r="B192" s="1000"/>
      <c r="R192" s="1000"/>
      <c r="AW192" s="542"/>
      <c r="AX192" s="544"/>
    </row>
    <row r="193" spans="1:50">
      <c r="A193" s="1000"/>
      <c r="B193" s="1000"/>
      <c r="R193" s="1000"/>
      <c r="AW193" s="542"/>
      <c r="AX193" s="542"/>
    </row>
    <row r="194" spans="1:50">
      <c r="A194" s="1000"/>
      <c r="B194" s="1000"/>
      <c r="R194" s="1000"/>
      <c r="AW194" s="542"/>
      <c r="AX194" s="542"/>
    </row>
    <row r="195" spans="1:50">
      <c r="A195" s="1000"/>
      <c r="B195" s="1000"/>
      <c r="R195" s="1000"/>
      <c r="AW195" s="542"/>
      <c r="AX195" s="544"/>
    </row>
    <row r="196" spans="1:50">
      <c r="A196" s="1000"/>
      <c r="B196" s="1000"/>
      <c r="R196" s="1000"/>
      <c r="AW196" s="542"/>
      <c r="AX196" s="542"/>
    </row>
    <row r="197" spans="1:50">
      <c r="A197" s="1000"/>
      <c r="B197" s="1000"/>
      <c r="R197" s="1000"/>
      <c r="AX197" s="544"/>
    </row>
    <row r="198" spans="1:50">
      <c r="A198" s="1000"/>
      <c r="B198" s="1000"/>
      <c r="R198" s="1000"/>
      <c r="AX198" s="544"/>
    </row>
    <row r="199" spans="1:50">
      <c r="A199" s="1000"/>
      <c r="B199" s="1000"/>
      <c r="R199" s="1000"/>
      <c r="AX199" s="542"/>
    </row>
    <row r="200" spans="1:50">
      <c r="A200" s="1000"/>
      <c r="B200" s="1000"/>
      <c r="R200" s="1000"/>
      <c r="AX200" s="544"/>
    </row>
    <row r="201" spans="1:50">
      <c r="A201" s="1000"/>
      <c r="B201" s="1000"/>
      <c r="R201" s="1000"/>
      <c r="AX201" s="542"/>
    </row>
    <row r="202" spans="1:50">
      <c r="A202" s="1000"/>
      <c r="B202" s="1000"/>
      <c r="R202" s="1000"/>
      <c r="AX202" s="544"/>
    </row>
    <row r="203" spans="1:50">
      <c r="A203" s="1000"/>
      <c r="B203" s="1000"/>
      <c r="R203" s="1000"/>
      <c r="AX203" s="544"/>
    </row>
    <row r="204" spans="1:50">
      <c r="A204" s="1000"/>
      <c r="B204" s="1000"/>
      <c r="R204" s="1000"/>
      <c r="AX204" s="542"/>
    </row>
    <row r="205" spans="1:50">
      <c r="A205" s="1000"/>
      <c r="B205" s="1000"/>
      <c r="R205" s="1000"/>
      <c r="AX205" s="542"/>
    </row>
    <row r="206" spans="1:50">
      <c r="A206" s="1000"/>
      <c r="B206" s="1000"/>
      <c r="R206" s="1000"/>
      <c r="AX206" s="542"/>
    </row>
    <row r="207" spans="1:50">
      <c r="A207" s="1000"/>
      <c r="B207" s="1000"/>
      <c r="R207" s="1000"/>
      <c r="AT207" s="1019"/>
      <c r="AU207" s="1019"/>
      <c r="AV207" s="1019"/>
      <c r="AW207" s="1019"/>
      <c r="AX207" s="542"/>
    </row>
    <row r="208" spans="1:50">
      <c r="A208" s="1000"/>
      <c r="B208" s="1000"/>
      <c r="R208" s="1000"/>
      <c r="AX208" s="542"/>
    </row>
    <row r="209" spans="1:50">
      <c r="A209" s="1000"/>
      <c r="B209" s="1000"/>
      <c r="R209" s="1000"/>
      <c r="AX209" s="542"/>
    </row>
    <row r="210" spans="1:50">
      <c r="A210" s="1000"/>
      <c r="B210" s="1000"/>
      <c r="R210" s="1000"/>
      <c r="AX210" s="542"/>
    </row>
  </sheetData>
  <sheetProtection sheet="1" objects="1" scenarios="1"/>
  <customSheetViews>
    <customSheetView guid="{D1431318-1DB8-4C45-813B-5A8065DFC797}" showPageBreaks="1" printArea="1" view="pageBreakPreview">
      <selection activeCell="H14" sqref="H14:I14"/>
      <rowBreaks count="2" manualBreakCount="2">
        <brk id="46" max="17" man="1"/>
        <brk id="100" max="17" man="1"/>
      </rowBreaks>
      <pageMargins left="0.7" right="0.7" top="0.75" bottom="0.75" header="0.3" footer="0.3"/>
      <pageSetup orientation="portrait" blackAndWhite="1" r:id="rId1"/>
    </customSheetView>
  </customSheetViews>
  <mergeCells count="87">
    <mergeCell ref="C136:F136"/>
    <mergeCell ref="AA114:AD114"/>
    <mergeCell ref="G136:H136"/>
    <mergeCell ref="C142:Q142"/>
    <mergeCell ref="K134:M134"/>
    <mergeCell ref="K136:M136"/>
    <mergeCell ref="N136:P136"/>
    <mergeCell ref="J138:M138"/>
    <mergeCell ref="G52:J52"/>
    <mergeCell ref="C53:R53"/>
    <mergeCell ref="F74:G74"/>
    <mergeCell ref="F80:G80"/>
    <mergeCell ref="F71:G71"/>
    <mergeCell ref="C71:D71"/>
    <mergeCell ref="I71:J71"/>
    <mergeCell ref="F77:G77"/>
    <mergeCell ref="C77:D77"/>
    <mergeCell ref="C80:D80"/>
    <mergeCell ref="C62:Q62"/>
    <mergeCell ref="C55:D55"/>
    <mergeCell ref="M56:Q61"/>
    <mergeCell ref="H58:K58"/>
    <mergeCell ref="O71:P71"/>
    <mergeCell ref="L71:M71"/>
    <mergeCell ref="D43:E43"/>
    <mergeCell ref="G43:H43"/>
    <mergeCell ref="L47:M47"/>
    <mergeCell ref="G134:H134"/>
    <mergeCell ref="N134:Q134"/>
    <mergeCell ref="D60:G60"/>
    <mergeCell ref="H60:I60"/>
    <mergeCell ref="C86:D86"/>
    <mergeCell ref="I86:J86"/>
    <mergeCell ref="F86:G86"/>
    <mergeCell ref="F83:G83"/>
    <mergeCell ref="I94:M94"/>
    <mergeCell ref="C83:D83"/>
    <mergeCell ref="C74:D74"/>
    <mergeCell ref="I80:J80"/>
    <mergeCell ref="H68:I68"/>
    <mergeCell ref="D28:E28"/>
    <mergeCell ref="H12:I12"/>
    <mergeCell ref="H28:I28"/>
    <mergeCell ref="H14:I14"/>
    <mergeCell ref="I2:J2"/>
    <mergeCell ref="F28:G28"/>
    <mergeCell ref="H4:I4"/>
    <mergeCell ref="H6:I6"/>
    <mergeCell ref="H8:I8"/>
    <mergeCell ref="H10:I10"/>
    <mergeCell ref="F1:M1"/>
    <mergeCell ref="K2:L2"/>
    <mergeCell ref="K21:R23"/>
    <mergeCell ref="L28:M28"/>
    <mergeCell ref="P2:R2"/>
    <mergeCell ref="L30:M30"/>
    <mergeCell ref="J43:K43"/>
    <mergeCell ref="B30:K30"/>
    <mergeCell ref="N49:Q49"/>
    <mergeCell ref="L38:M38"/>
    <mergeCell ref="B38:K38"/>
    <mergeCell ref="I49:M49"/>
    <mergeCell ref="H32:I32"/>
    <mergeCell ref="G36:H36"/>
    <mergeCell ref="J36:K36"/>
    <mergeCell ref="D36:E36"/>
    <mergeCell ref="D47:E47"/>
    <mergeCell ref="D34:E34"/>
    <mergeCell ref="G34:H34"/>
    <mergeCell ref="K34:L34"/>
    <mergeCell ref="G47:H47"/>
    <mergeCell ref="Z108:AA108"/>
    <mergeCell ref="E68:F68"/>
    <mergeCell ref="P68:Q68"/>
    <mergeCell ref="C92:D92"/>
    <mergeCell ref="F92:G92"/>
    <mergeCell ref="L77:M77"/>
    <mergeCell ref="I77:J77"/>
    <mergeCell ref="I83:J83"/>
    <mergeCell ref="I89:J89"/>
    <mergeCell ref="F89:G89"/>
    <mergeCell ref="C89:D89"/>
    <mergeCell ref="L86:M86"/>
    <mergeCell ref="K92:L92"/>
    <mergeCell ref="O94:Q94"/>
    <mergeCell ref="L89:M89"/>
    <mergeCell ref="I74:J74"/>
  </mergeCells>
  <dataValidations count="5">
    <dataValidation type="list" allowBlank="1" showInputMessage="1" prompt="Typical value is 1.2." sqref="H12:I12">
      <formula1>MediaLoadRate</formula1>
    </dataValidation>
    <dataValidation type="decimal" operator="greaterThanOrEqual" allowBlank="1" showInputMessage="1" showErrorMessage="1" error="Enter a size that is larger than the minimum above, if so desired." sqref="H32">
      <formula1>F30</formula1>
    </dataValidation>
    <dataValidation type="decimal" operator="greaterThanOrEqual" allowBlank="1" showInputMessage="1" showErrorMessage="1" error="Enter a size that is larger than the minimum above, if so desired." sqref="L30">
      <formula1>L28</formula1>
    </dataValidation>
    <dataValidation type="decimal" operator="greaterThanOrEqual" allowBlank="1" showInputMessage="1" showErrorMessage="1" error="Enter a size that is larger than the minimum above, if so desired." sqref="L38">
      <formula1>F35</formula1>
    </dataValidation>
    <dataValidation allowBlank="1" sqref="L58 H59:L59 L60"/>
  </dataValidations>
  <pageMargins left="0.7" right="0.7" top="0.5" bottom="0.5" header="0.3" footer="0.3"/>
  <pageSetup scale="98" orientation="portrait" blackAndWhite="1" r:id="rId2"/>
  <rowBreaks count="2" manualBreakCount="2">
    <brk id="48" max="17" man="1"/>
    <brk id="93" max="17" man="1"/>
  </rowBreaks>
  <drawing r:id="rId3"/>
  <legacyDrawing r:id="rId4"/>
  <extLst>
    <ext xmlns:x14="http://schemas.microsoft.com/office/spreadsheetml/2009/9/main" uri="{CCE6A557-97BC-4b89-ADB6-D9C93CAAB3DF}">
      <x14:dataValidations xmlns:xm="http://schemas.microsoft.com/office/excel/2006/main" count="2">
        <x14:dataValidation type="list" allowBlank="1">
          <x14:formula1>
            <xm:f>'Drop-Down Lists'!$A$8:$A$14</xm:f>
          </x14:formula1>
          <xm:sqref>C55:D55 H60:I60</xm:sqref>
        </x14:dataValidation>
        <x14:dataValidation type="list" allowBlank="1" showInputMessage="1">
          <x14:formula1>
            <xm:f>'Drop-Down Lists'!$J$17:$J$31</xm:f>
          </x14:formula1>
          <xm:sqref>H14:I14</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theme="9" tint="0.39997558519241921"/>
  </sheetPr>
  <dimension ref="A1:BN208"/>
  <sheetViews>
    <sheetView showGridLines="0" view="pageBreakPreview" topLeftCell="A7" zoomScaleNormal="100" zoomScaleSheetLayoutView="100" workbookViewId="0">
      <selection activeCell="H12" sqref="H12:I12"/>
    </sheetView>
  </sheetViews>
  <sheetFormatPr defaultColWidth="8.88671875" defaultRowHeight="14.4"/>
  <cols>
    <col min="1" max="1" width="2.44140625" style="999" customWidth="1"/>
    <col min="2" max="2" width="2.44140625" style="1016" customWidth="1"/>
    <col min="3" max="17" width="5.44140625" style="1000" customWidth="1"/>
    <col min="18" max="18" width="5.44140625" style="993" customWidth="1"/>
    <col min="19" max="20" width="2.44140625" style="1000" customWidth="1"/>
    <col min="21" max="21" width="6.44140625" style="1000" customWidth="1"/>
    <col min="22" max="35" width="5.44140625" style="1000" customWidth="1"/>
    <col min="36" max="36" width="2" style="1000" customWidth="1"/>
    <col min="37" max="16384" width="8.88671875" style="1000"/>
  </cols>
  <sheetData>
    <row r="1" spans="1:48" ht="66" customHeight="1" thickBot="1">
      <c r="A1" s="574"/>
      <c r="B1" s="595"/>
      <c r="C1" s="595"/>
      <c r="D1" s="595"/>
      <c r="E1" s="564"/>
      <c r="F1" s="3413" t="s">
        <v>1751</v>
      </c>
      <c r="G1" s="3413"/>
      <c r="H1" s="3413"/>
      <c r="I1" s="3413"/>
      <c r="J1" s="3413"/>
      <c r="K1" s="3413"/>
      <c r="L1" s="3413"/>
      <c r="M1" s="3413"/>
      <c r="N1" s="595"/>
      <c r="O1" s="593"/>
      <c r="P1" s="593"/>
      <c r="Q1" s="593"/>
      <c r="R1" s="594"/>
      <c r="S1" s="564"/>
      <c r="X1" s="1276"/>
      <c r="AK1" s="580"/>
    </row>
    <row r="2" spans="1:48" ht="16.350000000000001" customHeight="1" thickBot="1">
      <c r="A2" s="1007" t="s">
        <v>88</v>
      </c>
      <c r="B2" s="1001"/>
      <c r="C2" s="679" t="s">
        <v>634</v>
      </c>
      <c r="D2" s="679"/>
      <c r="E2" s="679"/>
      <c r="F2" s="679"/>
      <c r="G2" s="679"/>
      <c r="H2" s="679"/>
      <c r="I2" s="3429" t="s">
        <v>1016</v>
      </c>
      <c r="J2" s="3429"/>
      <c r="K2" s="3414" t="str">
        <f>IF(ISBLANK(Summary!S3)," ",Summary!S3)</f>
        <v xml:space="preserve"> </v>
      </c>
      <c r="L2" s="3414"/>
      <c r="M2" s="679"/>
      <c r="N2" s="679"/>
      <c r="O2" s="679"/>
      <c r="P2" s="679"/>
      <c r="Q2" s="679"/>
      <c r="R2" s="2626"/>
      <c r="S2" s="2626" t="str">
        <f>'Drop-Down Lists'!J40</f>
        <v>v 04.01.2021</v>
      </c>
      <c r="T2" s="580"/>
      <c r="U2" s="580"/>
      <c r="V2" s="580"/>
      <c r="W2" s="580"/>
      <c r="X2" s="580"/>
      <c r="Y2" s="580"/>
      <c r="Z2" s="580"/>
      <c r="AA2" s="580"/>
      <c r="AB2" s="580"/>
      <c r="AS2" s="567"/>
      <c r="AT2" s="567"/>
      <c r="AU2" s="567"/>
    </row>
    <row r="3" spans="1:48" ht="3.6" customHeight="1">
      <c r="A3" s="643"/>
      <c r="B3" s="644"/>
      <c r="C3" s="645"/>
      <c r="D3" s="645"/>
      <c r="E3" s="645"/>
      <c r="F3" s="645"/>
      <c r="G3" s="645"/>
      <c r="H3" s="645"/>
      <c r="I3" s="645"/>
      <c r="J3" s="645"/>
      <c r="K3" s="645"/>
      <c r="L3" s="645"/>
      <c r="M3" s="645"/>
      <c r="N3" s="645"/>
      <c r="O3" s="645"/>
      <c r="P3" s="645"/>
      <c r="Q3" s="645"/>
      <c r="R3" s="646"/>
      <c r="S3" s="647"/>
      <c r="T3" s="564"/>
      <c r="U3" s="564"/>
      <c r="V3" s="564"/>
      <c r="W3" s="564"/>
      <c r="X3" s="564"/>
      <c r="Y3" s="564"/>
      <c r="Z3" s="564"/>
      <c r="AA3" s="564"/>
      <c r="AB3" s="564"/>
      <c r="AS3" s="567"/>
      <c r="AT3" s="567"/>
      <c r="AU3" s="567"/>
    </row>
    <row r="4" spans="1:48" ht="20.100000000000001" customHeight="1">
      <c r="A4" s="583"/>
      <c r="B4" s="554" t="s">
        <v>147</v>
      </c>
      <c r="C4" s="2627" t="s">
        <v>312</v>
      </c>
      <c r="D4" s="2627"/>
      <c r="E4" s="2627"/>
      <c r="F4" s="2627"/>
      <c r="G4" s="2627"/>
      <c r="H4" s="3411" t="str">
        <f>IF(Summary!AA63=0,"",IF(Summary!AA63=4,Summary!I11,""))</f>
        <v/>
      </c>
      <c r="I4" s="3412"/>
      <c r="J4" s="2627" t="s">
        <v>313</v>
      </c>
      <c r="K4" s="2627"/>
      <c r="L4" s="564"/>
      <c r="M4" s="2629"/>
      <c r="N4" s="2629"/>
      <c r="O4" s="2629"/>
      <c r="P4" s="2629"/>
      <c r="Q4" s="2629"/>
      <c r="R4" s="580"/>
      <c r="S4" s="1101"/>
      <c r="T4" s="564"/>
      <c r="U4" s="589"/>
      <c r="V4" s="589"/>
      <c r="W4" s="589"/>
      <c r="X4" s="589"/>
      <c r="Y4" s="589"/>
      <c r="Z4" s="589"/>
      <c r="AA4" s="589"/>
      <c r="AB4" s="589"/>
      <c r="AS4" s="567"/>
      <c r="AT4" s="567"/>
      <c r="AU4" s="567"/>
    </row>
    <row r="5" spans="1:48" ht="3.6" customHeight="1">
      <c r="A5" s="583"/>
      <c r="B5" s="554"/>
      <c r="C5" s="2627"/>
      <c r="D5" s="2627"/>
      <c r="E5" s="2627"/>
      <c r="F5" s="2627"/>
      <c r="G5" s="2627"/>
      <c r="H5" s="551"/>
      <c r="I5" s="551"/>
      <c r="J5" s="2627"/>
      <c r="K5" s="2627"/>
      <c r="L5" s="564"/>
      <c r="M5" s="2629"/>
      <c r="N5" s="2629"/>
      <c r="O5" s="2629"/>
      <c r="P5" s="2629"/>
      <c r="Q5" s="2629"/>
      <c r="R5" s="580"/>
      <c r="S5" s="1101"/>
      <c r="T5" s="564"/>
      <c r="U5" s="589"/>
      <c r="V5" s="589"/>
      <c r="W5" s="589"/>
      <c r="X5" s="589"/>
      <c r="Y5" s="589"/>
      <c r="Z5" s="589"/>
      <c r="AA5" s="589"/>
      <c r="AB5" s="589"/>
      <c r="AS5" s="567"/>
      <c r="AT5" s="567"/>
      <c r="AU5" s="567"/>
    </row>
    <row r="6" spans="1:48" ht="20.100000000000001" customHeight="1">
      <c r="A6" s="583"/>
      <c r="B6" s="554" t="s">
        <v>631</v>
      </c>
      <c r="C6" s="2627" t="s">
        <v>1089</v>
      </c>
      <c r="D6" s="2627"/>
      <c r="E6" s="2627"/>
      <c r="F6" s="2627"/>
      <c r="G6" s="2627"/>
      <c r="H6" s="3432" t="str">
        <f>IF(Summary!AA63=0,"",IF(Summary!AA63=4,Summary!G89,""))</f>
        <v/>
      </c>
      <c r="I6" s="3433"/>
      <c r="J6" s="2627" t="s">
        <v>86</v>
      </c>
      <c r="K6" s="2627"/>
      <c r="L6" s="564"/>
      <c r="M6" s="591"/>
      <c r="N6" s="591"/>
      <c r="O6" s="2629"/>
      <c r="P6" s="2629"/>
      <c r="Q6" s="2629"/>
      <c r="R6" s="580"/>
      <c r="S6" s="1102"/>
      <c r="T6" s="564"/>
      <c r="U6" s="587"/>
      <c r="V6" s="587"/>
      <c r="W6" s="587"/>
      <c r="X6" s="587"/>
      <c r="Y6" s="587"/>
      <c r="Z6" s="587"/>
      <c r="AA6" s="587"/>
      <c r="AB6" s="587"/>
      <c r="AS6" s="567"/>
      <c r="AT6" s="567"/>
      <c r="AU6" s="567"/>
    </row>
    <row r="7" spans="1:48" ht="3.6" customHeight="1">
      <c r="A7" s="583"/>
      <c r="B7" s="554"/>
      <c r="C7" s="2627"/>
      <c r="D7" s="2627"/>
      <c r="E7" s="2627"/>
      <c r="F7" s="2627"/>
      <c r="G7" s="2627"/>
      <c r="H7" s="544"/>
      <c r="I7" s="544"/>
      <c r="J7" s="2627"/>
      <c r="K7" s="2627"/>
      <c r="L7" s="548"/>
      <c r="M7" s="591"/>
      <c r="N7" s="591"/>
      <c r="O7" s="2629"/>
      <c r="P7" s="2629"/>
      <c r="Q7" s="2629"/>
      <c r="R7" s="580"/>
      <c r="S7" s="1102"/>
      <c r="T7" s="564"/>
      <c r="U7" s="587"/>
      <c r="V7" s="587"/>
      <c r="W7" s="587"/>
      <c r="X7" s="587"/>
      <c r="Y7" s="587"/>
      <c r="Z7" s="587"/>
      <c r="AA7" s="587"/>
      <c r="AB7" s="587"/>
      <c r="AS7" s="567"/>
      <c r="AT7" s="567"/>
      <c r="AU7" s="567"/>
      <c r="AV7" s="567"/>
    </row>
    <row r="8" spans="1:48" ht="19.5" customHeight="1">
      <c r="A8" s="583"/>
      <c r="B8" s="554" t="s">
        <v>149</v>
      </c>
      <c r="C8" s="3483" t="s">
        <v>1783</v>
      </c>
      <c r="D8" s="3483"/>
      <c r="E8" s="3483"/>
      <c r="F8" s="3483"/>
      <c r="G8" s="3483"/>
      <c r="H8" s="3399" t="str">
        <f>IF(Summary!AA63=0,"",IF(Summary!AA63=4,(Summary!G80/12),""))</f>
        <v/>
      </c>
      <c r="I8" s="3400"/>
      <c r="J8" s="2627" t="s">
        <v>92</v>
      </c>
      <c r="K8" s="2627"/>
      <c r="L8" s="548"/>
      <c r="M8" s="591"/>
      <c r="N8" s="591"/>
      <c r="O8" s="2629"/>
      <c r="P8" s="2629"/>
      <c r="Q8" s="2629"/>
      <c r="R8" s="580"/>
      <c r="S8" s="1102"/>
      <c r="T8" s="564"/>
      <c r="U8" s="587"/>
      <c r="V8" s="587"/>
      <c r="W8" s="587"/>
      <c r="X8" s="587"/>
      <c r="Y8" s="587"/>
      <c r="Z8" s="587"/>
      <c r="AA8" s="587"/>
      <c r="AB8" s="587"/>
      <c r="AS8" s="567"/>
      <c r="AT8" s="567"/>
      <c r="AU8" s="567"/>
      <c r="AV8" s="567"/>
    </row>
    <row r="9" spans="1:48" ht="3.6" customHeight="1">
      <c r="A9" s="583"/>
      <c r="B9" s="554"/>
      <c r="C9" s="2627"/>
      <c r="D9" s="2627"/>
      <c r="E9" s="2627"/>
      <c r="F9" s="2627"/>
      <c r="G9" s="2627"/>
      <c r="H9" s="544"/>
      <c r="I9" s="544"/>
      <c r="J9" s="2627"/>
      <c r="K9" s="564"/>
      <c r="L9" s="548"/>
      <c r="M9" s="591"/>
      <c r="N9" s="591"/>
      <c r="O9" s="2629"/>
      <c r="P9" s="2629"/>
      <c r="Q9" s="2629"/>
      <c r="R9" s="580"/>
      <c r="S9" s="1102"/>
      <c r="T9" s="564"/>
      <c r="U9" s="548"/>
      <c r="V9" s="548"/>
      <c r="W9" s="548"/>
      <c r="X9" s="548"/>
      <c r="Y9" s="548"/>
      <c r="Z9" s="592"/>
      <c r="AA9" s="592"/>
      <c r="AB9" s="567"/>
      <c r="AS9" s="567"/>
      <c r="AT9" s="567"/>
      <c r="AU9" s="567"/>
      <c r="AV9" s="567"/>
    </row>
    <row r="10" spans="1:48" ht="20.100000000000001" customHeight="1">
      <c r="A10" s="583"/>
      <c r="B10" s="554" t="s">
        <v>588</v>
      </c>
      <c r="C10" s="2627" t="s">
        <v>807</v>
      </c>
      <c r="D10" s="2627"/>
      <c r="E10" s="2627"/>
      <c r="F10" s="2627"/>
      <c r="G10" s="2627"/>
      <c r="H10" s="3399" t="str">
        <f>IF(Summary!AA63=0,"",IF(Summary!AA63=4,Summary!G93,""))</f>
        <v/>
      </c>
      <c r="I10" s="3400"/>
      <c r="J10" s="564" t="s">
        <v>630</v>
      </c>
      <c r="K10" s="564"/>
      <c r="L10" s="564"/>
      <c r="M10" s="591"/>
      <c r="N10" s="591"/>
      <c r="O10" s="2629"/>
      <c r="P10" s="2629"/>
      <c r="Q10" s="2629"/>
      <c r="R10" s="580"/>
      <c r="S10" s="1102"/>
      <c r="T10" s="564"/>
      <c r="U10" s="550"/>
      <c r="V10" s="550"/>
      <c r="W10" s="550"/>
      <c r="X10" s="550"/>
      <c r="Y10" s="550"/>
      <c r="Z10" s="542"/>
      <c r="AA10" s="542"/>
      <c r="AB10" s="542"/>
      <c r="AS10" s="567"/>
      <c r="AT10" s="567"/>
      <c r="AU10" s="567"/>
      <c r="AV10" s="567"/>
    </row>
    <row r="11" spans="1:48" ht="3.6" customHeight="1">
      <c r="A11" s="583"/>
      <c r="B11" s="554"/>
      <c r="C11" s="2627"/>
      <c r="D11" s="2627"/>
      <c r="E11" s="2627"/>
      <c r="F11" s="2627"/>
      <c r="G11" s="2627"/>
      <c r="H11" s="592"/>
      <c r="I11" s="592"/>
      <c r="J11" s="564"/>
      <c r="K11" s="564"/>
      <c r="L11" s="548"/>
      <c r="M11" s="591"/>
      <c r="N11" s="591"/>
      <c r="O11" s="2629"/>
      <c r="P11" s="2629"/>
      <c r="Q11" s="2629"/>
      <c r="R11" s="580"/>
      <c r="S11" s="1102"/>
      <c r="T11" s="564"/>
      <c r="U11" s="550"/>
      <c r="V11" s="550"/>
      <c r="W11" s="550"/>
      <c r="X11" s="550"/>
      <c r="Y11" s="550"/>
      <c r="Z11" s="542"/>
      <c r="AA11" s="542"/>
      <c r="AB11" s="542"/>
      <c r="AS11" s="567"/>
      <c r="AT11" s="567"/>
      <c r="AU11" s="567"/>
      <c r="AV11" s="567"/>
    </row>
    <row r="12" spans="1:48" ht="20.100000000000001" customHeight="1">
      <c r="A12" s="583"/>
      <c r="B12" s="554" t="s">
        <v>589</v>
      </c>
      <c r="C12" s="2627" t="s">
        <v>720</v>
      </c>
      <c r="D12" s="2627"/>
      <c r="E12" s="2627"/>
      <c r="F12" s="2627"/>
      <c r="G12" s="2627"/>
      <c r="H12" s="3396"/>
      <c r="I12" s="3397"/>
      <c r="J12" s="564" t="s">
        <v>86</v>
      </c>
      <c r="K12" s="564"/>
      <c r="L12" s="564"/>
      <c r="M12" s="591"/>
      <c r="N12" s="591"/>
      <c r="O12" s="2629"/>
      <c r="P12" s="2629"/>
      <c r="Q12" s="2629"/>
      <c r="R12" s="580"/>
      <c r="S12" s="1102"/>
      <c r="T12" s="564"/>
      <c r="AS12" s="567"/>
      <c r="AT12" s="567"/>
      <c r="AU12" s="567"/>
      <c r="AV12" s="567"/>
    </row>
    <row r="13" spans="1:48" ht="3.6" customHeight="1">
      <c r="A13" s="583"/>
      <c r="B13" s="554"/>
      <c r="C13" s="2627"/>
      <c r="D13" s="2627"/>
      <c r="E13" s="2627"/>
      <c r="F13" s="2627"/>
      <c r="G13" s="2627"/>
      <c r="H13" s="592"/>
      <c r="I13" s="592"/>
      <c r="J13" s="564"/>
      <c r="K13" s="564"/>
      <c r="L13" s="548"/>
      <c r="M13" s="591"/>
      <c r="N13" s="591"/>
      <c r="O13" s="2629"/>
      <c r="P13" s="2629"/>
      <c r="Q13" s="2629"/>
      <c r="R13" s="580"/>
      <c r="S13" s="1102"/>
      <c r="T13" s="564"/>
      <c r="AS13" s="567"/>
      <c r="AT13" s="567"/>
      <c r="AU13" s="567"/>
      <c r="AV13" s="567"/>
    </row>
    <row r="14" spans="1:48" ht="20.100000000000001" customHeight="1">
      <c r="A14" s="583"/>
      <c r="B14" s="588" t="s">
        <v>641</v>
      </c>
      <c r="C14" s="2627" t="s">
        <v>1308</v>
      </c>
      <c r="D14" s="2627"/>
      <c r="E14" s="2627"/>
      <c r="F14" s="2627"/>
      <c r="G14" s="2627"/>
      <c r="H14" s="3427"/>
      <c r="I14" s="3428"/>
      <c r="J14" s="564"/>
      <c r="K14" s="564"/>
      <c r="L14" s="564"/>
      <c r="M14" s="591"/>
      <c r="N14" s="591"/>
      <c r="O14" s="544"/>
      <c r="P14" s="544"/>
      <c r="Q14" s="544"/>
      <c r="R14" s="590"/>
      <c r="S14" s="1102"/>
      <c r="T14" s="564"/>
      <c r="AS14" s="567"/>
      <c r="AT14" s="567"/>
      <c r="AU14" s="567"/>
      <c r="AV14" s="567"/>
    </row>
    <row r="15" spans="1:48" ht="3.6" customHeight="1">
      <c r="A15" s="583"/>
      <c r="B15" s="588"/>
      <c r="C15" s="2627"/>
      <c r="D15" s="2627"/>
      <c r="E15" s="2627"/>
      <c r="F15" s="2627"/>
      <c r="G15" s="2627"/>
      <c r="H15" s="544"/>
      <c r="I15" s="544"/>
      <c r="J15" s="2627"/>
      <c r="K15" s="564"/>
      <c r="L15" s="586"/>
      <c r="M15" s="1003"/>
      <c r="N15" s="591"/>
      <c r="O15" s="544"/>
      <c r="P15" s="544"/>
      <c r="Q15" s="544"/>
      <c r="R15" s="590"/>
      <c r="S15" s="1102"/>
      <c r="T15" s="564"/>
      <c r="U15" s="564"/>
      <c r="V15" s="564"/>
      <c r="W15" s="564"/>
      <c r="X15" s="564"/>
      <c r="Y15" s="564"/>
      <c r="Z15" s="564"/>
      <c r="AA15" s="564"/>
      <c r="AB15" s="564"/>
      <c r="AC15" s="564"/>
      <c r="AS15" s="567"/>
      <c r="AT15" s="567"/>
      <c r="AU15" s="567"/>
      <c r="AV15" s="567"/>
    </row>
    <row r="16" spans="1:48" ht="20.100000000000001" customHeight="1">
      <c r="A16" s="583"/>
      <c r="B16" s="588"/>
      <c r="C16" s="2627"/>
      <c r="D16" s="2627"/>
      <c r="E16" s="2627"/>
      <c r="F16" s="2627"/>
      <c r="G16" s="2627"/>
      <c r="H16" s="623"/>
      <c r="I16" s="623"/>
      <c r="J16" s="2627"/>
      <c r="K16" s="2627"/>
      <c r="L16" s="1023"/>
      <c r="M16" s="1023"/>
      <c r="N16" s="1023"/>
      <c r="O16" s="1023"/>
      <c r="P16" s="1023"/>
      <c r="Q16" s="1023"/>
      <c r="R16" s="1023"/>
      <c r="S16" s="602"/>
      <c r="T16" s="564"/>
      <c r="U16" s="589"/>
      <c r="V16" s="589"/>
      <c r="W16" s="589"/>
      <c r="X16" s="589"/>
      <c r="Y16" s="589"/>
      <c r="Z16" s="589"/>
      <c r="AA16" s="589"/>
      <c r="AB16" s="589"/>
      <c r="AC16" s="564"/>
      <c r="AS16" s="567"/>
      <c r="AT16" s="567"/>
      <c r="AU16" s="567"/>
      <c r="AV16" s="567"/>
    </row>
    <row r="17" spans="1:48" ht="20.100000000000001" customHeight="1">
      <c r="A17" s="583"/>
      <c r="B17" s="588"/>
      <c r="C17" s="2627"/>
      <c r="D17" s="2627"/>
      <c r="E17" s="2627"/>
      <c r="F17" s="2627"/>
      <c r="G17" s="2627"/>
      <c r="H17" s="623"/>
      <c r="I17" s="623"/>
      <c r="J17" s="2627"/>
      <c r="K17" s="2627"/>
      <c r="L17" s="1023"/>
      <c r="M17" s="1023"/>
      <c r="N17" s="1023"/>
      <c r="O17" s="1023"/>
      <c r="P17" s="1023"/>
      <c r="Q17" s="1023"/>
      <c r="R17" s="1023"/>
      <c r="S17" s="602"/>
      <c r="T17" s="564"/>
      <c r="U17" s="589"/>
      <c r="V17" s="589"/>
      <c r="W17" s="589"/>
      <c r="X17" s="589"/>
      <c r="Y17" s="589"/>
      <c r="Z17" s="589"/>
      <c r="AA17" s="589"/>
      <c r="AB17" s="589"/>
      <c r="AC17" s="564"/>
      <c r="AS17" s="567"/>
      <c r="AT17" s="567"/>
      <c r="AU17" s="567"/>
      <c r="AV17" s="567"/>
    </row>
    <row r="18" spans="1:48" ht="20.100000000000001" customHeight="1">
      <c r="A18" s="583"/>
      <c r="B18" s="588"/>
      <c r="C18" s="2627"/>
      <c r="D18" s="2627"/>
      <c r="E18" s="2627"/>
      <c r="F18" s="2627"/>
      <c r="G18" s="2627"/>
      <c r="H18" s="623"/>
      <c r="I18" s="623"/>
      <c r="J18" s="2627"/>
      <c r="K18" s="2627"/>
      <c r="L18" s="1023"/>
      <c r="M18" s="1023"/>
      <c r="N18" s="1023"/>
      <c r="O18" s="1023"/>
      <c r="P18" s="1023"/>
      <c r="Q18" s="1023"/>
      <c r="R18" s="1023"/>
      <c r="S18" s="602"/>
      <c r="T18" s="564"/>
      <c r="U18" s="589"/>
      <c r="V18" s="589"/>
      <c r="W18" s="589"/>
      <c r="X18" s="589"/>
      <c r="Y18" s="589"/>
      <c r="Z18" s="589"/>
      <c r="AA18" s="589"/>
      <c r="AB18" s="589"/>
      <c r="AC18" s="564"/>
      <c r="AS18" s="567"/>
      <c r="AT18" s="567"/>
      <c r="AU18" s="567"/>
      <c r="AV18" s="567"/>
    </row>
    <row r="19" spans="1:48" ht="20.100000000000001" customHeight="1">
      <c r="A19" s="583"/>
      <c r="B19" s="588"/>
      <c r="C19" s="2627"/>
      <c r="D19" s="2627"/>
      <c r="E19" s="2627"/>
      <c r="F19" s="2627"/>
      <c r="G19" s="2627"/>
      <c r="H19" s="623"/>
      <c r="I19" s="623"/>
      <c r="J19" s="2627"/>
      <c r="K19" s="2627"/>
      <c r="L19" s="1023"/>
      <c r="M19" s="1023"/>
      <c r="N19" s="1023"/>
      <c r="O19" s="1023"/>
      <c r="P19" s="1023"/>
      <c r="Q19" s="1023"/>
      <c r="R19" s="1023"/>
      <c r="S19" s="602"/>
      <c r="T19" s="564"/>
      <c r="U19" s="589"/>
      <c r="V19" s="589"/>
      <c r="W19" s="589"/>
      <c r="X19" s="589"/>
      <c r="Y19" s="589"/>
      <c r="Z19" s="589"/>
      <c r="AA19" s="589"/>
      <c r="AB19" s="589"/>
      <c r="AC19" s="564"/>
      <c r="AS19" s="567"/>
      <c r="AT19" s="567"/>
      <c r="AU19" s="567"/>
      <c r="AV19" s="567"/>
    </row>
    <row r="20" spans="1:48" ht="20.100000000000001" customHeight="1">
      <c r="A20" s="583"/>
      <c r="B20" s="588"/>
      <c r="C20" s="2627"/>
      <c r="D20" s="2627"/>
      <c r="E20" s="2627"/>
      <c r="F20" s="2627"/>
      <c r="G20" s="2627"/>
      <c r="H20" s="623"/>
      <c r="I20" s="623"/>
      <c r="J20" s="2627"/>
      <c r="K20" s="2627"/>
      <c r="L20" s="1023"/>
      <c r="M20" s="1023"/>
      <c r="N20" s="1023"/>
      <c r="O20" s="1023"/>
      <c r="P20" s="1023"/>
      <c r="Q20" s="1023"/>
      <c r="R20" s="1023"/>
      <c r="S20" s="602"/>
      <c r="T20" s="564"/>
      <c r="U20" s="589"/>
      <c r="V20" s="589"/>
      <c r="W20" s="589"/>
      <c r="X20" s="589"/>
      <c r="Y20" s="589"/>
      <c r="Z20" s="589"/>
      <c r="AA20" s="589"/>
      <c r="AB20" s="589"/>
      <c r="AC20" s="564"/>
      <c r="AS20" s="567"/>
      <c r="AT20" s="567"/>
      <c r="AU20" s="567"/>
      <c r="AV20" s="567"/>
    </row>
    <row r="21" spans="1:48" ht="20.100000000000001" customHeight="1">
      <c r="A21" s="583"/>
      <c r="B21" s="588"/>
      <c r="C21" s="2627"/>
      <c r="D21" s="2627"/>
      <c r="E21" s="2627"/>
      <c r="F21" s="2627"/>
      <c r="G21" s="2627"/>
      <c r="H21" s="623"/>
      <c r="I21" s="623"/>
      <c r="J21" s="2627"/>
      <c r="K21" s="3415" t="s">
        <v>949</v>
      </c>
      <c r="L21" s="3415"/>
      <c r="M21" s="3415"/>
      <c r="N21" s="3415"/>
      <c r="O21" s="3415"/>
      <c r="P21" s="3415"/>
      <c r="Q21" s="3415"/>
      <c r="R21" s="3415"/>
      <c r="S21" s="602"/>
      <c r="T21" s="564"/>
      <c r="U21" s="589"/>
      <c r="V21" s="589"/>
      <c r="W21" s="589"/>
      <c r="X21" s="589"/>
      <c r="Y21" s="589"/>
      <c r="Z21" s="589"/>
      <c r="AA21" s="589"/>
      <c r="AB21" s="589"/>
      <c r="AC21" s="564"/>
      <c r="AS21" s="567"/>
      <c r="AT21" s="567"/>
      <c r="AU21" s="567"/>
      <c r="AV21" s="567"/>
    </row>
    <row r="22" spans="1:48" ht="20.100000000000001" customHeight="1">
      <c r="A22" s="583"/>
      <c r="B22" s="588"/>
      <c r="C22" s="2627"/>
      <c r="D22" s="2627"/>
      <c r="E22" s="2627"/>
      <c r="F22" s="2627"/>
      <c r="G22" s="2627"/>
      <c r="H22" s="623"/>
      <c r="I22" s="623"/>
      <c r="J22" s="1027"/>
      <c r="K22" s="3415"/>
      <c r="L22" s="3415"/>
      <c r="M22" s="3415"/>
      <c r="N22" s="3415"/>
      <c r="O22" s="3415"/>
      <c r="P22" s="3415"/>
      <c r="Q22" s="3415"/>
      <c r="R22" s="3415"/>
      <c r="S22" s="602"/>
      <c r="T22" s="564"/>
      <c r="U22" s="589"/>
      <c r="V22" s="589"/>
      <c r="W22" s="589"/>
      <c r="X22" s="589"/>
      <c r="Y22" s="589"/>
      <c r="Z22" s="589"/>
      <c r="AA22" s="589"/>
      <c r="AB22" s="589"/>
      <c r="AC22" s="564"/>
      <c r="AS22" s="567"/>
      <c r="AT22" s="567"/>
      <c r="AU22" s="567"/>
      <c r="AV22" s="567"/>
    </row>
    <row r="23" spans="1:48" ht="8.1" customHeight="1" thickBot="1">
      <c r="A23" s="583"/>
      <c r="B23" s="588"/>
      <c r="C23" s="2627"/>
      <c r="D23" s="2627"/>
      <c r="E23" s="2627"/>
      <c r="F23" s="2627"/>
      <c r="G23" s="2627"/>
      <c r="H23" s="623"/>
      <c r="I23" s="623"/>
      <c r="J23" s="1004"/>
      <c r="K23" s="3415"/>
      <c r="L23" s="3415"/>
      <c r="M23" s="3415"/>
      <c r="N23" s="3415"/>
      <c r="O23" s="3415"/>
      <c r="P23" s="3415"/>
      <c r="Q23" s="3415"/>
      <c r="R23" s="3415"/>
      <c r="S23" s="602"/>
      <c r="T23" s="564"/>
      <c r="U23" s="589"/>
      <c r="V23" s="589"/>
      <c r="W23" s="589"/>
      <c r="X23" s="589"/>
      <c r="Y23" s="589"/>
      <c r="Z23" s="589"/>
      <c r="AA23" s="589"/>
      <c r="AB23" s="589"/>
      <c r="AC23" s="564"/>
      <c r="AS23" s="567"/>
      <c r="AT23" s="567"/>
      <c r="AU23" s="567"/>
      <c r="AV23" s="567"/>
    </row>
    <row r="24" spans="1:48" ht="16.350000000000001" customHeight="1" thickBot="1">
      <c r="A24" s="681" t="s">
        <v>89</v>
      </c>
      <c r="B24" s="1001"/>
      <c r="C24" s="679" t="s">
        <v>70</v>
      </c>
      <c r="D24" s="679"/>
      <c r="E24" s="679"/>
      <c r="F24" s="679"/>
      <c r="G24" s="679"/>
      <c r="H24" s="679"/>
      <c r="I24" s="679"/>
      <c r="J24" s="679"/>
      <c r="K24" s="679"/>
      <c r="L24" s="679"/>
      <c r="M24" s="679"/>
      <c r="N24" s="679"/>
      <c r="O24" s="679"/>
      <c r="P24" s="679"/>
      <c r="Q24" s="679"/>
      <c r="R24" s="679"/>
      <c r="S24" s="680"/>
      <c r="T24" s="564"/>
      <c r="U24" s="587"/>
      <c r="V24" s="587"/>
      <c r="W24" s="587"/>
      <c r="X24" s="587"/>
      <c r="Y24" s="587"/>
      <c r="Z24" s="587"/>
      <c r="AA24" s="587"/>
      <c r="AB24" s="587"/>
      <c r="AC24" s="564"/>
      <c r="AS24" s="567"/>
      <c r="AT24" s="567"/>
      <c r="AU24" s="567"/>
      <c r="AV24" s="567"/>
    </row>
    <row r="25" spans="1:48" ht="18" customHeight="1">
      <c r="A25" s="583"/>
      <c r="B25" s="585" t="s">
        <v>147</v>
      </c>
      <c r="C25" s="2627" t="s">
        <v>1876</v>
      </c>
      <c r="D25" s="2627"/>
      <c r="E25" s="2627"/>
      <c r="F25" s="2627"/>
      <c r="G25" s="2627"/>
      <c r="H25" s="2627"/>
      <c r="I25" s="2627"/>
      <c r="J25" s="2627"/>
      <c r="K25" s="2627"/>
      <c r="L25" s="2627"/>
      <c r="M25" s="2627"/>
      <c r="N25" s="2627"/>
      <c r="O25" s="2627"/>
      <c r="P25" s="2627"/>
      <c r="Q25" s="564"/>
      <c r="R25" s="2627"/>
      <c r="S25" s="602"/>
      <c r="T25" s="564"/>
      <c r="AB25" s="550"/>
      <c r="AC25" s="564"/>
      <c r="AS25" s="567"/>
      <c r="AT25" s="567"/>
      <c r="AU25" s="567"/>
      <c r="AV25" s="567"/>
    </row>
    <row r="26" spans="1:48" ht="20.100000000000001" customHeight="1">
      <c r="A26" s="583"/>
      <c r="B26" s="579"/>
      <c r="C26" s="564"/>
      <c r="D26" s="3423" t="str">
        <f>IF(ISBLANK(H4),"",H4)</f>
        <v/>
      </c>
      <c r="E26" s="3424"/>
      <c r="F26" s="3430" t="s">
        <v>1320</v>
      </c>
      <c r="G26" s="3431"/>
      <c r="H26" s="3399" t="str">
        <f>IF(ISBLANK(H12),"",H12)</f>
        <v/>
      </c>
      <c r="I26" s="3400"/>
      <c r="J26" s="2627" t="s">
        <v>27</v>
      </c>
      <c r="K26" s="564"/>
      <c r="L26" s="3411" t="str">
        <f>IF(ISBLANK(H12),"",D26/H26)</f>
        <v/>
      </c>
      <c r="M26" s="3420"/>
      <c r="N26" s="2627" t="s">
        <v>22</v>
      </c>
      <c r="O26" s="564"/>
      <c r="P26" s="564"/>
      <c r="Q26" s="564"/>
      <c r="R26" s="564"/>
      <c r="S26" s="602"/>
      <c r="AA26" s="550"/>
      <c r="AB26" s="550"/>
      <c r="AC26" s="564"/>
      <c r="AS26" s="567"/>
      <c r="AT26" s="567"/>
      <c r="AU26" s="567"/>
      <c r="AV26" s="567"/>
    </row>
    <row r="27" spans="1:48" ht="6" customHeight="1">
      <c r="A27" s="583"/>
      <c r="B27" s="579"/>
      <c r="C27" s="992"/>
      <c r="D27" s="992"/>
      <c r="E27" s="992"/>
      <c r="F27" s="992"/>
      <c r="G27" s="586"/>
      <c r="H27" s="564"/>
      <c r="I27" s="564"/>
      <c r="J27" s="564"/>
      <c r="K27" s="564"/>
      <c r="L27" s="564"/>
      <c r="M27" s="564"/>
      <c r="N27" s="564"/>
      <c r="O27" s="564"/>
      <c r="P27" s="564"/>
      <c r="Q27" s="564"/>
      <c r="R27" s="2627"/>
      <c r="S27" s="602"/>
      <c r="T27" s="564"/>
      <c r="U27" s="564"/>
      <c r="V27" s="564"/>
      <c r="W27" s="564"/>
      <c r="X27" s="564"/>
      <c r="Y27" s="564"/>
      <c r="Z27" s="564"/>
      <c r="AA27" s="564"/>
      <c r="AB27" s="564"/>
      <c r="AC27" s="564"/>
      <c r="AS27" s="567"/>
      <c r="AT27" s="567"/>
      <c r="AU27" s="567"/>
      <c r="AV27" s="567"/>
    </row>
    <row r="28" spans="1:48" ht="20.100000000000001" customHeight="1">
      <c r="A28" s="583"/>
      <c r="B28" s="3404" t="s">
        <v>71</v>
      </c>
      <c r="C28" s="3404"/>
      <c r="D28" s="3404"/>
      <c r="E28" s="3404"/>
      <c r="F28" s="3404"/>
      <c r="G28" s="3404"/>
      <c r="H28" s="3404"/>
      <c r="I28" s="3404"/>
      <c r="J28" s="3404"/>
      <c r="K28" s="3405"/>
      <c r="L28" s="3402"/>
      <c r="M28" s="3403"/>
      <c r="N28" s="548" t="s">
        <v>22</v>
      </c>
      <c r="O28" s="564"/>
      <c r="P28" s="564"/>
      <c r="Q28" s="564"/>
      <c r="R28" s="2627"/>
      <c r="S28" s="602"/>
      <c r="T28" s="564"/>
      <c r="U28" s="564"/>
      <c r="V28" s="564"/>
      <c r="W28" s="564"/>
      <c r="X28" s="564"/>
      <c r="Y28" s="564"/>
      <c r="Z28" s="564"/>
      <c r="AA28" s="564"/>
      <c r="AB28" s="564"/>
      <c r="AC28" s="564"/>
      <c r="AV28" s="564"/>
    </row>
    <row r="29" spans="1:48" ht="20.100000000000001" customHeight="1">
      <c r="A29" s="583"/>
      <c r="B29" s="585" t="s">
        <v>631</v>
      </c>
      <c r="C29" s="2627" t="s">
        <v>1310</v>
      </c>
      <c r="D29" s="2627"/>
      <c r="E29" s="2627"/>
      <c r="F29" s="2627"/>
      <c r="G29" s="564"/>
      <c r="H29" s="3396"/>
      <c r="I29" s="3397"/>
      <c r="J29" s="548" t="s">
        <v>92</v>
      </c>
      <c r="K29" s="1739" t="s">
        <v>1338</v>
      </c>
      <c r="L29" s="2627"/>
      <c r="M29" s="564"/>
      <c r="N29" s="564"/>
      <c r="O29" s="564"/>
      <c r="P29" s="564"/>
      <c r="Q29" s="564"/>
      <c r="R29" s="2627"/>
      <c r="S29" s="602"/>
    </row>
    <row r="30" spans="1:48" ht="18" customHeight="1">
      <c r="A30" s="583"/>
      <c r="B30" s="585" t="s">
        <v>149</v>
      </c>
      <c r="C30" s="2627" t="s">
        <v>1335</v>
      </c>
      <c r="D30" s="2627"/>
      <c r="E30" s="2627"/>
      <c r="F30" s="2627"/>
      <c r="G30" s="2627"/>
      <c r="H30" s="2627"/>
      <c r="I30" s="2627"/>
      <c r="J30" s="2627"/>
      <c r="K30" s="2627"/>
      <c r="L30" s="2627"/>
      <c r="M30" s="2627"/>
      <c r="N30" s="564"/>
      <c r="O30" s="564"/>
      <c r="P30" s="564"/>
      <c r="Q30" s="564"/>
      <c r="R30" s="2627"/>
      <c r="S30" s="602"/>
    </row>
    <row r="31" spans="1:48" ht="20.100000000000001" customHeight="1">
      <c r="A31" s="583"/>
      <c r="B31" s="585"/>
      <c r="C31" s="564"/>
      <c r="D31" s="3411" t="str">
        <f>IF(ISBLANK(H29),"",H29)</f>
        <v/>
      </c>
      <c r="E31" s="3412"/>
      <c r="F31" s="2627" t="s">
        <v>1334</v>
      </c>
      <c r="G31" s="3399" t="str">
        <f>IF(ISBLANK(H26), "", H26)</f>
        <v/>
      </c>
      <c r="H31" s="3400"/>
      <c r="I31" s="2627" t="s">
        <v>27</v>
      </c>
      <c r="J31" s="564"/>
      <c r="K31" s="3399" t="str">
        <f>IF(ISBLANK(H29),"",D31*G31)</f>
        <v/>
      </c>
      <c r="L31" s="3400"/>
      <c r="M31" s="2627" t="s">
        <v>1292</v>
      </c>
      <c r="N31" s="564"/>
      <c r="O31" s="1739" t="s">
        <v>1311</v>
      </c>
      <c r="P31" s="564"/>
      <c r="Q31" s="564"/>
      <c r="R31" s="564"/>
      <c r="S31" s="602"/>
    </row>
    <row r="32" spans="1:48" ht="18" customHeight="1">
      <c r="A32" s="583"/>
      <c r="B32" s="585" t="s">
        <v>588</v>
      </c>
      <c r="C32" s="2627" t="s">
        <v>1877</v>
      </c>
      <c r="D32" s="2627"/>
      <c r="E32" s="2627"/>
      <c r="F32" s="2627"/>
      <c r="G32" s="2627"/>
      <c r="H32" s="2627"/>
      <c r="I32" s="2627"/>
      <c r="J32" s="2627"/>
      <c r="K32" s="2627"/>
      <c r="L32" s="2627"/>
      <c r="M32" s="2627"/>
      <c r="N32" s="564"/>
      <c r="O32" s="564"/>
      <c r="P32" s="564"/>
      <c r="Q32" s="564"/>
      <c r="R32" s="2627"/>
      <c r="S32" s="602"/>
    </row>
    <row r="33" spans="1:48" ht="20.100000000000001" customHeight="1">
      <c r="A33" s="583"/>
      <c r="B33" s="585"/>
      <c r="C33" s="564"/>
      <c r="D33" s="3411" t="str">
        <f>IF(ISBLANK(H12),"",MAX(L26,L28))</f>
        <v/>
      </c>
      <c r="E33" s="3412"/>
      <c r="F33" s="2627" t="s">
        <v>1332</v>
      </c>
      <c r="G33" s="3399" t="str">
        <f>IF(ISBLANK(H29), "", H29)</f>
        <v/>
      </c>
      <c r="H33" s="3400"/>
      <c r="I33" s="2627" t="s">
        <v>118</v>
      </c>
      <c r="J33" s="3399" t="str">
        <f>IF(ISBLANK(H29),"",D33/G33)</f>
        <v/>
      </c>
      <c r="K33" s="3400"/>
      <c r="L33" s="2627" t="s">
        <v>92</v>
      </c>
      <c r="M33" s="564"/>
      <c r="N33" s="564"/>
      <c r="O33" s="564"/>
      <c r="P33" s="564"/>
      <c r="Q33" s="564"/>
      <c r="R33" s="2627"/>
      <c r="S33" s="602"/>
    </row>
    <row r="34" spans="1:48" s="1019" customFormat="1" ht="6" customHeight="1">
      <c r="A34" s="2560"/>
      <c r="B34" s="566"/>
      <c r="C34" s="567"/>
      <c r="D34" s="606"/>
      <c r="E34" s="606"/>
      <c r="F34" s="548"/>
      <c r="G34" s="557"/>
      <c r="H34" s="557"/>
      <c r="I34" s="548"/>
      <c r="J34" s="557"/>
      <c r="K34" s="557"/>
      <c r="L34" s="548"/>
      <c r="M34" s="567"/>
      <c r="N34" s="567"/>
      <c r="O34" s="567"/>
      <c r="P34" s="567"/>
      <c r="Q34" s="567"/>
      <c r="R34" s="548"/>
      <c r="S34" s="1102"/>
    </row>
    <row r="35" spans="1:48" s="2556" customFormat="1" ht="20.100000000000001" customHeight="1">
      <c r="A35" s="2553"/>
      <c r="B35" s="3404" t="s">
        <v>2112</v>
      </c>
      <c r="C35" s="3404"/>
      <c r="D35" s="3404"/>
      <c r="E35" s="3404"/>
      <c r="F35" s="3404"/>
      <c r="G35" s="3404"/>
      <c r="H35" s="3404"/>
      <c r="I35" s="3404"/>
      <c r="J35" s="3404"/>
      <c r="K35" s="3405"/>
      <c r="L35" s="3407"/>
      <c r="M35" s="3407"/>
      <c r="N35" s="2554" t="s">
        <v>92</v>
      </c>
      <c r="O35" s="2669"/>
      <c r="P35" s="2669"/>
      <c r="Q35" s="2669"/>
      <c r="R35" s="2561"/>
      <c r="S35" s="2671"/>
    </row>
    <row r="36" spans="1:48" ht="6" customHeight="1" thickBot="1">
      <c r="A36" s="582"/>
      <c r="B36" s="600"/>
      <c r="C36" s="599"/>
      <c r="D36" s="599"/>
      <c r="E36" s="599"/>
      <c r="F36" s="599"/>
      <c r="G36" s="599"/>
      <c r="H36" s="599"/>
      <c r="I36" s="599"/>
      <c r="J36" s="599"/>
      <c r="K36" s="599"/>
      <c r="L36" s="599"/>
      <c r="M36" s="559"/>
      <c r="N36" s="559"/>
      <c r="O36" s="560"/>
      <c r="P36" s="559"/>
      <c r="Q36" s="559"/>
      <c r="R36" s="546"/>
      <c r="S36" s="597"/>
      <c r="T36" s="564"/>
      <c r="U36" s="564"/>
      <c r="V36" s="564"/>
      <c r="W36" s="564"/>
      <c r="X36" s="564"/>
      <c r="Y36" s="564"/>
      <c r="Z36" s="564"/>
      <c r="AA36" s="564"/>
      <c r="AB36" s="564"/>
      <c r="AC36" s="564"/>
      <c r="AD36" s="564"/>
      <c r="AS36" s="567"/>
      <c r="AT36" s="567"/>
      <c r="AU36" s="567"/>
      <c r="AV36" s="567"/>
    </row>
    <row r="37" spans="1:48" ht="16.350000000000001" customHeight="1" thickBot="1">
      <c r="A37" s="1007" t="s">
        <v>141</v>
      </c>
      <c r="B37" s="1001"/>
      <c r="C37" s="679" t="s">
        <v>87</v>
      </c>
      <c r="D37" s="679"/>
      <c r="E37" s="679"/>
      <c r="F37" s="679"/>
      <c r="G37" s="679"/>
      <c r="H37" s="679"/>
      <c r="I37" s="679"/>
      <c r="J37" s="679"/>
      <c r="K37" s="679"/>
      <c r="L37" s="679"/>
      <c r="M37" s="679"/>
      <c r="N37" s="679"/>
      <c r="O37" s="679"/>
      <c r="P37" s="679"/>
      <c r="Q37" s="679"/>
      <c r="R37" s="679"/>
      <c r="S37" s="680"/>
      <c r="T37" s="567"/>
      <c r="U37" s="567"/>
      <c r="V37" s="567"/>
      <c r="W37" s="567"/>
      <c r="X37" s="567"/>
      <c r="Y37" s="567"/>
      <c r="Z37" s="567"/>
      <c r="AA37" s="567"/>
      <c r="AB37" s="550"/>
      <c r="AC37" s="564"/>
      <c r="AD37" s="564"/>
      <c r="AS37" s="550"/>
      <c r="AT37" s="550"/>
      <c r="AU37" s="550"/>
      <c r="AV37" s="567"/>
    </row>
    <row r="38" spans="1:48" ht="6" customHeight="1">
      <c r="A38" s="643"/>
      <c r="B38" s="644"/>
      <c r="C38" s="645"/>
      <c r="D38" s="645"/>
      <c r="E38" s="645"/>
      <c r="F38" s="645"/>
      <c r="G38" s="645"/>
      <c r="H38" s="645"/>
      <c r="I38" s="645"/>
      <c r="J38" s="645"/>
      <c r="K38" s="645"/>
      <c r="L38" s="645"/>
      <c r="M38" s="1095"/>
      <c r="N38" s="1095"/>
      <c r="O38" s="1096"/>
      <c r="P38" s="1095"/>
      <c r="Q38" s="1095"/>
      <c r="R38" s="646"/>
      <c r="S38" s="647"/>
      <c r="T38" s="564"/>
      <c r="U38" s="564"/>
      <c r="V38" s="564"/>
      <c r="W38" s="564"/>
      <c r="X38" s="564"/>
      <c r="Y38" s="564"/>
      <c r="Z38" s="564"/>
      <c r="AA38" s="564"/>
      <c r="AB38" s="564"/>
      <c r="AC38" s="564"/>
      <c r="AD38" s="564"/>
      <c r="AS38" s="567"/>
      <c r="AT38" s="567"/>
      <c r="AU38" s="567"/>
      <c r="AV38" s="567"/>
    </row>
    <row r="39" spans="1:48" ht="18" customHeight="1">
      <c r="A39" s="583"/>
      <c r="B39" s="563" t="s">
        <v>147</v>
      </c>
      <c r="C39" s="564" t="s">
        <v>1878</v>
      </c>
      <c r="D39" s="564"/>
      <c r="E39" s="564"/>
      <c r="F39" s="564"/>
      <c r="G39" s="564"/>
      <c r="H39" s="564"/>
      <c r="I39" s="564"/>
      <c r="J39" s="564"/>
      <c r="K39" s="564"/>
      <c r="L39" s="564"/>
      <c r="M39" s="2630"/>
      <c r="N39" s="564"/>
      <c r="O39" s="564"/>
      <c r="P39" s="564"/>
      <c r="Q39" s="564"/>
      <c r="R39" s="2627"/>
      <c r="S39" s="602"/>
      <c r="T39" s="564"/>
      <c r="AD39" s="564"/>
      <c r="AS39" s="567"/>
      <c r="AT39" s="567"/>
      <c r="AU39" s="567"/>
      <c r="AV39" s="567"/>
    </row>
    <row r="40" spans="1:48" ht="20.100000000000001" customHeight="1">
      <c r="A40" s="583"/>
      <c r="B40" s="563"/>
      <c r="C40" s="564"/>
      <c r="D40" s="3394">
        <f>H29</f>
        <v>0</v>
      </c>
      <c r="E40" s="3395"/>
      <c r="F40" s="2627" t="s">
        <v>123</v>
      </c>
      <c r="G40" s="3434">
        <f>H14</f>
        <v>0</v>
      </c>
      <c r="H40" s="3435"/>
      <c r="I40" s="2621" t="s">
        <v>102</v>
      </c>
      <c r="J40" s="3394">
        <f>IF(ISBLANK(D40),"",D40*G40)</f>
        <v>0</v>
      </c>
      <c r="K40" s="3395"/>
      <c r="L40" s="2627" t="s">
        <v>92</v>
      </c>
      <c r="M40" s="564"/>
      <c r="N40" s="567"/>
      <c r="O40" s="564"/>
      <c r="P40" s="564"/>
      <c r="Q40" s="564"/>
      <c r="R40" s="2627"/>
      <c r="S40" s="602"/>
      <c r="T40" s="564"/>
      <c r="U40" s="564"/>
      <c r="V40" s="564"/>
      <c r="W40" s="564"/>
      <c r="X40" s="564"/>
      <c r="Y40" s="564"/>
      <c r="Z40" s="564"/>
      <c r="AA40" s="564"/>
      <c r="AB40" s="564"/>
      <c r="AC40" s="564"/>
      <c r="AD40" s="564"/>
      <c r="AS40" s="567"/>
      <c r="AT40" s="567"/>
      <c r="AU40" s="567"/>
      <c r="AV40" s="567"/>
    </row>
    <row r="41" spans="1:48" ht="6" customHeight="1">
      <c r="A41" s="583"/>
      <c r="B41" s="563"/>
      <c r="C41" s="2630"/>
      <c r="D41" s="2630"/>
      <c r="E41" s="550"/>
      <c r="F41" s="2630"/>
      <c r="G41" s="2630"/>
      <c r="H41" s="550"/>
      <c r="I41" s="2630"/>
      <c r="J41" s="2630"/>
      <c r="K41" s="550"/>
      <c r="L41" s="567"/>
      <c r="M41" s="564"/>
      <c r="N41" s="564"/>
      <c r="O41" s="564"/>
      <c r="P41" s="564"/>
      <c r="Q41" s="564"/>
      <c r="R41" s="2627"/>
      <c r="S41" s="602"/>
      <c r="T41" s="564"/>
      <c r="U41" s="564"/>
      <c r="V41" s="564"/>
      <c r="W41" s="564"/>
      <c r="X41" s="564"/>
      <c r="Y41" s="564"/>
      <c r="Z41" s="564"/>
      <c r="AA41" s="564"/>
      <c r="AB41" s="564"/>
      <c r="AC41" s="564"/>
      <c r="AD41" s="564"/>
      <c r="AS41" s="567"/>
      <c r="AT41" s="567"/>
      <c r="AU41" s="567"/>
      <c r="AV41" s="567"/>
    </row>
    <row r="42" spans="1:48" ht="18" customHeight="1">
      <c r="A42" s="583"/>
      <c r="B42" s="563" t="s">
        <v>631</v>
      </c>
      <c r="C42" s="596" t="s">
        <v>1321</v>
      </c>
      <c r="D42" s="2630"/>
      <c r="E42" s="550"/>
      <c r="F42" s="2630"/>
      <c r="G42" s="2630"/>
      <c r="H42" s="550"/>
      <c r="I42" s="2630"/>
      <c r="J42" s="2630"/>
      <c r="K42" s="550"/>
      <c r="L42" s="567"/>
      <c r="M42" s="564"/>
      <c r="N42" s="564"/>
      <c r="O42" s="564"/>
      <c r="P42" s="564"/>
      <c r="Q42" s="564"/>
      <c r="R42" s="2627"/>
      <c r="S42" s="602"/>
      <c r="T42" s="564"/>
      <c r="U42" s="564"/>
      <c r="V42" s="564"/>
      <c r="W42" s="564"/>
      <c r="X42" s="564"/>
      <c r="Y42" s="564"/>
      <c r="Z42" s="564"/>
      <c r="AA42" s="564"/>
      <c r="AB42" s="564"/>
      <c r="AC42" s="564"/>
      <c r="AD42" s="564"/>
      <c r="AS42" s="567"/>
      <c r="AT42" s="567"/>
      <c r="AU42" s="567"/>
      <c r="AV42" s="567"/>
    </row>
    <row r="43" spans="1:48" ht="18" customHeight="1">
      <c r="A43" s="583"/>
      <c r="B43" s="563"/>
      <c r="C43" s="564" t="s">
        <v>1329</v>
      </c>
      <c r="D43" s="564"/>
      <c r="E43" s="564"/>
      <c r="F43" s="564"/>
      <c r="G43" s="564"/>
      <c r="H43" s="564"/>
      <c r="I43" s="564"/>
      <c r="J43" s="564"/>
      <c r="K43" s="564"/>
      <c r="L43" s="564"/>
      <c r="M43" s="564"/>
      <c r="N43" s="564"/>
      <c r="O43" s="564"/>
      <c r="P43" s="564"/>
      <c r="Q43" s="564"/>
      <c r="R43" s="2627"/>
      <c r="S43" s="602"/>
      <c r="T43" s="564"/>
      <c r="U43" s="564"/>
      <c r="V43" s="564"/>
      <c r="W43" s="564"/>
      <c r="X43" s="564"/>
      <c r="AD43" s="564"/>
      <c r="AS43" s="567"/>
      <c r="AT43" s="567"/>
      <c r="AU43" s="567"/>
      <c r="AV43" s="567"/>
    </row>
    <row r="44" spans="1:48" ht="20.100000000000001" customHeight="1">
      <c r="A44" s="583"/>
      <c r="B44" s="563"/>
      <c r="C44" s="564"/>
      <c r="D44" s="564"/>
      <c r="E44" s="564"/>
      <c r="F44" s="564"/>
      <c r="G44" s="564"/>
      <c r="H44" s="3394">
        <f>IF(ISBLANK(H10),"",J40)</f>
        <v>0</v>
      </c>
      <c r="I44" s="3395"/>
      <c r="J44" s="2627" t="s">
        <v>714</v>
      </c>
      <c r="K44" s="3394">
        <f>H29</f>
        <v>0</v>
      </c>
      <c r="L44" s="3395"/>
      <c r="M44" s="2627" t="s">
        <v>118</v>
      </c>
      <c r="N44" s="3394" t="str">
        <f>IF(ISBLANK(H12),"",(H44-K44))</f>
        <v/>
      </c>
      <c r="O44" s="3395"/>
      <c r="P44" s="2627" t="s">
        <v>92</v>
      </c>
      <c r="Q44" s="564"/>
      <c r="R44" s="2627"/>
      <c r="S44" s="602"/>
      <c r="T44" s="564"/>
      <c r="U44" s="564"/>
      <c r="W44" s="564"/>
      <c r="X44" s="564"/>
      <c r="Y44" s="564"/>
      <c r="Z44" s="564"/>
      <c r="AA44" s="564"/>
      <c r="AD44" s="564"/>
      <c r="AS44" s="567"/>
      <c r="AT44" s="567"/>
      <c r="AU44" s="567"/>
      <c r="AV44" s="567"/>
    </row>
    <row r="45" spans="1:48" ht="6" customHeight="1" thickBot="1">
      <c r="A45" s="582"/>
      <c r="B45" s="561"/>
      <c r="C45" s="559"/>
      <c r="D45" s="559"/>
      <c r="E45" s="560"/>
      <c r="F45" s="559"/>
      <c r="G45" s="559"/>
      <c r="H45" s="560"/>
      <c r="I45" s="559"/>
      <c r="J45" s="559"/>
      <c r="K45" s="560"/>
      <c r="L45" s="1099"/>
      <c r="M45" s="599"/>
      <c r="N45" s="599"/>
      <c r="O45" s="599"/>
      <c r="P45" s="599"/>
      <c r="Q45" s="599"/>
      <c r="R45" s="546"/>
      <c r="S45" s="597"/>
      <c r="T45" s="564"/>
      <c r="U45" s="564"/>
      <c r="W45" s="564"/>
      <c r="X45" s="564"/>
      <c r="Y45" s="564"/>
      <c r="Z45" s="564"/>
      <c r="AA45" s="564"/>
      <c r="AD45" s="564"/>
      <c r="AS45" s="567"/>
      <c r="AT45" s="567"/>
      <c r="AU45" s="567"/>
      <c r="AV45" s="567"/>
    </row>
    <row r="46" spans="1:48" s="837" customFormat="1" ht="18" customHeight="1" thickBot="1">
      <c r="A46" s="833" t="s">
        <v>564</v>
      </c>
      <c r="B46" s="832"/>
      <c r="C46" s="831" t="s">
        <v>2108</v>
      </c>
      <c r="D46" s="830"/>
      <c r="E46" s="830"/>
      <c r="F46" s="830"/>
      <c r="G46" s="830"/>
      <c r="H46" s="830"/>
      <c r="I46" s="2676"/>
      <c r="J46" s="3408" t="s">
        <v>1015</v>
      </c>
      <c r="K46" s="3408"/>
      <c r="L46" s="3408"/>
      <c r="M46" s="3408"/>
      <c r="N46" s="3408"/>
      <c r="O46" s="3401" t="str">
        <f>IF(ISBLANK(Prelim!S5)," ",Prelim!S5)</f>
        <v xml:space="preserve"> </v>
      </c>
      <c r="P46" s="3401"/>
      <c r="Q46" s="3401"/>
      <c r="R46" s="830"/>
      <c r="S46" s="829"/>
      <c r="W46" s="3479"/>
      <c r="X46" s="3479"/>
      <c r="Y46" s="3479"/>
      <c r="Z46" s="3479"/>
      <c r="AA46" s="3479"/>
      <c r="AK46" s="1008"/>
      <c r="AM46" s="1009"/>
      <c r="AN46" s="1010"/>
      <c r="AO46" s="1008"/>
      <c r="AQ46" s="1010"/>
    </row>
    <row r="47" spans="1:48" s="837" customFormat="1" ht="5.0999999999999996" customHeight="1">
      <c r="A47" s="1031"/>
      <c r="B47" s="1032"/>
      <c r="C47" s="1033"/>
      <c r="D47" s="1033"/>
      <c r="E47" s="1033"/>
      <c r="F47" s="1033"/>
      <c r="G47" s="1033"/>
      <c r="H47" s="1033"/>
      <c r="I47" s="1033"/>
      <c r="J47" s="1033"/>
      <c r="K47" s="1033"/>
      <c r="L47" s="1033"/>
      <c r="M47" s="1033"/>
      <c r="N47" s="1033"/>
      <c r="O47" s="1033"/>
      <c r="P47" s="1033"/>
      <c r="Q47" s="1033"/>
      <c r="R47" s="1033"/>
      <c r="S47" s="1034"/>
      <c r="AK47" s="1008"/>
      <c r="AM47" s="1009"/>
      <c r="AN47" s="1010"/>
      <c r="AO47" s="1008"/>
      <c r="AQ47" s="1010"/>
    </row>
    <row r="48" spans="1:48" s="837" customFormat="1" ht="18" customHeight="1">
      <c r="A48" s="818"/>
      <c r="B48" s="815"/>
      <c r="C48" s="2607" t="s">
        <v>1295</v>
      </c>
      <c r="D48" s="813"/>
      <c r="E48" s="813"/>
      <c r="F48" s="813"/>
      <c r="G48" s="3282" t="str">
        <f>IF(Summary!AA63=0,"",IF(Summary!AA63=4,Summary!O67,""))</f>
        <v/>
      </c>
      <c r="H48" s="3283"/>
      <c r="I48" s="3283"/>
      <c r="J48" s="3284"/>
      <c r="K48" s="813"/>
      <c r="L48" s="813" t="s">
        <v>2110</v>
      </c>
      <c r="M48" s="813"/>
      <c r="N48" s="813"/>
      <c r="O48" s="813"/>
      <c r="P48" s="813"/>
      <c r="Q48" s="813"/>
      <c r="R48" s="813"/>
      <c r="S48" s="817"/>
      <c r="AK48" s="1008"/>
      <c r="AM48" s="1009"/>
      <c r="AN48" s="1010"/>
      <c r="AO48" s="1008"/>
      <c r="AQ48" s="1010"/>
    </row>
    <row r="49" spans="1:45" s="837" customFormat="1" ht="18" customHeight="1">
      <c r="A49" s="818"/>
      <c r="B49" s="815" t="s">
        <v>147</v>
      </c>
      <c r="C49" s="3317" t="s">
        <v>1822</v>
      </c>
      <c r="D49" s="3317"/>
      <c r="E49" s="3317"/>
      <c r="F49" s="3317"/>
      <c r="G49" s="3317"/>
      <c r="H49" s="3317"/>
      <c r="I49" s="3317"/>
      <c r="J49" s="3317"/>
      <c r="K49" s="3317"/>
      <c r="L49" s="3317"/>
      <c r="M49" s="3317"/>
      <c r="N49" s="3317"/>
      <c r="O49" s="3317"/>
      <c r="P49" s="3317"/>
      <c r="Q49" s="3317"/>
      <c r="R49" s="3317"/>
      <c r="S49" s="817"/>
      <c r="AK49" s="1008"/>
      <c r="AM49" s="1009"/>
      <c r="AN49" s="1010"/>
      <c r="AO49" s="1008"/>
      <c r="AQ49" s="1010"/>
    </row>
    <row r="50" spans="1:45" s="837" customFormat="1" ht="3.6" customHeight="1">
      <c r="A50" s="818"/>
      <c r="B50" s="815"/>
      <c r="C50" s="813"/>
      <c r="D50" s="813"/>
      <c r="E50" s="813"/>
      <c r="F50" s="813"/>
      <c r="G50" s="813"/>
      <c r="H50" s="813"/>
      <c r="I50" s="813"/>
      <c r="J50" s="813"/>
      <c r="K50" s="813"/>
      <c r="L50" s="813"/>
      <c r="M50" s="813"/>
      <c r="N50" s="813"/>
      <c r="O50" s="813"/>
      <c r="P50" s="813"/>
      <c r="Q50" s="813"/>
      <c r="R50" s="813"/>
      <c r="S50" s="817"/>
      <c r="AK50" s="1008"/>
      <c r="AM50" s="1009"/>
      <c r="AN50" s="1010"/>
      <c r="AO50" s="1008"/>
      <c r="AQ50" s="1010"/>
    </row>
    <row r="51" spans="1:45" s="837" customFormat="1" ht="18" customHeight="1">
      <c r="A51" s="818"/>
      <c r="B51" s="815"/>
      <c r="C51" s="3407"/>
      <c r="D51" s="3407"/>
      <c r="E51" s="1218" t="s">
        <v>94</v>
      </c>
      <c r="F51" s="3475"/>
      <c r="G51" s="3475"/>
      <c r="H51" s="1218"/>
      <c r="I51" s="820"/>
      <c r="J51" s="820"/>
      <c r="K51" s="820"/>
      <c r="L51" s="820"/>
      <c r="M51" s="820"/>
      <c r="N51" s="820"/>
      <c r="O51" s="820"/>
      <c r="P51" s="820"/>
      <c r="Q51" s="820"/>
      <c r="R51" s="820"/>
      <c r="S51" s="817"/>
      <c r="AE51" s="2529"/>
      <c r="AF51" s="2529"/>
      <c r="AG51" s="2529"/>
      <c r="AH51" s="813"/>
      <c r="AN51" s="1010"/>
      <c r="AS51" s="1008"/>
    </row>
    <row r="52" spans="1:45" s="813" customFormat="1" ht="3.6" customHeight="1">
      <c r="A52" s="818"/>
      <c r="B52" s="815"/>
      <c r="M52" s="3285" t="s">
        <v>1801</v>
      </c>
      <c r="N52" s="3285"/>
      <c r="O52" s="3285"/>
      <c r="P52" s="3285"/>
      <c r="Q52" s="3285"/>
      <c r="S52" s="817"/>
    </row>
    <row r="53" spans="1:45" s="837" customFormat="1" ht="5.0999999999999996" customHeight="1">
      <c r="A53" s="818"/>
      <c r="B53" s="815"/>
      <c r="C53" s="813"/>
      <c r="D53" s="813"/>
      <c r="E53" s="813"/>
      <c r="F53" s="813"/>
      <c r="G53" s="813"/>
      <c r="H53" s="813"/>
      <c r="I53" s="813"/>
      <c r="J53" s="813"/>
      <c r="K53" s="813"/>
      <c r="L53" s="813"/>
      <c r="M53" s="3285"/>
      <c r="N53" s="3285"/>
      <c r="O53" s="3285"/>
      <c r="P53" s="3285"/>
      <c r="Q53" s="3285"/>
      <c r="R53" s="813"/>
      <c r="S53" s="817"/>
      <c r="AK53" s="1008"/>
      <c r="AM53" s="1009"/>
      <c r="AN53" s="1010"/>
      <c r="AO53" s="1008"/>
      <c r="AQ53" s="1010"/>
    </row>
    <row r="54" spans="1:45" ht="18" customHeight="1">
      <c r="A54" s="583"/>
      <c r="B54" s="574" t="s">
        <v>631</v>
      </c>
      <c r="C54" s="2627" t="s">
        <v>1970</v>
      </c>
      <c r="D54" s="2627"/>
      <c r="E54" s="2627"/>
      <c r="F54" s="2627"/>
      <c r="G54" s="2627"/>
      <c r="H54" s="3450" t="str">
        <f>IF(G48="rock"," ",IF(Summary!AA63=0,"",IF(Summary!AA63=4,Summary!O69,"")))</f>
        <v/>
      </c>
      <c r="I54" s="3450"/>
      <c r="J54" s="3450"/>
      <c r="K54" s="3450"/>
      <c r="L54" s="2646"/>
      <c r="M54" s="3285"/>
      <c r="N54" s="3285"/>
      <c r="O54" s="3285"/>
      <c r="P54" s="3285"/>
      <c r="Q54" s="3285"/>
      <c r="R54" s="2627"/>
      <c r="S54" s="602"/>
      <c r="T54" s="1011"/>
    </row>
    <row r="55" spans="1:45" ht="6" customHeight="1">
      <c r="A55" s="583"/>
      <c r="B55" s="574"/>
      <c r="C55" s="2627"/>
      <c r="D55" s="2627"/>
      <c r="E55" s="2627"/>
      <c r="F55" s="2627"/>
      <c r="G55" s="2665"/>
      <c r="H55" s="2647"/>
      <c r="I55" s="2647"/>
      <c r="J55" s="2647"/>
      <c r="K55" s="2647"/>
      <c r="L55" s="2646"/>
      <c r="M55" s="3285"/>
      <c r="N55" s="3285"/>
      <c r="O55" s="3285"/>
      <c r="P55" s="3285"/>
      <c r="Q55" s="3285"/>
      <c r="R55" s="2627"/>
      <c r="S55" s="602"/>
      <c r="T55" s="1011"/>
    </row>
    <row r="56" spans="1:45" ht="18" customHeight="1">
      <c r="A56" s="583"/>
      <c r="B56" s="574"/>
      <c r="C56" s="2627"/>
      <c r="D56" s="3437" t="s">
        <v>2111</v>
      </c>
      <c r="E56" s="3437"/>
      <c r="F56" s="3437"/>
      <c r="G56" s="3437"/>
      <c r="H56" s="3407"/>
      <c r="I56" s="3407"/>
      <c r="J56" s="1218" t="s">
        <v>94</v>
      </c>
      <c r="K56" s="2647"/>
      <c r="L56" s="2646"/>
      <c r="M56" s="3285"/>
      <c r="N56" s="3285"/>
      <c r="O56" s="3285"/>
      <c r="P56" s="3285"/>
      <c r="Q56" s="3285"/>
      <c r="R56" s="548"/>
      <c r="S56" s="602"/>
      <c r="T56" s="2552"/>
      <c r="U56" s="564"/>
    </row>
    <row r="57" spans="1:45" ht="18" customHeight="1">
      <c r="A57" s="583"/>
      <c r="B57" s="579"/>
      <c r="C57" s="564" t="s">
        <v>2109</v>
      </c>
      <c r="D57" s="564"/>
      <c r="E57" s="564"/>
      <c r="F57" s="564"/>
      <c r="G57" s="564"/>
      <c r="H57" s="564"/>
      <c r="I57" s="564"/>
      <c r="J57" s="564"/>
      <c r="K57" s="564"/>
      <c r="L57" s="564"/>
      <c r="M57" s="3285"/>
      <c r="N57" s="3285"/>
      <c r="O57" s="3285"/>
      <c r="P57" s="3285"/>
      <c r="Q57" s="3285"/>
      <c r="R57" s="2627"/>
      <c r="S57" s="602"/>
    </row>
    <row r="58" spans="1:45" ht="36" customHeight="1">
      <c r="A58" s="583"/>
      <c r="B58" s="579"/>
      <c r="C58" s="3463"/>
      <c r="D58" s="3463"/>
      <c r="E58" s="3463"/>
      <c r="F58" s="3463"/>
      <c r="G58" s="3463"/>
      <c r="H58" s="3463"/>
      <c r="I58" s="3463"/>
      <c r="J58" s="3463"/>
      <c r="K58" s="3463"/>
      <c r="L58" s="3463"/>
      <c r="M58" s="3463"/>
      <c r="N58" s="3463"/>
      <c r="O58" s="3463"/>
      <c r="P58" s="3463"/>
      <c r="Q58" s="3463"/>
      <c r="R58" s="3463"/>
      <c r="S58" s="602"/>
    </row>
    <row r="59" spans="1:45" ht="6" customHeight="1" thickBot="1">
      <c r="A59" s="582"/>
      <c r="B59" s="600"/>
      <c r="C59" s="559"/>
      <c r="D59" s="559"/>
      <c r="E59" s="560"/>
      <c r="F59" s="559"/>
      <c r="G59" s="559"/>
      <c r="H59" s="599"/>
      <c r="I59" s="599"/>
      <c r="J59" s="599"/>
      <c r="K59" s="599"/>
      <c r="L59" s="599"/>
      <c r="M59" s="599"/>
      <c r="N59" s="599"/>
      <c r="O59" s="599"/>
      <c r="P59" s="599"/>
      <c r="Q59" s="599"/>
      <c r="R59" s="546"/>
      <c r="S59" s="597"/>
    </row>
    <row r="60" spans="1:45" ht="16.350000000000001" customHeight="1" thickBot="1">
      <c r="A60" s="1007" t="s">
        <v>93</v>
      </c>
      <c r="B60" s="1001"/>
      <c r="C60" s="679" t="s">
        <v>713</v>
      </c>
      <c r="D60" s="679"/>
      <c r="E60" s="679"/>
      <c r="F60" s="679"/>
      <c r="G60" s="679"/>
      <c r="H60" s="679"/>
      <c r="I60" s="679"/>
      <c r="J60" s="679"/>
      <c r="K60" s="679"/>
      <c r="L60" s="679"/>
      <c r="M60" s="3429" t="s">
        <v>1016</v>
      </c>
      <c r="N60" s="3429"/>
      <c r="O60" s="3414" t="str">
        <f>IF(ISBLANK(Summary!S3)," ",Summary!S3)</f>
        <v xml:space="preserve"> </v>
      </c>
      <c r="P60" s="3414"/>
      <c r="Q60" s="679"/>
      <c r="R60" s="679"/>
      <c r="S60" s="680"/>
      <c r="T60" s="580"/>
      <c r="U60" s="580"/>
      <c r="V60" s="580"/>
      <c r="W60" s="580"/>
      <c r="X60" s="580"/>
      <c r="Y60" s="580"/>
      <c r="Z60" s="580"/>
      <c r="AA60" s="580"/>
      <c r="AB60" s="580"/>
      <c r="AC60" s="564"/>
      <c r="AD60" s="564"/>
    </row>
    <row r="61" spans="1:45" ht="18" customHeight="1">
      <c r="A61" s="583"/>
      <c r="B61" s="574" t="s">
        <v>147</v>
      </c>
      <c r="C61" s="564" t="s">
        <v>2084</v>
      </c>
      <c r="D61" s="564"/>
      <c r="E61" s="564"/>
      <c r="F61" s="564"/>
      <c r="G61" s="564"/>
      <c r="H61" s="564"/>
      <c r="I61" s="564"/>
      <c r="J61" s="564"/>
      <c r="K61" s="564"/>
      <c r="L61" s="564"/>
      <c r="M61" s="564"/>
      <c r="N61" s="567"/>
      <c r="O61" s="564"/>
      <c r="P61" s="564"/>
      <c r="Q61" s="564"/>
      <c r="R61" s="2627"/>
      <c r="S61" s="602"/>
      <c r="AB61" s="567"/>
      <c r="AC61" s="564"/>
      <c r="AD61" s="564"/>
    </row>
    <row r="62" spans="1:45" ht="20.100000000000001" customHeight="1">
      <c r="A62" s="583"/>
      <c r="B62" s="574"/>
      <c r="C62" s="2522">
        <f>Summary!G82/12</f>
        <v>0</v>
      </c>
      <c r="D62" s="550" t="s">
        <v>714</v>
      </c>
      <c r="E62" s="3394" t="str">
        <f>IF(ISBLANK(H12),"",H8)</f>
        <v/>
      </c>
      <c r="F62" s="3395"/>
      <c r="G62" s="2621" t="s">
        <v>120</v>
      </c>
      <c r="H62" s="3394" t="str">
        <f>IF(ISBLANK(H12),"",MAX(1,C62-E62))</f>
        <v/>
      </c>
      <c r="I62" s="3395"/>
      <c r="J62" s="2627" t="s">
        <v>92</v>
      </c>
      <c r="K62" s="2627" t="s">
        <v>825</v>
      </c>
      <c r="L62" s="564"/>
      <c r="M62" s="564"/>
      <c r="N62" s="564"/>
      <c r="O62" s="564"/>
      <c r="P62" s="3477"/>
      <c r="Q62" s="3478"/>
      <c r="R62" s="1024" t="s">
        <v>92</v>
      </c>
      <c r="S62" s="602"/>
      <c r="AI62" s="550"/>
      <c r="AJ62" s="576"/>
      <c r="AK62" s="576"/>
      <c r="AL62" s="576"/>
      <c r="AM62" s="576"/>
      <c r="AN62" s="576"/>
      <c r="AO62" s="576"/>
      <c r="AP62" s="576"/>
      <c r="AQ62" s="576"/>
    </row>
    <row r="63" spans="1:45" ht="18" customHeight="1">
      <c r="A63" s="583"/>
      <c r="B63" s="574" t="s">
        <v>631</v>
      </c>
      <c r="C63" s="564" t="s">
        <v>2080</v>
      </c>
      <c r="D63" s="564"/>
      <c r="E63" s="564"/>
      <c r="F63" s="564"/>
      <c r="G63" s="564"/>
      <c r="H63" s="564"/>
      <c r="I63" s="564"/>
      <c r="J63" s="564"/>
      <c r="K63" s="564"/>
      <c r="L63" s="564"/>
      <c r="M63" s="564"/>
      <c r="N63" s="564"/>
      <c r="O63" s="564"/>
      <c r="P63" s="564"/>
      <c r="Q63" s="564"/>
      <c r="R63" s="2627"/>
      <c r="S63" s="602"/>
      <c r="AB63" s="564"/>
      <c r="AC63" s="564"/>
      <c r="AD63" s="564"/>
      <c r="AI63" s="550"/>
      <c r="AJ63" s="550"/>
      <c r="AK63" s="550"/>
      <c r="AL63" s="550"/>
      <c r="AM63" s="550"/>
      <c r="AN63" s="550"/>
      <c r="AO63" s="550"/>
      <c r="AP63" s="550"/>
      <c r="AQ63" s="550"/>
    </row>
    <row r="64" spans="1:45" ht="20.100000000000001" customHeight="1">
      <c r="A64" s="583"/>
      <c r="B64" s="574"/>
      <c r="C64" s="3394" t="str">
        <f>IF(ISBLANK(H12),"",(MAX(H62,P62)))</f>
        <v/>
      </c>
      <c r="D64" s="3395"/>
      <c r="E64" s="2621" t="s">
        <v>119</v>
      </c>
      <c r="F64" s="3474">
        <f>IF(ISBLANK(G48)," ",(IF(G48="Rock",(C51/12),(H56/12))))</f>
        <v>0</v>
      </c>
      <c r="G64" s="3474"/>
      <c r="H64" s="550" t="s">
        <v>119</v>
      </c>
      <c r="I64" s="3472"/>
      <c r="J64" s="3473"/>
      <c r="K64" s="550" t="s">
        <v>119</v>
      </c>
      <c r="L64" s="3394" t="str">
        <f>IF(ISBLANK(H12),"",1)</f>
        <v/>
      </c>
      <c r="M64" s="3395"/>
      <c r="N64" s="2621" t="s">
        <v>107</v>
      </c>
      <c r="O64" s="3394" t="str">
        <f>IF(ISBLANK(H12),"",(C64+F64+I64+L64))</f>
        <v/>
      </c>
      <c r="P64" s="3395"/>
      <c r="Q64" s="2627" t="s">
        <v>92</v>
      </c>
      <c r="R64" s="2627"/>
      <c r="S64" s="602"/>
      <c r="U64" s="2559" t="s">
        <v>2114</v>
      </c>
      <c r="AI64" s="550"/>
      <c r="AJ64" s="550"/>
      <c r="AK64" s="550"/>
      <c r="AL64" s="550"/>
      <c r="AM64" s="550"/>
      <c r="AN64" s="550"/>
      <c r="AO64" s="550"/>
      <c r="AP64" s="550"/>
      <c r="AQ64" s="550"/>
    </row>
    <row r="65" spans="1:48" ht="4.3499999999999996" customHeight="1">
      <c r="A65" s="583"/>
      <c r="B65" s="579"/>
      <c r="C65" s="569"/>
      <c r="D65" s="569"/>
      <c r="E65" s="569"/>
      <c r="F65" s="569"/>
      <c r="G65" s="569"/>
      <c r="H65" s="571"/>
      <c r="I65" s="564"/>
      <c r="J65" s="564"/>
      <c r="K65" s="564"/>
      <c r="L65" s="568"/>
      <c r="M65" s="568"/>
      <c r="N65" s="564"/>
      <c r="O65" s="564"/>
      <c r="P65" s="564"/>
      <c r="Q65" s="564"/>
      <c r="R65" s="1025"/>
      <c r="S65" s="602"/>
      <c r="AB65" s="564"/>
      <c r="AC65" s="564"/>
      <c r="AD65" s="564"/>
      <c r="AI65" s="550"/>
      <c r="AJ65" s="542"/>
      <c r="AK65" s="542"/>
      <c r="AL65" s="544"/>
      <c r="AM65" s="544"/>
      <c r="AN65" s="542"/>
      <c r="AO65" s="542"/>
      <c r="AP65" s="544"/>
      <c r="AQ65" s="544"/>
      <c r="AS65" s="567"/>
      <c r="AT65" s="567"/>
      <c r="AU65" s="567"/>
      <c r="AV65" s="567"/>
    </row>
    <row r="66" spans="1:48" ht="20.399999999999999" customHeight="1">
      <c r="A66" s="583"/>
      <c r="B66" s="579"/>
      <c r="C66" s="569"/>
      <c r="D66" s="569"/>
      <c r="E66" s="569"/>
      <c r="F66" s="569"/>
      <c r="G66" s="569"/>
      <c r="H66" s="571"/>
      <c r="I66" s="564"/>
      <c r="J66" s="564"/>
      <c r="K66" s="564"/>
      <c r="L66" s="568"/>
      <c r="M66" s="568"/>
      <c r="N66" s="564"/>
      <c r="O66" s="564"/>
      <c r="P66" s="564"/>
      <c r="Q66" s="564"/>
      <c r="R66" s="1025"/>
      <c r="S66" s="602"/>
      <c r="AB66" s="564"/>
      <c r="AC66" s="564"/>
      <c r="AD66" s="564"/>
      <c r="AI66" s="550"/>
      <c r="AJ66" s="542"/>
      <c r="AK66" s="542"/>
      <c r="AL66" s="544"/>
      <c r="AM66" s="544"/>
      <c r="AN66" s="542"/>
      <c r="AO66" s="542"/>
      <c r="AP66" s="544"/>
      <c r="AQ66" s="544"/>
      <c r="AS66" s="567"/>
      <c r="AT66" s="567"/>
      <c r="AU66" s="567"/>
      <c r="AV66" s="567"/>
    </row>
    <row r="67" spans="1:48" ht="20.399999999999999" customHeight="1">
      <c r="A67" s="583"/>
      <c r="B67" s="579"/>
      <c r="C67" s="569"/>
      <c r="D67" s="569"/>
      <c r="E67" s="569"/>
      <c r="F67" s="569"/>
      <c r="G67" s="569"/>
      <c r="H67" s="571"/>
      <c r="I67" s="564"/>
      <c r="J67" s="564"/>
      <c r="K67" s="564"/>
      <c r="L67" s="568"/>
      <c r="M67" s="568"/>
      <c r="N67" s="564"/>
      <c r="O67" s="564"/>
      <c r="P67" s="564"/>
      <c r="Q67" s="564"/>
      <c r="R67" s="1025"/>
      <c r="S67" s="602"/>
      <c r="AB67" s="564"/>
      <c r="AC67" s="564"/>
      <c r="AD67" s="564"/>
      <c r="AI67" s="550"/>
      <c r="AJ67" s="542"/>
      <c r="AK67" s="542"/>
      <c r="AL67" s="544"/>
      <c r="AM67" s="544"/>
      <c r="AN67" s="542"/>
      <c r="AO67" s="542"/>
      <c r="AP67" s="544"/>
      <c r="AQ67" s="544"/>
      <c r="AS67" s="567"/>
      <c r="AT67" s="567"/>
      <c r="AU67" s="567"/>
      <c r="AV67" s="567"/>
    </row>
    <row r="68" spans="1:48" ht="5.25" customHeight="1">
      <c r="A68" s="583"/>
      <c r="B68" s="574"/>
      <c r="C68" s="564"/>
      <c r="D68" s="564"/>
      <c r="E68" s="564"/>
      <c r="F68" s="564"/>
      <c r="G68" s="564"/>
      <c r="H68" s="564"/>
      <c r="I68" s="564"/>
      <c r="J68" s="564"/>
      <c r="K68" s="564"/>
      <c r="L68" s="564"/>
      <c r="M68" s="564"/>
      <c r="N68" s="564"/>
      <c r="O68" s="564"/>
      <c r="P68" s="564"/>
      <c r="Q68" s="564"/>
      <c r="R68" s="564"/>
      <c r="S68" s="602"/>
      <c r="AB68" s="564"/>
      <c r="AC68" s="564"/>
      <c r="AD68" s="564"/>
      <c r="AI68" s="550"/>
      <c r="AJ68" s="573"/>
      <c r="AK68" s="573"/>
      <c r="AL68" s="572"/>
      <c r="AM68" s="572"/>
      <c r="AN68" s="573"/>
      <c r="AO68" s="573"/>
      <c r="AP68" s="572"/>
      <c r="AQ68" s="572"/>
    </row>
    <row r="69" spans="1:48" ht="19.5" customHeight="1">
      <c r="A69" s="583"/>
      <c r="B69" s="563" t="s">
        <v>149</v>
      </c>
      <c r="C69" s="571" t="s">
        <v>1324</v>
      </c>
      <c r="D69" s="1021"/>
      <c r="E69" s="1021"/>
      <c r="F69" s="1021"/>
      <c r="G69" s="1021"/>
      <c r="H69" s="564"/>
      <c r="I69" s="564"/>
      <c r="J69" s="564"/>
      <c r="K69" s="564"/>
      <c r="L69" s="3466"/>
      <c r="M69" s="3467"/>
      <c r="N69" s="568"/>
      <c r="O69" s="564"/>
      <c r="P69" s="564"/>
      <c r="Q69" s="564"/>
      <c r="R69" s="2627"/>
      <c r="S69" s="602"/>
      <c r="AB69" s="564"/>
      <c r="AC69" s="564"/>
      <c r="AD69" s="564"/>
      <c r="AI69" s="550"/>
      <c r="AJ69" s="542"/>
      <c r="AK69" s="542"/>
      <c r="AL69" s="544"/>
      <c r="AM69" s="544"/>
      <c r="AN69" s="542"/>
      <c r="AO69" s="542"/>
      <c r="AP69" s="544"/>
      <c r="AQ69" s="544"/>
    </row>
    <row r="70" spans="1:48" s="567" customFormat="1" ht="18" customHeight="1">
      <c r="A70" s="583"/>
      <c r="B70" s="563" t="s">
        <v>588</v>
      </c>
      <c r="C70" s="564" t="s">
        <v>1885</v>
      </c>
      <c r="D70" s="564"/>
      <c r="E70" s="564"/>
      <c r="F70" s="564"/>
      <c r="G70" s="564"/>
      <c r="H70" s="564"/>
      <c r="I70" s="564"/>
      <c r="J70" s="564"/>
      <c r="K70" s="564"/>
      <c r="L70" s="564"/>
      <c r="M70" s="564"/>
      <c r="N70" s="564"/>
      <c r="O70" s="564"/>
      <c r="P70" s="564"/>
      <c r="Q70" s="564"/>
      <c r="R70" s="2627"/>
      <c r="S70" s="1102"/>
      <c r="AB70" s="564"/>
      <c r="AI70" s="550"/>
      <c r="AJ70" s="542"/>
      <c r="AK70" s="542"/>
      <c r="AL70" s="544"/>
      <c r="AM70" s="544"/>
      <c r="AN70" s="542"/>
      <c r="AO70" s="542"/>
      <c r="AP70" s="544"/>
      <c r="AQ70" s="544"/>
    </row>
    <row r="71" spans="1:48" ht="20.100000000000001" customHeight="1">
      <c r="A71" s="583"/>
      <c r="B71" s="563"/>
      <c r="C71" s="564"/>
      <c r="D71" s="564"/>
      <c r="E71" s="564"/>
      <c r="F71" s="564"/>
      <c r="G71" s="564"/>
      <c r="H71" s="3464">
        <f>L69</f>
        <v>0</v>
      </c>
      <c r="I71" s="3465"/>
      <c r="J71" s="2621" t="s">
        <v>123</v>
      </c>
      <c r="K71" s="3394" t="str">
        <f>O64</f>
        <v/>
      </c>
      <c r="L71" s="3395"/>
      <c r="M71" s="2621" t="s">
        <v>120</v>
      </c>
      <c r="N71" s="3394" t="str">
        <f>IF(ISBLANK(H12),"",H71*K71)</f>
        <v/>
      </c>
      <c r="O71" s="3395"/>
      <c r="P71" s="2627" t="s">
        <v>92</v>
      </c>
      <c r="Q71" s="564"/>
      <c r="R71" s="2627"/>
      <c r="S71" s="602"/>
      <c r="AB71" s="564"/>
      <c r="AC71" s="564"/>
      <c r="AD71" s="564"/>
      <c r="AI71" s="550"/>
      <c r="AJ71" s="542"/>
      <c r="AK71" s="542"/>
      <c r="AL71" s="544"/>
      <c r="AM71" s="544"/>
      <c r="AN71" s="542"/>
      <c r="AO71" s="542"/>
      <c r="AP71" s="544"/>
      <c r="AQ71" s="544"/>
      <c r="AS71" s="567"/>
      <c r="AT71" s="567"/>
      <c r="AU71" s="567"/>
      <c r="AV71" s="567"/>
    </row>
    <row r="72" spans="1:48" ht="18" customHeight="1">
      <c r="A72" s="583"/>
      <c r="B72" s="563" t="s">
        <v>589</v>
      </c>
      <c r="C72" s="567" t="s">
        <v>1330</v>
      </c>
      <c r="D72" s="567"/>
      <c r="E72" s="567"/>
      <c r="F72" s="567"/>
      <c r="G72" s="565"/>
      <c r="H72" s="570"/>
      <c r="I72" s="550"/>
      <c r="J72" s="2630"/>
      <c r="K72" s="2616"/>
      <c r="L72" s="567"/>
      <c r="M72" s="2630"/>
      <c r="N72" s="2630"/>
      <c r="O72" s="564"/>
      <c r="P72" s="564"/>
      <c r="Q72" s="564"/>
      <c r="R72" s="2627"/>
      <c r="S72" s="602"/>
      <c r="AB72" s="564"/>
      <c r="AC72" s="564"/>
      <c r="AD72" s="564"/>
      <c r="AI72" s="550"/>
      <c r="AJ72" s="542"/>
      <c r="AK72" s="542"/>
      <c r="AL72" s="544"/>
      <c r="AM72" s="544"/>
      <c r="AN72" s="542"/>
      <c r="AO72" s="542"/>
      <c r="AP72" s="544"/>
      <c r="AQ72" s="544"/>
    </row>
    <row r="73" spans="1:48" ht="20.100000000000001" customHeight="1">
      <c r="A73" s="583"/>
      <c r="B73" s="563"/>
      <c r="C73" s="564"/>
      <c r="D73" s="564"/>
      <c r="E73" s="564"/>
      <c r="F73" s="564"/>
      <c r="G73" s="564"/>
      <c r="H73" s="3394">
        <f>H29</f>
        <v>0</v>
      </c>
      <c r="I73" s="3395"/>
      <c r="J73" s="2621" t="s">
        <v>122</v>
      </c>
      <c r="K73" s="3399" t="str">
        <f>IF(ISBLANK(H10),"",H10)</f>
        <v/>
      </c>
      <c r="L73" s="3400"/>
      <c r="M73" s="3470" t="s">
        <v>28</v>
      </c>
      <c r="N73" s="3471"/>
      <c r="O73" s="3432" t="str">
        <f>IF(ISBLANK(H12),"",(H73*K73)/100)</f>
        <v/>
      </c>
      <c r="P73" s="3433"/>
      <c r="Q73" s="2627" t="s">
        <v>92</v>
      </c>
      <c r="R73" s="2627"/>
      <c r="S73" s="602"/>
      <c r="AB73" s="564"/>
      <c r="AC73" s="564"/>
      <c r="AD73" s="564"/>
      <c r="AI73" s="550"/>
      <c r="AJ73" s="542"/>
      <c r="AK73" s="542"/>
      <c r="AL73" s="544"/>
      <c r="AM73" s="544"/>
      <c r="AN73" s="542"/>
      <c r="AO73" s="542"/>
      <c r="AP73" s="544"/>
      <c r="AQ73" s="544"/>
    </row>
    <row r="74" spans="1:48" ht="18" customHeight="1">
      <c r="A74" s="583"/>
      <c r="B74" s="563" t="s">
        <v>641</v>
      </c>
      <c r="C74" s="567" t="s">
        <v>1886</v>
      </c>
      <c r="D74" s="567"/>
      <c r="E74" s="567"/>
      <c r="F74" s="567"/>
      <c r="G74" s="565"/>
      <c r="H74" s="570"/>
      <c r="I74" s="550"/>
      <c r="J74" s="2630"/>
      <c r="K74" s="2616"/>
      <c r="L74" s="567"/>
      <c r="M74" s="564"/>
      <c r="N74" s="564"/>
      <c r="O74" s="564"/>
      <c r="P74" s="564"/>
      <c r="Q74" s="564"/>
      <c r="R74" s="2627"/>
      <c r="S74" s="602"/>
      <c r="AB74" s="564"/>
      <c r="AC74" s="564"/>
      <c r="AD74" s="564"/>
      <c r="AI74" s="550"/>
      <c r="AJ74" s="542"/>
      <c r="AK74" s="542"/>
      <c r="AL74" s="544"/>
      <c r="AM74" s="544"/>
      <c r="AN74" s="542"/>
      <c r="AO74" s="542"/>
      <c r="AP74" s="544"/>
      <c r="AQ74" s="544"/>
    </row>
    <row r="75" spans="1:48" ht="20.100000000000001" customHeight="1">
      <c r="A75" s="583"/>
      <c r="B75" s="563"/>
      <c r="C75" s="564"/>
      <c r="D75" s="564"/>
      <c r="E75" s="564"/>
      <c r="F75" s="564"/>
      <c r="G75" s="564"/>
      <c r="H75" s="3394" t="str">
        <f>O64</f>
        <v/>
      </c>
      <c r="I75" s="3395"/>
      <c r="J75" s="2621" t="s">
        <v>119</v>
      </c>
      <c r="K75" s="3432" t="str">
        <f>O73</f>
        <v/>
      </c>
      <c r="L75" s="3433"/>
      <c r="M75" s="2621" t="s">
        <v>120</v>
      </c>
      <c r="N75" s="3394" t="str">
        <f>IF(ISBLANK(H12),"",H75+K75)</f>
        <v/>
      </c>
      <c r="O75" s="3395"/>
      <c r="P75" s="2627" t="s">
        <v>92</v>
      </c>
      <c r="Q75" s="567"/>
      <c r="R75" s="2627"/>
      <c r="S75" s="602"/>
      <c r="AB75" s="564"/>
      <c r="AC75" s="564"/>
      <c r="AD75" s="564"/>
      <c r="AI75" s="550"/>
      <c r="AJ75" s="542"/>
      <c r="AK75" s="542"/>
      <c r="AL75" s="544"/>
      <c r="AM75" s="544"/>
      <c r="AN75" s="542"/>
      <c r="AO75" s="542"/>
      <c r="AP75" s="544"/>
      <c r="AQ75" s="544"/>
    </row>
    <row r="76" spans="1:48" ht="4.3499999999999996" customHeight="1">
      <c r="A76" s="583"/>
      <c r="B76" s="563"/>
      <c r="C76" s="2630"/>
      <c r="D76" s="2630"/>
      <c r="E76" s="550"/>
      <c r="F76" s="2630"/>
      <c r="G76" s="2630"/>
      <c r="H76" s="564"/>
      <c r="I76" s="564"/>
      <c r="J76" s="564"/>
      <c r="K76" s="564"/>
      <c r="L76" s="564"/>
      <c r="M76" s="564"/>
      <c r="N76" s="564"/>
      <c r="O76" s="564"/>
      <c r="P76" s="564"/>
      <c r="Q76" s="564"/>
      <c r="R76" s="2627"/>
      <c r="S76" s="602"/>
      <c r="AB76" s="564"/>
      <c r="AC76" s="564"/>
      <c r="AD76" s="564"/>
      <c r="AI76" s="550"/>
      <c r="AJ76" s="542"/>
      <c r="AK76" s="542"/>
      <c r="AL76" s="544"/>
      <c r="AM76" s="544"/>
      <c r="AN76" s="542"/>
      <c r="AO76" s="542"/>
      <c r="AP76" s="544"/>
      <c r="AQ76" s="544"/>
    </row>
    <row r="77" spans="1:48" ht="20.25" customHeight="1">
      <c r="A77" s="583"/>
      <c r="B77" s="564"/>
      <c r="C77" s="564"/>
      <c r="D77" s="564"/>
      <c r="E77" s="564"/>
      <c r="F77" s="564"/>
      <c r="G77" s="564"/>
      <c r="H77" s="564"/>
      <c r="I77" s="564"/>
      <c r="J77" s="564"/>
      <c r="K77" s="564"/>
      <c r="L77" s="564"/>
      <c r="M77" s="564"/>
      <c r="N77" s="564"/>
      <c r="O77" s="564"/>
      <c r="P77" s="564"/>
      <c r="Q77" s="567"/>
      <c r="R77" s="2627"/>
      <c r="S77" s="602"/>
      <c r="AB77" s="564"/>
      <c r="AC77" s="564"/>
      <c r="AD77" s="564"/>
      <c r="AI77" s="550"/>
      <c r="AJ77" s="542"/>
      <c r="AK77" s="542"/>
      <c r="AL77" s="544"/>
      <c r="AM77" s="544"/>
      <c r="AN77" s="542"/>
      <c r="AO77" s="542"/>
      <c r="AP77" s="544"/>
      <c r="AQ77" s="544"/>
    </row>
    <row r="78" spans="1:48" ht="20.25" customHeight="1">
      <c r="A78" s="583"/>
      <c r="B78" s="564"/>
      <c r="C78" s="564"/>
      <c r="D78" s="564"/>
      <c r="E78" s="564"/>
      <c r="F78" s="564"/>
      <c r="G78" s="564"/>
      <c r="H78" s="564"/>
      <c r="I78" s="564"/>
      <c r="J78" s="564"/>
      <c r="K78" s="564"/>
      <c r="L78" s="564"/>
      <c r="M78" s="564"/>
      <c r="N78" s="564"/>
      <c r="O78" s="564"/>
      <c r="P78" s="564"/>
      <c r="Q78" s="567"/>
      <c r="R78" s="2627"/>
      <c r="S78" s="602"/>
      <c r="AB78" s="564"/>
      <c r="AC78" s="564"/>
      <c r="AD78" s="564"/>
      <c r="AI78" s="550"/>
      <c r="AJ78" s="542"/>
      <c r="AK78" s="542"/>
      <c r="AL78" s="544"/>
      <c r="AM78" s="544"/>
      <c r="AN78" s="542"/>
      <c r="AO78" s="542"/>
      <c r="AP78" s="544"/>
      <c r="AQ78" s="544"/>
    </row>
    <row r="79" spans="1:48" ht="4.3499999999999996" customHeight="1">
      <c r="A79" s="583"/>
      <c r="B79" s="564"/>
      <c r="C79" s="564"/>
      <c r="D79" s="564"/>
      <c r="E79" s="564"/>
      <c r="F79" s="564"/>
      <c r="G79" s="564"/>
      <c r="H79" s="564"/>
      <c r="I79" s="564"/>
      <c r="J79" s="564"/>
      <c r="K79" s="564"/>
      <c r="L79" s="564"/>
      <c r="M79" s="564"/>
      <c r="N79" s="564"/>
      <c r="O79" s="564"/>
      <c r="P79" s="564"/>
      <c r="Q79" s="567"/>
      <c r="R79" s="2627"/>
      <c r="S79" s="602"/>
      <c r="AB79" s="564"/>
      <c r="AC79" s="564"/>
      <c r="AD79" s="564"/>
      <c r="AI79" s="550"/>
      <c r="AJ79" s="542"/>
      <c r="AK79" s="542"/>
      <c r="AL79" s="544"/>
      <c r="AM79" s="544"/>
      <c r="AN79" s="542"/>
      <c r="AO79" s="542"/>
      <c r="AP79" s="544"/>
      <c r="AQ79" s="544"/>
    </row>
    <row r="80" spans="1:48" ht="20.100000000000001" customHeight="1">
      <c r="A80" s="583"/>
      <c r="B80" s="563" t="s">
        <v>642</v>
      </c>
      <c r="C80" s="1022" t="s">
        <v>1325</v>
      </c>
      <c r="D80" s="1022"/>
      <c r="E80" s="1022"/>
      <c r="F80" s="1022"/>
      <c r="G80" s="1022"/>
      <c r="H80" s="564"/>
      <c r="I80" s="564"/>
      <c r="J80" s="564"/>
      <c r="K80" s="568"/>
      <c r="L80" s="3466"/>
      <c r="M80" s="3467"/>
      <c r="N80" s="568"/>
      <c r="O80" s="564"/>
      <c r="P80" s="564"/>
      <c r="Q80" s="567"/>
      <c r="R80" s="2627"/>
      <c r="S80" s="602"/>
      <c r="AB80" s="564"/>
      <c r="AC80" s="564"/>
      <c r="AD80" s="564"/>
      <c r="AI80" s="550"/>
      <c r="AJ80" s="542"/>
      <c r="AK80" s="542"/>
      <c r="AL80" s="544"/>
      <c r="AM80" s="544"/>
      <c r="AN80" s="542"/>
      <c r="AO80" s="542"/>
      <c r="AP80" s="544"/>
      <c r="AQ80" s="544"/>
    </row>
    <row r="81" spans="1:43" ht="18" customHeight="1">
      <c r="A81" s="583"/>
      <c r="B81" s="563" t="s">
        <v>643</v>
      </c>
      <c r="C81" s="564" t="s">
        <v>1887</v>
      </c>
      <c r="D81" s="564"/>
      <c r="E81" s="564"/>
      <c r="F81" s="564"/>
      <c r="G81" s="564"/>
      <c r="H81" s="564"/>
      <c r="I81" s="564"/>
      <c r="J81" s="564"/>
      <c r="K81" s="564"/>
      <c r="L81" s="564"/>
      <c r="M81" s="564"/>
      <c r="N81" s="564"/>
      <c r="O81" s="564"/>
      <c r="P81" s="564"/>
      <c r="Q81" s="567"/>
      <c r="R81" s="2627"/>
      <c r="S81" s="602"/>
      <c r="AB81" s="564"/>
      <c r="AC81" s="564"/>
      <c r="AD81" s="564"/>
      <c r="AI81" s="550"/>
      <c r="AJ81" s="542"/>
      <c r="AK81" s="542"/>
      <c r="AL81" s="544"/>
      <c r="AM81" s="544"/>
      <c r="AN81" s="542"/>
      <c r="AO81" s="542"/>
      <c r="AP81" s="544"/>
      <c r="AQ81" s="544"/>
    </row>
    <row r="82" spans="1:43" ht="20.100000000000001" customHeight="1">
      <c r="A82" s="583"/>
      <c r="B82" s="563"/>
      <c r="C82" s="565"/>
      <c r="D82" s="565"/>
      <c r="E82" s="550"/>
      <c r="F82" s="2630"/>
      <c r="G82" s="2630"/>
      <c r="H82" s="3464">
        <f>L80</f>
        <v>0</v>
      </c>
      <c r="I82" s="3465"/>
      <c r="J82" s="2621" t="s">
        <v>707</v>
      </c>
      <c r="K82" s="3394" t="str">
        <f>N75</f>
        <v/>
      </c>
      <c r="L82" s="3395"/>
      <c r="M82" s="2621" t="s">
        <v>120</v>
      </c>
      <c r="N82" s="3394" t="str">
        <f>IF(ISBLANK(H12),"",H82*K82)</f>
        <v/>
      </c>
      <c r="O82" s="3395"/>
      <c r="P82" s="2627" t="s">
        <v>92</v>
      </c>
      <c r="Q82" s="567"/>
      <c r="R82" s="2627"/>
      <c r="S82" s="602"/>
      <c r="AB82" s="564"/>
      <c r="AC82" s="564"/>
      <c r="AD82" s="564"/>
      <c r="AI82" s="550"/>
      <c r="AJ82" s="542"/>
      <c r="AK82" s="542"/>
      <c r="AL82" s="544"/>
      <c r="AM82" s="544"/>
      <c r="AN82" s="542"/>
      <c r="AO82" s="542"/>
      <c r="AP82" s="544"/>
      <c r="AQ82" s="544"/>
    </row>
    <row r="83" spans="1:43" ht="18" customHeight="1">
      <c r="A83" s="583"/>
      <c r="B83" s="563" t="s">
        <v>644</v>
      </c>
      <c r="C83" s="548" t="s">
        <v>1326</v>
      </c>
      <c r="D83" s="548"/>
      <c r="E83" s="548"/>
      <c r="F83" s="548"/>
      <c r="G83" s="548"/>
      <c r="H83" s="548"/>
      <c r="I83" s="564"/>
      <c r="J83" s="564"/>
      <c r="K83" s="564"/>
      <c r="L83" s="564"/>
      <c r="M83" s="564"/>
      <c r="N83" s="564"/>
      <c r="O83" s="564"/>
      <c r="P83" s="567"/>
      <c r="Q83" s="567"/>
      <c r="R83" s="2627"/>
      <c r="S83" s="602"/>
      <c r="AB83" s="564"/>
      <c r="AC83" s="564"/>
      <c r="AD83" s="564"/>
      <c r="AI83" s="550"/>
      <c r="AJ83" s="542"/>
      <c r="AK83" s="542"/>
      <c r="AL83" s="544"/>
      <c r="AM83" s="544"/>
      <c r="AN83" s="542"/>
      <c r="AO83" s="542"/>
      <c r="AP83" s="544"/>
      <c r="AQ83" s="544"/>
    </row>
    <row r="84" spans="1:43" ht="20.100000000000001" customHeight="1">
      <c r="A84" s="583"/>
      <c r="B84" s="563"/>
      <c r="C84" s="548"/>
      <c r="D84" s="548"/>
      <c r="E84" s="548"/>
      <c r="F84" s="548"/>
      <c r="G84" s="548"/>
      <c r="H84" s="3394" t="str">
        <f>N44</f>
        <v/>
      </c>
      <c r="I84" s="3398"/>
      <c r="J84" s="2621" t="s">
        <v>119</v>
      </c>
      <c r="K84" s="3468" t="str">
        <f>IF(ISBLANK(H12),"",4)</f>
        <v/>
      </c>
      <c r="L84" s="3398"/>
      <c r="M84" s="2621" t="s">
        <v>120</v>
      </c>
      <c r="N84" s="3394" t="str">
        <f>IF(ISBLANK(H12),"",H84+K84)</f>
        <v/>
      </c>
      <c r="O84" s="3395"/>
      <c r="P84" s="2627" t="s">
        <v>92</v>
      </c>
      <c r="Q84" s="567"/>
      <c r="R84" s="2627"/>
      <c r="S84" s="602"/>
      <c r="AB84" s="564"/>
      <c r="AC84" s="564"/>
      <c r="AD84" s="564"/>
      <c r="AI84" s="550"/>
      <c r="AJ84" s="542"/>
      <c r="AK84" s="542"/>
      <c r="AL84" s="544"/>
      <c r="AM84" s="544"/>
      <c r="AN84" s="542"/>
      <c r="AO84" s="542"/>
      <c r="AP84" s="544"/>
      <c r="AQ84" s="544"/>
    </row>
    <row r="85" spans="1:43" ht="4.3499999999999996" customHeight="1">
      <c r="A85" s="583"/>
      <c r="B85" s="563"/>
      <c r="C85" s="548"/>
      <c r="D85" s="548"/>
      <c r="E85" s="548"/>
      <c r="F85" s="548"/>
      <c r="G85" s="548"/>
      <c r="H85" s="548"/>
      <c r="I85" s="2630"/>
      <c r="J85" s="2621"/>
      <c r="K85" s="2621"/>
      <c r="L85" s="564"/>
      <c r="M85" s="2621"/>
      <c r="N85" s="2630"/>
      <c r="O85" s="567"/>
      <c r="P85" s="567"/>
      <c r="Q85" s="567"/>
      <c r="R85" s="2627"/>
      <c r="S85" s="602"/>
      <c r="AB85" s="564"/>
      <c r="AC85" s="564"/>
      <c r="AD85" s="564"/>
      <c r="AI85" s="550"/>
      <c r="AJ85" s="542"/>
      <c r="AK85" s="542"/>
      <c r="AL85" s="544"/>
      <c r="AM85" s="544"/>
      <c r="AN85" s="542"/>
      <c r="AO85" s="542"/>
      <c r="AP85" s="544"/>
      <c r="AQ85" s="544"/>
    </row>
    <row r="86" spans="1:43" ht="20.100000000000001" customHeight="1">
      <c r="A86" s="583"/>
      <c r="B86" s="566" t="s">
        <v>710</v>
      </c>
      <c r="C86" s="548" t="s">
        <v>1322</v>
      </c>
      <c r="D86" s="548"/>
      <c r="E86" s="548"/>
      <c r="F86" s="548"/>
      <c r="G86" s="548"/>
      <c r="H86" s="548"/>
      <c r="I86" s="548"/>
      <c r="J86" s="564"/>
      <c r="K86" s="3394">
        <f>MAX(N82,N84)</f>
        <v>0</v>
      </c>
      <c r="L86" s="3395"/>
      <c r="M86" s="2627" t="s">
        <v>92</v>
      </c>
      <c r="N86" s="564"/>
      <c r="O86" s="564"/>
      <c r="P86" s="564"/>
      <c r="Q86" s="567"/>
      <c r="R86" s="2627"/>
      <c r="S86" s="602"/>
      <c r="AB86" s="564"/>
      <c r="AC86" s="564"/>
      <c r="AD86" s="564"/>
      <c r="AI86" s="550"/>
      <c r="AJ86" s="542"/>
      <c r="AK86" s="542"/>
      <c r="AL86" s="544"/>
      <c r="AM86" s="544"/>
      <c r="AN86" s="542"/>
      <c r="AO86" s="542"/>
      <c r="AP86" s="544"/>
      <c r="AQ86" s="544"/>
    </row>
    <row r="87" spans="1:43" ht="4.3499999999999996" customHeight="1">
      <c r="A87" s="583"/>
      <c r="B87" s="566"/>
      <c r="C87" s="548"/>
      <c r="D87" s="548"/>
      <c r="E87" s="548"/>
      <c r="F87" s="548"/>
      <c r="G87" s="548"/>
      <c r="H87" s="548"/>
      <c r="I87" s="548"/>
      <c r="J87" s="2630"/>
      <c r="K87" s="2630"/>
      <c r="L87" s="2621"/>
      <c r="M87" s="564"/>
      <c r="N87" s="564"/>
      <c r="O87" s="564"/>
      <c r="P87" s="564"/>
      <c r="Q87" s="564"/>
      <c r="R87" s="2627"/>
      <c r="S87" s="602"/>
      <c r="T87" s="564"/>
      <c r="U87" s="564"/>
      <c r="V87" s="564"/>
      <c r="W87" s="564"/>
      <c r="X87" s="564"/>
      <c r="Y87" s="564"/>
      <c r="Z87" s="564"/>
      <c r="AA87" s="564"/>
      <c r="AB87" s="564"/>
      <c r="AC87" s="564"/>
      <c r="AD87" s="564"/>
      <c r="AI87" s="550"/>
      <c r="AJ87" s="542"/>
      <c r="AK87" s="542"/>
      <c r="AL87" s="544"/>
      <c r="AM87" s="544"/>
      <c r="AN87" s="542"/>
      <c r="AO87" s="542"/>
      <c r="AP87" s="544"/>
      <c r="AQ87" s="544"/>
    </row>
    <row r="88" spans="1:43" ht="20.100000000000001" customHeight="1">
      <c r="A88" s="583"/>
      <c r="B88" s="566" t="s">
        <v>711</v>
      </c>
      <c r="C88" s="548" t="s">
        <v>1323</v>
      </c>
      <c r="D88" s="548"/>
      <c r="E88" s="548"/>
      <c r="F88" s="548"/>
      <c r="G88" s="548"/>
      <c r="H88" s="564"/>
      <c r="I88" s="564"/>
      <c r="J88" s="564"/>
      <c r="K88" s="564"/>
      <c r="L88" s="3466"/>
      <c r="M88" s="3467"/>
      <c r="N88" s="564"/>
      <c r="O88" s="1740" t="s">
        <v>75</v>
      </c>
      <c r="P88" s="564"/>
      <c r="Q88" s="564"/>
      <c r="R88" s="2627"/>
      <c r="S88" s="602"/>
      <c r="T88" s="564"/>
      <c r="U88" s="564"/>
      <c r="V88" s="564"/>
      <c r="W88" s="564"/>
      <c r="X88" s="564"/>
      <c r="Y88" s="564"/>
      <c r="Z88" s="564"/>
      <c r="AA88" s="564"/>
      <c r="AB88" s="564"/>
      <c r="AC88" s="564"/>
      <c r="AD88" s="564"/>
    </row>
    <row r="89" spans="1:43" ht="18" customHeight="1">
      <c r="A89" s="583"/>
      <c r="B89" s="566" t="s">
        <v>712</v>
      </c>
      <c r="C89" s="548" t="s">
        <v>1331</v>
      </c>
      <c r="D89" s="548"/>
      <c r="E89" s="548"/>
      <c r="F89" s="548"/>
      <c r="G89" s="548"/>
      <c r="H89" s="548"/>
      <c r="I89" s="2630"/>
      <c r="J89" s="2630"/>
      <c r="K89" s="2621"/>
      <c r="L89" s="564"/>
      <c r="M89" s="564"/>
      <c r="N89" s="564"/>
      <c r="O89" s="564"/>
      <c r="P89" s="564"/>
      <c r="Q89" s="564"/>
      <c r="R89" s="2627"/>
      <c r="S89" s="602"/>
      <c r="T89" s="564"/>
      <c r="U89" s="564"/>
      <c r="V89" s="564"/>
      <c r="W89" s="564"/>
      <c r="X89" s="564"/>
      <c r="Y89" s="564"/>
      <c r="Z89" s="564"/>
      <c r="AA89" s="564"/>
      <c r="AB89" s="564"/>
      <c r="AC89" s="564"/>
      <c r="AD89" s="564"/>
    </row>
    <row r="90" spans="1:43" ht="20.100000000000001" customHeight="1">
      <c r="A90" s="583"/>
      <c r="B90" s="566"/>
      <c r="C90" s="564"/>
      <c r="D90" s="564"/>
      <c r="E90" s="564"/>
      <c r="F90" s="564"/>
      <c r="G90" s="564"/>
      <c r="H90" s="3464">
        <f>L88</f>
        <v>0</v>
      </c>
      <c r="I90" s="3465"/>
      <c r="J90" s="2621" t="s">
        <v>659</v>
      </c>
      <c r="K90" s="3394" t="str">
        <f>N75</f>
        <v/>
      </c>
      <c r="L90" s="3395"/>
      <c r="M90" s="2621" t="s">
        <v>120</v>
      </c>
      <c r="N90" s="3394" t="str">
        <f>IF(ISBLANK(L88),"",H90*K90)</f>
        <v/>
      </c>
      <c r="O90" s="3395"/>
      <c r="P90" s="2627" t="s">
        <v>92</v>
      </c>
      <c r="Q90" s="564"/>
      <c r="R90" s="2627"/>
      <c r="S90" s="602"/>
      <c r="T90" s="564"/>
      <c r="U90" s="564"/>
      <c r="V90" s="564"/>
      <c r="W90" s="564"/>
      <c r="X90" s="564"/>
      <c r="Y90" s="564"/>
      <c r="Z90" s="564"/>
      <c r="AA90" s="564"/>
      <c r="AB90" s="564"/>
      <c r="AC90" s="564"/>
      <c r="AD90" s="564"/>
    </row>
    <row r="91" spans="1:43" ht="18" customHeight="1">
      <c r="A91" s="583"/>
      <c r="B91" s="563" t="s">
        <v>7</v>
      </c>
      <c r="C91" s="564" t="s">
        <v>1327</v>
      </c>
      <c r="D91" s="564"/>
      <c r="E91" s="564"/>
      <c r="F91" s="564"/>
      <c r="G91" s="564"/>
      <c r="H91" s="564"/>
      <c r="I91" s="564"/>
      <c r="J91" s="564"/>
      <c r="K91" s="564"/>
      <c r="L91" s="564"/>
      <c r="M91" s="564"/>
      <c r="N91" s="564"/>
      <c r="O91" s="564"/>
      <c r="P91" s="564"/>
      <c r="Q91" s="564"/>
      <c r="R91" s="2627"/>
      <c r="S91" s="602"/>
      <c r="T91" s="564"/>
      <c r="U91" s="564"/>
      <c r="V91" s="564"/>
      <c r="W91" s="564"/>
      <c r="X91" s="564"/>
      <c r="Y91" s="564"/>
      <c r="Z91" s="564"/>
      <c r="AA91" s="564"/>
      <c r="AB91" s="564"/>
      <c r="AC91" s="564"/>
      <c r="AD91" s="564"/>
    </row>
    <row r="92" spans="1:43" ht="20.100000000000001" customHeight="1">
      <c r="A92" s="583"/>
      <c r="B92" s="563"/>
      <c r="C92" s="564"/>
      <c r="D92" s="564"/>
      <c r="E92" s="564"/>
      <c r="F92" s="564"/>
      <c r="G92" s="3394" t="str">
        <f>N71</f>
        <v/>
      </c>
      <c r="H92" s="3395"/>
      <c r="I92" s="2621" t="s">
        <v>119</v>
      </c>
      <c r="J92" s="3394">
        <f>H29</f>
        <v>0</v>
      </c>
      <c r="K92" s="3395"/>
      <c r="L92" s="2621" t="s">
        <v>715</v>
      </c>
      <c r="M92" s="3394">
        <f>K86</f>
        <v>0</v>
      </c>
      <c r="N92" s="3395"/>
      <c r="O92" s="2621" t="s">
        <v>120</v>
      </c>
      <c r="P92" s="3394" t="str">
        <f>IF(ISBLANK(H12),"",G92+J92+M92)</f>
        <v/>
      </c>
      <c r="Q92" s="3395"/>
      <c r="R92" s="2627" t="s">
        <v>92</v>
      </c>
      <c r="S92" s="602"/>
      <c r="T92" s="564"/>
      <c r="U92" s="564"/>
      <c r="V92" s="564"/>
      <c r="W92" s="564"/>
      <c r="X92" s="564"/>
      <c r="Y92" s="564"/>
      <c r="Z92" s="564"/>
      <c r="AA92" s="564"/>
      <c r="AB92" s="564"/>
      <c r="AC92" s="564"/>
      <c r="AD92" s="564"/>
    </row>
    <row r="93" spans="1:43" ht="18" customHeight="1">
      <c r="A93" s="583"/>
      <c r="B93" s="563" t="s">
        <v>8</v>
      </c>
      <c r="C93" s="564" t="s">
        <v>1328</v>
      </c>
      <c r="D93" s="564"/>
      <c r="E93" s="564"/>
      <c r="F93" s="564"/>
      <c r="G93" s="564"/>
      <c r="H93" s="564"/>
      <c r="I93" s="564"/>
      <c r="J93" s="564"/>
      <c r="K93" s="564"/>
      <c r="L93" s="564"/>
      <c r="M93" s="564"/>
      <c r="N93" s="564"/>
      <c r="O93" s="564"/>
      <c r="P93" s="564"/>
      <c r="Q93" s="564"/>
      <c r="R93" s="2627"/>
      <c r="S93" s="602"/>
      <c r="T93" s="564"/>
      <c r="U93" s="564"/>
      <c r="V93" s="564"/>
      <c r="W93" s="564"/>
      <c r="X93" s="564"/>
      <c r="Y93" s="564"/>
      <c r="Z93" s="564"/>
      <c r="AA93" s="564"/>
      <c r="AB93" s="564"/>
      <c r="AC93" s="564"/>
      <c r="AD93" s="564"/>
    </row>
    <row r="94" spans="1:43" ht="20.100000000000001" customHeight="1">
      <c r="A94" s="583"/>
      <c r="B94" s="563"/>
      <c r="C94" s="564"/>
      <c r="D94" s="564"/>
      <c r="E94" s="564"/>
      <c r="F94" s="564"/>
      <c r="G94" s="3394" t="str">
        <f>N90</f>
        <v/>
      </c>
      <c r="H94" s="3395"/>
      <c r="I94" s="2621" t="s">
        <v>119</v>
      </c>
      <c r="J94" s="3394">
        <f>MAX(J33,L35)</f>
        <v>0</v>
      </c>
      <c r="K94" s="3395"/>
      <c r="L94" s="2621" t="s">
        <v>119</v>
      </c>
      <c r="M94" s="3394" t="str">
        <f>N90</f>
        <v/>
      </c>
      <c r="N94" s="3395"/>
      <c r="O94" s="2621" t="s">
        <v>120</v>
      </c>
      <c r="P94" s="3394" t="str">
        <f>IF(ISBLANK(L88),"",G94+J94+M94)</f>
        <v/>
      </c>
      <c r="Q94" s="3395"/>
      <c r="R94" s="2627" t="s">
        <v>92</v>
      </c>
      <c r="S94" s="602"/>
      <c r="T94" s="564"/>
    </row>
    <row r="95" spans="1:43" ht="6" customHeight="1" thickBot="1">
      <c r="A95" s="1026"/>
      <c r="B95" s="561"/>
      <c r="C95" s="559"/>
      <c r="D95" s="559"/>
      <c r="E95" s="560"/>
      <c r="F95" s="559"/>
      <c r="G95" s="599"/>
      <c r="H95" s="599"/>
      <c r="I95" s="599"/>
      <c r="J95" s="599"/>
      <c r="K95" s="599"/>
      <c r="L95" s="599"/>
      <c r="M95" s="599"/>
      <c r="N95" s="599"/>
      <c r="O95" s="599"/>
      <c r="P95" s="599"/>
      <c r="Q95" s="599"/>
      <c r="R95" s="546"/>
      <c r="S95" s="597"/>
      <c r="T95" s="564"/>
      <c r="U95" s="564"/>
      <c r="V95" s="564"/>
      <c r="W95" s="564"/>
      <c r="X95" s="564"/>
      <c r="Y95" s="564"/>
      <c r="Z95" s="564"/>
      <c r="AA95" s="564"/>
      <c r="AB95" s="564"/>
      <c r="AC95" s="564"/>
      <c r="AD95" s="564"/>
    </row>
    <row r="96" spans="1:43" ht="16.350000000000001" customHeight="1" thickBot="1">
      <c r="A96" s="681" t="s">
        <v>95</v>
      </c>
      <c r="B96" s="1001"/>
      <c r="C96" s="679" t="s">
        <v>2113</v>
      </c>
      <c r="D96" s="679"/>
      <c r="E96" s="1005"/>
      <c r="F96" s="679"/>
      <c r="G96" s="679"/>
      <c r="H96" s="679"/>
      <c r="I96" s="3408" t="s">
        <v>1015</v>
      </c>
      <c r="J96" s="3408"/>
      <c r="K96" s="3408"/>
      <c r="L96" s="3408"/>
      <c r="M96" s="3408"/>
      <c r="N96" s="2604"/>
      <c r="O96" s="3401" t="str">
        <f>IF(ISBLANK(Prelim!S5)," ",Prelim!S5)</f>
        <v xml:space="preserve"> </v>
      </c>
      <c r="P96" s="3401"/>
      <c r="Q96" s="3401"/>
      <c r="R96" s="679"/>
      <c r="S96" s="680"/>
    </row>
    <row r="97" spans="1:43" s="1019" customFormat="1" ht="16.350000000000001" customHeight="1">
      <c r="A97" s="1089"/>
      <c r="B97" s="2195"/>
      <c r="C97" s="581"/>
      <c r="D97" s="581"/>
      <c r="E97" s="2191"/>
      <c r="F97" s="581"/>
      <c r="G97" s="581"/>
      <c r="H97" s="581"/>
      <c r="I97" s="2192"/>
      <c r="J97" s="2192"/>
      <c r="K97" s="2192"/>
      <c r="L97" s="2192"/>
      <c r="M97" s="2192"/>
      <c r="N97" s="2193"/>
      <c r="O97" s="2194"/>
      <c r="P97" s="2194"/>
      <c r="Q97" s="2194"/>
      <c r="R97" s="581"/>
      <c r="S97" s="1090"/>
    </row>
    <row r="98" spans="1:43" ht="15" customHeight="1">
      <c r="A98" s="583"/>
      <c r="B98" s="564"/>
      <c r="C98" s="564"/>
      <c r="D98" s="564"/>
      <c r="E98" s="564"/>
      <c r="F98" s="564"/>
      <c r="G98" s="564"/>
      <c r="H98" s="564"/>
      <c r="I98" s="564"/>
      <c r="J98" s="564"/>
      <c r="K98" s="564"/>
      <c r="L98" s="564"/>
      <c r="M98" s="564"/>
      <c r="N98" s="564"/>
      <c r="O98" s="564"/>
      <c r="P98" s="564"/>
      <c r="Q98" s="564"/>
      <c r="R98" s="2627"/>
      <c r="S98" s="602"/>
      <c r="Y98" s="2196"/>
    </row>
    <row r="99" spans="1:43" ht="15" customHeight="1">
      <c r="A99" s="583"/>
      <c r="B99" s="564"/>
      <c r="C99" s="564"/>
      <c r="D99" s="564"/>
      <c r="E99" s="564"/>
      <c r="F99" s="564"/>
      <c r="G99" s="564"/>
      <c r="H99" s="564"/>
      <c r="I99" s="564"/>
      <c r="J99" s="564"/>
      <c r="K99" s="564"/>
      <c r="L99" s="564"/>
      <c r="M99" s="564"/>
      <c r="N99" s="564"/>
      <c r="O99" s="564"/>
      <c r="P99" s="564"/>
      <c r="Q99" s="564"/>
      <c r="R99" s="2627"/>
      <c r="S99" s="602"/>
      <c r="AN99" s="557"/>
      <c r="AO99" s="1014"/>
      <c r="AP99" s="1015"/>
    </row>
    <row r="100" spans="1:43" ht="15" customHeight="1">
      <c r="A100" s="583"/>
      <c r="B100" s="564"/>
      <c r="C100" s="564"/>
      <c r="D100" s="564"/>
      <c r="E100" s="564"/>
      <c r="F100" s="564"/>
      <c r="G100" s="564"/>
      <c r="H100" s="564"/>
      <c r="I100" s="564"/>
      <c r="J100" s="564"/>
      <c r="K100" s="564"/>
      <c r="L100" s="564"/>
      <c r="M100" s="564"/>
      <c r="N100" s="564"/>
      <c r="O100" s="564"/>
      <c r="P100" s="564"/>
      <c r="Q100" s="564"/>
      <c r="R100" s="2627"/>
      <c r="S100" s="602"/>
      <c r="U100" s="564"/>
      <c r="V100" s="564"/>
      <c r="W100" s="564"/>
      <c r="X100" s="562"/>
      <c r="Y100" s="562"/>
      <c r="Z100" s="562"/>
      <c r="AA100" s="562"/>
      <c r="AB100" s="562"/>
      <c r="AC100" s="564"/>
      <c r="AK100" s="557"/>
      <c r="AL100" s="1014"/>
      <c r="AM100" s="1015"/>
    </row>
    <row r="101" spans="1:43" ht="15" customHeight="1">
      <c r="A101" s="603"/>
      <c r="B101" s="564"/>
      <c r="C101" s="564"/>
      <c r="D101" s="564"/>
      <c r="E101" s="564"/>
      <c r="F101" s="564"/>
      <c r="G101" s="564"/>
      <c r="H101" s="564"/>
      <c r="I101" s="564"/>
      <c r="J101" s="564"/>
      <c r="K101" s="564"/>
      <c r="L101" s="564"/>
      <c r="M101" s="564"/>
      <c r="N101" s="564"/>
      <c r="O101" s="564"/>
      <c r="P101" s="564"/>
      <c r="Q101" s="564"/>
      <c r="R101" s="2627"/>
      <c r="S101" s="602"/>
      <c r="AA101" s="999"/>
      <c r="AH101" s="557"/>
      <c r="AJ101" s="1015"/>
    </row>
    <row r="102" spans="1:43" ht="15" customHeight="1">
      <c r="A102" s="603"/>
      <c r="B102" s="564"/>
      <c r="C102" s="564"/>
      <c r="D102" s="564"/>
      <c r="E102" s="564"/>
      <c r="F102" s="564"/>
      <c r="G102" s="564"/>
      <c r="H102" s="2190"/>
      <c r="I102" s="564"/>
      <c r="J102" s="564"/>
      <c r="K102" s="564"/>
      <c r="L102" s="564"/>
      <c r="M102" s="564"/>
      <c r="N102" s="564"/>
      <c r="O102" s="564"/>
      <c r="P102" s="564"/>
      <c r="Q102" s="564"/>
      <c r="R102" s="2627"/>
      <c r="S102" s="602"/>
      <c r="AA102" s="999"/>
      <c r="AH102" s="557"/>
      <c r="AJ102" s="1015"/>
    </row>
    <row r="103" spans="1:43" ht="15" customHeight="1">
      <c r="A103" s="603"/>
      <c r="B103" s="564"/>
      <c r="C103" s="564"/>
      <c r="D103" s="564"/>
      <c r="E103" s="564"/>
      <c r="F103" s="564"/>
      <c r="G103" s="564"/>
      <c r="H103" s="564"/>
      <c r="I103" s="564"/>
      <c r="J103" s="564"/>
      <c r="K103" s="564"/>
      <c r="L103" s="564"/>
      <c r="M103" s="564"/>
      <c r="N103" s="564"/>
      <c r="O103" s="564"/>
      <c r="P103" s="564"/>
      <c r="Q103" s="564"/>
      <c r="R103" s="2627"/>
      <c r="S103" s="602"/>
      <c r="V103" s="3476"/>
      <c r="AH103" s="999"/>
      <c r="AO103" s="557"/>
      <c r="AQ103" s="1015"/>
    </row>
    <row r="104" spans="1:43" ht="15" customHeight="1">
      <c r="A104" s="603"/>
      <c r="B104" s="579"/>
      <c r="C104" s="564"/>
      <c r="D104" s="564"/>
      <c r="E104" s="564"/>
      <c r="F104" s="564"/>
      <c r="G104" s="564"/>
      <c r="H104" s="564"/>
      <c r="I104" s="564"/>
      <c r="J104" s="564"/>
      <c r="K104" s="564"/>
      <c r="L104" s="564"/>
      <c r="M104" s="564"/>
      <c r="N104" s="564"/>
      <c r="O104" s="564"/>
      <c r="P104" s="564"/>
      <c r="Q104" s="564"/>
      <c r="R104" s="2627"/>
      <c r="S104" s="602"/>
      <c r="V104" s="3476"/>
      <c r="AE104" s="999"/>
      <c r="AF104" s="1016"/>
      <c r="AL104" s="557"/>
      <c r="AN104" s="1015"/>
    </row>
    <row r="105" spans="1:43" ht="15" customHeight="1">
      <c r="A105" s="603"/>
      <c r="B105" s="579"/>
      <c r="C105" s="564"/>
      <c r="D105" s="2190"/>
      <c r="E105" s="564"/>
      <c r="F105" s="564"/>
      <c r="G105" s="564"/>
      <c r="H105" s="564"/>
      <c r="I105" s="2190"/>
      <c r="J105" s="564"/>
      <c r="K105" s="564"/>
      <c r="L105" s="564"/>
      <c r="M105" s="564"/>
      <c r="N105" s="564"/>
      <c r="O105" s="564"/>
      <c r="P105" s="2190"/>
      <c r="Q105" s="564"/>
      <c r="R105" s="2627"/>
      <c r="S105" s="602"/>
      <c r="V105" s="3476"/>
      <c r="AN105" s="1015"/>
    </row>
    <row r="106" spans="1:43" ht="15" customHeight="1">
      <c r="A106" s="603"/>
      <c r="B106" s="579"/>
      <c r="C106" s="564"/>
      <c r="D106" s="564"/>
      <c r="E106" s="564"/>
      <c r="F106" s="564"/>
      <c r="G106" s="564"/>
      <c r="H106" s="564"/>
      <c r="I106" s="564"/>
      <c r="J106" s="564"/>
      <c r="K106" s="564"/>
      <c r="L106" s="564"/>
      <c r="M106" s="564"/>
      <c r="N106" s="564"/>
      <c r="O106" s="564"/>
      <c r="P106" s="564"/>
      <c r="Q106" s="564"/>
      <c r="R106" s="2627"/>
      <c r="S106" s="602"/>
      <c r="V106" s="3476"/>
      <c r="AN106" s="1015"/>
    </row>
    <row r="107" spans="1:43" ht="15" customHeight="1">
      <c r="A107" s="603"/>
      <c r="B107" s="579"/>
      <c r="C107" s="564"/>
      <c r="D107" s="564"/>
      <c r="E107" s="564"/>
      <c r="F107" s="564"/>
      <c r="G107" s="564"/>
      <c r="H107" s="564"/>
      <c r="I107" s="564"/>
      <c r="J107" s="584" t="str">
        <f>IF(ISBLANK(H29)," ",(J92*J94))</f>
        <v xml:space="preserve"> </v>
      </c>
      <c r="K107" s="564"/>
      <c r="L107" s="564"/>
      <c r="M107" s="564"/>
      <c r="N107" s="564"/>
      <c r="O107" s="564"/>
      <c r="P107" s="564"/>
      <c r="Q107" s="564"/>
      <c r="R107" s="2627"/>
      <c r="S107" s="602"/>
      <c r="V107" s="3476"/>
      <c r="AN107" s="1015"/>
    </row>
    <row r="108" spans="1:43" ht="15" customHeight="1">
      <c r="A108" s="603"/>
      <c r="B108" s="579"/>
      <c r="C108" s="564"/>
      <c r="D108" s="564"/>
      <c r="E108" s="564"/>
      <c r="F108" s="564"/>
      <c r="G108" s="564"/>
      <c r="H108" s="564"/>
      <c r="I108" s="564"/>
      <c r="J108" s="564"/>
      <c r="K108" s="564"/>
      <c r="L108" s="564"/>
      <c r="M108" s="564"/>
      <c r="N108" s="564"/>
      <c r="O108" s="564"/>
      <c r="P108" s="564"/>
      <c r="Q108" s="564"/>
      <c r="R108" s="2627"/>
      <c r="S108" s="602"/>
      <c r="V108" s="3476"/>
      <c r="AN108" s="1015"/>
    </row>
    <row r="109" spans="1:43" ht="15" customHeight="1">
      <c r="A109" s="603"/>
      <c r="B109" s="579"/>
      <c r="C109" s="564"/>
      <c r="D109" s="564"/>
      <c r="E109" s="564"/>
      <c r="F109" s="564"/>
      <c r="G109" s="564"/>
      <c r="H109" s="564"/>
      <c r="I109" s="564"/>
      <c r="J109" s="564"/>
      <c r="K109" s="564"/>
      <c r="L109" s="564"/>
      <c r="M109" s="564"/>
      <c r="N109" s="564"/>
      <c r="O109" s="564"/>
      <c r="P109" s="564"/>
      <c r="Q109" s="564"/>
      <c r="R109" s="2627"/>
      <c r="S109" s="602"/>
      <c r="V109" s="3476"/>
      <c r="AN109" s="1015"/>
    </row>
    <row r="110" spans="1:43" ht="15" customHeight="1">
      <c r="A110" s="603"/>
      <c r="B110" s="579"/>
      <c r="C110" s="564"/>
      <c r="D110" s="564"/>
      <c r="E110" s="564"/>
      <c r="F110" s="564"/>
      <c r="G110" s="564"/>
      <c r="H110" s="564"/>
      <c r="I110" s="564"/>
      <c r="J110" s="564"/>
      <c r="K110" s="564"/>
      <c r="L110" s="564"/>
      <c r="M110" s="564"/>
      <c r="N110" s="564"/>
      <c r="O110" s="564"/>
      <c r="P110" s="564"/>
      <c r="Q110" s="564"/>
      <c r="R110" s="2627"/>
      <c r="S110" s="602"/>
      <c r="V110" s="3476"/>
      <c r="AN110" s="1015"/>
    </row>
    <row r="111" spans="1:43" ht="15" customHeight="1">
      <c r="A111" s="603"/>
      <c r="B111" s="579"/>
      <c r="C111" s="564"/>
      <c r="D111" s="564"/>
      <c r="E111" s="564"/>
      <c r="F111" s="564"/>
      <c r="G111" s="564"/>
      <c r="H111" s="564"/>
      <c r="I111" s="564"/>
      <c r="J111" s="564"/>
      <c r="K111" s="564"/>
      <c r="L111" s="564"/>
      <c r="M111" s="564"/>
      <c r="N111" s="564"/>
      <c r="O111" s="564"/>
      <c r="P111" s="564"/>
      <c r="Q111" s="564"/>
      <c r="R111" s="2627"/>
      <c r="S111" s="602"/>
      <c r="V111" s="3476"/>
    </row>
    <row r="112" spans="1:43" ht="15" customHeight="1">
      <c r="A112" s="603"/>
      <c r="B112" s="579"/>
      <c r="C112" s="564"/>
      <c r="D112" s="564"/>
      <c r="E112" s="564"/>
      <c r="F112" s="564"/>
      <c r="G112" s="564"/>
      <c r="H112" s="2190"/>
      <c r="I112" s="564"/>
      <c r="J112" s="564"/>
      <c r="K112" s="564"/>
      <c r="L112" s="564"/>
      <c r="M112" s="564"/>
      <c r="N112" s="564"/>
      <c r="O112" s="564"/>
      <c r="P112" s="564"/>
      <c r="Q112" s="564"/>
      <c r="R112" s="2627"/>
      <c r="S112" s="602"/>
      <c r="V112" s="3476"/>
    </row>
    <row r="113" spans="1:28" ht="15" customHeight="1">
      <c r="A113" s="603"/>
      <c r="B113" s="579"/>
      <c r="C113" s="564"/>
      <c r="D113" s="564"/>
      <c r="E113" s="564"/>
      <c r="F113" s="564"/>
      <c r="G113" s="564"/>
      <c r="H113" s="564"/>
      <c r="I113" s="564"/>
      <c r="J113" s="564"/>
      <c r="K113" s="564"/>
      <c r="L113" s="564"/>
      <c r="M113" s="564"/>
      <c r="N113" s="564"/>
      <c r="O113" s="564"/>
      <c r="P113" s="564"/>
      <c r="Q113" s="564"/>
      <c r="R113" s="2627"/>
      <c r="S113" s="602"/>
    </row>
    <row r="114" spans="1:28" ht="15" customHeight="1">
      <c r="A114" s="603"/>
      <c r="B114" s="579"/>
      <c r="C114" s="564"/>
      <c r="D114" s="564"/>
      <c r="E114" s="564"/>
      <c r="F114" s="564"/>
      <c r="G114" s="564"/>
      <c r="H114" s="564"/>
      <c r="I114" s="564"/>
      <c r="J114" s="564"/>
      <c r="K114" s="564"/>
      <c r="L114" s="564"/>
      <c r="M114" s="564"/>
      <c r="N114" s="564"/>
      <c r="O114" s="564"/>
      <c r="P114" s="564"/>
      <c r="Q114" s="564"/>
      <c r="R114" s="2627"/>
      <c r="S114" s="602"/>
    </row>
    <row r="115" spans="1:28" ht="15" customHeight="1">
      <c r="A115" s="603"/>
      <c r="B115" s="579"/>
      <c r="C115" s="564"/>
      <c r="D115" s="564"/>
      <c r="E115" s="564"/>
      <c r="F115" s="564"/>
      <c r="G115" s="564"/>
      <c r="H115" s="564"/>
      <c r="I115" s="564"/>
      <c r="J115" s="564"/>
      <c r="K115" s="564"/>
      <c r="L115" s="564"/>
      <c r="M115" s="564"/>
      <c r="N115" s="564"/>
      <c r="O115" s="564"/>
      <c r="P115" s="564"/>
      <c r="Q115" s="564"/>
      <c r="R115" s="2627"/>
      <c r="S115" s="602"/>
    </row>
    <row r="116" spans="1:28" ht="15" customHeight="1">
      <c r="A116" s="603"/>
      <c r="B116" s="579"/>
      <c r="C116" s="564"/>
      <c r="D116" s="564"/>
      <c r="E116" s="564"/>
      <c r="F116" s="564"/>
      <c r="G116" s="564"/>
      <c r="H116" s="564"/>
      <c r="I116" s="564"/>
      <c r="J116" s="564"/>
      <c r="K116" s="564"/>
      <c r="L116" s="564"/>
      <c r="M116" s="564"/>
      <c r="N116" s="564"/>
      <c r="O116" s="564"/>
      <c r="P116" s="564"/>
      <c r="Q116" s="564"/>
      <c r="R116" s="2627"/>
      <c r="S116" s="602"/>
    </row>
    <row r="117" spans="1:28" ht="15" customHeight="1">
      <c r="A117" s="603"/>
      <c r="B117" s="579"/>
      <c r="C117" s="564"/>
      <c r="D117" s="564"/>
      <c r="E117" s="564"/>
      <c r="F117" s="564"/>
      <c r="G117" s="564"/>
      <c r="H117" s="2190"/>
      <c r="I117" s="564"/>
      <c r="J117" s="564"/>
      <c r="K117" s="564"/>
      <c r="L117" s="564"/>
      <c r="M117" s="564"/>
      <c r="N117" s="564"/>
      <c r="O117" s="564"/>
      <c r="P117" s="564"/>
      <c r="Q117" s="564"/>
      <c r="R117" s="2627"/>
      <c r="S117" s="602"/>
      <c r="X117" s="564"/>
      <c r="Y117" s="564"/>
      <c r="Z117" s="564"/>
      <c r="AA117" s="564"/>
    </row>
    <row r="118" spans="1:28" ht="15" customHeight="1">
      <c r="A118" s="603"/>
      <c r="B118" s="579"/>
      <c r="C118" s="564"/>
      <c r="D118" s="564"/>
      <c r="E118" s="564"/>
      <c r="F118" s="564"/>
      <c r="G118" s="564"/>
      <c r="H118" s="564"/>
      <c r="I118" s="564"/>
      <c r="J118" s="564"/>
      <c r="K118" s="564"/>
      <c r="L118" s="564"/>
      <c r="M118" s="564"/>
      <c r="N118" s="564"/>
      <c r="O118" s="564"/>
      <c r="P118" s="564"/>
      <c r="Q118" s="564"/>
      <c r="R118" s="2627"/>
      <c r="S118" s="602"/>
      <c r="X118" s="564"/>
      <c r="Y118" s="3469"/>
      <c r="Z118" s="3469"/>
      <c r="AA118" s="564"/>
      <c r="AB118" s="2565"/>
    </row>
    <row r="119" spans="1:28" ht="15" customHeight="1">
      <c r="A119" s="603"/>
      <c r="B119" s="579"/>
      <c r="C119" s="564"/>
      <c r="D119" s="564"/>
      <c r="E119" s="564"/>
      <c r="F119" s="564"/>
      <c r="G119" s="564"/>
      <c r="H119" s="564"/>
      <c r="I119" s="564"/>
      <c r="J119" s="564"/>
      <c r="K119" s="564"/>
      <c r="L119" s="564"/>
      <c r="M119" s="564"/>
      <c r="N119" s="564"/>
      <c r="O119" s="564"/>
      <c r="P119" s="564"/>
      <c r="Q119" s="564"/>
      <c r="R119" s="2627"/>
      <c r="S119" s="602"/>
      <c r="X119" s="564"/>
      <c r="Y119" s="564"/>
      <c r="Z119" s="564"/>
      <c r="AA119" s="564"/>
    </row>
    <row r="120" spans="1:28" ht="15" customHeight="1">
      <c r="A120" s="603"/>
      <c r="B120" s="579"/>
      <c r="C120" s="564"/>
      <c r="D120" s="564"/>
      <c r="E120" s="564"/>
      <c r="F120" s="564"/>
      <c r="G120" s="564"/>
      <c r="H120" s="564"/>
      <c r="I120" s="564"/>
      <c r="J120" s="564"/>
      <c r="K120" s="564"/>
      <c r="L120" s="564"/>
      <c r="M120" s="564"/>
      <c r="N120" s="564"/>
      <c r="O120" s="564"/>
      <c r="P120" s="564"/>
      <c r="Q120" s="564"/>
      <c r="R120" s="2627"/>
      <c r="S120" s="602"/>
    </row>
    <row r="121" spans="1:28" ht="15" customHeight="1">
      <c r="A121" s="603"/>
      <c r="B121" s="579"/>
      <c r="C121" s="564"/>
      <c r="D121" s="564"/>
      <c r="E121" s="564"/>
      <c r="F121" s="564"/>
      <c r="G121" s="564"/>
      <c r="H121" s="564"/>
      <c r="I121" s="564"/>
      <c r="J121" s="564"/>
      <c r="K121" s="564"/>
      <c r="L121" s="564"/>
      <c r="M121" s="564"/>
      <c r="N121" s="564"/>
      <c r="O121" s="564"/>
      <c r="P121" s="564"/>
      <c r="Q121" s="564"/>
      <c r="R121" s="2627"/>
      <c r="S121" s="602"/>
    </row>
    <row r="122" spans="1:28" ht="15" customHeight="1">
      <c r="A122" s="603"/>
      <c r="B122" s="564"/>
      <c r="C122" s="564"/>
      <c r="D122" s="564"/>
      <c r="E122" s="564"/>
      <c r="F122" s="564"/>
      <c r="G122" s="564"/>
      <c r="H122" s="564"/>
      <c r="I122" s="564"/>
      <c r="J122" s="564"/>
      <c r="K122" s="564"/>
      <c r="L122" s="564"/>
      <c r="M122" s="564"/>
      <c r="N122" s="564"/>
      <c r="O122" s="564"/>
      <c r="P122" s="564"/>
      <c r="Q122" s="564"/>
      <c r="R122" s="2627"/>
      <c r="S122" s="602"/>
    </row>
    <row r="123" spans="1:28" ht="15" customHeight="1">
      <c r="A123" s="603"/>
      <c r="B123" s="564"/>
      <c r="C123" s="564"/>
      <c r="D123" s="564"/>
      <c r="E123" s="564"/>
      <c r="F123" s="564"/>
      <c r="G123" s="564"/>
      <c r="H123" s="564"/>
      <c r="I123" s="564"/>
      <c r="J123" s="564"/>
      <c r="K123" s="564"/>
      <c r="L123" s="564"/>
      <c r="M123" s="564"/>
      <c r="N123" s="564"/>
      <c r="O123" s="564"/>
      <c r="P123" s="564"/>
      <c r="Q123" s="564"/>
      <c r="R123" s="2627"/>
      <c r="S123" s="602"/>
    </row>
    <row r="124" spans="1:28" ht="15" customHeight="1">
      <c r="A124" s="603"/>
      <c r="B124" s="564"/>
      <c r="C124" s="564"/>
      <c r="D124" s="564"/>
      <c r="E124" s="564"/>
      <c r="F124" s="564"/>
      <c r="G124" s="564"/>
      <c r="H124" s="564"/>
      <c r="I124" s="564"/>
      <c r="J124" s="564"/>
      <c r="K124" s="564"/>
      <c r="L124" s="564"/>
      <c r="M124" s="564"/>
      <c r="N124" s="564"/>
      <c r="O124" s="564"/>
      <c r="P124" s="564"/>
      <c r="Q124" s="564"/>
      <c r="R124" s="2627"/>
      <c r="S124" s="602"/>
    </row>
    <row r="125" spans="1:28" ht="15" customHeight="1">
      <c r="A125" s="603"/>
      <c r="B125" s="564"/>
      <c r="C125" s="564"/>
      <c r="D125" s="564"/>
      <c r="E125" s="564"/>
      <c r="F125" s="564"/>
      <c r="G125" s="564"/>
      <c r="H125" s="564"/>
      <c r="I125" s="564"/>
      <c r="J125" s="564"/>
      <c r="K125" s="564"/>
      <c r="L125" s="564"/>
      <c r="M125" s="564"/>
      <c r="N125" s="564"/>
      <c r="O125" s="564"/>
      <c r="P125" s="564"/>
      <c r="Q125" s="564"/>
      <c r="R125" s="2627"/>
      <c r="S125" s="602"/>
    </row>
    <row r="126" spans="1:28" ht="15" customHeight="1">
      <c r="A126" s="603"/>
      <c r="B126" s="564"/>
      <c r="C126" s="564"/>
      <c r="D126" s="564"/>
      <c r="E126" s="564"/>
      <c r="F126" s="564"/>
      <c r="G126" s="564"/>
      <c r="H126" s="564"/>
      <c r="I126" s="564"/>
      <c r="J126" s="564"/>
      <c r="K126" s="564"/>
      <c r="L126" s="564"/>
      <c r="M126" s="564"/>
      <c r="N126" s="564"/>
      <c r="O126" s="564"/>
      <c r="P126" s="564"/>
      <c r="Q126" s="564"/>
      <c r="R126" s="2627"/>
      <c r="S126" s="602"/>
    </row>
    <row r="127" spans="1:28" ht="15" customHeight="1">
      <c r="A127" s="603"/>
      <c r="B127" s="564"/>
      <c r="C127" s="564"/>
      <c r="D127" s="564"/>
      <c r="E127" s="564"/>
      <c r="F127" s="564"/>
      <c r="G127" s="564"/>
      <c r="H127" s="564"/>
      <c r="I127" s="564"/>
      <c r="J127" s="564"/>
      <c r="K127" s="564"/>
      <c r="L127" s="564"/>
      <c r="M127" s="564"/>
      <c r="N127" s="564"/>
      <c r="O127" s="564"/>
      <c r="P127" s="564"/>
      <c r="Q127" s="564"/>
      <c r="R127" s="2627"/>
      <c r="S127" s="602"/>
    </row>
    <row r="128" spans="1:28" ht="15" customHeight="1">
      <c r="A128" s="603"/>
      <c r="B128" s="564"/>
      <c r="C128" s="564"/>
      <c r="D128" s="564"/>
      <c r="E128" s="564"/>
      <c r="F128" s="564"/>
      <c r="G128" s="564"/>
      <c r="H128" s="564"/>
      <c r="I128" s="564"/>
      <c r="J128" s="564"/>
      <c r="K128" s="564"/>
      <c r="L128" s="564"/>
      <c r="M128" s="564"/>
      <c r="N128" s="564"/>
      <c r="O128" s="564"/>
      <c r="P128" s="564"/>
      <c r="Q128" s="564"/>
      <c r="R128" s="2627"/>
      <c r="S128" s="602"/>
    </row>
    <row r="129" spans="1:66" ht="15" customHeight="1">
      <c r="A129" s="603"/>
      <c r="B129" s="564"/>
      <c r="C129" s="564"/>
      <c r="D129" s="564"/>
      <c r="E129" s="564"/>
      <c r="F129" s="564"/>
      <c r="G129" s="564"/>
      <c r="H129" s="564"/>
      <c r="I129" s="564"/>
      <c r="J129" s="564"/>
      <c r="K129" s="564"/>
      <c r="L129" s="564"/>
      <c r="M129" s="564"/>
      <c r="N129" s="564"/>
      <c r="O129" s="564"/>
      <c r="P129" s="564"/>
      <c r="Q129" s="564"/>
      <c r="R129" s="2627"/>
      <c r="S129" s="602"/>
    </row>
    <row r="130" spans="1:66" ht="15" customHeight="1">
      <c r="A130" s="603"/>
      <c r="B130" s="564"/>
      <c r="C130" s="564"/>
      <c r="D130" s="564"/>
      <c r="E130" s="564"/>
      <c r="F130" s="564"/>
      <c r="G130" s="564"/>
      <c r="H130" s="564"/>
      <c r="I130" s="564"/>
      <c r="J130" s="564"/>
      <c r="K130" s="564"/>
      <c r="L130" s="564"/>
      <c r="M130" s="564"/>
      <c r="N130" s="564"/>
      <c r="O130" s="564"/>
      <c r="P130" s="564"/>
      <c r="Q130" s="564"/>
      <c r="R130" s="2627"/>
      <c r="S130" s="602"/>
    </row>
    <row r="131" spans="1:66" ht="15" customHeight="1">
      <c r="A131" s="603"/>
      <c r="B131" s="564"/>
      <c r="C131" s="564"/>
      <c r="D131" s="564"/>
      <c r="E131" s="564"/>
      <c r="F131" s="564"/>
      <c r="G131" s="564"/>
      <c r="H131" s="564"/>
      <c r="I131" s="564"/>
      <c r="J131" s="564"/>
      <c r="K131" s="564"/>
      <c r="L131" s="564"/>
      <c r="M131" s="564"/>
      <c r="N131" s="564"/>
      <c r="O131" s="564"/>
      <c r="P131" s="564"/>
      <c r="Q131" s="564"/>
      <c r="R131" s="2627"/>
      <c r="S131" s="602"/>
    </row>
    <row r="132" spans="1:66" ht="6" customHeight="1">
      <c r="A132" s="603"/>
      <c r="B132" s="564"/>
      <c r="C132" s="564"/>
      <c r="D132" s="564"/>
      <c r="E132" s="564"/>
      <c r="F132" s="564"/>
      <c r="G132" s="564"/>
      <c r="H132" s="564"/>
      <c r="I132" s="564"/>
      <c r="J132" s="564"/>
      <c r="K132" s="564"/>
      <c r="L132" s="564"/>
      <c r="M132" s="564"/>
      <c r="N132" s="564"/>
      <c r="O132" s="564"/>
      <c r="P132" s="564"/>
      <c r="Q132" s="564"/>
      <c r="R132" s="2627"/>
      <c r="S132" s="602"/>
    </row>
    <row r="133" spans="1:66" ht="18" customHeight="1">
      <c r="A133" s="603"/>
      <c r="B133" s="567"/>
      <c r="C133" s="813" t="s">
        <v>2140</v>
      </c>
      <c r="D133" s="564"/>
      <c r="E133" s="564"/>
      <c r="F133" s="564"/>
      <c r="G133" s="3246">
        <f>Summary!G82</f>
        <v>0</v>
      </c>
      <c r="H133" s="3247"/>
      <c r="I133" s="564" t="s">
        <v>2121</v>
      </c>
      <c r="J133" s="3245" t="s">
        <v>1702</v>
      </c>
      <c r="K133" s="3245"/>
      <c r="L133" s="3245"/>
      <c r="M133" s="3460"/>
      <c r="N133" s="3436" t="str">
        <f>IF(ISBLANK(G48)," ",(IF(G48="Rock",(G48),(H54))))</f>
        <v/>
      </c>
      <c r="O133" s="3436"/>
      <c r="P133" s="3436"/>
      <c r="Q133" s="3436"/>
      <c r="R133" s="2627"/>
      <c r="S133" s="602"/>
    </row>
    <row r="134" spans="1:66" s="1019" customFormat="1" ht="6" customHeight="1">
      <c r="A134" s="2563"/>
      <c r="B134" s="567"/>
      <c r="C134" s="567"/>
      <c r="D134" s="2605"/>
      <c r="E134" s="2605"/>
      <c r="F134" s="820"/>
      <c r="G134" s="567"/>
      <c r="H134" s="567"/>
      <c r="I134" s="567"/>
      <c r="J134" s="567"/>
      <c r="K134" s="2528"/>
      <c r="L134" s="2528"/>
      <c r="M134" s="2528"/>
      <c r="N134" s="2528"/>
      <c r="O134" s="2564"/>
      <c r="P134" s="2564"/>
      <c r="Q134" s="2564"/>
      <c r="R134" s="548"/>
      <c r="S134" s="1102"/>
    </row>
    <row r="135" spans="1:66" ht="18" customHeight="1">
      <c r="A135" s="603"/>
      <c r="B135" s="567"/>
      <c r="C135" s="3453" t="s">
        <v>2141</v>
      </c>
      <c r="D135" s="3453"/>
      <c r="E135" s="3453"/>
      <c r="F135" s="3454"/>
      <c r="G135" s="3308" t="str">
        <f>IF(Summary!AA63=4,'Pres. Dist.'!K41,"")</f>
        <v/>
      </c>
      <c r="H135" s="3284"/>
      <c r="I135" s="2630"/>
      <c r="J135" s="564"/>
      <c r="K135" s="3295" t="s">
        <v>2139</v>
      </c>
      <c r="L135" s="3295"/>
      <c r="M135" s="3295"/>
      <c r="N135" s="3461">
        <f>IF(ISBLANK(G48)," ",(IF(G48="Rock",(C51),(H56))))</f>
        <v>0</v>
      </c>
      <c r="O135" s="3462"/>
      <c r="P135" s="564" t="s">
        <v>2121</v>
      </c>
      <c r="Q135" s="564"/>
      <c r="R135" s="2627"/>
      <c r="S135" s="602"/>
      <c r="Z135" s="813"/>
    </row>
    <row r="136" spans="1:66" s="1019" customFormat="1" ht="6" customHeight="1">
      <c r="A136" s="2563"/>
      <c r="B136" s="567"/>
      <c r="C136" s="2714"/>
      <c r="D136" s="2714"/>
      <c r="E136" s="2714"/>
      <c r="F136" s="2714"/>
      <c r="G136" s="2570"/>
      <c r="H136" s="2703"/>
      <c r="I136" s="2716"/>
      <c r="J136" s="567"/>
      <c r="K136" s="2710"/>
      <c r="L136" s="2710"/>
      <c r="M136" s="2710"/>
      <c r="N136" s="2710"/>
      <c r="O136" s="2710"/>
      <c r="P136" s="567"/>
      <c r="Q136" s="567"/>
      <c r="R136" s="548"/>
      <c r="S136" s="1102"/>
      <c r="Z136" s="820"/>
    </row>
    <row r="137" spans="1:66" ht="18" customHeight="1">
      <c r="A137" s="603"/>
      <c r="B137" s="567"/>
      <c r="C137" s="2714" t="s">
        <v>2137</v>
      </c>
      <c r="D137" s="2714"/>
      <c r="E137" s="2714"/>
      <c r="F137" s="2714"/>
      <c r="G137" s="2723" t="str">
        <f>IF(Summary!AA63=4,'Pres. Dist.'!J13,"")</f>
        <v/>
      </c>
      <c r="H137" s="2713" t="s">
        <v>2121</v>
      </c>
      <c r="I137" s="2716"/>
      <c r="J137" s="3295" t="s">
        <v>2138</v>
      </c>
      <c r="K137" s="3295"/>
      <c r="L137" s="3295"/>
      <c r="M137" s="3296"/>
      <c r="N137" s="2709" t="str">
        <f>IF(Summary!AA63=4,('Pres. Dist.'!J11)*12,"")</f>
        <v/>
      </c>
      <c r="O137" s="2713" t="s">
        <v>2121</v>
      </c>
      <c r="P137" s="564"/>
      <c r="Q137" s="564"/>
      <c r="R137" s="2715"/>
      <c r="S137" s="602"/>
      <c r="Z137" s="813"/>
    </row>
    <row r="138" spans="1:66" s="1019" customFormat="1" ht="6" customHeight="1">
      <c r="A138" s="2563"/>
      <c r="B138" s="567"/>
      <c r="C138" s="2714"/>
      <c r="D138" s="2714"/>
      <c r="E138" s="2714"/>
      <c r="F138" s="2714"/>
      <c r="G138" s="2570"/>
      <c r="H138" s="2713"/>
      <c r="I138" s="2716"/>
      <c r="J138" s="2710"/>
      <c r="K138" s="2710"/>
      <c r="L138" s="2710"/>
      <c r="M138" s="2710"/>
      <c r="N138" s="2710"/>
      <c r="O138" s="2713"/>
      <c r="P138" s="567"/>
      <c r="Q138" s="567"/>
      <c r="R138" s="548"/>
      <c r="S138" s="1102"/>
      <c r="Z138" s="820"/>
    </row>
    <row r="139" spans="1:66" ht="18" customHeight="1">
      <c r="A139" s="603"/>
      <c r="B139" s="567"/>
      <c r="C139" s="564" t="s">
        <v>2136</v>
      </c>
      <c r="D139" s="564"/>
      <c r="E139" s="564"/>
      <c r="F139" s="564"/>
      <c r="G139" s="564"/>
      <c r="H139" s="564"/>
      <c r="I139" s="564"/>
      <c r="J139" s="564"/>
      <c r="K139" s="564"/>
      <c r="L139" s="564"/>
      <c r="M139" s="564"/>
      <c r="N139" s="564"/>
      <c r="O139" s="564"/>
      <c r="P139" s="564"/>
      <c r="Q139" s="2710"/>
      <c r="R139" s="2627"/>
      <c r="S139" s="602"/>
    </row>
    <row r="140" spans="1:66" ht="18" customHeight="1">
      <c r="A140" s="583"/>
      <c r="B140" s="553" t="s">
        <v>31</v>
      </c>
      <c r="C140" s="564"/>
      <c r="D140" s="564"/>
      <c r="E140" s="564"/>
      <c r="F140" s="564"/>
      <c r="G140" s="564"/>
      <c r="H140" s="2630"/>
      <c r="I140" s="2630"/>
      <c r="J140" s="548"/>
      <c r="K140" s="2630"/>
      <c r="L140" s="2630"/>
      <c r="M140" s="548"/>
      <c r="N140" s="2630"/>
      <c r="O140" s="2630"/>
      <c r="P140" s="2627"/>
      <c r="Q140" s="564"/>
      <c r="R140" s="2627"/>
      <c r="S140" s="602"/>
      <c r="T140" s="564"/>
      <c r="U140" s="564"/>
      <c r="Z140" s="564"/>
      <c r="AA140" s="564"/>
      <c r="AB140" s="564"/>
      <c r="AC140" s="564"/>
      <c r="AD140" s="564"/>
      <c r="AS140" s="567"/>
      <c r="AT140" s="567"/>
      <c r="AU140" s="567"/>
      <c r="AV140" s="567"/>
    </row>
    <row r="141" spans="1:66" ht="99.6" customHeight="1">
      <c r="A141" s="583"/>
      <c r="B141" s="3480"/>
      <c r="C141" s="3481"/>
      <c r="D141" s="3481"/>
      <c r="E141" s="3481"/>
      <c r="F141" s="3481"/>
      <c r="G141" s="3481"/>
      <c r="H141" s="3481"/>
      <c r="I141" s="3481"/>
      <c r="J141" s="3481"/>
      <c r="K141" s="3481"/>
      <c r="L141" s="3481"/>
      <c r="M141" s="3481"/>
      <c r="N141" s="3481"/>
      <c r="O141" s="3481"/>
      <c r="P141" s="3481"/>
      <c r="Q141" s="3481"/>
      <c r="R141" s="3482"/>
      <c r="S141" s="602"/>
      <c r="T141" s="564"/>
      <c r="U141" s="564"/>
      <c r="V141" s="564"/>
      <c r="W141" s="564"/>
      <c r="X141" s="564"/>
      <c r="Y141" s="564"/>
      <c r="Z141" s="564"/>
      <c r="AA141" s="564"/>
      <c r="AB141" s="564"/>
      <c r="AC141" s="564"/>
      <c r="AD141" s="564"/>
      <c r="AS141" s="567"/>
      <c r="AT141" s="567"/>
      <c r="AU141" s="567"/>
      <c r="AV141" s="567"/>
    </row>
    <row r="142" spans="1:66" ht="3.75" customHeight="1" thickBot="1">
      <c r="A142" s="601"/>
      <c r="B142" s="599"/>
      <c r="C142" s="599"/>
      <c r="D142" s="599"/>
      <c r="E142" s="599"/>
      <c r="F142" s="599"/>
      <c r="G142" s="599"/>
      <c r="H142" s="599"/>
      <c r="I142" s="599"/>
      <c r="J142" s="599"/>
      <c r="K142" s="599"/>
      <c r="L142" s="599"/>
      <c r="M142" s="599"/>
      <c r="N142" s="599"/>
      <c r="O142" s="599"/>
      <c r="P142" s="599"/>
      <c r="Q142" s="599"/>
      <c r="R142" s="546"/>
      <c r="S142" s="597"/>
      <c r="BN142" s="564"/>
    </row>
    <row r="143" spans="1:66">
      <c r="AW143" s="544"/>
      <c r="AX143" s="542"/>
    </row>
    <row r="144" spans="1:66">
      <c r="AW144" s="542"/>
      <c r="AX144" s="544"/>
    </row>
    <row r="145" spans="1:50">
      <c r="AW145" s="544"/>
      <c r="AX145" s="542"/>
    </row>
    <row r="146" spans="1:50">
      <c r="AW146" s="542"/>
      <c r="AX146" s="542"/>
    </row>
    <row r="147" spans="1:50">
      <c r="AW147" s="544"/>
      <c r="AX147" s="542"/>
    </row>
    <row r="148" spans="1:50">
      <c r="AW148" s="542"/>
      <c r="AX148" s="544"/>
    </row>
    <row r="149" spans="1:50">
      <c r="AW149" s="544"/>
      <c r="AX149" s="542"/>
    </row>
    <row r="150" spans="1:50">
      <c r="AW150" s="542"/>
      <c r="AX150" s="542"/>
    </row>
    <row r="151" spans="1:50">
      <c r="A151" s="1000"/>
      <c r="B151" s="1000"/>
      <c r="R151" s="1000"/>
      <c r="AW151" s="544"/>
      <c r="AX151" s="542"/>
    </row>
    <row r="152" spans="1:50">
      <c r="A152" s="1000"/>
      <c r="B152" s="1000"/>
      <c r="R152" s="1000"/>
      <c r="AW152" s="542"/>
      <c r="AX152" s="542"/>
    </row>
    <row r="153" spans="1:50">
      <c r="A153" s="1000"/>
      <c r="B153" s="1000"/>
      <c r="R153" s="1000"/>
      <c r="AW153" s="544"/>
      <c r="AX153" s="544"/>
    </row>
    <row r="154" spans="1:50">
      <c r="A154" s="1000"/>
      <c r="B154" s="1000"/>
      <c r="R154" s="1000"/>
      <c r="AW154" s="542"/>
      <c r="AX154" s="542"/>
    </row>
    <row r="155" spans="1:50">
      <c r="A155" s="1000"/>
      <c r="B155" s="1000"/>
      <c r="R155" s="1000"/>
      <c r="AW155" s="544"/>
      <c r="AX155" s="542"/>
    </row>
    <row r="156" spans="1:50">
      <c r="A156" s="1000"/>
      <c r="B156" s="1000"/>
      <c r="R156" s="1000"/>
      <c r="AW156" s="544"/>
      <c r="AX156" s="542"/>
    </row>
    <row r="157" spans="1:50">
      <c r="A157" s="1000"/>
      <c r="B157" s="1000"/>
      <c r="R157" s="1000"/>
      <c r="AW157" s="542"/>
      <c r="AX157" s="542"/>
    </row>
    <row r="158" spans="1:50">
      <c r="A158" s="1000"/>
      <c r="B158" s="1000"/>
      <c r="R158" s="1000"/>
      <c r="AW158" s="544"/>
      <c r="AX158" s="544"/>
    </row>
    <row r="159" spans="1:50">
      <c r="A159" s="1000"/>
      <c r="B159" s="1000"/>
      <c r="R159" s="1000"/>
      <c r="AW159" s="542"/>
      <c r="AX159" s="542"/>
    </row>
    <row r="160" spans="1:50">
      <c r="A160" s="1000"/>
      <c r="B160" s="1000"/>
      <c r="R160" s="1000"/>
      <c r="AW160" s="544"/>
      <c r="AX160" s="542"/>
    </row>
    <row r="161" spans="1:50">
      <c r="A161" s="1000"/>
      <c r="B161" s="1000"/>
      <c r="R161" s="1000"/>
      <c r="AW161" s="542"/>
      <c r="AX161" s="542"/>
    </row>
    <row r="162" spans="1:50">
      <c r="A162" s="1000"/>
      <c r="B162" s="1000"/>
      <c r="R162" s="1000"/>
      <c r="AW162" s="544"/>
      <c r="AX162" s="542"/>
    </row>
    <row r="163" spans="1:50">
      <c r="A163" s="1000"/>
      <c r="B163" s="1000"/>
      <c r="R163" s="1000"/>
      <c r="AW163" s="542"/>
      <c r="AX163" s="544"/>
    </row>
    <row r="164" spans="1:50">
      <c r="A164" s="1000"/>
      <c r="B164" s="1000"/>
      <c r="R164" s="1000"/>
      <c r="AW164" s="542"/>
      <c r="AX164" s="542"/>
    </row>
    <row r="165" spans="1:50">
      <c r="A165" s="1000"/>
      <c r="B165" s="1000"/>
      <c r="R165" s="1000"/>
      <c r="AW165" s="544"/>
      <c r="AX165" s="542"/>
    </row>
    <row r="166" spans="1:50">
      <c r="A166" s="1000"/>
      <c r="B166" s="1000"/>
      <c r="R166" s="1000"/>
      <c r="AW166" s="544"/>
      <c r="AX166" s="542"/>
    </row>
    <row r="167" spans="1:50">
      <c r="A167" s="1000"/>
      <c r="B167" s="1000"/>
      <c r="R167" s="1000"/>
      <c r="AW167" s="544"/>
      <c r="AX167" s="542"/>
    </row>
    <row r="168" spans="1:50">
      <c r="A168" s="1000"/>
      <c r="B168" s="1000"/>
      <c r="R168" s="1000"/>
      <c r="AW168" s="544"/>
      <c r="AX168" s="542"/>
    </row>
    <row r="169" spans="1:50">
      <c r="A169" s="1000"/>
      <c r="B169" s="1000"/>
      <c r="R169" s="1000"/>
      <c r="AW169" s="544"/>
      <c r="AX169" s="542"/>
    </row>
    <row r="170" spans="1:50">
      <c r="A170" s="1000"/>
      <c r="B170" s="1000"/>
      <c r="R170" s="1000"/>
      <c r="AW170" s="544"/>
      <c r="AX170" s="542"/>
    </row>
    <row r="171" spans="1:50">
      <c r="A171" s="1000"/>
      <c r="B171" s="1000"/>
      <c r="R171" s="1000"/>
      <c r="AW171" s="542"/>
      <c r="AX171" s="542"/>
    </row>
    <row r="172" spans="1:50">
      <c r="A172" s="1000"/>
      <c r="B172" s="1000"/>
      <c r="R172" s="1000"/>
      <c r="AW172" s="542"/>
      <c r="AX172" s="542"/>
    </row>
    <row r="173" spans="1:50">
      <c r="A173" s="1000"/>
      <c r="B173" s="1000"/>
      <c r="R173" s="1000"/>
      <c r="AW173" s="544"/>
      <c r="AX173" s="544"/>
    </row>
    <row r="174" spans="1:50">
      <c r="A174" s="1000"/>
      <c r="B174" s="1000"/>
      <c r="R174" s="1000"/>
      <c r="AW174" s="542"/>
      <c r="AX174" s="542"/>
    </row>
    <row r="175" spans="1:50">
      <c r="A175" s="1000"/>
      <c r="B175" s="1000"/>
      <c r="R175" s="1000"/>
      <c r="AW175" s="542"/>
      <c r="AX175" s="542"/>
    </row>
    <row r="176" spans="1:50">
      <c r="A176" s="1000"/>
      <c r="B176" s="1000"/>
      <c r="R176" s="1000"/>
      <c r="AW176" s="544"/>
      <c r="AX176" s="542"/>
    </row>
    <row r="177" spans="1:50">
      <c r="A177" s="1000"/>
      <c r="B177" s="1000"/>
      <c r="R177" s="1000"/>
      <c r="AW177" s="542"/>
      <c r="AX177" s="542"/>
    </row>
    <row r="178" spans="1:50">
      <c r="A178" s="1000"/>
      <c r="B178" s="1000"/>
      <c r="R178" s="1000"/>
      <c r="AW178" s="542"/>
      <c r="AX178" s="544"/>
    </row>
    <row r="179" spans="1:50">
      <c r="A179" s="1000"/>
      <c r="B179" s="1000"/>
      <c r="R179" s="1000"/>
      <c r="AW179" s="544"/>
      <c r="AX179" s="542"/>
    </row>
    <row r="180" spans="1:50">
      <c r="A180" s="1000"/>
      <c r="B180" s="1000"/>
      <c r="R180" s="1000"/>
      <c r="AW180" s="542"/>
      <c r="AX180" s="542"/>
    </row>
    <row r="181" spans="1:50">
      <c r="A181" s="1000"/>
      <c r="B181" s="1000"/>
      <c r="R181" s="1000"/>
      <c r="AW181" s="542"/>
      <c r="AX181" s="542"/>
    </row>
    <row r="182" spans="1:50">
      <c r="A182" s="1000"/>
      <c r="B182" s="1000"/>
      <c r="R182" s="1000"/>
      <c r="AW182" s="542"/>
      <c r="AX182" s="544"/>
    </row>
    <row r="183" spans="1:50">
      <c r="A183" s="1000"/>
      <c r="B183" s="1000"/>
      <c r="R183" s="1000"/>
      <c r="AW183" s="542"/>
      <c r="AX183" s="544"/>
    </row>
    <row r="184" spans="1:50">
      <c r="A184" s="1000"/>
      <c r="B184" s="1000"/>
      <c r="R184" s="1000"/>
      <c r="AW184" s="542"/>
      <c r="AX184" s="542"/>
    </row>
    <row r="185" spans="1:50">
      <c r="A185" s="1000"/>
      <c r="B185" s="1000"/>
      <c r="R185" s="1000"/>
      <c r="AT185" s="567"/>
      <c r="AU185" s="567"/>
      <c r="AV185" s="567"/>
      <c r="AW185" s="542"/>
      <c r="AX185" s="544"/>
    </row>
    <row r="186" spans="1:50">
      <c r="A186" s="1000"/>
      <c r="B186" s="1000"/>
      <c r="R186" s="1000"/>
      <c r="AW186" s="542"/>
      <c r="AX186" s="542"/>
    </row>
    <row r="187" spans="1:50">
      <c r="A187" s="1000"/>
      <c r="B187" s="1000"/>
      <c r="R187" s="1000"/>
      <c r="AW187" s="542"/>
      <c r="AX187" s="542"/>
    </row>
    <row r="188" spans="1:50">
      <c r="A188" s="1000"/>
      <c r="B188" s="1000"/>
      <c r="R188" s="1000"/>
      <c r="AW188" s="542"/>
      <c r="AX188" s="544"/>
    </row>
    <row r="189" spans="1:50">
      <c r="A189" s="1000"/>
      <c r="B189" s="1000"/>
      <c r="R189" s="1000"/>
      <c r="AW189" s="542"/>
      <c r="AX189" s="542"/>
    </row>
    <row r="190" spans="1:50">
      <c r="A190" s="1000"/>
      <c r="B190" s="1000"/>
      <c r="R190" s="1000"/>
      <c r="AW190" s="542"/>
      <c r="AX190" s="544"/>
    </row>
    <row r="191" spans="1:50">
      <c r="A191" s="1000"/>
      <c r="B191" s="1000"/>
      <c r="R191" s="1000"/>
      <c r="AW191" s="542"/>
      <c r="AX191" s="542"/>
    </row>
    <row r="192" spans="1:50">
      <c r="A192" s="1000"/>
      <c r="B192" s="1000"/>
      <c r="R192" s="1000"/>
      <c r="AW192" s="542"/>
      <c r="AX192" s="542"/>
    </row>
    <row r="193" spans="1:50">
      <c r="A193" s="1000"/>
      <c r="B193" s="1000"/>
      <c r="R193" s="1000"/>
      <c r="AW193" s="542"/>
      <c r="AX193" s="544"/>
    </row>
    <row r="194" spans="1:50">
      <c r="A194" s="1000"/>
      <c r="B194" s="1000"/>
      <c r="R194" s="1000"/>
      <c r="AW194" s="542"/>
      <c r="AX194" s="542"/>
    </row>
    <row r="195" spans="1:50">
      <c r="A195" s="1000"/>
      <c r="B195" s="1000"/>
      <c r="R195" s="1000"/>
      <c r="AX195" s="544"/>
    </row>
    <row r="196" spans="1:50">
      <c r="A196" s="1000"/>
      <c r="B196" s="1000"/>
      <c r="R196" s="1000"/>
      <c r="AX196" s="544"/>
    </row>
    <row r="197" spans="1:50">
      <c r="A197" s="1000"/>
      <c r="B197" s="1000"/>
      <c r="R197" s="1000"/>
      <c r="AX197" s="542"/>
    </row>
    <row r="198" spans="1:50">
      <c r="A198" s="1000"/>
      <c r="B198" s="1000"/>
      <c r="R198" s="1000"/>
      <c r="AX198" s="544"/>
    </row>
    <row r="199" spans="1:50">
      <c r="A199" s="1000"/>
      <c r="B199" s="1000"/>
      <c r="R199" s="1000"/>
      <c r="AX199" s="542"/>
    </row>
    <row r="200" spans="1:50">
      <c r="A200" s="1000"/>
      <c r="B200" s="1000"/>
      <c r="R200" s="1000"/>
      <c r="AX200" s="544"/>
    </row>
    <row r="201" spans="1:50">
      <c r="A201" s="1000"/>
      <c r="B201" s="1000"/>
      <c r="R201" s="1000"/>
      <c r="AX201" s="544"/>
    </row>
    <row r="202" spans="1:50">
      <c r="A202" s="1000"/>
      <c r="B202" s="1000"/>
      <c r="R202" s="1000"/>
      <c r="AX202" s="542"/>
    </row>
    <row r="203" spans="1:50">
      <c r="A203" s="1000"/>
      <c r="B203" s="1000"/>
      <c r="R203" s="1000"/>
      <c r="AX203" s="542"/>
    </row>
    <row r="204" spans="1:50">
      <c r="A204" s="1000"/>
      <c r="B204" s="1000"/>
      <c r="R204" s="1000"/>
      <c r="AX204" s="542"/>
    </row>
    <row r="205" spans="1:50">
      <c r="A205" s="1000"/>
      <c r="B205" s="1000"/>
      <c r="R205" s="1000"/>
      <c r="AT205" s="1019"/>
      <c r="AU205" s="1019"/>
      <c r="AV205" s="1019"/>
      <c r="AW205" s="1019"/>
      <c r="AX205" s="542"/>
    </row>
    <row r="206" spans="1:50">
      <c r="A206" s="1000"/>
      <c r="B206" s="1000"/>
      <c r="R206" s="1000"/>
      <c r="AX206" s="542"/>
    </row>
    <row r="207" spans="1:50">
      <c r="A207" s="1000"/>
      <c r="B207" s="1000"/>
      <c r="R207" s="1000"/>
      <c r="AX207" s="542"/>
    </row>
    <row r="208" spans="1:50">
      <c r="A208" s="1000"/>
      <c r="B208" s="1000"/>
      <c r="R208" s="1000"/>
      <c r="AX208" s="542"/>
    </row>
  </sheetData>
  <sheetProtection sheet="1" objects="1" scenarios="1"/>
  <customSheetViews>
    <customSheetView guid="{D1431318-1DB8-4C45-813B-5A8065DFC797}" showPageBreaks="1" zeroValues="0" printArea="1" view="pageBreakPreview">
      <selection activeCell="H12" sqref="H12:I12"/>
      <rowBreaks count="2" manualBreakCount="2">
        <brk id="49" max="18" man="1"/>
        <brk id="99" max="18" man="1"/>
      </rowBreaks>
      <pageMargins left="0.4" right="0.4" top="0.4" bottom="0.4" header="0.5" footer="0.5"/>
      <printOptions horizontalCentered="1"/>
      <pageSetup scale="94" fitToHeight="4" orientation="portrait" blackAndWhite="1" r:id="rId1"/>
      <headerFooter alignWithMargins="0"/>
    </customSheetView>
  </customSheetViews>
  <mergeCells count="98">
    <mergeCell ref="J40:K40"/>
    <mergeCell ref="D40:E40"/>
    <mergeCell ref="H44:I44"/>
    <mergeCell ref="G40:H40"/>
    <mergeCell ref="I2:J2"/>
    <mergeCell ref="K2:L2"/>
    <mergeCell ref="K21:R23"/>
    <mergeCell ref="H26:I26"/>
    <mergeCell ref="L26:M26"/>
    <mergeCell ref="H4:I4"/>
    <mergeCell ref="H14:I14"/>
    <mergeCell ref="H12:I12"/>
    <mergeCell ref="H10:I10"/>
    <mergeCell ref="H6:I6"/>
    <mergeCell ref="D26:E26"/>
    <mergeCell ref="H8:I8"/>
    <mergeCell ref="C8:G8"/>
    <mergeCell ref="B35:K35"/>
    <mergeCell ref="L35:M35"/>
    <mergeCell ref="F26:G26"/>
    <mergeCell ref="B28:K28"/>
    <mergeCell ref="L28:M28"/>
    <mergeCell ref="J33:K33"/>
    <mergeCell ref="H29:I29"/>
    <mergeCell ref="G31:H31"/>
    <mergeCell ref="K31:L31"/>
    <mergeCell ref="D33:E33"/>
    <mergeCell ref="G33:H33"/>
    <mergeCell ref="D31:E31"/>
    <mergeCell ref="B141:R141"/>
    <mergeCell ref="E62:F62"/>
    <mergeCell ref="N75:O75"/>
    <mergeCell ref="O64:P64"/>
    <mergeCell ref="L69:M69"/>
    <mergeCell ref="L64:M64"/>
    <mergeCell ref="H84:I84"/>
    <mergeCell ref="K75:L75"/>
    <mergeCell ref="H75:I75"/>
    <mergeCell ref="K82:L82"/>
    <mergeCell ref="H62:I62"/>
    <mergeCell ref="H73:I73"/>
    <mergeCell ref="K73:L73"/>
    <mergeCell ref="H71:I71"/>
    <mergeCell ref="K71:L71"/>
    <mergeCell ref="N71:O71"/>
    <mergeCell ref="F1:M1"/>
    <mergeCell ref="I96:M96"/>
    <mergeCell ref="O96:Q96"/>
    <mergeCell ref="W46:AA46"/>
    <mergeCell ref="O46:Q46"/>
    <mergeCell ref="P92:Q92"/>
    <mergeCell ref="M92:N92"/>
    <mergeCell ref="P94:Q94"/>
    <mergeCell ref="K90:L90"/>
    <mergeCell ref="N90:O90"/>
    <mergeCell ref="J92:K92"/>
    <mergeCell ref="N84:O84"/>
    <mergeCell ref="N82:O82"/>
    <mergeCell ref="H82:I82"/>
    <mergeCell ref="M94:N94"/>
    <mergeCell ref="L80:M80"/>
    <mergeCell ref="Y118:Z118"/>
    <mergeCell ref="O60:P60"/>
    <mergeCell ref="C64:D64"/>
    <mergeCell ref="J94:K94"/>
    <mergeCell ref="K44:L44"/>
    <mergeCell ref="M73:N73"/>
    <mergeCell ref="I64:J64"/>
    <mergeCell ref="F64:G64"/>
    <mergeCell ref="C49:R49"/>
    <mergeCell ref="C51:D51"/>
    <mergeCell ref="F51:G51"/>
    <mergeCell ref="O73:P73"/>
    <mergeCell ref="V103:V112"/>
    <mergeCell ref="P62:Q62"/>
    <mergeCell ref="G48:J48"/>
    <mergeCell ref="H54:K54"/>
    <mergeCell ref="N44:O44"/>
    <mergeCell ref="K135:M135"/>
    <mergeCell ref="G133:H133"/>
    <mergeCell ref="N133:Q133"/>
    <mergeCell ref="C58:R58"/>
    <mergeCell ref="M52:Q57"/>
    <mergeCell ref="K86:L86"/>
    <mergeCell ref="G94:H94"/>
    <mergeCell ref="H90:I90"/>
    <mergeCell ref="G92:H92"/>
    <mergeCell ref="L88:M88"/>
    <mergeCell ref="K84:L84"/>
    <mergeCell ref="D56:G56"/>
    <mergeCell ref="H56:I56"/>
    <mergeCell ref="M60:N60"/>
    <mergeCell ref="J46:N46"/>
    <mergeCell ref="J137:M137"/>
    <mergeCell ref="J133:M133"/>
    <mergeCell ref="C135:F135"/>
    <mergeCell ref="N135:O135"/>
    <mergeCell ref="G135:H135"/>
  </mergeCells>
  <dataValidations xWindow="285" yWindow="482" count="6">
    <dataValidation type="list" allowBlank="1" showInputMessage="1" prompt="Typical loading rate is 1.2." sqref="H12:I12">
      <formula1>MediaLoadRate</formula1>
    </dataValidation>
    <dataValidation allowBlank="1" showInputMessage="1" sqref="H16:I23"/>
    <dataValidation type="decimal" operator="greaterThanOrEqual" allowBlank="1" showInputMessage="1" showErrorMessage="1" error="Enter a size that is larger than the minimum above, if so desired." sqref="L28">
      <formula1>L26</formula1>
    </dataValidation>
    <dataValidation type="decimal" operator="greaterThanOrEqual" allowBlank="1" showInputMessage="1" showErrorMessage="1" error="Enter a size that is larger than the minimum above, if so desired." sqref="H29">
      <formula1>F28</formula1>
    </dataValidation>
    <dataValidation type="decimal" operator="greaterThanOrEqual" allowBlank="1" showInputMessage="1" showErrorMessage="1" error="Enter a size that is larger than the minimum above, if so desired." sqref="L35">
      <formula1>F32</formula1>
    </dataValidation>
    <dataValidation allowBlank="1" sqref="L54 G55:L55"/>
  </dataValidations>
  <printOptions horizontalCentered="1"/>
  <pageMargins left="0.4" right="0.4" top="0.4" bottom="0.4" header="0.5" footer="0.5"/>
  <pageSetup scale="83" fitToHeight="4" orientation="portrait" blackAndWhite="1" r:id="rId2"/>
  <headerFooter alignWithMargins="0"/>
  <rowBreaks count="2" manualBreakCount="2">
    <brk id="59" max="18" man="1"/>
    <brk id="95" max="18" man="1"/>
  </rowBreaks>
  <drawing r:id="rId3"/>
  <legacyDrawing r:id="rId4"/>
  <oleObjects>
    <mc:AlternateContent xmlns:mc="http://schemas.openxmlformats.org/markup-compatibility/2006">
      <mc:Choice Requires="x14">
        <oleObject progId="Photoshop.Image.4" shapeId="2348414" r:id="rId5">
          <objectPr defaultSize="0" autoPict="0" r:id="rId6">
            <anchor moveWithCells="1">
              <from>
                <xdr:col>0</xdr:col>
                <xdr:colOff>68580</xdr:colOff>
                <xdr:row>65</xdr:row>
                <xdr:rowOff>0</xdr:rowOff>
              </from>
              <to>
                <xdr:col>18</xdr:col>
                <xdr:colOff>30480</xdr:colOff>
                <xdr:row>67</xdr:row>
                <xdr:rowOff>0</xdr:rowOff>
              </to>
            </anchor>
          </objectPr>
        </oleObject>
      </mc:Choice>
      <mc:Fallback>
        <oleObject progId="Photoshop.Image.4" shapeId="2348414" r:id="rId5"/>
      </mc:Fallback>
    </mc:AlternateContent>
    <mc:AlternateContent xmlns:mc="http://schemas.openxmlformats.org/markup-compatibility/2006">
      <mc:Choice Requires="x14">
        <oleObject progId="Photoshop.Image.4" shapeId="2348440" r:id="rId7">
          <objectPr defaultSize="0" autoPict="0" r:id="rId8">
            <anchor moveWithCells="1">
              <from>
                <xdr:col>0</xdr:col>
                <xdr:colOff>83820</xdr:colOff>
                <xdr:row>75</xdr:row>
                <xdr:rowOff>38100</xdr:rowOff>
              </from>
              <to>
                <xdr:col>18</xdr:col>
                <xdr:colOff>0</xdr:colOff>
                <xdr:row>77</xdr:row>
                <xdr:rowOff>236220</xdr:rowOff>
              </to>
            </anchor>
          </objectPr>
        </oleObject>
      </mc:Choice>
      <mc:Fallback>
        <oleObject progId="Photoshop.Image.4" shapeId="2348440" r:id="rId7"/>
      </mc:Fallback>
    </mc:AlternateContent>
    <mc:AlternateContent xmlns:mc="http://schemas.openxmlformats.org/markup-compatibility/2006">
      <mc:Choice Requires="x14">
        <oleObject progId="Photoshop.Image.4" shapeId="2348441" r:id="rId9">
          <objectPr defaultSize="0" autoPict="0" r:id="rId10">
            <anchor moveWithCells="1">
              <from>
                <xdr:col>19</xdr:col>
                <xdr:colOff>106680</xdr:colOff>
                <xdr:row>64</xdr:row>
                <xdr:rowOff>30480</xdr:rowOff>
              </from>
              <to>
                <xdr:col>36</xdr:col>
                <xdr:colOff>144780</xdr:colOff>
                <xdr:row>67</xdr:row>
                <xdr:rowOff>0</xdr:rowOff>
              </to>
            </anchor>
          </objectPr>
        </oleObject>
      </mc:Choice>
      <mc:Fallback>
        <oleObject progId="Photoshop.Image.4" shapeId="2348441" r:id="rId9"/>
      </mc:Fallback>
    </mc:AlternateContent>
    <mc:AlternateContent xmlns:mc="http://schemas.openxmlformats.org/markup-compatibility/2006">
      <mc:Choice Requires="x14">
        <oleObject progId="Photoshop.Image.4" shapeId="2348442" r:id="rId11">
          <objectPr defaultSize="0" autoPict="0" r:id="rId12">
            <anchor moveWithCells="1">
              <from>
                <xdr:col>19</xdr:col>
                <xdr:colOff>106680</xdr:colOff>
                <xdr:row>75</xdr:row>
                <xdr:rowOff>38100</xdr:rowOff>
              </from>
              <to>
                <xdr:col>36</xdr:col>
                <xdr:colOff>121920</xdr:colOff>
                <xdr:row>77</xdr:row>
                <xdr:rowOff>236220</xdr:rowOff>
              </to>
            </anchor>
          </objectPr>
        </oleObject>
      </mc:Choice>
      <mc:Fallback>
        <oleObject progId="Photoshop.Image.4" shapeId="2348442" r:id="rId11"/>
      </mc:Fallback>
    </mc:AlternateContent>
  </oleObjects>
  <extLst>
    <ext xmlns:x14="http://schemas.microsoft.com/office/spreadsheetml/2009/9/main" uri="{CCE6A557-97BC-4b89-ADB6-D9C93CAAB3DF}">
      <x14:dataValidations xmlns:xm="http://schemas.microsoft.com/office/excel/2006/main" xWindow="285" yWindow="482" count="3">
        <x14:dataValidation type="list" allowBlank="1" showInputMessage="1">
          <x14:formula1>
            <xm:f>'Drop-Down Lists'!$J$17:$J$31</xm:f>
          </x14:formula1>
          <xm:sqref>H14:I14</xm:sqref>
        </x14:dataValidation>
        <x14:dataValidation type="list" allowBlank="1">
          <x14:formula1>
            <xm:f>'Drop-Down Lists'!$A$8:$A$14</xm:f>
          </x14:formula1>
          <xm:sqref>C51:D51 H56:I56</xm:sqref>
        </x14:dataValidation>
        <x14:dataValidation type="list" allowBlank="1">
          <x14:formula1>
            <xm:f>'Drop-Down Lists'!$P$2:$P$6</xm:f>
          </x14:formula1>
          <xm:sqref>L56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9" tint="0.39997558519241921"/>
  </sheetPr>
  <dimension ref="A1:BO130"/>
  <sheetViews>
    <sheetView showGridLines="0" showZeros="0" tabSelected="1" view="pageBreakPreview" zoomScaleNormal="100" zoomScaleSheetLayoutView="100" workbookViewId="0">
      <selection activeCell="F5" sqref="F5"/>
    </sheetView>
  </sheetViews>
  <sheetFormatPr defaultColWidth="9.109375" defaultRowHeight="14.4"/>
  <cols>
    <col min="1" max="1" width="2" style="541" customWidth="1"/>
    <col min="2" max="2" width="2" style="540" customWidth="1"/>
    <col min="3" max="17" width="6" style="538" customWidth="1"/>
    <col min="18" max="18" width="6" style="539" customWidth="1"/>
    <col min="19" max="19" width="2" style="538" customWidth="1"/>
    <col min="20" max="21" width="2.44140625" style="538" customWidth="1"/>
    <col min="22" max="22" width="6.44140625" style="538" customWidth="1"/>
    <col min="23" max="23" width="5.44140625" style="538" customWidth="1"/>
    <col min="24" max="24" width="10.109375" style="538" customWidth="1"/>
    <col min="25" max="25" width="8" style="538" customWidth="1"/>
    <col min="26" max="36" width="5.44140625" style="538" customWidth="1"/>
    <col min="37" max="37" width="2" style="538" customWidth="1"/>
    <col min="38" max="16384" width="9.109375" style="538"/>
  </cols>
  <sheetData>
    <row r="1" spans="1:67" ht="47.25" customHeight="1" thickBot="1">
      <c r="A1" s="2675"/>
      <c r="B1" s="595"/>
      <c r="C1" s="595"/>
      <c r="D1" s="595"/>
      <c r="E1" s="3413" t="s">
        <v>1752</v>
      </c>
      <c r="F1" s="3413"/>
      <c r="G1" s="3413"/>
      <c r="H1" s="3413"/>
      <c r="I1" s="3413"/>
      <c r="J1" s="3413"/>
      <c r="K1" s="3413"/>
      <c r="L1" s="3413"/>
      <c r="M1" s="3413"/>
      <c r="N1" s="3413"/>
      <c r="O1" s="593"/>
      <c r="P1" s="593"/>
      <c r="Q1" s="593"/>
      <c r="R1" s="594"/>
      <c r="S1" s="593"/>
      <c r="AL1" s="580"/>
    </row>
    <row r="2" spans="1:67" ht="15" customHeight="1" thickBot="1">
      <c r="A2" s="798"/>
      <c r="B2" s="799"/>
      <c r="C2" s="799"/>
      <c r="D2" s="799"/>
      <c r="E2" s="799"/>
      <c r="F2" s="799"/>
      <c r="G2" s="799"/>
      <c r="H2" s="799"/>
      <c r="I2" s="3375" t="s">
        <v>1016</v>
      </c>
      <c r="J2" s="3375"/>
      <c r="K2" s="3372" t="str">
        <f>IF(ISBLANK(Summary!S3)," ",Summary!S3)</f>
        <v xml:space="preserve"> </v>
      </c>
      <c r="L2" s="3372"/>
      <c r="M2" s="799"/>
      <c r="N2" s="799"/>
      <c r="O2" s="799"/>
      <c r="P2" s="799"/>
      <c r="Q2" s="799"/>
      <c r="R2" s="2625" t="str">
        <f>'Drop-Down Lists'!J40</f>
        <v>v 04.01.2021</v>
      </c>
      <c r="S2" s="800"/>
      <c r="T2" s="2048"/>
      <c r="U2" s="2049"/>
      <c r="V2" s="2049"/>
      <c r="W2" s="2049"/>
      <c r="X2" s="543"/>
      <c r="AL2" s="580"/>
    </row>
    <row r="3" spans="1:67" ht="15" customHeight="1">
      <c r="A3" s="583"/>
      <c r="B3" s="574" t="s">
        <v>147</v>
      </c>
      <c r="C3" s="564" t="s">
        <v>1772</v>
      </c>
      <c r="D3" s="564"/>
      <c r="E3" s="564"/>
      <c r="F3" s="564"/>
      <c r="G3" s="564"/>
      <c r="H3" s="550"/>
      <c r="I3" s="564"/>
      <c r="J3" s="564"/>
      <c r="K3" s="2629"/>
      <c r="L3" s="2629"/>
      <c r="M3" s="2629"/>
      <c r="N3" s="2629"/>
      <c r="O3" s="2629"/>
      <c r="P3" s="564"/>
      <c r="Q3" s="564"/>
      <c r="R3" s="2627"/>
      <c r="S3" s="602"/>
      <c r="T3" s="2049"/>
      <c r="U3" s="2049"/>
      <c r="V3" s="2049"/>
      <c r="W3" s="2387"/>
      <c r="X3" s="2387"/>
      <c r="Y3" s="2388"/>
      <c r="Z3" s="2388"/>
      <c r="AA3" s="2388"/>
      <c r="AB3" s="2388"/>
      <c r="AC3" s="2388"/>
      <c r="AD3" s="2388"/>
      <c r="BK3" s="555"/>
      <c r="BL3" s="555"/>
      <c r="BM3" s="555"/>
      <c r="BN3" s="555"/>
      <c r="BO3" s="555"/>
    </row>
    <row r="4" spans="1:67" ht="5.0999999999999996" customHeight="1">
      <c r="A4" s="583"/>
      <c r="B4" s="553"/>
      <c r="C4" s="2627"/>
      <c r="D4" s="2627"/>
      <c r="E4" s="2627"/>
      <c r="F4" s="2627"/>
      <c r="G4" s="2627"/>
      <c r="H4" s="564"/>
      <c r="I4" s="564"/>
      <c r="J4" s="564"/>
      <c r="K4" s="564"/>
      <c r="L4" s="564"/>
      <c r="M4" s="564"/>
      <c r="N4" s="564"/>
      <c r="O4" s="579"/>
      <c r="P4" s="564"/>
      <c r="Q4" s="564"/>
      <c r="R4" s="2627"/>
      <c r="S4" s="615"/>
      <c r="T4" s="543"/>
      <c r="U4" s="543"/>
      <c r="V4" s="543"/>
      <c r="W4" s="2387"/>
      <c r="X4" s="2387"/>
      <c r="Y4" s="2388"/>
      <c r="Z4" s="2388"/>
      <c r="AA4" s="2388"/>
      <c r="AB4" s="2388"/>
      <c r="AC4" s="2388"/>
      <c r="AD4" s="2388"/>
      <c r="BK4" s="555"/>
      <c r="BL4" s="555"/>
      <c r="BM4" s="555"/>
      <c r="BN4" s="555"/>
      <c r="BO4" s="555"/>
    </row>
    <row r="5" spans="1:67" ht="15" customHeight="1">
      <c r="A5" s="583"/>
      <c r="B5" s="1217" t="s">
        <v>310</v>
      </c>
      <c r="C5" s="3498" t="str">
        <f>IF(Summary!AA63=4,(MAX('Mound&lt;1%'!C55,'Mound&gt;1%'!C51))," ")</f>
        <v xml:space="preserve"> </v>
      </c>
      <c r="D5" s="3499"/>
      <c r="E5" s="2627" t="s">
        <v>1599</v>
      </c>
      <c r="F5" s="1915"/>
      <c r="G5" s="3430" t="s">
        <v>1974</v>
      </c>
      <c r="H5" s="3431"/>
      <c r="I5" s="3399" t="str">
        <f>IF(Summary!AA63=4,MAX('Mound&lt;1%'!J36,'Mound&gt;1%'!J33)," ")</f>
        <v xml:space="preserve"> </v>
      </c>
      <c r="J5" s="3400"/>
      <c r="K5" s="2627" t="s">
        <v>123</v>
      </c>
      <c r="L5" s="3399" t="str">
        <f>IF(Summary!AA63=4,MAX('Mound&lt;1%'!H32,'Mound&gt;1%'!H29)," ")</f>
        <v xml:space="preserve"> </v>
      </c>
      <c r="M5" s="3400"/>
      <c r="N5" s="555" t="s">
        <v>92</v>
      </c>
      <c r="O5" s="2616" t="s">
        <v>102</v>
      </c>
      <c r="P5" s="3399" t="str">
        <f>IF((Summary!AA63=4),((C5+F5)/12)*I5*L5," ")</f>
        <v xml:space="preserve"> </v>
      </c>
      <c r="Q5" s="3400" t="e">
        <f>((#REF!+#REF!)/12)*B5*E5</f>
        <v>#REF!</v>
      </c>
      <c r="R5" s="2627" t="s">
        <v>24</v>
      </c>
      <c r="S5" s="602"/>
      <c r="T5" s="2049"/>
      <c r="U5" s="2049"/>
      <c r="V5" s="2049"/>
      <c r="W5" s="2387"/>
      <c r="X5" s="2387"/>
      <c r="Y5" s="2388"/>
      <c r="Z5" s="2388"/>
      <c r="AA5" s="2388"/>
      <c r="AB5" s="2388"/>
      <c r="AC5" s="2388"/>
      <c r="AD5" s="2388"/>
      <c r="BK5" s="555"/>
      <c r="BL5" s="555"/>
      <c r="BM5" s="555"/>
      <c r="BN5" s="555"/>
      <c r="BO5" s="555"/>
    </row>
    <row r="6" spans="1:67" ht="6" customHeight="1">
      <c r="A6" s="583"/>
      <c r="B6" s="553"/>
      <c r="C6" s="2627"/>
      <c r="D6" s="2627"/>
      <c r="E6" s="2627"/>
      <c r="F6" s="2627"/>
      <c r="G6" s="2627"/>
      <c r="H6" s="564"/>
      <c r="I6" s="564"/>
      <c r="J6" s="564"/>
      <c r="K6" s="564"/>
      <c r="L6" s="564"/>
      <c r="M6" s="564"/>
      <c r="N6" s="564"/>
      <c r="O6" s="579"/>
      <c r="P6" s="564"/>
      <c r="Q6" s="564"/>
      <c r="R6" s="2627"/>
      <c r="S6" s="615"/>
      <c r="T6" s="543"/>
      <c r="U6" s="543"/>
      <c r="V6" s="543"/>
      <c r="W6" s="2387"/>
      <c r="X6" s="2387"/>
      <c r="Y6" s="2388"/>
      <c r="Z6" s="2388"/>
      <c r="AA6" s="2388"/>
      <c r="AB6" s="2388"/>
      <c r="AC6" s="2388"/>
      <c r="AD6" s="2388"/>
      <c r="BK6" s="555"/>
      <c r="BL6" s="555"/>
      <c r="BM6" s="555"/>
      <c r="BN6" s="555"/>
      <c r="BO6" s="555"/>
    </row>
    <row r="7" spans="1:67" ht="15" customHeight="1">
      <c r="A7" s="583"/>
      <c r="B7" s="579"/>
      <c r="C7" s="2627" t="s">
        <v>69</v>
      </c>
      <c r="D7" s="2627"/>
      <c r="E7" s="2627"/>
      <c r="F7" s="2627"/>
      <c r="G7" s="2627"/>
      <c r="H7" s="564"/>
      <c r="I7" s="564"/>
      <c r="J7" s="564"/>
      <c r="K7" s="3399" t="str">
        <f>IF(Summary!AA63=0,"",IF(Summary!AA63=1,"",IF(Summary!AA63=2,"",IF(Summary!AA63=3,"",IF(Summary!AA63=5,"",IF(Summary!AA63=4,P5))))))</f>
        <v/>
      </c>
      <c r="L7" s="3400"/>
      <c r="M7" s="2621" t="s">
        <v>81</v>
      </c>
      <c r="N7" s="606">
        <v>27</v>
      </c>
      <c r="O7" s="2621" t="s">
        <v>102</v>
      </c>
      <c r="P7" s="3399" t="str">
        <f>IF(Summary!AA63=0,"",IF(Summary!AA63=1,"",IF(Summary!AA63=2,"",IF(Summary!AA63=3,"",IF(Summary!AA63=5,"",IF(Summary!AA63=4,K7/27))))))</f>
        <v/>
      </c>
      <c r="Q7" s="3400"/>
      <c r="R7" s="2627" t="s">
        <v>25</v>
      </c>
      <c r="S7" s="602"/>
      <c r="T7" s="543"/>
      <c r="U7" s="543"/>
      <c r="V7" s="543"/>
      <c r="W7" s="2389">
        <f>IF(ISBLANK('Mound&gt;1%'!H12),0,AVERAGE('Mound&gt;1%'!O64,'Mound&gt;1%'!N75)-2)</f>
        <v>0</v>
      </c>
      <c r="X7" s="2389">
        <f>IF(ISBLANK('Mound&lt;1%'!H12),0,('Mound&lt;1%'!C71))</f>
        <v>0</v>
      </c>
      <c r="Y7" s="2388"/>
      <c r="Z7" s="2388"/>
      <c r="AA7" s="2388"/>
      <c r="AB7" s="2388"/>
      <c r="AC7" s="2388"/>
      <c r="AD7" s="2388"/>
      <c r="BK7" s="555"/>
      <c r="BL7" s="555"/>
      <c r="BM7" s="555"/>
      <c r="BN7" s="555"/>
      <c r="BO7" s="555"/>
    </row>
    <row r="8" spans="1:67" ht="5.0999999999999996" customHeight="1">
      <c r="A8" s="583"/>
      <c r="B8" s="579"/>
      <c r="C8" s="564"/>
      <c r="D8" s="2627"/>
      <c r="E8" s="2627"/>
      <c r="F8" s="2627"/>
      <c r="G8" s="548"/>
      <c r="H8" s="2630"/>
      <c r="I8" s="2630"/>
      <c r="J8" s="564"/>
      <c r="K8" s="564"/>
      <c r="L8" s="564"/>
      <c r="M8" s="564"/>
      <c r="N8" s="564"/>
      <c r="O8" s="579"/>
      <c r="P8" s="564"/>
      <c r="Q8" s="564"/>
      <c r="R8" s="2627"/>
      <c r="S8" s="602"/>
      <c r="T8" s="543"/>
      <c r="U8" s="543"/>
      <c r="V8" s="543"/>
      <c r="W8" s="2387"/>
      <c r="X8" s="2387"/>
      <c r="Y8" s="2388"/>
      <c r="Z8" s="2388"/>
      <c r="AA8" s="2388"/>
      <c r="AB8" s="2388"/>
      <c r="AC8" s="2388"/>
      <c r="AD8" s="2388"/>
      <c r="BK8" s="555"/>
      <c r="BL8" s="555"/>
      <c r="BM8" s="555"/>
      <c r="BN8" s="555"/>
      <c r="BO8" s="555"/>
    </row>
    <row r="9" spans="1:67" ht="15" customHeight="1">
      <c r="A9" s="583"/>
      <c r="B9" s="579"/>
      <c r="C9" s="564" t="s">
        <v>1614</v>
      </c>
      <c r="D9" s="564"/>
      <c r="E9" s="564"/>
      <c r="F9" s="564"/>
      <c r="G9" s="564"/>
      <c r="H9" s="564"/>
      <c r="I9" s="564"/>
      <c r="J9" s="564"/>
      <c r="K9" s="3399" t="str">
        <f>IF(Summary!AA63=0,"",IF(Summary!AA63=1,"",IF(Summary!AA63=2,"",IF(Summary!AA63=3,"",IF(Summary!AA63=5,"",IF(Summary!AA63=4,P7))))))</f>
        <v/>
      </c>
      <c r="L9" s="3400"/>
      <c r="M9" s="2621" t="s">
        <v>520</v>
      </c>
      <c r="N9" s="557">
        <v>1.3</v>
      </c>
      <c r="O9" s="2621" t="s">
        <v>102</v>
      </c>
      <c r="P9" s="3399" t="str">
        <f>IF(Summary!AA63=0,"",IF(Summary!AA63=1,"",IF(Summary!AA63=2,"",IF(Summary!AA63=3,"",IF(Summary!AA63=5,"",IF(Summary!AA63=4,K9*1.3))))))</f>
        <v/>
      </c>
      <c r="Q9" s="3400"/>
      <c r="R9" s="2627" t="s">
        <v>25</v>
      </c>
      <c r="S9" s="602"/>
      <c r="T9" s="543"/>
      <c r="U9" s="543"/>
      <c r="V9" s="543"/>
      <c r="W9" s="2387"/>
      <c r="X9" s="2387"/>
      <c r="Y9" s="2388"/>
      <c r="Z9" s="2388"/>
      <c r="AA9" s="2388"/>
      <c r="AB9" s="2388"/>
      <c r="AC9" s="2388"/>
      <c r="AD9" s="2388"/>
      <c r="BK9" s="555"/>
      <c r="BL9" s="555"/>
      <c r="BM9" s="555"/>
      <c r="BN9" s="555"/>
      <c r="BO9" s="555"/>
    </row>
    <row r="10" spans="1:67" ht="5.0999999999999996" customHeight="1" thickBot="1">
      <c r="A10" s="582"/>
      <c r="B10" s="598"/>
      <c r="C10" s="546"/>
      <c r="D10" s="546"/>
      <c r="E10" s="546"/>
      <c r="F10" s="546"/>
      <c r="G10" s="546"/>
      <c r="H10" s="599"/>
      <c r="I10" s="599"/>
      <c r="J10" s="599"/>
      <c r="K10" s="599"/>
      <c r="L10" s="599"/>
      <c r="M10" s="599"/>
      <c r="N10" s="599"/>
      <c r="O10" s="599"/>
      <c r="P10" s="559"/>
      <c r="Q10" s="547"/>
      <c r="R10" s="546"/>
      <c r="S10" s="597"/>
      <c r="T10" s="543"/>
      <c r="U10" s="543"/>
      <c r="V10" s="543"/>
      <c r="W10" s="2387"/>
      <c r="X10" s="2387"/>
      <c r="Y10" s="2388"/>
      <c r="Z10" s="2388"/>
      <c r="AA10" s="2388"/>
      <c r="AB10" s="2388"/>
      <c r="AC10" s="2388"/>
      <c r="AD10" s="2388"/>
      <c r="BK10" s="555"/>
      <c r="BL10" s="555"/>
      <c r="BM10" s="555"/>
      <c r="BN10" s="555"/>
      <c r="BO10" s="555"/>
    </row>
    <row r="11" spans="1:67" ht="15" customHeight="1">
      <c r="A11" s="643"/>
      <c r="B11" s="644" t="s">
        <v>631</v>
      </c>
      <c r="C11" s="645" t="s">
        <v>32</v>
      </c>
      <c r="D11" s="645"/>
      <c r="E11" s="645"/>
      <c r="F11" s="645"/>
      <c r="G11" s="645"/>
      <c r="H11" s="645"/>
      <c r="I11" s="645"/>
      <c r="J11" s="645"/>
      <c r="K11" s="645"/>
      <c r="L11" s="645"/>
      <c r="M11" s="645"/>
      <c r="N11" s="645"/>
      <c r="O11" s="645"/>
      <c r="P11" s="645"/>
      <c r="Q11" s="645"/>
      <c r="R11" s="646"/>
      <c r="S11" s="647"/>
      <c r="T11" s="543"/>
      <c r="U11" s="543"/>
      <c r="V11" s="543"/>
      <c r="W11" s="2387"/>
      <c r="X11" s="2387"/>
      <c r="Y11" s="2390"/>
      <c r="Z11" s="2390"/>
      <c r="AA11" s="2390"/>
      <c r="AB11" s="2390"/>
      <c r="AC11" s="2390"/>
      <c r="AD11" s="2390"/>
      <c r="BC11" s="555"/>
    </row>
    <row r="12" spans="1:67" ht="15" customHeight="1">
      <c r="A12" s="583"/>
      <c r="B12" s="579"/>
      <c r="C12" s="607" t="s">
        <v>783</v>
      </c>
      <c r="D12" s="564"/>
      <c r="E12" s="564"/>
      <c r="F12" s="564"/>
      <c r="G12" s="564"/>
      <c r="H12" s="564"/>
      <c r="I12" s="564"/>
      <c r="J12" s="564"/>
      <c r="K12" s="564"/>
      <c r="L12" s="564"/>
      <c r="M12" s="564"/>
      <c r="N12" s="564"/>
      <c r="O12" s="564"/>
      <c r="P12" s="564"/>
      <c r="Q12" s="564"/>
      <c r="R12" s="2627"/>
      <c r="S12" s="602"/>
      <c r="T12" s="543"/>
      <c r="U12" s="543"/>
      <c r="V12" s="543"/>
      <c r="W12" s="2387"/>
      <c r="X12" s="2387"/>
      <c r="Y12" s="2390"/>
      <c r="Z12" s="2390"/>
      <c r="AA12" s="2390"/>
      <c r="AB12" s="2390"/>
      <c r="AC12" s="2390"/>
      <c r="AD12" s="2390"/>
      <c r="BC12" s="555"/>
    </row>
    <row r="13" spans="1:67" ht="15" customHeight="1">
      <c r="A13" s="583"/>
      <c r="B13" s="579"/>
      <c r="C13" s="555"/>
      <c r="D13" s="555"/>
      <c r="E13" s="730"/>
      <c r="F13" s="564"/>
      <c r="G13" s="3399" t="str">
        <f>IF(Summary!AA63=0,"",IF(Summary!AA63=1,"",IF(Summary!AA63=2,"",IF(Summary!AA63=3,"",IF(Summary!AA63=5,"",IF(Summary!AA63=4,MAX(W7,X7)))))))</f>
        <v/>
      </c>
      <c r="H13" s="3400"/>
      <c r="I13" s="2627" t="s">
        <v>122</v>
      </c>
      <c r="J13" s="3399" t="str">
        <f>IF(Summary!AA63=0,"",IF(Summary!AA63=1,"",IF(Summary!AA63=2,"",IF(Summary!AA63=3,"",IF(Summary!AA63=5,"",IF(Summary!AA63=4,MAX('Mound&lt;1%'!H32,'Mound&gt;1%'!H29)))))))</f>
        <v/>
      </c>
      <c r="K13" s="3400"/>
      <c r="L13" s="2627" t="s">
        <v>122</v>
      </c>
      <c r="M13" s="3468" t="str">
        <f>IF(Summary!AA63=0,"",IF(Summary!AA63=1,"",IF(Summary!AA63=2,"",IF(Summary!AA63=3,"",IF(Summary!AA63=5,"",IF(Summary!AA63=4,MAX('Mound&lt;1%'!F89,'Mound&gt;1%'!J94)))))))</f>
        <v/>
      </c>
      <c r="N13" s="3398"/>
      <c r="O13" s="596" t="s">
        <v>120</v>
      </c>
      <c r="P13" s="3411" t="str">
        <f>IF(Summary!AA63=0,"",IF(Summary!AA63=1,"",IF(Summary!AA63=2,"",IF(Summary!AA63=3,"",IF(Summary!AA63=5,"",IF(Summary!AA63=4,G13*J13*M13))))))</f>
        <v/>
      </c>
      <c r="Q13" s="3412"/>
      <c r="R13" s="2627" t="s">
        <v>24</v>
      </c>
      <c r="S13" s="602"/>
      <c r="T13" s="543"/>
      <c r="U13" s="543"/>
      <c r="V13" s="543"/>
      <c r="W13" s="2387"/>
      <c r="X13" s="2387"/>
      <c r="Y13" s="2390"/>
      <c r="Z13" s="2390"/>
      <c r="AA13" s="2390"/>
      <c r="AB13" s="2390"/>
      <c r="AC13" s="2390"/>
      <c r="AD13" s="2390"/>
      <c r="BC13" s="555"/>
    </row>
    <row r="14" spans="1:67" ht="5.0999999999999996" customHeight="1">
      <c r="A14" s="583"/>
      <c r="B14" s="579"/>
      <c r="C14" s="564"/>
      <c r="D14" s="564"/>
      <c r="E14" s="564"/>
      <c r="F14" s="564"/>
      <c r="G14" s="564"/>
      <c r="H14" s="564"/>
      <c r="I14" s="564"/>
      <c r="J14" s="564"/>
      <c r="K14" s="564"/>
      <c r="L14" s="564"/>
      <c r="M14" s="564"/>
      <c r="N14" s="564"/>
      <c r="O14" s="564"/>
      <c r="P14" s="564"/>
      <c r="Q14" s="564"/>
      <c r="R14" s="2627"/>
      <c r="S14" s="602"/>
      <c r="T14" s="543"/>
      <c r="U14" s="543"/>
      <c r="V14" s="543"/>
      <c r="W14" s="2387"/>
      <c r="X14" s="2387"/>
      <c r="Y14" s="2390"/>
      <c r="Z14" s="2390"/>
      <c r="AA14" s="2390"/>
      <c r="AB14" s="2390"/>
      <c r="AC14" s="2390"/>
      <c r="AD14" s="2390"/>
      <c r="BC14" s="555"/>
    </row>
    <row r="15" spans="1:67" ht="15" customHeight="1">
      <c r="A15" s="583"/>
      <c r="B15" s="579"/>
      <c r="C15" s="682" t="s">
        <v>812</v>
      </c>
      <c r="D15" s="683"/>
      <c r="E15" s="683"/>
      <c r="F15" s="683"/>
      <c r="G15" s="683"/>
      <c r="H15" s="683"/>
      <c r="I15" s="683"/>
      <c r="J15" s="683"/>
      <c r="K15" s="683"/>
      <c r="L15" s="683"/>
      <c r="M15" s="683"/>
      <c r="N15" s="683"/>
      <c r="O15" s="683"/>
      <c r="P15" s="683"/>
      <c r="Q15" s="683"/>
      <c r="R15" s="684"/>
      <c r="S15" s="602"/>
      <c r="T15" s="543"/>
      <c r="U15" s="543"/>
      <c r="V15" s="543"/>
      <c r="W15" s="2387"/>
      <c r="X15" s="2387"/>
      <c r="Y15" s="2390"/>
      <c r="Z15" s="2390"/>
      <c r="AA15" s="2390"/>
      <c r="AB15" s="2390"/>
      <c r="AC15" s="2390"/>
      <c r="AD15" s="2390"/>
      <c r="BC15" s="555"/>
    </row>
    <row r="16" spans="1:67" ht="15" customHeight="1">
      <c r="A16" s="583"/>
      <c r="B16" s="579"/>
      <c r="C16" s="638" t="s">
        <v>813</v>
      </c>
      <c r="D16" s="564"/>
      <c r="E16" s="564"/>
      <c r="F16" s="564"/>
      <c r="G16" s="564"/>
      <c r="H16" s="564"/>
      <c r="I16" s="564"/>
      <c r="J16" s="564"/>
      <c r="K16" s="564"/>
      <c r="L16" s="564"/>
      <c r="M16" s="564"/>
      <c r="N16" s="564"/>
      <c r="O16" s="564"/>
      <c r="P16" s="564"/>
      <c r="Q16" s="564"/>
      <c r="R16" s="2623"/>
      <c r="S16" s="602"/>
      <c r="T16" s="543"/>
      <c r="U16" s="543"/>
      <c r="V16" s="543"/>
      <c r="W16" s="2387"/>
      <c r="X16" s="2387"/>
      <c r="Y16" s="2390"/>
      <c r="Z16" s="2390"/>
      <c r="AA16" s="2390"/>
      <c r="AB16" s="2390"/>
      <c r="AC16" s="2390"/>
      <c r="AD16" s="2390"/>
      <c r="BC16" s="555"/>
    </row>
    <row r="17" spans="1:55" ht="15" customHeight="1">
      <c r="A17" s="583"/>
      <c r="B17" s="579"/>
      <c r="C17" s="638"/>
      <c r="D17" s="3432" t="str">
        <f>IF(ISBLANK('Mound&lt;1%'!H12),"",'Mound&lt;1%'!O71)</f>
        <v/>
      </c>
      <c r="E17" s="3398"/>
      <c r="F17" s="2621" t="s">
        <v>72</v>
      </c>
      <c r="G17" s="558" t="s">
        <v>101</v>
      </c>
      <c r="H17" s="3432" t="str">
        <f>'Mound&lt;1%'!L47</f>
        <v/>
      </c>
      <c r="I17" s="3398"/>
      <c r="J17" s="2621" t="s">
        <v>101</v>
      </c>
      <c r="K17" s="3468">
        <f>'Mound&lt;1%'!F89</f>
        <v>0</v>
      </c>
      <c r="L17" s="3398"/>
      <c r="M17" s="564" t="s">
        <v>92</v>
      </c>
      <c r="N17" s="2621" t="s">
        <v>102</v>
      </c>
      <c r="O17" s="3399" t="str">
        <f>IF(ISBLANK('Mound&lt;1%'!H12),"",MAX(6,(D17-1)*H17*K17))</f>
        <v/>
      </c>
      <c r="P17" s="3400"/>
      <c r="Q17" s="564"/>
      <c r="R17" s="2623"/>
      <c r="S17" s="602"/>
      <c r="T17" s="543"/>
      <c r="U17" s="543"/>
      <c r="V17" s="543"/>
      <c r="W17" s="2387"/>
      <c r="X17" s="2387"/>
      <c r="Y17" s="2390"/>
      <c r="Z17" s="2390"/>
      <c r="AA17" s="2390"/>
      <c r="AB17" s="2390"/>
      <c r="AC17" s="2390"/>
      <c r="AD17" s="2390"/>
      <c r="BC17" s="555"/>
    </row>
    <row r="18" spans="1:55" ht="5.0999999999999996" customHeight="1">
      <c r="A18" s="583"/>
      <c r="B18" s="579"/>
      <c r="C18" s="638"/>
      <c r="D18" s="564"/>
      <c r="E18" s="564"/>
      <c r="F18" s="564"/>
      <c r="G18" s="564"/>
      <c r="H18" s="564"/>
      <c r="I18" s="564"/>
      <c r="J18" s="564"/>
      <c r="K18" s="564"/>
      <c r="L18" s="564"/>
      <c r="M18" s="564"/>
      <c r="N18" s="564"/>
      <c r="O18" s="564"/>
      <c r="P18" s="564"/>
      <c r="Q18" s="564"/>
      <c r="R18" s="2623"/>
      <c r="S18" s="602"/>
      <c r="T18" s="543"/>
      <c r="U18" s="543"/>
      <c r="V18" s="543"/>
      <c r="W18" s="2387"/>
      <c r="X18" s="2387"/>
      <c r="Y18" s="2390"/>
      <c r="Z18" s="2390"/>
      <c r="AA18" s="2390"/>
      <c r="AB18" s="2390"/>
      <c r="AC18" s="2390"/>
      <c r="AD18" s="2390"/>
      <c r="BC18" s="555"/>
    </row>
    <row r="19" spans="1:55" ht="15" customHeight="1">
      <c r="A19" s="583"/>
      <c r="B19" s="579"/>
      <c r="C19" s="638" t="s">
        <v>814</v>
      </c>
      <c r="D19" s="564"/>
      <c r="E19" s="564"/>
      <c r="F19" s="564"/>
      <c r="G19" s="564"/>
      <c r="H19" s="564"/>
      <c r="I19" s="564"/>
      <c r="J19" s="564"/>
      <c r="K19" s="564"/>
      <c r="L19" s="564"/>
      <c r="M19" s="564"/>
      <c r="N19" s="564"/>
      <c r="O19" s="564"/>
      <c r="P19" s="564"/>
      <c r="Q19" s="564"/>
      <c r="R19" s="2623"/>
      <c r="S19" s="602"/>
      <c r="T19" s="543"/>
      <c r="U19" s="543"/>
      <c r="V19" s="543"/>
      <c r="W19" s="2387"/>
      <c r="X19" s="2387"/>
      <c r="Y19" s="2390"/>
      <c r="Z19" s="2390"/>
      <c r="AA19" s="2390"/>
      <c r="AB19" s="2390"/>
      <c r="AC19" s="2390"/>
      <c r="AD19" s="2390"/>
      <c r="BC19" s="555"/>
    </row>
    <row r="20" spans="1:55" ht="15" customHeight="1">
      <c r="A20" s="583"/>
      <c r="B20" s="579"/>
      <c r="C20" s="638"/>
      <c r="D20" s="3432" t="str">
        <f>'Mound&lt;1%'!O71</f>
        <v/>
      </c>
      <c r="E20" s="3398"/>
      <c r="F20" s="2621" t="s">
        <v>72</v>
      </c>
      <c r="G20" s="558" t="s">
        <v>101</v>
      </c>
      <c r="H20" s="3432" t="str">
        <f>'Mound&lt;1%'!L47</f>
        <v/>
      </c>
      <c r="I20" s="3398"/>
      <c r="J20" s="2621" t="s">
        <v>101</v>
      </c>
      <c r="K20" s="3411">
        <f>'Mound&lt;1%'!H32</f>
        <v>0</v>
      </c>
      <c r="L20" s="3398"/>
      <c r="M20" s="564" t="s">
        <v>92</v>
      </c>
      <c r="N20" s="2621" t="s">
        <v>102</v>
      </c>
      <c r="O20" s="3399" t="str">
        <f>IF(ISBLANK('Mound&lt;1%'!H12),"",MAX(6,(D20-1)*H20*K20))</f>
        <v/>
      </c>
      <c r="P20" s="3400"/>
      <c r="Q20" s="564"/>
      <c r="R20" s="2623"/>
      <c r="S20" s="602"/>
      <c r="T20" s="543"/>
      <c r="U20" s="543"/>
      <c r="V20" s="543"/>
      <c r="W20" s="2391"/>
      <c r="X20" s="2392"/>
      <c r="Y20" s="2392"/>
      <c r="Z20" s="2392"/>
      <c r="AA20" s="2392"/>
      <c r="AB20" s="2392"/>
      <c r="AC20" s="2392"/>
      <c r="AD20" s="2392"/>
      <c r="AE20" s="545"/>
      <c r="AF20" s="545"/>
      <c r="AG20" s="545"/>
      <c r="AH20" s="545"/>
      <c r="AI20" s="545"/>
      <c r="AJ20" s="545"/>
      <c r="AK20" s="545"/>
      <c r="AL20" s="545"/>
      <c r="AM20" s="545"/>
      <c r="AN20" s="545"/>
      <c r="BC20" s="555"/>
    </row>
    <row r="21" spans="1:55" ht="5.0999999999999996" customHeight="1">
      <c r="A21" s="583"/>
      <c r="B21" s="579"/>
      <c r="C21" s="638"/>
      <c r="D21" s="624"/>
      <c r="E21" s="2621"/>
      <c r="F21" s="2621"/>
      <c r="G21" s="558"/>
      <c r="H21" s="624"/>
      <c r="I21" s="2621"/>
      <c r="J21" s="564"/>
      <c r="K21" s="2621"/>
      <c r="L21" s="2621"/>
      <c r="M21" s="564"/>
      <c r="N21" s="564"/>
      <c r="O21" s="624"/>
      <c r="P21" s="2621"/>
      <c r="Q21" s="564"/>
      <c r="R21" s="2623"/>
      <c r="S21" s="602"/>
      <c r="T21" s="543"/>
      <c r="U21" s="543"/>
      <c r="V21" s="543"/>
      <c r="W21" s="2391"/>
      <c r="X21" s="2392"/>
      <c r="Y21" s="2392"/>
      <c r="Z21" s="2392"/>
      <c r="AA21" s="2392"/>
      <c r="AB21" s="2392"/>
      <c r="AC21" s="2392"/>
      <c r="AD21" s="2392"/>
      <c r="AE21" s="545"/>
      <c r="AF21" s="545"/>
      <c r="AG21" s="545"/>
      <c r="AH21" s="545"/>
      <c r="AI21" s="545"/>
      <c r="AJ21" s="545"/>
      <c r="AK21" s="545"/>
      <c r="AL21" s="545"/>
      <c r="AM21" s="545"/>
      <c r="AN21" s="545"/>
      <c r="BC21" s="555"/>
    </row>
    <row r="22" spans="1:55" ht="15" customHeight="1">
      <c r="A22" s="583"/>
      <c r="B22" s="579"/>
      <c r="C22" s="637" t="s">
        <v>816</v>
      </c>
      <c r="D22" s="564"/>
      <c r="E22" s="564"/>
      <c r="F22" s="564"/>
      <c r="G22" s="564"/>
      <c r="H22" s="564"/>
      <c r="I22" s="564"/>
      <c r="J22" s="564"/>
      <c r="K22" s="564"/>
      <c r="L22" s="564"/>
      <c r="M22" s="564"/>
      <c r="N22" s="564"/>
      <c r="O22" s="564"/>
      <c r="P22" s="564"/>
      <c r="Q22" s="564"/>
      <c r="R22" s="2623"/>
      <c r="S22" s="602"/>
      <c r="T22" s="543"/>
      <c r="U22" s="543"/>
      <c r="V22" s="543"/>
      <c r="W22" s="2391"/>
      <c r="X22" s="2392"/>
      <c r="Y22" s="2392"/>
      <c r="Z22" s="2392"/>
      <c r="AA22" s="2392"/>
      <c r="AB22" s="2392"/>
      <c r="AC22" s="2392"/>
      <c r="AD22" s="2392"/>
      <c r="AE22" s="545"/>
      <c r="AF22" s="545"/>
      <c r="AG22" s="545"/>
      <c r="AH22" s="545"/>
      <c r="AI22" s="545"/>
      <c r="AJ22" s="545"/>
      <c r="AK22" s="545"/>
      <c r="AL22" s="545"/>
      <c r="AM22" s="545"/>
      <c r="AN22" s="545"/>
      <c r="BC22" s="555"/>
    </row>
    <row r="23" spans="1:55" ht="15" customHeight="1">
      <c r="A23" s="583"/>
      <c r="B23" s="579"/>
      <c r="C23" s="638"/>
      <c r="D23" s="555"/>
      <c r="E23" s="555"/>
      <c r="F23" s="3399" t="str">
        <f>O17</f>
        <v/>
      </c>
      <c r="G23" s="3400"/>
      <c r="H23" s="2621" t="s">
        <v>522</v>
      </c>
      <c r="I23" s="3399" t="str">
        <f>O20</f>
        <v/>
      </c>
      <c r="J23" s="3400"/>
      <c r="K23" s="2621" t="s">
        <v>522</v>
      </c>
      <c r="L23" s="3485" t="str">
        <f>IF(ISBLANK('Mound&lt;1%'!H12),"",P13)</f>
        <v/>
      </c>
      <c r="M23" s="3486"/>
      <c r="N23" s="2621" t="s">
        <v>525</v>
      </c>
      <c r="O23" s="3399" t="str">
        <f>IF(ISBLANK('Mound&lt;1%'!H12),"",O17+O20+P13)</f>
        <v/>
      </c>
      <c r="P23" s="3400"/>
      <c r="Q23" s="2627" t="s">
        <v>24</v>
      </c>
      <c r="R23" s="636"/>
      <c r="S23" s="602"/>
      <c r="T23" s="543"/>
      <c r="U23" s="543"/>
      <c r="V23" s="543"/>
      <c r="W23" s="2387"/>
      <c r="X23" s="2387"/>
      <c r="Y23" s="2388"/>
      <c r="Z23" s="2388"/>
      <c r="AA23" s="2388"/>
      <c r="AB23" s="2388"/>
      <c r="AC23" s="2388"/>
      <c r="AD23" s="2388"/>
      <c r="AG23" s="545"/>
      <c r="AH23" s="545"/>
      <c r="AI23" s="545"/>
      <c r="AJ23" s="545"/>
      <c r="AK23" s="545"/>
      <c r="AL23" s="545"/>
      <c r="AM23" s="545"/>
      <c r="AN23" s="545"/>
      <c r="BC23" s="555"/>
    </row>
    <row r="24" spans="1:55" ht="5.0999999999999996" customHeight="1">
      <c r="A24" s="583"/>
      <c r="B24" s="579"/>
      <c r="C24" s="635"/>
      <c r="D24" s="631"/>
      <c r="E24" s="631"/>
      <c r="F24" s="634"/>
      <c r="G24" s="630"/>
      <c r="H24" s="631"/>
      <c r="I24" s="634"/>
      <c r="J24" s="631"/>
      <c r="K24" s="631"/>
      <c r="L24" s="634"/>
      <c r="M24" s="631"/>
      <c r="N24" s="631"/>
      <c r="O24" s="633"/>
      <c r="P24" s="631"/>
      <c r="Q24" s="631"/>
      <c r="R24" s="632"/>
      <c r="S24" s="602"/>
      <c r="T24" s="543"/>
      <c r="U24" s="543"/>
      <c r="V24" s="543"/>
      <c r="W24" s="2391"/>
      <c r="X24" s="2392"/>
      <c r="Y24" s="2392"/>
      <c r="Z24" s="2392"/>
      <c r="AA24" s="2392"/>
      <c r="AB24" s="2392"/>
      <c r="AC24" s="2392"/>
      <c r="AD24" s="2392"/>
      <c r="AE24" s="545"/>
      <c r="AF24" s="545"/>
      <c r="AG24" s="545"/>
      <c r="AH24" s="545"/>
      <c r="AI24" s="545"/>
      <c r="AJ24" s="545"/>
      <c r="AK24" s="545"/>
      <c r="AL24" s="545"/>
      <c r="AM24" s="545"/>
      <c r="AN24" s="545"/>
      <c r="BC24" s="555"/>
    </row>
    <row r="25" spans="1:55" ht="15" customHeight="1">
      <c r="A25" s="583"/>
      <c r="B25" s="579"/>
      <c r="C25" s="682" t="s">
        <v>815</v>
      </c>
      <c r="D25" s="685"/>
      <c r="E25" s="685"/>
      <c r="F25" s="686"/>
      <c r="G25" s="685"/>
      <c r="H25" s="685"/>
      <c r="I25" s="686"/>
      <c r="J25" s="685"/>
      <c r="K25" s="685"/>
      <c r="L25" s="686"/>
      <c r="M25" s="685"/>
      <c r="N25" s="685"/>
      <c r="O25" s="687"/>
      <c r="P25" s="685"/>
      <c r="Q25" s="685"/>
      <c r="R25" s="684"/>
      <c r="S25" s="602"/>
      <c r="T25" s="543"/>
      <c r="U25" s="543"/>
      <c r="V25" s="543"/>
      <c r="W25" s="2391"/>
      <c r="X25" s="2392"/>
      <c r="Y25" s="2392"/>
      <c r="Z25" s="2392"/>
      <c r="AA25" s="2392"/>
      <c r="AB25" s="2392"/>
      <c r="AC25" s="2392"/>
      <c r="AD25" s="2392"/>
      <c r="AE25" s="545"/>
      <c r="AF25" s="545"/>
      <c r="AG25" s="545"/>
      <c r="AH25" s="545"/>
      <c r="AI25" s="545"/>
      <c r="AJ25" s="545"/>
      <c r="AK25" s="545"/>
      <c r="AL25" s="545"/>
      <c r="AM25" s="545"/>
      <c r="AN25" s="545"/>
      <c r="BC25" s="555"/>
    </row>
    <row r="26" spans="1:55" ht="15" customHeight="1">
      <c r="A26" s="583"/>
      <c r="B26" s="579"/>
      <c r="C26" s="641" t="s">
        <v>809</v>
      </c>
      <c r="D26" s="639"/>
      <c r="E26" s="639"/>
      <c r="F26" s="639"/>
      <c r="G26" s="639"/>
      <c r="H26" s="639"/>
      <c r="I26" s="639"/>
      <c r="J26" s="639"/>
      <c r="K26" s="639"/>
      <c r="L26" s="639"/>
      <c r="M26" s="639"/>
      <c r="N26" s="639"/>
      <c r="O26" s="639"/>
      <c r="P26" s="639"/>
      <c r="Q26" s="639"/>
      <c r="R26" s="640"/>
      <c r="S26" s="602"/>
      <c r="T26" s="543"/>
      <c r="U26" s="543"/>
      <c r="V26" s="543"/>
      <c r="W26" s="2391"/>
      <c r="X26" s="2392"/>
      <c r="Y26" s="2392"/>
      <c r="Z26" s="2392"/>
      <c r="AA26" s="2392"/>
      <c r="AB26" s="2392"/>
      <c r="AC26" s="2392"/>
      <c r="AD26" s="2392"/>
      <c r="AE26" s="545"/>
      <c r="AF26" s="545"/>
      <c r="AG26" s="545"/>
      <c r="AH26" s="545"/>
      <c r="AI26" s="545"/>
      <c r="AJ26" s="545"/>
      <c r="AK26" s="545"/>
      <c r="AL26" s="545"/>
      <c r="AM26" s="545"/>
      <c r="AN26" s="545"/>
      <c r="BC26" s="555"/>
    </row>
    <row r="27" spans="1:55" ht="15" customHeight="1">
      <c r="A27" s="583"/>
      <c r="B27" s="579"/>
      <c r="C27" s="638"/>
      <c r="D27" s="564"/>
      <c r="E27" s="584" t="s">
        <v>33</v>
      </c>
      <c r="F27" s="3399" t="str">
        <f>IF(ISBLANK('Mound&gt;1%'!H12),"",'Mound&gt;1%'!O64)</f>
        <v/>
      </c>
      <c r="G27" s="3400"/>
      <c r="H27" s="2628" t="s">
        <v>72</v>
      </c>
      <c r="I27" s="2621" t="s">
        <v>101</v>
      </c>
      <c r="J27" s="3483" t="s">
        <v>732</v>
      </c>
      <c r="K27" s="3500"/>
      <c r="L27" s="3501"/>
      <c r="M27" s="3399">
        <f>IF(ISBLANK('Mound&gt;1%'!J94),"",'Mound&gt;1%'!J94)</f>
        <v>0</v>
      </c>
      <c r="N27" s="3400"/>
      <c r="O27" s="556" t="s">
        <v>521</v>
      </c>
      <c r="P27" s="3399" t="str">
        <f>IF(ISBLANK('Mound&gt;1%'!H12),"",((F27-1)*3*M27)/2)</f>
        <v/>
      </c>
      <c r="Q27" s="3400"/>
      <c r="R27" s="2623" t="s">
        <v>24</v>
      </c>
      <c r="S27" s="602"/>
      <c r="T27" s="543"/>
      <c r="U27" s="543"/>
      <c r="V27" s="543"/>
      <c r="W27" s="2393"/>
      <c r="X27" s="2393"/>
      <c r="Y27" s="2394"/>
      <c r="Z27" s="2393"/>
      <c r="AA27" s="2393"/>
      <c r="AB27" s="2394"/>
      <c r="AC27" s="2393"/>
      <c r="AD27" s="2393"/>
      <c r="AE27" s="550"/>
      <c r="AF27" s="576"/>
      <c r="AG27" s="576"/>
      <c r="AH27" s="550"/>
      <c r="AI27" s="576"/>
      <c r="AJ27" s="576"/>
      <c r="AK27" s="550"/>
      <c r="AL27" s="576"/>
      <c r="AM27" s="576"/>
      <c r="AN27" s="550"/>
      <c r="BC27" s="564"/>
    </row>
    <row r="28" spans="1:55" ht="5.0999999999999996" customHeight="1">
      <c r="A28" s="583"/>
      <c r="B28" s="579"/>
      <c r="C28" s="638"/>
      <c r="D28" s="564"/>
      <c r="E28" s="564"/>
      <c r="F28" s="564"/>
      <c r="G28" s="564"/>
      <c r="H28" s="564"/>
      <c r="I28" s="564"/>
      <c r="J28" s="564"/>
      <c r="K28" s="564"/>
      <c r="L28" s="564"/>
      <c r="M28" s="564"/>
      <c r="N28" s="564"/>
      <c r="O28" s="564"/>
      <c r="P28" s="564"/>
      <c r="Q28" s="564"/>
      <c r="R28" s="2623"/>
      <c r="S28" s="602"/>
      <c r="T28" s="543"/>
      <c r="U28" s="1990"/>
      <c r="V28" s="550"/>
      <c r="W28" s="2392"/>
      <c r="X28" s="2392"/>
      <c r="Y28" s="2392"/>
      <c r="Z28" s="2392"/>
      <c r="AA28" s="2392"/>
      <c r="AB28" s="2392"/>
      <c r="AC28" s="2392"/>
      <c r="AD28" s="2392"/>
      <c r="AE28" s="545"/>
      <c r="AF28" s="545"/>
      <c r="AG28" s="545"/>
      <c r="AH28" s="545"/>
      <c r="AI28" s="545"/>
      <c r="AJ28" s="545"/>
      <c r="AK28" s="545"/>
      <c r="AL28" s="545"/>
      <c r="AM28" s="545"/>
      <c r="AN28" s="545"/>
      <c r="BC28" s="555"/>
    </row>
    <row r="29" spans="1:55" ht="15" customHeight="1">
      <c r="A29" s="583"/>
      <c r="B29" s="579"/>
      <c r="C29" s="637" t="s">
        <v>808</v>
      </c>
      <c r="D29" s="564"/>
      <c r="E29" s="564"/>
      <c r="F29" s="564"/>
      <c r="G29" s="564"/>
      <c r="H29" s="564"/>
      <c r="I29" s="564"/>
      <c r="J29" s="564"/>
      <c r="K29" s="564"/>
      <c r="L29" s="564"/>
      <c r="M29" s="564"/>
      <c r="N29" s="564"/>
      <c r="O29" s="564"/>
      <c r="P29" s="564"/>
      <c r="Q29" s="564"/>
      <c r="R29" s="2623"/>
      <c r="S29" s="602"/>
      <c r="T29" s="543"/>
      <c r="U29" s="543"/>
      <c r="V29" s="543"/>
      <c r="W29" s="2392"/>
      <c r="X29" s="2392"/>
      <c r="Y29" s="2392"/>
      <c r="Z29" s="2392"/>
      <c r="AA29" s="2392"/>
      <c r="AB29" s="2392"/>
      <c r="AC29" s="2392"/>
      <c r="AD29" s="2392"/>
      <c r="AE29" s="545"/>
      <c r="AF29" s="545"/>
      <c r="AG29" s="545"/>
      <c r="AH29" s="545"/>
      <c r="AI29" s="545"/>
      <c r="AJ29" s="545"/>
      <c r="AK29" s="545"/>
      <c r="AL29" s="545"/>
      <c r="AM29" s="545"/>
      <c r="AN29" s="545"/>
      <c r="BC29" s="555"/>
    </row>
    <row r="30" spans="1:55" ht="15" customHeight="1">
      <c r="A30" s="583"/>
      <c r="B30" s="579"/>
      <c r="C30" s="638"/>
      <c r="D30" s="564"/>
      <c r="E30" s="584" t="s">
        <v>33</v>
      </c>
      <c r="F30" s="3399" t="str">
        <f>IF(ISBLANK('Mound&gt;1%'!H12),"",'Mound&gt;1%'!N75)</f>
        <v/>
      </c>
      <c r="G30" s="3400"/>
      <c r="H30" s="2628" t="s">
        <v>73</v>
      </c>
      <c r="I30" s="2621" t="s">
        <v>101</v>
      </c>
      <c r="J30" s="3484" t="str">
        <f>IF(ISBLANK('Mound&gt;1%'!H12),"",'Mound&gt;1%'!N44)</f>
        <v/>
      </c>
      <c r="K30" s="3400"/>
      <c r="L30" s="2627" t="s">
        <v>122</v>
      </c>
      <c r="M30" s="3399">
        <f>IF(ISBLANK('Mound Mat.'!M27:N27),"",'Mound Mat.'!M27:N27)</f>
        <v>0</v>
      </c>
      <c r="N30" s="3400"/>
      <c r="O30" s="556" t="s">
        <v>521</v>
      </c>
      <c r="P30" s="3399" t="str">
        <f>IF(ISBLANK('Mound&gt;1%'!H12),"",((F30-1)*(J30)*M30)/2)</f>
        <v/>
      </c>
      <c r="Q30" s="3400"/>
      <c r="R30" s="2623" t="s">
        <v>24</v>
      </c>
      <c r="S30" s="602"/>
      <c r="T30" s="543"/>
      <c r="U30" s="543"/>
      <c r="V30" s="543"/>
      <c r="W30" s="2392"/>
      <c r="X30" s="2392"/>
      <c r="Y30" s="2392"/>
      <c r="Z30" s="2392"/>
      <c r="AA30" s="2392"/>
      <c r="AB30" s="2392"/>
      <c r="AC30" s="2392"/>
      <c r="AD30" s="2392"/>
      <c r="AE30" s="545"/>
      <c r="AF30" s="545"/>
      <c r="AG30" s="545"/>
      <c r="AH30" s="545"/>
      <c r="AI30" s="545"/>
      <c r="AJ30" s="545"/>
      <c r="AK30" s="545"/>
      <c r="AL30" s="545"/>
      <c r="AM30" s="545"/>
      <c r="AN30" s="545"/>
    </row>
    <row r="31" spans="1:55" ht="5.0999999999999996" customHeight="1">
      <c r="A31" s="583"/>
      <c r="B31" s="579"/>
      <c r="C31" s="2622"/>
      <c r="D31" s="2627"/>
      <c r="E31" s="2627"/>
      <c r="F31" s="2627"/>
      <c r="G31" s="2627"/>
      <c r="H31" s="564"/>
      <c r="I31" s="564"/>
      <c r="J31" s="564"/>
      <c r="K31" s="564"/>
      <c r="L31" s="564"/>
      <c r="M31" s="564"/>
      <c r="N31" s="564"/>
      <c r="O31" s="564"/>
      <c r="P31" s="2630"/>
      <c r="Q31" s="2621"/>
      <c r="R31" s="2623"/>
      <c r="S31" s="602"/>
      <c r="T31" s="543"/>
      <c r="U31" s="543"/>
      <c r="V31" s="543"/>
      <c r="W31" s="2387"/>
      <c r="X31" s="2387"/>
      <c r="Y31" s="2390"/>
      <c r="Z31" s="2390"/>
      <c r="AA31" s="2390"/>
      <c r="AB31" s="2390"/>
      <c r="AC31" s="2390"/>
      <c r="AD31" s="2390"/>
    </row>
    <row r="32" spans="1:55" ht="15" customHeight="1">
      <c r="A32" s="583"/>
      <c r="B32" s="579"/>
      <c r="C32" s="637" t="s">
        <v>34</v>
      </c>
      <c r="D32" s="564"/>
      <c r="E32" s="564"/>
      <c r="F32" s="564"/>
      <c r="G32" s="564"/>
      <c r="H32" s="564"/>
      <c r="I32" s="564"/>
      <c r="J32" s="564"/>
      <c r="K32" s="564"/>
      <c r="L32" s="564"/>
      <c r="M32" s="564"/>
      <c r="N32" s="564"/>
      <c r="O32" s="564"/>
      <c r="P32" s="564"/>
      <c r="Q32" s="564"/>
      <c r="R32" s="2623"/>
      <c r="S32" s="602"/>
      <c r="T32" s="543"/>
      <c r="U32" s="543"/>
      <c r="V32" s="543"/>
      <c r="W32" s="2395"/>
      <c r="X32" s="2392"/>
      <c r="Y32" s="2392"/>
      <c r="Z32" s="2392"/>
      <c r="AA32" s="2392"/>
      <c r="AB32" s="2392"/>
      <c r="AC32" s="2392"/>
      <c r="AD32" s="2392"/>
      <c r="AE32" s="545"/>
      <c r="AF32" s="545"/>
      <c r="AG32" s="545"/>
      <c r="AH32" s="545"/>
      <c r="AI32" s="545"/>
      <c r="AJ32" s="545"/>
      <c r="AK32" s="545"/>
      <c r="AL32" s="545"/>
      <c r="AM32" s="545"/>
      <c r="AN32" s="545"/>
    </row>
    <row r="33" spans="1:51" ht="15" customHeight="1">
      <c r="A33" s="583"/>
      <c r="B33" s="579"/>
      <c r="C33" s="638"/>
      <c r="D33" s="564"/>
      <c r="E33" s="584" t="s">
        <v>310</v>
      </c>
      <c r="F33" s="3399" t="str">
        <f>IF(ISBLANK('Mound&gt;1%'!H12),"",'Mound&gt;1%'!N75)</f>
        <v/>
      </c>
      <c r="G33" s="3400"/>
      <c r="H33" s="2628" t="s">
        <v>74</v>
      </c>
      <c r="I33" s="2621" t="s">
        <v>101</v>
      </c>
      <c r="J33" s="3495" t="s">
        <v>733</v>
      </c>
      <c r="K33" s="3496"/>
      <c r="L33" s="3497"/>
      <c r="M33" s="3399" t="str">
        <f>IF(ISBLANK('Mound&gt;1%'!H29),"",'Mound&gt;1%'!H29)</f>
        <v/>
      </c>
      <c r="N33" s="3400"/>
      <c r="O33" s="596" t="s">
        <v>120</v>
      </c>
      <c r="P33" s="3399" t="str">
        <f>IF(ISBLANK('Mound&gt;1%'!H12),"",((F33-1)*3*M33))</f>
        <v/>
      </c>
      <c r="Q33" s="3400"/>
      <c r="R33" s="2623" t="s">
        <v>24</v>
      </c>
      <c r="S33" s="602"/>
      <c r="T33" s="543"/>
      <c r="U33" s="543"/>
      <c r="V33" s="543"/>
      <c r="W33" s="2395"/>
      <c r="X33" s="2391"/>
      <c r="Y33" s="2392"/>
      <c r="Z33" s="2392"/>
      <c r="AA33" s="2392"/>
      <c r="AB33" s="2392"/>
      <c r="AC33" s="2392"/>
      <c r="AD33" s="2392"/>
      <c r="AE33" s="545"/>
      <c r="AF33" s="545"/>
      <c r="AG33" s="545"/>
      <c r="AH33" s="545"/>
      <c r="AI33" s="545"/>
      <c r="AJ33" s="545"/>
      <c r="AK33" s="545"/>
      <c r="AL33" s="545"/>
      <c r="AM33" s="545"/>
      <c r="AN33" s="545"/>
    </row>
    <row r="34" spans="1:51" ht="5.0999999999999996" customHeight="1">
      <c r="A34" s="583"/>
      <c r="B34" s="579"/>
      <c r="C34" s="638"/>
      <c r="D34" s="564"/>
      <c r="E34" s="564"/>
      <c r="F34" s="564"/>
      <c r="G34" s="564"/>
      <c r="H34" s="564"/>
      <c r="I34" s="564"/>
      <c r="J34" s="564"/>
      <c r="K34" s="564"/>
      <c r="L34" s="564"/>
      <c r="M34" s="564"/>
      <c r="N34" s="564"/>
      <c r="O34" s="564"/>
      <c r="P34" s="564"/>
      <c r="Q34" s="564"/>
      <c r="R34" s="2623"/>
      <c r="S34" s="602"/>
      <c r="T34" s="543"/>
      <c r="U34" s="543"/>
      <c r="V34" s="543"/>
      <c r="W34" s="2395"/>
      <c r="X34" s="2392"/>
      <c r="Y34" s="2394"/>
      <c r="Z34" s="2394"/>
      <c r="AA34" s="2394"/>
      <c r="AB34" s="2394"/>
      <c r="AC34" s="2396"/>
      <c r="AD34" s="2396"/>
      <c r="AE34" s="550"/>
      <c r="AF34" s="551"/>
      <c r="AG34" s="550"/>
      <c r="AH34" s="549"/>
      <c r="AI34" s="549"/>
      <c r="AJ34" s="550"/>
      <c r="AK34" s="545"/>
      <c r="AL34" s="545"/>
      <c r="AM34" s="545"/>
      <c r="AN34" s="545"/>
      <c r="AP34" s="555"/>
    </row>
    <row r="35" spans="1:51" ht="15" customHeight="1">
      <c r="A35" s="583"/>
      <c r="B35" s="579"/>
      <c r="C35" s="637" t="s">
        <v>35</v>
      </c>
      <c r="D35" s="564"/>
      <c r="E35" s="564"/>
      <c r="F35" s="564"/>
      <c r="G35" s="564"/>
      <c r="H35" s="564"/>
      <c r="I35" s="564"/>
      <c r="J35" s="564"/>
      <c r="K35" s="564"/>
      <c r="L35" s="564"/>
      <c r="M35" s="564"/>
      <c r="N35" s="564"/>
      <c r="O35" s="564"/>
      <c r="P35" s="564"/>
      <c r="Q35" s="564"/>
      <c r="R35" s="2623"/>
      <c r="S35" s="602"/>
      <c r="T35" s="543"/>
      <c r="U35" s="543"/>
      <c r="V35" s="543"/>
      <c r="W35" s="2395"/>
      <c r="X35" s="2394"/>
      <c r="Y35" s="2394"/>
      <c r="Z35" s="2394"/>
      <c r="AA35" s="2394"/>
      <c r="AB35" s="2394"/>
      <c r="AC35" s="2392"/>
      <c r="AD35" s="2392"/>
      <c r="AE35" s="545"/>
      <c r="AF35" s="545"/>
      <c r="AG35" s="545"/>
      <c r="AH35" s="545"/>
      <c r="AI35" s="545"/>
      <c r="AJ35" s="545"/>
      <c r="AK35" s="549"/>
      <c r="AL35" s="550"/>
      <c r="AM35" s="545"/>
      <c r="AN35" s="545"/>
      <c r="AP35" s="555"/>
      <c r="AQ35" s="555"/>
      <c r="AR35" s="555"/>
    </row>
    <row r="36" spans="1:51" ht="15" customHeight="1">
      <c r="A36" s="583"/>
      <c r="B36" s="579"/>
      <c r="C36" s="638"/>
      <c r="D36" s="3399" t="str">
        <f>IF(Summary!AA63=0,"",IF(Summary!AA63=1,"",IF(Summary!AA63=2,"",IF(Summary!AA63=3,"",IF(Summary!AA63=5,"",IF(Summary!AA63=4,P27))))))</f>
        <v/>
      </c>
      <c r="E36" s="3400"/>
      <c r="F36" s="2621" t="s">
        <v>522</v>
      </c>
      <c r="G36" s="3399" t="str">
        <f>IF(Summary!AA63=0,"",IF(Summary!AA63=1,"",IF(Summary!AA63=2,"",IF(Summary!AA63=3,"",IF(Summary!AA63=5,"",IF(Summary!AA63=4,P30))))))</f>
        <v/>
      </c>
      <c r="H36" s="3400"/>
      <c r="I36" s="2621" t="s">
        <v>522</v>
      </c>
      <c r="J36" s="3399" t="str">
        <f>IF(Summary!AA63=0,"",IF(Summary!AA63=1,"",IF(Summary!AA63=2,"",IF(Summary!AA63=3,"",IF(Summary!AA63=5,"",IF(Summary!AA63=4,P33))))))</f>
        <v/>
      </c>
      <c r="K36" s="3400"/>
      <c r="L36" s="2621" t="s">
        <v>522</v>
      </c>
      <c r="M36" s="3399" t="str">
        <f>IF(ISBLANK('Mound&gt;1%'!H12),"",P13)</f>
        <v/>
      </c>
      <c r="N36" s="3400"/>
      <c r="O36" s="596" t="s">
        <v>523</v>
      </c>
      <c r="P36" s="3399" t="str">
        <f>IF(ISBLANK('Mound&gt;1%'!H12),"",(D36+G36+J36+M36))</f>
        <v/>
      </c>
      <c r="Q36" s="3400"/>
      <c r="R36" s="2623" t="s">
        <v>24</v>
      </c>
      <c r="S36" s="602"/>
      <c r="T36" s="543"/>
      <c r="U36" s="543"/>
      <c r="V36" s="543"/>
      <c r="W36" s="2392"/>
      <c r="X36" s="2387"/>
      <c r="Y36" s="2388"/>
      <c r="Z36" s="2392"/>
      <c r="AA36" s="2392"/>
      <c r="AB36" s="2392"/>
      <c r="AC36" s="2392"/>
      <c r="AD36" s="2392"/>
      <c r="AE36" s="545"/>
      <c r="AF36" s="545"/>
      <c r="AG36" s="545"/>
      <c r="AH36" s="545"/>
      <c r="AI36" s="545"/>
      <c r="AJ36" s="545"/>
      <c r="AK36" s="545"/>
      <c r="AL36" s="545"/>
      <c r="AM36" s="545"/>
      <c r="AN36" s="545"/>
    </row>
    <row r="37" spans="1:51" ht="5.0999999999999996" customHeight="1">
      <c r="A37" s="583"/>
      <c r="B37" s="579"/>
      <c r="C37" s="635"/>
      <c r="D37" s="642"/>
      <c r="E37" s="642"/>
      <c r="F37" s="642"/>
      <c r="G37" s="642"/>
      <c r="H37" s="642"/>
      <c r="I37" s="642"/>
      <c r="J37" s="642"/>
      <c r="K37" s="642"/>
      <c r="L37" s="642"/>
      <c r="M37" s="642"/>
      <c r="N37" s="642"/>
      <c r="O37" s="642"/>
      <c r="P37" s="642"/>
      <c r="Q37" s="642"/>
      <c r="R37" s="632"/>
      <c r="S37" s="602"/>
      <c r="T37" s="543"/>
      <c r="U37" s="543"/>
      <c r="V37" s="543"/>
      <c r="W37" s="2387"/>
      <c r="X37" s="2387"/>
      <c r="Y37" s="2388"/>
      <c r="Z37" s="2388"/>
      <c r="AA37" s="2388"/>
      <c r="AB37" s="2388"/>
      <c r="AC37" s="2388"/>
      <c r="AD37" s="2388"/>
      <c r="AP37" s="555"/>
      <c r="AQ37" s="555"/>
      <c r="AR37" s="555"/>
    </row>
    <row r="38" spans="1:51" ht="5.0999999999999996" customHeight="1">
      <c r="A38" s="583"/>
      <c r="B38" s="579"/>
      <c r="C38" s="564"/>
      <c r="D38" s="564"/>
      <c r="E38" s="564"/>
      <c r="F38" s="564"/>
      <c r="G38" s="564"/>
      <c r="H38" s="564"/>
      <c r="I38" s="564"/>
      <c r="J38" s="564"/>
      <c r="K38" s="564"/>
      <c r="L38" s="564"/>
      <c r="M38" s="564"/>
      <c r="N38" s="564"/>
      <c r="O38" s="564"/>
      <c r="P38" s="564"/>
      <c r="Q38" s="564"/>
      <c r="R38" s="2627"/>
      <c r="S38" s="602"/>
      <c r="T38" s="543"/>
      <c r="U38" s="543"/>
      <c r="V38" s="543"/>
      <c r="W38" s="2387"/>
      <c r="X38" s="2387"/>
      <c r="Y38" s="2388"/>
      <c r="Z38" s="2388"/>
      <c r="AA38" s="2388"/>
      <c r="AB38" s="2388"/>
      <c r="AC38" s="2388"/>
      <c r="AD38" s="2388"/>
      <c r="AP38" s="555"/>
      <c r="AQ38" s="555"/>
      <c r="AR38" s="555"/>
    </row>
    <row r="39" spans="1:51" ht="15" customHeight="1">
      <c r="A39" s="583"/>
      <c r="B39" s="579"/>
      <c r="C39" s="2627" t="s">
        <v>69</v>
      </c>
      <c r="D39" s="564"/>
      <c r="E39" s="564"/>
      <c r="F39" s="564"/>
      <c r="G39" s="564"/>
      <c r="H39" s="564"/>
      <c r="I39" s="564"/>
      <c r="J39" s="564"/>
      <c r="K39" s="3399" t="str">
        <f>IF(Summary!AA63=4,MAX(O23,P36)," ")</f>
        <v xml:space="preserve"> </v>
      </c>
      <c r="L39" s="3400"/>
      <c r="M39" s="2621" t="s">
        <v>81</v>
      </c>
      <c r="N39" s="606">
        <v>27</v>
      </c>
      <c r="O39" s="2621" t="s">
        <v>102</v>
      </c>
      <c r="P39" s="3399" t="str">
        <f>IF(Summary!AA63=4,K39/27," ")</f>
        <v xml:space="preserve"> </v>
      </c>
      <c r="Q39" s="3400"/>
      <c r="R39" s="2627" t="s">
        <v>25</v>
      </c>
      <c r="S39" s="602"/>
      <c r="T39" s="543"/>
      <c r="U39" s="543"/>
      <c r="V39" s="543"/>
      <c r="W39" s="2387"/>
      <c r="X39" s="2387"/>
      <c r="Y39" s="2388"/>
      <c r="Z39" s="2388"/>
      <c r="AA39" s="2388"/>
      <c r="AB39" s="2388"/>
      <c r="AC39" s="2388"/>
      <c r="AD39" s="2388"/>
      <c r="AP39" s="555"/>
      <c r="AQ39" s="555"/>
      <c r="AR39" s="555"/>
      <c r="AU39" s="542"/>
      <c r="AX39" s="542"/>
      <c r="AY39" s="542"/>
    </row>
    <row r="40" spans="1:51" ht="5.0999999999999996" customHeight="1">
      <c r="A40" s="583"/>
      <c r="B40" s="579"/>
      <c r="C40" s="564"/>
      <c r="D40" s="564"/>
      <c r="E40" s="564"/>
      <c r="F40" s="564"/>
      <c r="G40" s="564"/>
      <c r="H40" s="564"/>
      <c r="I40" s="564"/>
      <c r="J40" s="564"/>
      <c r="K40" s="564"/>
      <c r="L40" s="564"/>
      <c r="M40" s="564"/>
      <c r="N40" s="564"/>
      <c r="O40" s="564"/>
      <c r="P40" s="564"/>
      <c r="Q40" s="564"/>
      <c r="R40" s="2627"/>
      <c r="S40" s="602"/>
      <c r="T40" s="543"/>
      <c r="U40" s="543"/>
      <c r="V40" s="543"/>
      <c r="W40" s="2387"/>
      <c r="X40" s="2387"/>
      <c r="Y40" s="2388"/>
      <c r="Z40" s="2388"/>
      <c r="AA40" s="2388"/>
      <c r="AB40" s="2388"/>
      <c r="AC40" s="2388"/>
      <c r="AD40" s="2388"/>
      <c r="AP40" s="555"/>
      <c r="AQ40" s="555"/>
      <c r="AR40" s="555"/>
      <c r="AU40" s="542"/>
      <c r="AX40" s="542"/>
      <c r="AY40" s="542"/>
    </row>
    <row r="41" spans="1:51" ht="15" customHeight="1">
      <c r="A41" s="583"/>
      <c r="B41" s="579"/>
      <c r="C41" s="564" t="s">
        <v>1614</v>
      </c>
      <c r="D41" s="564"/>
      <c r="E41" s="564"/>
      <c r="F41" s="564"/>
      <c r="G41" s="564"/>
      <c r="H41" s="564"/>
      <c r="I41" s="564"/>
      <c r="J41" s="564"/>
      <c r="K41" s="3399" t="str">
        <f>IF(P39&gt;1,P39," ")</f>
        <v xml:space="preserve"> </v>
      </c>
      <c r="L41" s="3400"/>
      <c r="M41" s="2621" t="s">
        <v>520</v>
      </c>
      <c r="N41" s="557">
        <v>1.3</v>
      </c>
      <c r="O41" s="2621" t="s">
        <v>102</v>
      </c>
      <c r="P41" s="3399" t="str">
        <f>IF(Summary!AA63=4,K41*1.3," ")</f>
        <v xml:space="preserve"> </v>
      </c>
      <c r="Q41" s="3400"/>
      <c r="R41" s="2627" t="s">
        <v>25</v>
      </c>
      <c r="S41" s="602"/>
      <c r="T41" s="543"/>
      <c r="U41" s="543"/>
      <c r="V41" s="543"/>
      <c r="W41" s="2387"/>
      <c r="X41" s="2387"/>
      <c r="Y41" s="2388"/>
      <c r="Z41" s="2388"/>
      <c r="AA41" s="2388"/>
      <c r="AB41" s="2388"/>
      <c r="AC41" s="2388"/>
      <c r="AD41" s="2388"/>
      <c r="AP41" s="555"/>
      <c r="AQ41" s="555"/>
      <c r="AR41" s="555"/>
      <c r="AU41" s="542"/>
      <c r="AV41" s="542"/>
      <c r="AW41" s="542"/>
      <c r="AX41" s="542"/>
      <c r="AY41" s="542"/>
    </row>
    <row r="42" spans="1:51" ht="5.0999999999999996" customHeight="1" thickBot="1">
      <c r="A42" s="582"/>
      <c r="B42" s="600"/>
      <c r="C42" s="599"/>
      <c r="D42" s="599"/>
      <c r="E42" s="599"/>
      <c r="F42" s="599"/>
      <c r="G42" s="599"/>
      <c r="H42" s="599"/>
      <c r="I42" s="599"/>
      <c r="J42" s="599"/>
      <c r="K42" s="648"/>
      <c r="L42" s="648"/>
      <c r="M42" s="560"/>
      <c r="N42" s="649"/>
      <c r="O42" s="560"/>
      <c r="P42" s="648"/>
      <c r="Q42" s="648"/>
      <c r="R42" s="546"/>
      <c r="S42" s="597"/>
      <c r="T42" s="543"/>
      <c r="U42" s="543"/>
      <c r="V42" s="543"/>
      <c r="W42" s="2387"/>
      <c r="X42" s="2387"/>
      <c r="Y42" s="2388"/>
      <c r="Z42" s="2388"/>
      <c r="AA42" s="2388"/>
      <c r="AB42" s="2388"/>
      <c r="AC42" s="2388"/>
      <c r="AD42" s="2388"/>
      <c r="AP42" s="555"/>
      <c r="AQ42" s="555"/>
      <c r="AR42" s="555"/>
      <c r="AU42" s="542"/>
      <c r="AV42" s="542"/>
      <c r="AW42" s="542"/>
      <c r="AX42" s="542"/>
      <c r="AY42" s="542"/>
    </row>
    <row r="43" spans="1:51" ht="15" customHeight="1">
      <c r="A43" s="643"/>
      <c r="B43" s="644" t="s">
        <v>149</v>
      </c>
      <c r="C43" s="645" t="s">
        <v>37</v>
      </c>
      <c r="D43" s="645"/>
      <c r="E43" s="645"/>
      <c r="F43" s="645"/>
      <c r="G43" s="645"/>
      <c r="H43" s="555"/>
      <c r="I43" s="555"/>
      <c r="J43" s="731"/>
      <c r="K43" s="645"/>
      <c r="L43" s="645"/>
      <c r="M43" s="645"/>
      <c r="N43" s="645"/>
      <c r="O43" s="645"/>
      <c r="P43" s="645"/>
      <c r="Q43" s="645"/>
      <c r="R43" s="646"/>
      <c r="S43" s="647"/>
      <c r="T43" s="543"/>
      <c r="U43" s="543"/>
      <c r="V43" s="1275">
        <f>IF(ISBLANK('Mound&gt;1%'!H12),0,AVERAGE('Mound&gt;1%'!O64,'Mound&gt;1%'!N75))</f>
        <v>0</v>
      </c>
      <c r="W43" s="2397">
        <f>IF(ISBLANK('Mound&lt;1%'!H12),0,AVERAGE('Mound&lt;1%'!O71,'Mound&lt;1%'!O71))</f>
        <v>0</v>
      </c>
      <c r="X43" s="2387"/>
      <c r="Y43" s="2388"/>
      <c r="Z43" s="2388"/>
      <c r="AA43" s="2388"/>
      <c r="AB43" s="2388"/>
      <c r="AC43" s="2388"/>
      <c r="AD43" s="2388"/>
      <c r="AP43" s="555"/>
      <c r="AQ43" s="555"/>
      <c r="AR43" s="555"/>
      <c r="AU43" s="542"/>
      <c r="AV43" s="542"/>
      <c r="AW43" s="542"/>
      <c r="AX43" s="542"/>
      <c r="AY43" s="542"/>
    </row>
    <row r="44" spans="1:51" ht="15" customHeight="1">
      <c r="A44" s="603"/>
      <c r="B44" s="579"/>
      <c r="C44" s="607" t="s">
        <v>1773</v>
      </c>
      <c r="D44" s="564"/>
      <c r="E44" s="564"/>
      <c r="F44" s="564"/>
      <c r="G44" s="564"/>
      <c r="H44" s="564"/>
      <c r="I44" s="564"/>
      <c r="J44" s="564"/>
      <c r="K44" s="564"/>
      <c r="L44" s="564"/>
      <c r="M44" s="564"/>
      <c r="N44" s="564"/>
      <c r="O44" s="564"/>
      <c r="P44" s="564"/>
      <c r="Q44" s="564"/>
      <c r="R44" s="2627"/>
      <c r="S44" s="602"/>
      <c r="V44" s="543"/>
      <c r="W44" s="2388"/>
      <c r="X44" s="2388"/>
      <c r="Y44" s="2388"/>
      <c r="Z44" s="2388"/>
      <c r="AA44" s="2388"/>
      <c r="AB44" s="2388"/>
      <c r="AC44" s="2388"/>
      <c r="AD44" s="2388"/>
      <c r="AU44" s="542"/>
      <c r="AV44" s="542"/>
      <c r="AW44" s="542"/>
      <c r="AX44" s="542"/>
      <c r="AY44" s="542"/>
    </row>
    <row r="45" spans="1:51" ht="15" customHeight="1">
      <c r="A45" s="603"/>
      <c r="B45" s="579"/>
      <c r="C45" s="584" t="s">
        <v>310</v>
      </c>
      <c r="D45" s="3399" t="str">
        <f>IF(Summary!AA63=0,"",IF(Summary!AA63=1,"",IF(Summary!AA63=2,"",IF(Summary!AA63=3,"",IF(Summary!AA63=5,"",IF(Summary!AA63=4,MAX(V43,W43)))))))</f>
        <v/>
      </c>
      <c r="E45" s="3400"/>
      <c r="F45" s="614" t="s">
        <v>143</v>
      </c>
      <c r="G45" s="3494">
        <v>0.5</v>
      </c>
      <c r="H45" s="3494"/>
      <c r="I45" s="2627" t="s">
        <v>304</v>
      </c>
      <c r="J45" s="3399" t="str">
        <f>IF(Summary!AA63=0,"",IF(Summary!AA63=1,"",IF(Summary!AA63=2,"",IF(Summary!AA63=3,"",IF(Summary!AA63=5,"",IF(Summary!AA63=4,MAX('Mound&gt;1%'!P92,'Mound&lt;1%'!L86)))))))</f>
        <v/>
      </c>
      <c r="K45" s="3400"/>
      <c r="L45" s="2627" t="s">
        <v>122</v>
      </c>
      <c r="M45" s="3399" t="str">
        <f>IF(Summary!AA63=0,"",IF(Summary!AA63=1,"",IF(Summary!AA63=2,"",IF(Summary!AA63=3,"",IF(Summary!AA63=5,"",IF(Summary!AA63=4,MAX('Mound&lt;1%'!L89,'Mound&gt;1%'!P94)))))))</f>
        <v/>
      </c>
      <c r="N45" s="3400"/>
      <c r="O45" s="556" t="s">
        <v>521</v>
      </c>
      <c r="P45" s="3399" t="str">
        <f>IF(Summary!AA63=0,"",IF(Summary!AA63=1,"",IF(Summary!AA63=2,"",IF(Summary!AA63=3,"",IF(Summary!AA63=5,"",IF(Summary!AA63=4,((D45-G45)*J45*M45)/2))))))</f>
        <v/>
      </c>
      <c r="Q45" s="3400"/>
      <c r="R45" s="2627" t="s">
        <v>24</v>
      </c>
      <c r="S45" s="602"/>
      <c r="V45" s="543"/>
      <c r="W45" s="2398"/>
      <c r="X45" s="2398"/>
      <c r="Y45" s="2399"/>
      <c r="Z45" s="2399"/>
      <c r="AA45" s="2399"/>
      <c r="AB45" s="2399"/>
      <c r="AC45" s="2399"/>
      <c r="AD45" s="2399"/>
      <c r="AE45" s="567"/>
      <c r="AF45" s="567"/>
      <c r="AG45" s="567"/>
      <c r="AH45" s="567"/>
      <c r="AI45" s="567"/>
      <c r="AJ45" s="567"/>
      <c r="AK45" s="567"/>
      <c r="AL45" s="567"/>
      <c r="AM45" s="567"/>
      <c r="AN45" s="567"/>
      <c r="AO45" s="567"/>
      <c r="AP45" s="545"/>
      <c r="AQ45" s="545"/>
      <c r="AU45" s="542"/>
      <c r="AV45" s="542"/>
      <c r="AW45" s="542"/>
      <c r="AX45" s="544"/>
      <c r="AY45" s="542"/>
    </row>
    <row r="46" spans="1:51" ht="6" customHeight="1">
      <c r="A46" s="603"/>
      <c r="B46" s="579"/>
      <c r="C46" s="564"/>
      <c r="D46" s="555"/>
      <c r="E46" s="555"/>
      <c r="F46" s="564"/>
      <c r="G46" s="564"/>
      <c r="H46" s="564"/>
      <c r="I46" s="564"/>
      <c r="J46" s="564"/>
      <c r="K46" s="564"/>
      <c r="L46" s="564"/>
      <c r="M46" s="564"/>
      <c r="N46" s="564"/>
      <c r="O46" s="564"/>
      <c r="P46" s="564"/>
      <c r="Q46" s="564"/>
      <c r="R46" s="2627"/>
      <c r="S46" s="602"/>
      <c r="V46" s="543"/>
      <c r="W46" s="2398"/>
      <c r="X46" s="2400"/>
      <c r="Y46" s="2399"/>
      <c r="Z46" s="2399"/>
      <c r="AA46" s="2399"/>
      <c r="AB46" s="2399"/>
      <c r="AC46" s="2399"/>
      <c r="AD46" s="2399"/>
      <c r="AE46" s="567"/>
      <c r="AF46" s="567"/>
      <c r="AG46" s="567"/>
      <c r="AH46" s="567"/>
      <c r="AI46" s="567"/>
      <c r="AJ46" s="567"/>
      <c r="AK46" s="567"/>
      <c r="AL46" s="567"/>
      <c r="AM46" s="567"/>
      <c r="AN46" s="567"/>
      <c r="AO46" s="567"/>
      <c r="AP46" s="545"/>
      <c r="AQ46" s="545"/>
      <c r="AU46" s="542"/>
      <c r="AV46" s="542"/>
      <c r="AW46" s="542"/>
      <c r="AX46" s="542"/>
      <c r="AY46" s="542"/>
    </row>
    <row r="47" spans="1:51" ht="15" customHeight="1">
      <c r="A47" s="603"/>
      <c r="B47" s="579"/>
      <c r="C47" s="607" t="s">
        <v>39</v>
      </c>
      <c r="D47" s="564"/>
      <c r="E47" s="564"/>
      <c r="F47" s="564"/>
      <c r="G47" s="564"/>
      <c r="H47" s="564"/>
      <c r="I47" s="564"/>
      <c r="J47" s="564"/>
      <c r="K47" s="564"/>
      <c r="L47" s="564"/>
      <c r="M47" s="564"/>
      <c r="N47" s="564"/>
      <c r="O47" s="564"/>
      <c r="P47" s="564"/>
      <c r="Q47" s="564"/>
      <c r="R47" s="2627"/>
      <c r="S47" s="602"/>
      <c r="V47" s="543"/>
      <c r="W47" s="2398"/>
      <c r="X47" s="2396"/>
      <c r="Y47" s="2396"/>
      <c r="Z47" s="2394"/>
      <c r="AA47" s="2396"/>
      <c r="AB47" s="2396"/>
      <c r="AC47" s="2394"/>
      <c r="AD47" s="2396"/>
      <c r="AE47" s="549"/>
      <c r="AF47" s="550"/>
      <c r="AG47" s="549"/>
      <c r="AH47" s="549"/>
      <c r="AI47" s="550"/>
      <c r="AJ47" s="545"/>
      <c r="AK47" s="545"/>
      <c r="AL47" s="545"/>
      <c r="AM47" s="545"/>
      <c r="AN47" s="545"/>
      <c r="AO47" s="545"/>
      <c r="AP47" s="545"/>
      <c r="AQ47" s="545"/>
      <c r="AV47" s="542"/>
      <c r="AW47" s="542"/>
      <c r="AX47" s="542"/>
      <c r="AY47" s="542"/>
    </row>
    <row r="48" spans="1:51" ht="15" customHeight="1">
      <c r="A48" s="603"/>
      <c r="B48" s="579"/>
      <c r="C48" s="564"/>
      <c r="D48" s="564"/>
      <c r="E48" s="613"/>
      <c r="F48" s="555"/>
      <c r="G48" s="3399" t="str">
        <f>IF(Summary!AA63=0,"",IF(Summary!AA63=1,"",IF(Summary!AA63=2,"",IF(Summary!AA63=3,"",IF(Summary!AA63=5,"",IF(Summary!AA63=4,P45))))))</f>
        <v/>
      </c>
      <c r="H48" s="3400"/>
      <c r="I48" s="2621" t="s">
        <v>524</v>
      </c>
      <c r="J48" s="3399" t="str">
        <f>IF(Summary!AA63=0,"",IF(Summary!AA63=1,"",IF(Summary!AA63=2,"",IF(Summary!AA63=3,"",IF(Summary!AA63=5,"",IF(Summary!AA63=4,MAX(O23,P36)))))))</f>
        <v/>
      </c>
      <c r="K48" s="3400"/>
      <c r="L48" s="2621" t="s">
        <v>524</v>
      </c>
      <c r="M48" s="3399" t="str">
        <f>IF(Summary!AA63=0,"",IF(Summary!AA63=1,"",IF(Summary!AA63=2,"",IF(Summary!AA63=3,"",IF(Summary!AA63=5,"",IF(Summary!AA63=4,P5))))))</f>
        <v/>
      </c>
      <c r="N48" s="3400"/>
      <c r="O48" s="2621" t="s">
        <v>525</v>
      </c>
      <c r="P48" s="3399" t="str">
        <f>IF(Summary!AA63=0,"",IF(Summary!AA63=1,"",IF(Summary!AA63=2,"",IF(Summary!AA63=3,"",IF(Summary!AA63=5,"",IF(Summary!AA63=4,G48-J48-M48))))))</f>
        <v/>
      </c>
      <c r="Q48" s="3400"/>
      <c r="R48" s="2627" t="s">
        <v>24</v>
      </c>
      <c r="S48" s="602"/>
      <c r="V48" s="543"/>
      <c r="W48" s="2398"/>
      <c r="X48" s="2396"/>
      <c r="Y48" s="2396"/>
      <c r="Z48" s="2394"/>
      <c r="AA48" s="2396"/>
      <c r="AB48" s="2396"/>
      <c r="AC48" s="2394"/>
      <c r="AD48" s="2396"/>
      <c r="AE48" s="549"/>
      <c r="AF48" s="550"/>
      <c r="AG48" s="549"/>
      <c r="AH48" s="549"/>
      <c r="AI48" s="550"/>
      <c r="AJ48" s="545"/>
      <c r="AK48" s="545"/>
      <c r="AL48" s="545"/>
      <c r="AM48" s="545"/>
      <c r="AN48" s="545"/>
      <c r="AO48" s="545"/>
      <c r="AP48" s="545"/>
      <c r="AQ48" s="545"/>
      <c r="AV48" s="542"/>
      <c r="AW48" s="542"/>
      <c r="AX48" s="544"/>
      <c r="AY48" s="542"/>
    </row>
    <row r="49" spans="1:51" ht="6" customHeight="1">
      <c r="A49" s="608"/>
      <c r="B49" s="579"/>
      <c r="C49" s="2627"/>
      <c r="D49" s="2627"/>
      <c r="E49" s="2627"/>
      <c r="F49" s="2627"/>
      <c r="G49" s="2627"/>
      <c r="H49" s="564"/>
      <c r="I49" s="564"/>
      <c r="J49" s="564"/>
      <c r="K49" s="564"/>
      <c r="L49" s="564"/>
      <c r="M49" s="564"/>
      <c r="N49" s="564"/>
      <c r="O49" s="564"/>
      <c r="P49" s="2630"/>
      <c r="Q49" s="2621"/>
      <c r="R49" s="2627"/>
      <c r="S49" s="602"/>
      <c r="V49" s="543"/>
      <c r="W49" s="2398"/>
      <c r="X49" s="2399"/>
      <c r="Y49" s="2399"/>
      <c r="Z49" s="2399"/>
      <c r="AA49" s="2399"/>
      <c r="AB49" s="2399"/>
      <c r="AC49" s="2399"/>
      <c r="AD49" s="2399"/>
      <c r="AE49" s="567"/>
      <c r="AF49" s="567"/>
      <c r="AG49" s="567"/>
      <c r="AH49" s="567"/>
      <c r="AI49" s="567"/>
      <c r="AJ49" s="567"/>
      <c r="AK49" s="567"/>
      <c r="AL49" s="567"/>
      <c r="AM49" s="567"/>
      <c r="AN49" s="567"/>
      <c r="AO49" s="567"/>
      <c r="AP49" s="545"/>
      <c r="AQ49" s="545"/>
      <c r="AV49" s="542"/>
      <c r="AW49" s="542"/>
      <c r="AX49" s="542"/>
      <c r="AY49" s="542"/>
    </row>
    <row r="50" spans="1:51" ht="15" customHeight="1">
      <c r="A50" s="603"/>
      <c r="B50" s="579"/>
      <c r="C50" s="2627" t="s">
        <v>69</v>
      </c>
      <c r="D50" s="564"/>
      <c r="E50" s="564"/>
      <c r="F50" s="564"/>
      <c r="G50" s="564"/>
      <c r="H50" s="564"/>
      <c r="I50" s="564"/>
      <c r="J50" s="564"/>
      <c r="K50" s="3399" t="str">
        <f>IF(Summary!AA63=0,"",IF(Summary!AA63=1,"",IF(Summary!AA63=2,"",IF(Summary!AA63=3,"",IF(Summary!AA63=5,"",IF(Summary!AA63=4,P48))))))</f>
        <v/>
      </c>
      <c r="L50" s="3400"/>
      <c r="M50" s="2621" t="s">
        <v>81</v>
      </c>
      <c r="N50" s="606">
        <v>27</v>
      </c>
      <c r="O50" s="2621" t="s">
        <v>102</v>
      </c>
      <c r="P50" s="3399" t="str">
        <f>IF(Summary!AA63=0,"",IF(Summary!AA63=1,"",IF(Summary!AA63=2,"",IF(Summary!AA63=3,"",IF(Summary!AA63=5,"",IF(Summary!AA63=4,K50/27))))))</f>
        <v/>
      </c>
      <c r="Q50" s="3400"/>
      <c r="R50" s="2627" t="s">
        <v>25</v>
      </c>
      <c r="S50" s="602"/>
      <c r="V50" s="543"/>
      <c r="W50" s="2388"/>
      <c r="X50" s="2388"/>
      <c r="Y50" s="2388"/>
      <c r="Z50" s="2388"/>
      <c r="AA50" s="2388"/>
      <c r="AB50" s="2388"/>
      <c r="AC50" s="2388"/>
      <c r="AD50" s="2388"/>
      <c r="AH50" s="549"/>
      <c r="AI50" s="550"/>
      <c r="AJ50" s="549"/>
      <c r="AK50" s="549"/>
      <c r="AL50" s="550"/>
      <c r="AM50" s="549"/>
      <c r="AN50" s="549"/>
      <c r="AO50" s="550"/>
      <c r="AP50" s="545"/>
      <c r="AQ50" s="545"/>
      <c r="AX50" s="544"/>
      <c r="AY50" s="544"/>
    </row>
    <row r="51" spans="1:51" ht="6" customHeight="1">
      <c r="A51" s="603"/>
      <c r="B51" s="579"/>
      <c r="C51" s="564"/>
      <c r="D51" s="564"/>
      <c r="E51" s="612"/>
      <c r="F51" s="3487"/>
      <c r="G51" s="3487"/>
      <c r="H51" s="611"/>
      <c r="I51" s="2629"/>
      <c r="J51" s="3489"/>
      <c r="K51" s="3489"/>
      <c r="L51" s="2629"/>
      <c r="M51" s="3487"/>
      <c r="N51" s="3487"/>
      <c r="O51" s="610"/>
      <c r="P51" s="3490"/>
      <c r="Q51" s="3490"/>
      <c r="R51" s="553"/>
      <c r="S51" s="602"/>
      <c r="V51" s="543"/>
      <c r="W51" s="2401"/>
      <c r="X51" s="2396"/>
      <c r="Y51" s="2396"/>
      <c r="Z51" s="2394"/>
      <c r="AA51" s="2396"/>
      <c r="AB51" s="2396"/>
      <c r="AC51" s="2402"/>
      <c r="AD51" s="2396"/>
      <c r="AE51" s="549"/>
      <c r="AF51" s="550"/>
      <c r="AG51" s="549"/>
      <c r="AH51" s="549"/>
      <c r="AI51" s="550"/>
      <c r="AJ51" s="549"/>
      <c r="AK51" s="549"/>
      <c r="AL51" s="550"/>
      <c r="AM51" s="549"/>
      <c r="AN51" s="549"/>
      <c r="AO51" s="550"/>
      <c r="AP51" s="545"/>
      <c r="AQ51" s="545"/>
      <c r="AX51" s="542"/>
      <c r="AY51" s="542"/>
    </row>
    <row r="52" spans="1:51" ht="15" customHeight="1">
      <c r="A52" s="603"/>
      <c r="B52" s="579"/>
      <c r="C52" s="564" t="s">
        <v>1614</v>
      </c>
      <c r="D52" s="564"/>
      <c r="E52" s="564"/>
      <c r="F52" s="564"/>
      <c r="G52" s="564"/>
      <c r="H52" s="564"/>
      <c r="I52" s="564"/>
      <c r="J52" s="564"/>
      <c r="K52" s="3399" t="str">
        <f>IF(Summary!AA63=0,"",IF(Summary!AA63=1,"",IF(Summary!AA63=2,"",IF(Summary!AA63=3,"",IF(Summary!AA63=5,"",IF(Summary!AA63=4,P50))))))</f>
        <v/>
      </c>
      <c r="L52" s="3400"/>
      <c r="M52" s="2621" t="s">
        <v>82</v>
      </c>
      <c r="N52" s="557">
        <v>1.3</v>
      </c>
      <c r="O52" s="2621" t="s">
        <v>102</v>
      </c>
      <c r="P52" s="3399" t="str">
        <f>IF(Summary!AA63=0,"",IF(Summary!AA63=1,"",IF(Summary!AA63=2,"",IF(Summary!AA63=3,"",IF(Summary!AA63=5,"",IF(Summary!AA63=4,K52*1.3))))))</f>
        <v/>
      </c>
      <c r="Q52" s="3400"/>
      <c r="R52" s="2627" t="s">
        <v>25</v>
      </c>
      <c r="S52" s="602"/>
      <c r="V52" s="543"/>
      <c r="W52" s="2398"/>
      <c r="X52" s="2399"/>
      <c r="Y52" s="2399"/>
      <c r="Z52" s="2399"/>
      <c r="AA52" s="2399"/>
      <c r="AB52" s="2399"/>
      <c r="AC52" s="2399"/>
      <c r="AD52" s="2399"/>
      <c r="AE52" s="567"/>
      <c r="AF52" s="567"/>
      <c r="AG52" s="567"/>
      <c r="AH52" s="567"/>
      <c r="AI52" s="567"/>
      <c r="AJ52" s="567"/>
      <c r="AK52" s="567"/>
      <c r="AL52" s="567"/>
      <c r="AM52" s="567"/>
      <c r="AN52" s="567"/>
      <c r="AO52" s="567"/>
      <c r="AP52" s="545"/>
      <c r="AQ52" s="545"/>
      <c r="AX52" s="542"/>
      <c r="AY52" s="542"/>
    </row>
    <row r="53" spans="1:51" ht="5.0999999999999996" customHeight="1" thickBot="1">
      <c r="A53" s="601"/>
      <c r="B53" s="600"/>
      <c r="C53" s="650"/>
      <c r="D53" s="599"/>
      <c r="E53" s="599"/>
      <c r="F53" s="599"/>
      <c r="G53" s="599"/>
      <c r="H53" s="599"/>
      <c r="I53" s="599"/>
      <c r="J53" s="599"/>
      <c r="K53" s="599"/>
      <c r="L53" s="599"/>
      <c r="M53" s="599"/>
      <c r="N53" s="599"/>
      <c r="O53" s="599"/>
      <c r="P53" s="599"/>
      <c r="Q53" s="599"/>
      <c r="R53" s="546"/>
      <c r="S53" s="597"/>
      <c r="V53" s="543"/>
      <c r="W53" s="2388"/>
      <c r="X53" s="2388"/>
      <c r="Y53" s="2392"/>
      <c r="Z53" s="3491"/>
      <c r="AA53" s="3492"/>
      <c r="AB53" s="2403"/>
      <c r="AC53" s="3491"/>
      <c r="AD53" s="3492"/>
      <c r="AE53" s="609"/>
      <c r="AF53" s="3493"/>
      <c r="AG53" s="3488"/>
      <c r="AH53" s="609"/>
      <c r="AI53" s="3488"/>
      <c r="AJ53" s="3488"/>
      <c r="AK53" s="567"/>
      <c r="AL53" s="567"/>
      <c r="AM53" s="567"/>
      <c r="AN53" s="567"/>
      <c r="AO53" s="567"/>
      <c r="AP53" s="545"/>
      <c r="AQ53" s="545"/>
      <c r="AX53" s="542"/>
      <c r="AY53" s="544"/>
    </row>
    <row r="54" spans="1:51" ht="15" customHeight="1">
      <c r="A54" s="608"/>
      <c r="B54" s="579" t="s">
        <v>588</v>
      </c>
      <c r="C54" s="564" t="s">
        <v>38</v>
      </c>
      <c r="D54" s="564"/>
      <c r="E54" s="564"/>
      <c r="F54" s="564"/>
      <c r="G54" s="564"/>
      <c r="H54" s="564"/>
      <c r="I54" s="564"/>
      <c r="J54" s="564"/>
      <c r="K54" s="564"/>
      <c r="L54" s="564"/>
      <c r="M54" s="564"/>
      <c r="N54" s="564"/>
      <c r="O54" s="564"/>
      <c r="P54" s="564"/>
      <c r="Q54" s="564"/>
      <c r="R54" s="553"/>
      <c r="S54" s="602"/>
      <c r="V54" s="543"/>
      <c r="W54" s="2388"/>
      <c r="X54" s="2388"/>
      <c r="Y54" s="2392"/>
      <c r="Z54" s="2392"/>
      <c r="AA54" s="2392"/>
      <c r="AB54" s="2392"/>
      <c r="AC54" s="2392"/>
      <c r="AD54" s="2392"/>
      <c r="AE54" s="545"/>
      <c r="AF54" s="545"/>
      <c r="AG54" s="545"/>
      <c r="AH54" s="545"/>
      <c r="AI54" s="545"/>
      <c r="AJ54" s="545"/>
      <c r="AK54" s="567"/>
      <c r="AL54" s="567"/>
      <c r="AM54" s="567"/>
      <c r="AN54" s="567"/>
      <c r="AO54" s="567"/>
      <c r="AP54" s="545"/>
      <c r="AQ54" s="545"/>
      <c r="AX54" s="544"/>
      <c r="AY54" s="542"/>
    </row>
    <row r="55" spans="1:51" ht="5.0999999999999996" customHeight="1">
      <c r="A55" s="608"/>
      <c r="B55" s="579"/>
      <c r="C55" s="607"/>
      <c r="D55" s="564"/>
      <c r="E55" s="564"/>
      <c r="F55" s="564"/>
      <c r="G55" s="564"/>
      <c r="H55" s="564"/>
      <c r="I55" s="564"/>
      <c r="J55" s="564"/>
      <c r="K55" s="564"/>
      <c r="L55" s="564"/>
      <c r="M55" s="564"/>
      <c r="N55" s="564"/>
      <c r="O55" s="564"/>
      <c r="P55" s="564"/>
      <c r="Q55" s="564"/>
      <c r="R55" s="2627"/>
      <c r="S55" s="602"/>
      <c r="V55" s="1103"/>
      <c r="W55" s="2388"/>
      <c r="X55" s="2388"/>
      <c r="Y55" s="2388"/>
      <c r="Z55" s="2388"/>
      <c r="AA55" s="2388"/>
      <c r="AB55" s="2388"/>
      <c r="AC55" s="2388"/>
      <c r="AD55" s="2388"/>
      <c r="AK55" s="567"/>
      <c r="AL55" s="567"/>
      <c r="AM55" s="567"/>
      <c r="AN55" s="567"/>
      <c r="AO55" s="567"/>
      <c r="AP55" s="545"/>
      <c r="AQ55" s="545"/>
      <c r="AX55" s="542"/>
      <c r="AY55" s="544"/>
    </row>
    <row r="56" spans="1:51" ht="15" customHeight="1">
      <c r="A56" s="603"/>
      <c r="B56" s="579"/>
      <c r="C56" s="564"/>
      <c r="D56" s="564"/>
      <c r="E56" s="564"/>
      <c r="F56" s="564"/>
      <c r="G56" s="3399" t="str">
        <f>IF(Summary!AA63=0,"",IF(Summary!AA63=1,"",IF(Summary!AA63=2,"",IF(Summary!AA63=3,"",IF(Summary!AA63=5,"",IF(Summary!AA63=4,MAX('Mound&gt;1%'!P92,'Mound&lt;1%'!L86)))))))</f>
        <v/>
      </c>
      <c r="H56" s="3400"/>
      <c r="I56" s="2627" t="s">
        <v>122</v>
      </c>
      <c r="J56" s="3399" t="str">
        <f>IF(Summary!AA63=0,"",IF(Summary!AA63=1,"",IF(Summary!AA63=2,"",IF(Summary!AA63=3,"",IF(Summary!AA63=5,"",IF(Summary!AA63=4,MAX('Mound&lt;1%'!L89,'Mound&gt;1%'!P94)))))))</f>
        <v/>
      </c>
      <c r="K56" s="3400"/>
      <c r="L56" s="2627" t="s">
        <v>122</v>
      </c>
      <c r="M56" s="577">
        <v>0.5</v>
      </c>
      <c r="N56" s="596" t="s">
        <v>92</v>
      </c>
      <c r="O56" s="2621" t="s">
        <v>102</v>
      </c>
      <c r="P56" s="3399" t="str">
        <f>IF(Summary!AA63=0,"",IF(Summary!AA63=1,"",IF(Summary!AA63=2,"",IF(Summary!AA63=3,"",IF(Summary!AA63=5,"",IF(Summary!AA63=4,G56*J56*M56))))))</f>
        <v/>
      </c>
      <c r="Q56" s="3400"/>
      <c r="R56" s="2627" t="s">
        <v>24</v>
      </c>
      <c r="S56" s="602"/>
      <c r="V56" s="543"/>
      <c r="W56" s="2393"/>
      <c r="X56" s="2393"/>
      <c r="Y56" s="2393"/>
      <c r="Z56" s="2393"/>
      <c r="AA56" s="2393"/>
      <c r="AB56" s="2393"/>
      <c r="AC56" s="2393"/>
      <c r="AD56" s="2393"/>
      <c r="AE56" s="545"/>
      <c r="AF56" s="605"/>
      <c r="AG56" s="605"/>
      <c r="AH56" s="576"/>
      <c r="AI56" s="576"/>
      <c r="AJ56" s="576"/>
      <c r="AK56" s="545"/>
      <c r="AL56" s="545"/>
      <c r="AM56" s="545"/>
      <c r="AN56" s="545"/>
      <c r="AO56" s="545"/>
      <c r="AP56" s="545"/>
      <c r="AQ56" s="545"/>
      <c r="AX56" s="544"/>
      <c r="AY56" s="542"/>
    </row>
    <row r="57" spans="1:51" ht="5.0999999999999996" customHeight="1">
      <c r="A57" s="603"/>
      <c r="B57" s="579"/>
      <c r="C57" s="564"/>
      <c r="D57" s="564"/>
      <c r="E57" s="564"/>
      <c r="F57" s="564"/>
      <c r="G57" s="2630"/>
      <c r="H57" s="2630"/>
      <c r="I57" s="2629"/>
      <c r="J57" s="2630"/>
      <c r="K57" s="2630"/>
      <c r="L57" s="2629"/>
      <c r="M57" s="2630"/>
      <c r="N57" s="2630"/>
      <c r="O57" s="2629"/>
      <c r="P57" s="592"/>
      <c r="Q57" s="592"/>
      <c r="R57" s="553"/>
      <c r="S57" s="602"/>
      <c r="V57" s="543"/>
      <c r="W57" s="2393"/>
      <c r="X57" s="2393"/>
      <c r="Y57" s="2404"/>
      <c r="Z57" s="2393"/>
      <c r="AA57" s="2393"/>
      <c r="AB57" s="2404"/>
      <c r="AC57" s="2393"/>
      <c r="AD57" s="2393"/>
      <c r="AE57" s="543"/>
      <c r="AF57" s="605"/>
      <c r="AG57" s="605"/>
      <c r="AH57" s="604"/>
      <c r="AI57" s="576"/>
      <c r="AJ57" s="576"/>
      <c r="AK57" s="545"/>
      <c r="AL57" s="545"/>
      <c r="AM57" s="545"/>
      <c r="AN57" s="545"/>
      <c r="AO57" s="545"/>
      <c r="AP57" s="545"/>
      <c r="AQ57" s="545"/>
      <c r="AX57" s="544"/>
      <c r="AY57" s="542"/>
    </row>
    <row r="58" spans="1:51" ht="15" customHeight="1">
      <c r="A58" s="603"/>
      <c r="B58" s="579"/>
      <c r="C58" s="2627" t="s">
        <v>69</v>
      </c>
      <c r="D58" s="564"/>
      <c r="E58" s="564"/>
      <c r="F58" s="564"/>
      <c r="G58" s="564"/>
      <c r="H58" s="564"/>
      <c r="I58" s="564"/>
      <c r="J58" s="564"/>
      <c r="K58" s="3399" t="str">
        <f>IF(P56=0," ",(P56))</f>
        <v/>
      </c>
      <c r="L58" s="3400"/>
      <c r="M58" s="2621" t="s">
        <v>81</v>
      </c>
      <c r="N58" s="606">
        <v>27</v>
      </c>
      <c r="O58" s="2621" t="s">
        <v>102</v>
      </c>
      <c r="P58" s="3444" t="str">
        <f>IFERROR((K58/27),"")</f>
        <v/>
      </c>
      <c r="Q58" s="3400"/>
      <c r="R58" s="2627" t="s">
        <v>25</v>
      </c>
      <c r="S58" s="602"/>
      <c r="V58" s="543"/>
      <c r="W58" s="2393"/>
      <c r="X58" s="2393"/>
      <c r="Y58" s="2404"/>
      <c r="Z58" s="2393"/>
      <c r="AA58" s="2393"/>
      <c r="AB58" s="2404"/>
      <c r="AC58" s="2393"/>
      <c r="AD58" s="2393"/>
      <c r="AE58" s="543"/>
      <c r="AF58" s="605"/>
      <c r="AG58" s="605"/>
      <c r="AH58" s="604"/>
      <c r="AI58" s="576"/>
      <c r="AJ58" s="576"/>
      <c r="AK58" s="545"/>
      <c r="AL58" s="545"/>
      <c r="AM58" s="545"/>
      <c r="AN58" s="545"/>
      <c r="AO58" s="545"/>
      <c r="AP58" s="545"/>
      <c r="AQ58" s="545"/>
      <c r="AX58" s="544"/>
      <c r="AY58" s="542"/>
    </row>
    <row r="59" spans="1:51" ht="5.0999999999999996" customHeight="1">
      <c r="A59" s="603"/>
      <c r="B59" s="579"/>
      <c r="C59" s="564" t="s">
        <v>36</v>
      </c>
      <c r="D59" s="564"/>
      <c r="E59" s="564"/>
      <c r="F59" s="2630"/>
      <c r="G59" s="2630"/>
      <c r="H59" s="550"/>
      <c r="I59" s="2630"/>
      <c r="J59" s="2630"/>
      <c r="K59" s="550"/>
      <c r="L59" s="564"/>
      <c r="M59" s="564"/>
      <c r="N59" s="564"/>
      <c r="O59" s="564"/>
      <c r="P59" s="564"/>
      <c r="Q59" s="564"/>
      <c r="R59" s="553"/>
      <c r="S59" s="602"/>
      <c r="V59" s="543"/>
      <c r="W59" s="2398"/>
      <c r="X59" s="2396"/>
      <c r="Y59" s="2396"/>
      <c r="Z59" s="2394"/>
      <c r="AA59" s="2396"/>
      <c r="AB59" s="2396"/>
      <c r="AC59" s="2394"/>
      <c r="AD59" s="2396"/>
      <c r="AE59" s="549"/>
      <c r="AF59" s="550"/>
      <c r="AG59" s="549"/>
      <c r="AH59" s="549"/>
      <c r="AI59" s="550"/>
      <c r="AJ59" s="545"/>
      <c r="AK59" s="545"/>
      <c r="AL59" s="545"/>
      <c r="AM59" s="545"/>
      <c r="AN59" s="545"/>
      <c r="AO59" s="545"/>
      <c r="AP59" s="545"/>
      <c r="AQ59" s="545"/>
      <c r="AX59" s="542"/>
      <c r="AY59" s="544"/>
    </row>
    <row r="60" spans="1:51" ht="15" customHeight="1">
      <c r="A60" s="603"/>
      <c r="B60" s="579"/>
      <c r="C60" s="564" t="s">
        <v>1614</v>
      </c>
      <c r="D60" s="564"/>
      <c r="E60" s="564"/>
      <c r="F60" s="564"/>
      <c r="G60" s="564"/>
      <c r="H60" s="564"/>
      <c r="I60" s="564"/>
      <c r="J60" s="564"/>
      <c r="K60" s="3399" t="str">
        <f>IF(ISBLANK(P58)," ",(P58))</f>
        <v/>
      </c>
      <c r="L60" s="3400"/>
      <c r="M60" s="2621" t="s">
        <v>82</v>
      </c>
      <c r="N60" s="557">
        <v>1.3</v>
      </c>
      <c r="O60" s="2621" t="s">
        <v>102</v>
      </c>
      <c r="P60" s="3399" t="str">
        <f>IFERROR((K60*1.3),"")</f>
        <v/>
      </c>
      <c r="Q60" s="3400"/>
      <c r="R60" s="2627" t="s">
        <v>25</v>
      </c>
      <c r="S60" s="602"/>
      <c r="V60" s="543"/>
      <c r="W60" s="2398"/>
      <c r="X60" s="2399"/>
      <c r="Y60" s="2399"/>
      <c r="Z60" s="2399"/>
      <c r="AA60" s="2399"/>
      <c r="AB60" s="2399"/>
      <c r="AC60" s="2399"/>
      <c r="AD60" s="2399"/>
      <c r="AE60" s="567"/>
      <c r="AF60" s="567"/>
      <c r="AG60" s="567"/>
      <c r="AH60" s="567"/>
      <c r="AI60" s="567"/>
      <c r="AJ60" s="567"/>
      <c r="AK60" s="567"/>
      <c r="AL60" s="567"/>
      <c r="AM60" s="567"/>
      <c r="AN60" s="567"/>
      <c r="AO60" s="567"/>
      <c r="AP60" s="545"/>
      <c r="AQ60" s="545"/>
      <c r="AX60" s="542"/>
      <c r="AY60" s="542"/>
    </row>
    <row r="61" spans="1:51" ht="5.0999999999999996" customHeight="1" thickBot="1">
      <c r="A61" s="601"/>
      <c r="B61" s="600"/>
      <c r="C61" s="599"/>
      <c r="D61" s="599"/>
      <c r="E61" s="599"/>
      <c r="F61" s="559"/>
      <c r="G61" s="559"/>
      <c r="H61" s="560"/>
      <c r="I61" s="559"/>
      <c r="J61" s="559"/>
      <c r="K61" s="560"/>
      <c r="L61" s="599"/>
      <c r="M61" s="599"/>
      <c r="N61" s="599"/>
      <c r="O61" s="599"/>
      <c r="P61" s="599"/>
      <c r="Q61" s="599"/>
      <c r="R61" s="598"/>
      <c r="S61" s="597"/>
      <c r="V61" s="543"/>
      <c r="W61" s="2398"/>
      <c r="X61" s="2396"/>
      <c r="Y61" s="2396"/>
      <c r="Z61" s="2394"/>
      <c r="AA61" s="2396"/>
      <c r="AB61" s="2396"/>
      <c r="AC61" s="2394"/>
      <c r="AD61" s="2396"/>
      <c r="AE61" s="549"/>
      <c r="AF61" s="550"/>
      <c r="AG61" s="549"/>
      <c r="AH61" s="549"/>
      <c r="AI61" s="550"/>
      <c r="AJ61" s="545"/>
      <c r="AK61" s="545"/>
      <c r="AL61" s="545"/>
      <c r="AM61" s="545"/>
      <c r="AN61" s="545"/>
      <c r="AO61" s="545"/>
      <c r="AP61" s="545"/>
      <c r="AQ61" s="545"/>
      <c r="AX61" s="542"/>
      <c r="AY61" s="544"/>
    </row>
    <row r="62" spans="1:51" ht="6" customHeight="1">
      <c r="A62" s="538"/>
      <c r="B62" s="538"/>
      <c r="W62" s="2401"/>
      <c r="X62" s="2396"/>
      <c r="Y62" s="2396"/>
      <c r="Z62" s="2405"/>
      <c r="AA62" s="2396"/>
      <c r="AB62" s="2402"/>
      <c r="AC62" s="2396"/>
      <c r="AD62" s="2396"/>
      <c r="AE62" s="548"/>
      <c r="AF62" s="549"/>
      <c r="AG62" s="549"/>
      <c r="AH62" s="548"/>
      <c r="AI62" s="549"/>
      <c r="AJ62" s="550"/>
      <c r="AK62" s="549"/>
      <c r="AL62" s="549"/>
      <c r="AM62" s="550"/>
      <c r="AN62" s="567"/>
      <c r="AO62" s="545"/>
      <c r="AP62" s="545"/>
      <c r="AQ62" s="545"/>
      <c r="AX62" s="542"/>
      <c r="AY62" s="542"/>
    </row>
    <row r="63" spans="1:51">
      <c r="W63" s="2388"/>
      <c r="X63" s="2388"/>
      <c r="Y63" s="2388"/>
      <c r="Z63" s="2388"/>
      <c r="AA63" s="2388"/>
      <c r="AB63" s="2388"/>
      <c r="AC63" s="2388"/>
      <c r="AD63" s="2388"/>
      <c r="AX63" s="544"/>
      <c r="AY63" s="542"/>
    </row>
    <row r="64" spans="1:51">
      <c r="A64" s="538"/>
      <c r="B64" s="538"/>
      <c r="AX64" s="542"/>
      <c r="AY64" s="542"/>
    </row>
    <row r="65" spans="1:51">
      <c r="AX65" s="544"/>
      <c r="AY65" s="542"/>
    </row>
    <row r="66" spans="1:51">
      <c r="AX66" s="542"/>
      <c r="AY66" s="544"/>
    </row>
    <row r="67" spans="1:51">
      <c r="AX67" s="544"/>
      <c r="AY67" s="542"/>
    </row>
    <row r="68" spans="1:51">
      <c r="AX68" s="542"/>
      <c r="AY68" s="542"/>
    </row>
    <row r="69" spans="1:51">
      <c r="AX69" s="544"/>
      <c r="AY69" s="542"/>
    </row>
    <row r="70" spans="1:51">
      <c r="AX70" s="542"/>
      <c r="AY70" s="544"/>
    </row>
    <row r="71" spans="1:51">
      <c r="AX71" s="544"/>
      <c r="AY71" s="542"/>
    </row>
    <row r="72" spans="1:51">
      <c r="A72" s="538"/>
      <c r="B72" s="538"/>
      <c r="R72" s="538"/>
      <c r="AX72" s="542"/>
      <c r="AY72" s="542"/>
    </row>
    <row r="73" spans="1:51">
      <c r="A73" s="538"/>
      <c r="B73" s="538"/>
      <c r="R73" s="538"/>
      <c r="AX73" s="544"/>
      <c r="AY73" s="542"/>
    </row>
    <row r="74" spans="1:51">
      <c r="A74" s="538"/>
      <c r="B74" s="538"/>
      <c r="R74" s="538"/>
      <c r="AX74" s="542"/>
      <c r="AY74" s="542"/>
    </row>
    <row r="75" spans="1:51">
      <c r="A75" s="538"/>
      <c r="B75" s="538"/>
      <c r="R75" s="538"/>
      <c r="AX75" s="544"/>
      <c r="AY75" s="544"/>
    </row>
    <row r="76" spans="1:51">
      <c r="A76" s="538"/>
      <c r="B76" s="538"/>
      <c r="R76" s="538"/>
      <c r="AX76" s="542"/>
      <c r="AY76" s="542"/>
    </row>
    <row r="77" spans="1:51">
      <c r="A77" s="538"/>
      <c r="B77" s="538"/>
      <c r="R77" s="538"/>
      <c r="AX77" s="544"/>
      <c r="AY77" s="542"/>
    </row>
    <row r="78" spans="1:51">
      <c r="A78" s="538"/>
      <c r="B78" s="538"/>
      <c r="R78" s="538"/>
      <c r="AX78" s="544"/>
      <c r="AY78" s="542"/>
    </row>
    <row r="79" spans="1:51">
      <c r="A79" s="538"/>
      <c r="B79" s="538"/>
      <c r="R79" s="538"/>
      <c r="AX79" s="542"/>
      <c r="AY79" s="542"/>
    </row>
    <row r="80" spans="1:51">
      <c r="A80" s="538"/>
      <c r="B80" s="538"/>
      <c r="R80" s="538"/>
      <c r="AX80" s="544"/>
      <c r="AY80" s="544"/>
    </row>
    <row r="81" spans="1:51">
      <c r="A81" s="538"/>
      <c r="B81" s="538"/>
      <c r="R81" s="538"/>
      <c r="AX81" s="542"/>
      <c r="AY81" s="542"/>
    </row>
    <row r="82" spans="1:51">
      <c r="A82" s="538"/>
      <c r="B82" s="538"/>
      <c r="R82" s="538"/>
      <c r="AX82" s="544"/>
      <c r="AY82" s="542"/>
    </row>
    <row r="83" spans="1:51">
      <c r="A83" s="538"/>
      <c r="B83" s="538"/>
      <c r="R83" s="538"/>
      <c r="AX83" s="542"/>
      <c r="AY83" s="542"/>
    </row>
    <row r="84" spans="1:51">
      <c r="A84" s="538"/>
      <c r="B84" s="538"/>
      <c r="R84" s="538"/>
      <c r="AX84" s="544"/>
      <c r="AY84" s="542"/>
    </row>
    <row r="85" spans="1:51">
      <c r="A85" s="538"/>
      <c r="B85" s="538"/>
      <c r="R85" s="538"/>
      <c r="AX85" s="542"/>
      <c r="AY85" s="544"/>
    </row>
    <row r="86" spans="1:51">
      <c r="A86" s="538"/>
      <c r="B86" s="538"/>
      <c r="R86" s="538"/>
      <c r="AX86" s="542"/>
      <c r="AY86" s="542"/>
    </row>
    <row r="87" spans="1:51">
      <c r="A87" s="538"/>
      <c r="B87" s="538"/>
      <c r="R87" s="538"/>
      <c r="AX87" s="544"/>
      <c r="AY87" s="542"/>
    </row>
    <row r="88" spans="1:51">
      <c r="A88" s="538"/>
      <c r="B88" s="538"/>
      <c r="R88" s="538"/>
      <c r="AX88" s="544"/>
      <c r="AY88" s="542"/>
    </row>
    <row r="89" spans="1:51">
      <c r="A89" s="538"/>
      <c r="B89" s="538"/>
      <c r="R89" s="538"/>
      <c r="AX89" s="544"/>
      <c r="AY89" s="542"/>
    </row>
    <row r="90" spans="1:51">
      <c r="A90" s="538"/>
      <c r="B90" s="538"/>
      <c r="R90" s="538"/>
      <c r="AX90" s="544"/>
      <c r="AY90" s="542"/>
    </row>
    <row r="91" spans="1:51">
      <c r="A91" s="538"/>
      <c r="B91" s="538"/>
      <c r="R91" s="538"/>
      <c r="AX91" s="544"/>
      <c r="AY91" s="542"/>
    </row>
    <row r="92" spans="1:51">
      <c r="A92" s="538"/>
      <c r="B92" s="538"/>
      <c r="R92" s="538"/>
      <c r="AX92" s="544"/>
      <c r="AY92" s="542"/>
    </row>
    <row r="93" spans="1:51">
      <c r="A93" s="538"/>
      <c r="B93" s="538"/>
      <c r="R93" s="538"/>
      <c r="AX93" s="542"/>
      <c r="AY93" s="542"/>
    </row>
    <row r="94" spans="1:51">
      <c r="A94" s="538"/>
      <c r="B94" s="538"/>
      <c r="R94" s="538"/>
      <c r="AX94" s="542"/>
      <c r="AY94" s="542"/>
    </row>
    <row r="95" spans="1:51">
      <c r="A95" s="538"/>
      <c r="B95" s="538"/>
      <c r="R95" s="538"/>
      <c r="AX95" s="544"/>
      <c r="AY95" s="544"/>
    </row>
    <row r="96" spans="1:51">
      <c r="A96" s="538"/>
      <c r="B96" s="538"/>
      <c r="R96" s="538"/>
      <c r="AX96" s="542"/>
      <c r="AY96" s="542"/>
    </row>
    <row r="97" spans="1:51">
      <c r="A97" s="538"/>
      <c r="B97" s="538"/>
      <c r="R97" s="538"/>
      <c r="AX97" s="542"/>
      <c r="AY97" s="542"/>
    </row>
    <row r="98" spans="1:51">
      <c r="A98" s="538"/>
      <c r="B98" s="538"/>
      <c r="R98" s="538"/>
      <c r="AX98" s="544"/>
      <c r="AY98" s="542"/>
    </row>
    <row r="99" spans="1:51">
      <c r="A99" s="538"/>
      <c r="B99" s="538"/>
      <c r="R99" s="538"/>
      <c r="AX99" s="542"/>
      <c r="AY99" s="542"/>
    </row>
    <row r="100" spans="1:51">
      <c r="A100" s="538"/>
      <c r="B100" s="538"/>
      <c r="R100" s="538"/>
      <c r="AX100" s="542"/>
      <c r="AY100" s="544"/>
    </row>
    <row r="101" spans="1:51">
      <c r="A101" s="538"/>
      <c r="B101" s="538"/>
      <c r="R101" s="538"/>
      <c r="AX101" s="544"/>
      <c r="AY101" s="542"/>
    </row>
    <row r="102" spans="1:51">
      <c r="A102" s="538"/>
      <c r="B102" s="538"/>
      <c r="R102" s="538"/>
      <c r="AX102" s="542"/>
      <c r="AY102" s="542"/>
    </row>
    <row r="103" spans="1:51">
      <c r="A103" s="538"/>
      <c r="B103" s="538"/>
      <c r="R103" s="538"/>
      <c r="AX103" s="542"/>
      <c r="AY103" s="542"/>
    </row>
    <row r="104" spans="1:51">
      <c r="A104" s="538"/>
      <c r="B104" s="538"/>
      <c r="R104" s="538"/>
      <c r="AX104" s="542"/>
      <c r="AY104" s="544"/>
    </row>
    <row r="105" spans="1:51">
      <c r="A105" s="538"/>
      <c r="B105" s="538"/>
      <c r="R105" s="538"/>
      <c r="AX105" s="542"/>
      <c r="AY105" s="544"/>
    </row>
    <row r="106" spans="1:51">
      <c r="A106" s="538"/>
      <c r="B106" s="538"/>
      <c r="R106" s="538"/>
      <c r="AX106" s="542"/>
      <c r="AY106" s="542"/>
    </row>
    <row r="107" spans="1:51">
      <c r="A107" s="538"/>
      <c r="B107" s="538"/>
      <c r="R107" s="538"/>
      <c r="AU107" s="545"/>
      <c r="AV107" s="545"/>
      <c r="AW107" s="545"/>
      <c r="AX107" s="542"/>
      <c r="AY107" s="544"/>
    </row>
    <row r="108" spans="1:51">
      <c r="A108" s="538"/>
      <c r="B108" s="538"/>
      <c r="R108" s="538"/>
      <c r="AX108" s="542"/>
      <c r="AY108" s="542"/>
    </row>
    <row r="109" spans="1:51">
      <c r="A109" s="538"/>
      <c r="B109" s="538"/>
      <c r="R109" s="538"/>
      <c r="AX109" s="542"/>
      <c r="AY109" s="542"/>
    </row>
    <row r="110" spans="1:51">
      <c r="A110" s="538"/>
      <c r="B110" s="538"/>
      <c r="R110" s="538"/>
      <c r="AX110" s="542"/>
      <c r="AY110" s="544"/>
    </row>
    <row r="111" spans="1:51">
      <c r="A111" s="538"/>
      <c r="B111" s="538"/>
      <c r="R111" s="538"/>
      <c r="AX111" s="542"/>
      <c r="AY111" s="542"/>
    </row>
    <row r="112" spans="1:51">
      <c r="A112" s="538"/>
      <c r="B112" s="538"/>
      <c r="R112" s="538"/>
      <c r="AX112" s="542"/>
      <c r="AY112" s="544"/>
    </row>
    <row r="113" spans="1:51">
      <c r="A113" s="538"/>
      <c r="B113" s="538"/>
      <c r="R113" s="538"/>
      <c r="AX113" s="542"/>
      <c r="AY113" s="542"/>
    </row>
    <row r="114" spans="1:51">
      <c r="A114" s="538"/>
      <c r="B114" s="538"/>
      <c r="R114" s="538"/>
      <c r="AX114" s="542"/>
      <c r="AY114" s="542"/>
    </row>
    <row r="115" spans="1:51">
      <c r="A115" s="538"/>
      <c r="B115" s="538"/>
      <c r="R115" s="538"/>
      <c r="AX115" s="542"/>
      <c r="AY115" s="544"/>
    </row>
    <row r="116" spans="1:51">
      <c r="A116" s="538"/>
      <c r="B116" s="538"/>
      <c r="R116" s="538"/>
      <c r="AX116" s="542"/>
      <c r="AY116" s="542"/>
    </row>
    <row r="117" spans="1:51">
      <c r="A117" s="538"/>
      <c r="B117" s="538"/>
      <c r="R117" s="538"/>
      <c r="AY117" s="544"/>
    </row>
    <row r="118" spans="1:51">
      <c r="A118" s="538"/>
      <c r="B118" s="538"/>
      <c r="R118" s="538"/>
      <c r="AY118" s="544"/>
    </row>
    <row r="119" spans="1:51">
      <c r="A119" s="538"/>
      <c r="B119" s="538"/>
      <c r="R119" s="538"/>
      <c r="AY119" s="542"/>
    </row>
    <row r="120" spans="1:51">
      <c r="A120" s="538"/>
      <c r="B120" s="538"/>
      <c r="R120" s="538"/>
      <c r="AY120" s="544"/>
    </row>
    <row r="121" spans="1:51">
      <c r="A121" s="538"/>
      <c r="B121" s="538"/>
      <c r="R121" s="538"/>
      <c r="AY121" s="542"/>
    </row>
    <row r="122" spans="1:51">
      <c r="A122" s="538"/>
      <c r="B122" s="538"/>
      <c r="R122" s="538"/>
      <c r="AY122" s="544"/>
    </row>
    <row r="123" spans="1:51">
      <c r="A123" s="538"/>
      <c r="B123" s="538"/>
      <c r="R123" s="538"/>
      <c r="AY123" s="544"/>
    </row>
    <row r="124" spans="1:51">
      <c r="A124" s="538"/>
      <c r="B124" s="538"/>
      <c r="R124" s="538"/>
      <c r="AY124" s="542"/>
    </row>
    <row r="125" spans="1:51">
      <c r="A125" s="538"/>
      <c r="B125" s="538"/>
      <c r="R125" s="538"/>
      <c r="AY125" s="542"/>
    </row>
    <row r="126" spans="1:51">
      <c r="A126" s="538"/>
      <c r="B126" s="538"/>
      <c r="R126" s="538"/>
      <c r="AY126" s="542"/>
    </row>
    <row r="127" spans="1:51">
      <c r="A127" s="538"/>
      <c r="B127" s="538"/>
      <c r="R127" s="538"/>
      <c r="AU127" s="543"/>
      <c r="AV127" s="543"/>
      <c r="AW127" s="543"/>
      <c r="AX127" s="543"/>
      <c r="AY127" s="542"/>
    </row>
    <row r="128" spans="1:51">
      <c r="A128" s="538"/>
      <c r="B128" s="538"/>
      <c r="R128" s="538"/>
      <c r="AY128" s="542"/>
    </row>
    <row r="129" spans="1:51">
      <c r="A129" s="538"/>
      <c r="B129" s="538"/>
      <c r="R129" s="538"/>
      <c r="AY129" s="542"/>
    </row>
    <row r="130" spans="1:51">
      <c r="A130" s="538"/>
      <c r="B130" s="538"/>
      <c r="R130" s="538"/>
      <c r="AY130" s="542"/>
    </row>
  </sheetData>
  <sheetProtection sheet="1" objects="1" scenarios="1"/>
  <customSheetViews>
    <customSheetView guid="{D1431318-1DB8-4C45-813B-5A8065DFC797}" showPageBreaks="1" zeroValues="0" printArea="1" view="pageBreakPreview">
      <selection activeCell="Y48" sqref="Y48"/>
      <pageMargins left="0.33" right="0.3" top="0.52" bottom="0.75" header="0.3" footer="0.3"/>
      <printOptions horizontalCentered="1" verticalCentered="1"/>
      <pageSetup scale="73" orientation="portrait" blackAndWhite="1" r:id="rId1"/>
    </customSheetView>
  </customSheetViews>
  <mergeCells count="77">
    <mergeCell ref="E1:N1"/>
    <mergeCell ref="I23:J23"/>
    <mergeCell ref="F23:G23"/>
    <mergeCell ref="D17:E17"/>
    <mergeCell ref="F30:G30"/>
    <mergeCell ref="C5:D5"/>
    <mergeCell ref="F27:G27"/>
    <mergeCell ref="J27:L27"/>
    <mergeCell ref="D20:E20"/>
    <mergeCell ref="H17:I17"/>
    <mergeCell ref="K17:L17"/>
    <mergeCell ref="H20:I20"/>
    <mergeCell ref="I2:J2"/>
    <mergeCell ref="K2:L2"/>
    <mergeCell ref="M27:N27"/>
    <mergeCell ref="D45:E45"/>
    <mergeCell ref="G45:H45"/>
    <mergeCell ref="J45:K45"/>
    <mergeCell ref="F33:G33"/>
    <mergeCell ref="J33:L33"/>
    <mergeCell ref="D36:E36"/>
    <mergeCell ref="G36:H36"/>
    <mergeCell ref="J36:K36"/>
    <mergeCell ref="AI53:AJ53"/>
    <mergeCell ref="K50:L50"/>
    <mergeCell ref="P50:Q50"/>
    <mergeCell ref="J51:K51"/>
    <mergeCell ref="M51:N51"/>
    <mergeCell ref="P51:Q51"/>
    <mergeCell ref="Z53:AA53"/>
    <mergeCell ref="AC53:AD53"/>
    <mergeCell ref="AF53:AG53"/>
    <mergeCell ref="K52:L52"/>
    <mergeCell ref="P52:Q52"/>
    <mergeCell ref="P5:Q5"/>
    <mergeCell ref="K7:L7"/>
    <mergeCell ref="P7:Q7"/>
    <mergeCell ref="G13:H13"/>
    <mergeCell ref="J13:K13"/>
    <mergeCell ref="K9:L9"/>
    <mergeCell ref="L5:M5"/>
    <mergeCell ref="I5:J5"/>
    <mergeCell ref="M13:N13"/>
    <mergeCell ref="P13:Q13"/>
    <mergeCell ref="G5:H5"/>
    <mergeCell ref="G56:H56"/>
    <mergeCell ref="J56:K56"/>
    <mergeCell ref="P56:Q56"/>
    <mergeCell ref="P9:Q9"/>
    <mergeCell ref="M30:N30"/>
    <mergeCell ref="P30:Q30"/>
    <mergeCell ref="O17:P17"/>
    <mergeCell ref="P36:Q36"/>
    <mergeCell ref="K39:L39"/>
    <mergeCell ref="P39:Q39"/>
    <mergeCell ref="K41:L41"/>
    <mergeCell ref="P33:Q33"/>
    <mergeCell ref="F51:G51"/>
    <mergeCell ref="G48:H48"/>
    <mergeCell ref="J48:K48"/>
    <mergeCell ref="M45:N45"/>
    <mergeCell ref="K60:L60"/>
    <mergeCell ref="P60:Q60"/>
    <mergeCell ref="P41:Q41"/>
    <mergeCell ref="K20:L20"/>
    <mergeCell ref="O20:P20"/>
    <mergeCell ref="M48:N48"/>
    <mergeCell ref="P27:Q27"/>
    <mergeCell ref="P48:Q48"/>
    <mergeCell ref="M36:N36"/>
    <mergeCell ref="J30:K30"/>
    <mergeCell ref="O23:P23"/>
    <mergeCell ref="L23:M23"/>
    <mergeCell ref="K58:L58"/>
    <mergeCell ref="P58:Q58"/>
    <mergeCell ref="P45:Q45"/>
    <mergeCell ref="M33:N33"/>
  </mergeCells>
  <printOptions horizontalCentered="1" verticalCentered="1"/>
  <pageMargins left="0.33" right="0.3" top="0.52" bottom="0.75" header="0.3" footer="0.3"/>
  <pageSetup orientation="portrait" blackAndWhite="1" r:id="rId2"/>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9" tint="0.39997558519241921"/>
  </sheetPr>
  <dimension ref="A1:V304"/>
  <sheetViews>
    <sheetView showGridLines="0" showZeros="0" view="pageBreakPreview" zoomScaleNormal="100" zoomScaleSheetLayoutView="100" workbookViewId="0">
      <selection activeCell="F10" sqref="F10:G10"/>
    </sheetView>
  </sheetViews>
  <sheetFormatPr defaultColWidth="9.109375" defaultRowHeight="14.4"/>
  <cols>
    <col min="1" max="1" width="3.44140625" style="653" customWidth="1"/>
    <col min="2" max="20" width="6.44140625" style="653" customWidth="1"/>
    <col min="21" max="21" width="9.44140625" style="653" customWidth="1"/>
    <col min="22" max="16384" width="9.109375" style="653"/>
  </cols>
  <sheetData>
    <row r="1" spans="1:21" ht="54.9" customHeight="1">
      <c r="E1" s="3502" t="s">
        <v>1754</v>
      </c>
      <c r="F1" s="3502"/>
      <c r="G1" s="3502"/>
      <c r="H1" s="3502"/>
      <c r="I1" s="3502"/>
      <c r="J1" s="3502"/>
      <c r="K1" s="3502"/>
      <c r="L1" s="3502"/>
      <c r="M1" s="3502"/>
      <c r="N1" s="3502"/>
      <c r="O1" s="3502"/>
      <c r="P1" s="3502"/>
    </row>
    <row r="2" spans="1:21" ht="15" customHeight="1">
      <c r="A2" s="1160" t="s">
        <v>834</v>
      </c>
      <c r="B2" s="1161"/>
      <c r="C2" s="1161"/>
      <c r="D2" s="1161"/>
      <c r="E2" s="1161"/>
      <c r="F2" s="1161"/>
      <c r="G2" s="1161"/>
      <c r="H2" s="1161"/>
      <c r="I2" s="3515" t="s">
        <v>1016</v>
      </c>
      <c r="J2" s="3515"/>
      <c r="K2" s="3516" t="str">
        <f>IF(ISBLANK(Summary!S3)," ",Summary!S3)</f>
        <v xml:space="preserve"> </v>
      </c>
      <c r="L2" s="3516"/>
      <c r="M2" s="1161"/>
      <c r="N2" s="1161"/>
      <c r="O2" s="1161"/>
      <c r="P2" s="1161"/>
      <c r="Q2" s="1161"/>
      <c r="R2" s="1161"/>
      <c r="S2" s="1161"/>
      <c r="T2" s="1161"/>
      <c r="U2" s="1162" t="str">
        <f>'Drop-Down Lists'!J40</f>
        <v>v 04.01.2021</v>
      </c>
    </row>
    <row r="3" spans="1:21" ht="6" customHeight="1">
      <c r="A3" s="657"/>
      <c r="B3" s="658"/>
      <c r="C3" s="658"/>
      <c r="D3" s="658"/>
      <c r="E3" s="658"/>
      <c r="F3" s="658"/>
      <c r="G3" s="658"/>
      <c r="H3" s="658"/>
      <c r="I3" s="658"/>
      <c r="J3" s="658"/>
      <c r="K3" s="658"/>
      <c r="L3" s="658"/>
      <c r="M3" s="658"/>
      <c r="N3" s="658"/>
      <c r="O3" s="658"/>
      <c r="P3" s="658"/>
      <c r="Q3" s="658"/>
      <c r="R3" s="658"/>
      <c r="S3" s="658"/>
      <c r="T3" s="658"/>
      <c r="U3" s="659"/>
    </row>
    <row r="4" spans="1:21" ht="19.5" customHeight="1">
      <c r="A4" s="657" t="s">
        <v>147</v>
      </c>
      <c r="B4" s="879" t="s">
        <v>312</v>
      </c>
      <c r="C4" s="658"/>
      <c r="D4" s="658"/>
      <c r="E4" s="3383" t="str">
        <f>IF(Summary!AA63=0,"",IF(Summary!AA63=4,Summary!I11,""))</f>
        <v/>
      </c>
      <c r="F4" s="3384"/>
      <c r="G4" s="658" t="s">
        <v>313</v>
      </c>
      <c r="H4" s="658"/>
      <c r="I4" s="658"/>
      <c r="J4" s="658"/>
      <c r="K4" s="658"/>
      <c r="L4" s="658"/>
      <c r="M4" s="658"/>
      <c r="N4" s="658"/>
      <c r="O4" s="658"/>
      <c r="P4" s="658"/>
      <c r="Q4" s="658"/>
      <c r="R4" s="658"/>
      <c r="S4" s="658"/>
      <c r="T4" s="658"/>
      <c r="U4" s="659"/>
    </row>
    <row r="5" spans="1:21" ht="6" customHeight="1">
      <c r="A5" s="657"/>
      <c r="B5" s="658"/>
      <c r="C5" s="658"/>
      <c r="D5" s="658"/>
      <c r="E5" s="658"/>
      <c r="F5" s="658"/>
      <c r="G5" s="658"/>
      <c r="H5" s="658"/>
      <c r="I5" s="658"/>
      <c r="J5" s="658"/>
      <c r="K5" s="658"/>
      <c r="L5" s="658"/>
      <c r="M5" s="658"/>
      <c r="N5" s="658"/>
      <c r="O5" s="658"/>
      <c r="P5" s="658"/>
      <c r="Q5" s="658"/>
      <c r="R5" s="658"/>
      <c r="S5" s="658"/>
      <c r="T5" s="658"/>
      <c r="U5" s="659"/>
    </row>
    <row r="6" spans="1:21" ht="15" customHeight="1">
      <c r="A6" s="3508" t="s">
        <v>736</v>
      </c>
      <c r="B6" s="3509"/>
      <c r="C6" s="3509"/>
      <c r="D6" s="3509"/>
      <c r="E6" s="3509"/>
      <c r="F6" s="3509"/>
      <c r="G6" s="3509"/>
      <c r="H6" s="3509"/>
      <c r="I6" s="3509"/>
      <c r="J6" s="3509"/>
      <c r="K6" s="3509"/>
      <c r="L6" s="3509"/>
      <c r="M6" s="3509"/>
      <c r="N6" s="3509"/>
      <c r="O6" s="3509"/>
      <c r="P6" s="3509"/>
      <c r="Q6" s="3509"/>
      <c r="R6" s="3509"/>
      <c r="S6" s="3509"/>
      <c r="T6" s="3509"/>
      <c r="U6" s="3510"/>
    </row>
    <row r="7" spans="1:21" ht="6" customHeight="1">
      <c r="A7" s="657"/>
      <c r="B7" s="658"/>
      <c r="C7" s="658"/>
      <c r="D7" s="658"/>
      <c r="E7" s="658"/>
      <c r="F7" s="658"/>
      <c r="G7" s="658"/>
      <c r="H7" s="658"/>
      <c r="I7" s="658"/>
      <c r="J7" s="658"/>
      <c r="K7" s="658"/>
      <c r="L7" s="658"/>
      <c r="M7" s="658"/>
      <c r="N7" s="658"/>
      <c r="O7" s="658"/>
      <c r="P7" s="658"/>
      <c r="Q7" s="658"/>
      <c r="R7" s="658"/>
      <c r="S7" s="658"/>
      <c r="T7" s="658"/>
      <c r="U7" s="659"/>
    </row>
    <row r="8" spans="1:21" ht="19.5" customHeight="1">
      <c r="A8" s="657" t="s">
        <v>147</v>
      </c>
      <c r="B8" s="879" t="s">
        <v>737</v>
      </c>
      <c r="C8" s="658"/>
      <c r="D8" s="658"/>
      <c r="E8" s="658"/>
      <c r="F8" s="3507" t="str">
        <f>IF(ISBLANK(E4), " ", Summary!G80)</f>
        <v xml:space="preserve"> </v>
      </c>
      <c r="G8" s="3506"/>
      <c r="H8" s="879" t="s">
        <v>640</v>
      </c>
      <c r="I8" s="658"/>
      <c r="J8" s="658"/>
      <c r="K8" s="658"/>
      <c r="L8" s="658"/>
      <c r="M8" s="658"/>
      <c r="N8" s="658"/>
      <c r="O8" s="658"/>
      <c r="P8" s="658"/>
      <c r="Q8" s="658"/>
      <c r="R8" s="658"/>
      <c r="S8" s="658"/>
      <c r="T8" s="658"/>
      <c r="U8" s="659"/>
    </row>
    <row r="9" spans="1:21" ht="6" customHeight="1">
      <c r="A9" s="657"/>
      <c r="B9" s="658"/>
      <c r="C9" s="658"/>
      <c r="D9" s="658"/>
      <c r="E9" s="658"/>
      <c r="F9" s="658"/>
      <c r="G9" s="658"/>
      <c r="H9" s="658"/>
      <c r="I9" s="658"/>
      <c r="J9" s="658"/>
      <c r="K9" s="658"/>
      <c r="L9" s="658"/>
      <c r="M9" s="658"/>
      <c r="N9" s="658"/>
      <c r="O9" s="658"/>
      <c r="P9" s="658"/>
      <c r="Q9" s="658"/>
      <c r="R9" s="658"/>
      <c r="S9" s="658"/>
      <c r="T9" s="658"/>
      <c r="U9" s="659"/>
    </row>
    <row r="10" spans="1:21" ht="19.5" customHeight="1">
      <c r="A10" s="657" t="s">
        <v>631</v>
      </c>
      <c r="B10" s="879" t="s">
        <v>738</v>
      </c>
      <c r="C10" s="658"/>
      <c r="D10" s="658"/>
      <c r="E10" s="880"/>
      <c r="F10" s="3554"/>
      <c r="G10" s="3555"/>
      <c r="H10" s="879" t="s">
        <v>640</v>
      </c>
      <c r="I10" s="658"/>
      <c r="J10" s="658"/>
      <c r="K10" s="658"/>
      <c r="L10" s="658"/>
      <c r="M10" s="658"/>
      <c r="N10" s="658"/>
      <c r="O10" s="658"/>
      <c r="P10" s="658"/>
      <c r="Q10" s="658"/>
      <c r="R10" s="658"/>
      <c r="S10" s="658"/>
      <c r="T10" s="658"/>
      <c r="U10" s="659"/>
    </row>
    <row r="11" spans="1:21" ht="6" customHeight="1">
      <c r="A11" s="657"/>
      <c r="B11" s="658"/>
      <c r="C11" s="658"/>
      <c r="D11" s="658"/>
      <c r="E11" s="658"/>
      <c r="F11" s="658"/>
      <c r="G11" s="658"/>
      <c r="H11" s="658"/>
      <c r="I11" s="658"/>
      <c r="J11" s="658"/>
      <c r="K11" s="658"/>
      <c r="L11" s="658"/>
      <c r="M11" s="658"/>
      <c r="N11" s="658"/>
      <c r="O11" s="658"/>
      <c r="P11" s="658"/>
      <c r="Q11" s="658"/>
      <c r="R11" s="658"/>
      <c r="S11" s="658"/>
      <c r="T11" s="658"/>
      <c r="U11" s="659"/>
    </row>
    <row r="12" spans="1:21" ht="19.5" customHeight="1">
      <c r="A12" s="657" t="s">
        <v>835</v>
      </c>
      <c r="B12" s="879" t="s">
        <v>739</v>
      </c>
      <c r="C12" s="658"/>
      <c r="D12" s="658"/>
      <c r="E12" s="658"/>
      <c r="F12" s="658"/>
      <c r="G12" s="3507">
        <f>IF(ISBLANK(E4),"",Summary!G89)</f>
        <v>0</v>
      </c>
      <c r="H12" s="3506"/>
      <c r="I12" s="879" t="s">
        <v>1105</v>
      </c>
      <c r="J12" s="658"/>
      <c r="K12" s="658"/>
      <c r="L12" s="658"/>
      <c r="M12" s="658"/>
      <c r="N12" s="658"/>
      <c r="O12" s="658"/>
      <c r="P12" s="658"/>
      <c r="Q12" s="658"/>
      <c r="R12" s="658"/>
      <c r="S12" s="658"/>
      <c r="T12" s="658"/>
      <c r="U12" s="659"/>
    </row>
    <row r="13" spans="1:21" ht="6" customHeight="1">
      <c r="A13" s="657"/>
      <c r="B13" s="658"/>
      <c r="C13" s="658"/>
      <c r="D13" s="658"/>
      <c r="E13" s="658"/>
      <c r="F13" s="658"/>
      <c r="G13" s="658"/>
      <c r="H13" s="658"/>
      <c r="I13" s="658"/>
      <c r="J13" s="658"/>
      <c r="K13" s="658"/>
      <c r="L13" s="658"/>
      <c r="M13" s="658"/>
      <c r="N13" s="658"/>
      <c r="O13" s="658"/>
      <c r="P13" s="658"/>
      <c r="Q13" s="658"/>
      <c r="R13" s="658"/>
      <c r="S13" s="658"/>
      <c r="T13" s="658"/>
      <c r="U13" s="659"/>
    </row>
    <row r="14" spans="1:21" ht="19.5" customHeight="1">
      <c r="A14" s="657" t="s">
        <v>588</v>
      </c>
      <c r="B14" s="879" t="s">
        <v>280</v>
      </c>
      <c r="C14" s="658"/>
      <c r="D14" s="658"/>
      <c r="E14" s="658"/>
      <c r="F14" s="3507">
        <f>IF(ISBLANK(E4),"",Summary!G91)</f>
        <v>0</v>
      </c>
      <c r="G14" s="3506"/>
      <c r="H14" s="879" t="s">
        <v>706</v>
      </c>
      <c r="I14" s="658"/>
      <c r="J14" s="658"/>
      <c r="K14" s="658"/>
      <c r="L14" s="658"/>
      <c r="M14" s="658"/>
      <c r="N14" s="658"/>
      <c r="O14" s="658"/>
      <c r="P14" s="658"/>
      <c r="Q14" s="658"/>
      <c r="R14" s="658"/>
      <c r="S14" s="658"/>
      <c r="T14" s="658"/>
      <c r="U14" s="659"/>
    </row>
    <row r="15" spans="1:21" ht="6" customHeight="1">
      <c r="A15" s="657"/>
      <c r="B15" s="658"/>
      <c r="C15" s="658"/>
      <c r="D15" s="658"/>
      <c r="E15" s="658"/>
      <c r="F15" s="658"/>
      <c r="G15" s="658"/>
      <c r="H15" s="658"/>
      <c r="I15" s="658"/>
      <c r="J15" s="658"/>
      <c r="K15" s="658"/>
      <c r="L15" s="658"/>
      <c r="M15" s="658"/>
      <c r="N15" s="658"/>
      <c r="O15" s="658"/>
      <c r="P15" s="658"/>
      <c r="Q15" s="658"/>
      <c r="R15" s="658"/>
      <c r="S15" s="658"/>
      <c r="T15" s="658"/>
      <c r="U15" s="659"/>
    </row>
    <row r="16" spans="1:21" ht="19.5" customHeight="1">
      <c r="A16" s="657" t="s">
        <v>836</v>
      </c>
      <c r="B16" s="879" t="s">
        <v>837</v>
      </c>
      <c r="C16" s="658"/>
      <c r="D16" s="658"/>
      <c r="E16" s="2182"/>
      <c r="F16" s="3556"/>
      <c r="G16" s="3557"/>
      <c r="H16" s="658"/>
      <c r="I16" s="658"/>
      <c r="J16" s="658"/>
      <c r="K16" s="658"/>
      <c r="L16" s="658"/>
      <c r="M16" s="658"/>
      <c r="N16" s="658"/>
      <c r="O16" s="658"/>
      <c r="P16" s="658"/>
      <c r="Q16" s="658"/>
      <c r="R16" s="658"/>
      <c r="S16" s="658"/>
      <c r="T16" s="658"/>
      <c r="U16" s="659"/>
    </row>
    <row r="17" spans="1:21" ht="6" customHeight="1">
      <c r="A17" s="657"/>
      <c r="B17" s="658"/>
      <c r="C17" s="658"/>
      <c r="D17" s="658"/>
      <c r="E17" s="658"/>
      <c r="F17" s="658"/>
      <c r="G17" s="658"/>
      <c r="H17" s="658"/>
      <c r="I17" s="658"/>
      <c r="J17" s="658"/>
      <c r="K17" s="658"/>
      <c r="L17" s="658"/>
      <c r="M17" s="658"/>
      <c r="N17" s="658"/>
      <c r="O17" s="658"/>
      <c r="P17" s="658"/>
      <c r="Q17" s="658"/>
      <c r="R17" s="658"/>
      <c r="S17" s="658"/>
      <c r="T17" s="658"/>
      <c r="U17" s="659"/>
    </row>
    <row r="18" spans="1:21" ht="15" customHeight="1">
      <c r="A18" s="3508" t="s">
        <v>838</v>
      </c>
      <c r="B18" s="3509"/>
      <c r="C18" s="3509"/>
      <c r="D18" s="3509"/>
      <c r="E18" s="3509"/>
      <c r="F18" s="3509"/>
      <c r="G18" s="3509"/>
      <c r="H18" s="3509"/>
      <c r="I18" s="3509"/>
      <c r="J18" s="3509"/>
      <c r="K18" s="3509"/>
      <c r="L18" s="3509"/>
      <c r="M18" s="3509"/>
      <c r="N18" s="3509"/>
      <c r="O18" s="3509"/>
      <c r="P18" s="3509"/>
      <c r="Q18" s="3509"/>
      <c r="R18" s="3509"/>
      <c r="S18" s="3509"/>
      <c r="T18" s="3509"/>
      <c r="U18" s="3510"/>
    </row>
    <row r="19" spans="1:21" ht="6" customHeight="1">
      <c r="A19" s="657"/>
      <c r="B19" s="658"/>
      <c r="C19" s="658"/>
      <c r="D19" s="658"/>
      <c r="E19" s="658"/>
      <c r="F19" s="658"/>
      <c r="G19" s="658"/>
      <c r="H19" s="658"/>
      <c r="I19" s="658"/>
      <c r="J19" s="658"/>
      <c r="K19" s="658"/>
      <c r="L19" s="658"/>
      <c r="M19" s="658"/>
      <c r="N19" s="658"/>
      <c r="O19" s="658"/>
      <c r="P19" s="658"/>
      <c r="Q19" s="658"/>
      <c r="R19" s="658"/>
      <c r="S19" s="658"/>
      <c r="T19" s="658"/>
      <c r="U19" s="659"/>
    </row>
    <row r="20" spans="1:21" ht="19.5" customHeight="1">
      <c r="A20" s="657" t="s">
        <v>147</v>
      </c>
      <c r="B20" s="879" t="s">
        <v>839</v>
      </c>
      <c r="C20" s="658"/>
      <c r="D20" s="658"/>
      <c r="E20" s="3528"/>
      <c r="F20" s="3529"/>
      <c r="G20" s="879" t="s">
        <v>640</v>
      </c>
      <c r="H20" s="658"/>
      <c r="I20" s="879" t="s">
        <v>840</v>
      </c>
      <c r="J20" s="658"/>
      <c r="K20" s="658"/>
      <c r="L20" s="3503"/>
      <c r="M20" s="3504"/>
      <c r="N20" s="658" t="s">
        <v>827</v>
      </c>
      <c r="O20" s="658"/>
      <c r="P20" s="658"/>
      <c r="Q20" s="658"/>
      <c r="R20" s="658"/>
      <c r="S20" s="658"/>
      <c r="T20" s="658"/>
      <c r="U20" s="659"/>
    </row>
    <row r="21" spans="1:21" ht="6" customHeight="1">
      <c r="A21" s="657"/>
      <c r="B21" s="658"/>
      <c r="C21" s="658"/>
      <c r="D21" s="658"/>
      <c r="E21" s="658"/>
      <c r="F21" s="658"/>
      <c r="G21" s="658"/>
      <c r="H21" s="658"/>
      <c r="I21" s="658"/>
      <c r="J21" s="658"/>
      <c r="K21" s="658"/>
      <c r="L21" s="658"/>
      <c r="M21" s="658"/>
      <c r="N21" s="658"/>
      <c r="O21" s="658"/>
      <c r="P21" s="658"/>
      <c r="Q21" s="658"/>
      <c r="R21" s="658"/>
      <c r="S21" s="658"/>
      <c r="T21" s="658"/>
      <c r="U21" s="659"/>
    </row>
    <row r="22" spans="1:21" ht="19.5" customHeight="1">
      <c r="A22" s="657" t="s">
        <v>631</v>
      </c>
      <c r="B22" s="879" t="s">
        <v>841</v>
      </c>
      <c r="C22" s="658"/>
      <c r="D22" s="658"/>
      <c r="E22" s="3503"/>
      <c r="F22" s="3504"/>
      <c r="G22" s="879" t="s">
        <v>842</v>
      </c>
      <c r="H22" s="658"/>
      <c r="I22" s="658"/>
      <c r="J22" s="658"/>
      <c r="K22" s="658"/>
      <c r="L22" s="658"/>
      <c r="M22" s="658"/>
      <c r="N22" s="658"/>
      <c r="O22" s="658"/>
      <c r="P22" s="658"/>
      <c r="Q22" s="658"/>
      <c r="R22" s="658"/>
      <c r="S22" s="658"/>
      <c r="T22" s="658"/>
      <c r="U22" s="659"/>
    </row>
    <row r="23" spans="1:21" ht="6" customHeight="1">
      <c r="A23" s="657"/>
      <c r="B23" s="658"/>
      <c r="C23" s="658"/>
      <c r="D23" s="658"/>
      <c r="E23" s="658"/>
      <c r="F23" s="658"/>
      <c r="G23" s="658"/>
      <c r="H23" s="658"/>
      <c r="I23" s="658"/>
      <c r="J23" s="658"/>
      <c r="K23" s="658"/>
      <c r="L23" s="658"/>
      <c r="M23" s="658"/>
      <c r="N23" s="658"/>
      <c r="O23" s="658"/>
      <c r="P23" s="658"/>
      <c r="Q23" s="658"/>
      <c r="R23" s="658"/>
      <c r="S23" s="658"/>
      <c r="T23" s="658"/>
      <c r="U23" s="659"/>
    </row>
    <row r="24" spans="1:21" ht="19.5" customHeight="1">
      <c r="A24" s="657" t="s">
        <v>149</v>
      </c>
      <c r="B24" s="879" t="s">
        <v>843</v>
      </c>
      <c r="C24" s="658"/>
      <c r="D24" s="658"/>
      <c r="E24" s="658"/>
      <c r="F24" s="658"/>
      <c r="G24" s="658"/>
      <c r="H24" s="658"/>
      <c r="I24" s="658"/>
      <c r="J24" s="3507" t="str">
        <f>E4</f>
        <v/>
      </c>
      <c r="K24" s="3506"/>
      <c r="L24" s="658"/>
      <c r="M24" s="728" t="s">
        <v>85</v>
      </c>
      <c r="N24" s="3507">
        <f>G12</f>
        <v>0</v>
      </c>
      <c r="O24" s="3506"/>
      <c r="P24" s="3517" t="s">
        <v>935</v>
      </c>
      <c r="Q24" s="3518"/>
      <c r="R24" s="3511" t="str">
        <f>IF(ISBLANK(F10),"",J24/N24)</f>
        <v/>
      </c>
      <c r="S24" s="3512"/>
      <c r="T24" s="879" t="s">
        <v>1106</v>
      </c>
      <c r="U24" s="659"/>
    </row>
    <row r="25" spans="1:21" ht="6" customHeight="1">
      <c r="A25" s="657"/>
      <c r="B25" s="658"/>
      <c r="C25" s="658"/>
      <c r="D25" s="658"/>
      <c r="E25" s="658"/>
      <c r="F25" s="658"/>
      <c r="G25" s="658"/>
      <c r="H25" s="658"/>
      <c r="I25" s="658"/>
      <c r="J25" s="658"/>
      <c r="K25" s="658"/>
      <c r="L25" s="658"/>
      <c r="M25" s="658"/>
      <c r="N25" s="658"/>
      <c r="O25" s="658"/>
      <c r="P25" s="658"/>
      <c r="Q25" s="658"/>
      <c r="R25" s="658"/>
      <c r="S25" s="658"/>
      <c r="T25" s="658"/>
      <c r="U25" s="659"/>
    </row>
    <row r="26" spans="1:21" ht="15" customHeight="1">
      <c r="A26" s="657" t="s">
        <v>588</v>
      </c>
      <c r="B26" s="879" t="s">
        <v>844</v>
      </c>
      <c r="C26" s="658"/>
      <c r="D26" s="658"/>
      <c r="E26" s="658"/>
      <c r="F26" s="658"/>
      <c r="G26" s="658"/>
      <c r="H26" s="658"/>
      <c r="I26" s="658"/>
      <c r="J26" s="658"/>
      <c r="K26" s="658"/>
      <c r="L26" s="658"/>
      <c r="M26" s="658"/>
      <c r="N26" s="658"/>
      <c r="O26" s="658"/>
      <c r="P26" s="658"/>
      <c r="Q26" s="658"/>
      <c r="R26" s="658"/>
      <c r="S26" s="658"/>
      <c r="T26" s="658"/>
      <c r="U26" s="659"/>
    </row>
    <row r="27" spans="1:21" ht="6" customHeight="1">
      <c r="A27" s="657"/>
      <c r="B27" s="658"/>
      <c r="C27" s="658"/>
      <c r="D27" s="658"/>
      <c r="E27" s="658"/>
      <c r="F27" s="658"/>
      <c r="G27" s="658"/>
      <c r="H27" s="658"/>
      <c r="I27" s="658"/>
      <c r="J27" s="658"/>
      <c r="K27" s="658"/>
      <c r="L27" s="658"/>
      <c r="M27" s="658"/>
      <c r="N27" s="658"/>
      <c r="O27" s="658"/>
      <c r="P27" s="658"/>
      <c r="Q27" s="658"/>
      <c r="R27" s="658"/>
      <c r="S27" s="658"/>
      <c r="T27" s="658"/>
      <c r="U27" s="659"/>
    </row>
    <row r="28" spans="1:21" ht="19.5" customHeight="1">
      <c r="A28" s="657"/>
      <c r="B28" s="3507" t="str">
        <f>E4</f>
        <v/>
      </c>
      <c r="C28" s="3506"/>
      <c r="D28" s="882" t="s">
        <v>85</v>
      </c>
      <c r="E28" s="3507">
        <f>F14</f>
        <v>0</v>
      </c>
      <c r="F28" s="3506"/>
      <c r="G28" s="879" t="s">
        <v>936</v>
      </c>
      <c r="H28" s="658"/>
      <c r="I28" s="3507" t="str">
        <f>IF(ISBLANK(F10),"",B28/E28)</f>
        <v/>
      </c>
      <c r="J28" s="3514"/>
      <c r="K28" s="879" t="s">
        <v>92</v>
      </c>
      <c r="L28" s="658"/>
      <c r="M28" s="658"/>
      <c r="N28" s="658"/>
      <c r="O28" s="658"/>
      <c r="P28" s="658"/>
      <c r="Q28" s="658"/>
      <c r="R28" s="658"/>
      <c r="S28" s="658"/>
      <c r="T28" s="658"/>
      <c r="U28" s="659"/>
    </row>
    <row r="29" spans="1:21" ht="6" customHeight="1">
      <c r="A29" s="657"/>
      <c r="B29" s="658"/>
      <c r="C29" s="658"/>
      <c r="D29" s="658"/>
      <c r="E29" s="658"/>
      <c r="F29" s="658"/>
      <c r="G29" s="658"/>
      <c r="H29" s="658"/>
      <c r="I29" s="658"/>
      <c r="J29" s="658"/>
      <c r="K29" s="658"/>
      <c r="L29" s="658"/>
      <c r="M29" s="658"/>
      <c r="N29" s="658"/>
      <c r="O29" s="658"/>
      <c r="P29" s="658"/>
      <c r="Q29" s="658"/>
      <c r="R29" s="658"/>
      <c r="S29" s="658"/>
      <c r="T29" s="658"/>
      <c r="U29" s="659"/>
    </row>
    <row r="30" spans="1:21" ht="19.5" customHeight="1">
      <c r="A30" s="657" t="s">
        <v>589</v>
      </c>
      <c r="B30" s="879" t="s">
        <v>937</v>
      </c>
      <c r="C30" s="658"/>
      <c r="D30" s="658"/>
      <c r="E30" s="658"/>
      <c r="F30" s="658"/>
      <c r="G30" s="658"/>
      <c r="H30" s="658"/>
      <c r="I30" s="658"/>
      <c r="J30" s="658"/>
      <c r="K30" s="658"/>
      <c r="L30" s="658"/>
      <c r="M30" s="658"/>
      <c r="N30" s="658"/>
      <c r="O30" s="658"/>
      <c r="P30" s="3550"/>
      <c r="Q30" s="3551"/>
      <c r="R30" s="885" t="s">
        <v>92</v>
      </c>
      <c r="S30" s="658"/>
      <c r="T30" s="658"/>
      <c r="U30" s="659"/>
    </row>
    <row r="31" spans="1:21" s="664" customFormat="1" ht="15" customHeight="1">
      <c r="A31" s="661"/>
      <c r="B31" s="884" t="s">
        <v>845</v>
      </c>
      <c r="C31" s="662"/>
      <c r="D31" s="662"/>
      <c r="E31" s="662"/>
      <c r="F31" s="662"/>
      <c r="G31" s="662"/>
      <c r="H31" s="662"/>
      <c r="I31" s="662"/>
      <c r="J31" s="662"/>
      <c r="K31" s="662"/>
      <c r="L31" s="662"/>
      <c r="M31" s="662"/>
      <c r="N31" s="662"/>
      <c r="O31" s="662"/>
      <c r="P31" s="662"/>
      <c r="Q31" s="662"/>
      <c r="R31" s="662"/>
      <c r="S31" s="662"/>
      <c r="T31" s="662"/>
      <c r="U31" s="663"/>
    </row>
    <row r="32" spans="1:21" ht="6" customHeight="1">
      <c r="A32" s="657"/>
      <c r="B32" s="658"/>
      <c r="C32" s="658"/>
      <c r="D32" s="658"/>
      <c r="E32" s="658"/>
      <c r="F32" s="658"/>
      <c r="G32" s="658"/>
      <c r="H32" s="658"/>
      <c r="I32" s="658"/>
      <c r="J32" s="658"/>
      <c r="K32" s="658"/>
      <c r="L32" s="658"/>
      <c r="M32" s="658"/>
      <c r="N32" s="658"/>
      <c r="O32" s="658"/>
      <c r="P32" s="658"/>
      <c r="Q32" s="658"/>
      <c r="R32" s="658"/>
      <c r="S32" s="658"/>
      <c r="T32" s="658"/>
      <c r="U32" s="659"/>
    </row>
    <row r="33" spans="1:21" ht="19.5" customHeight="1">
      <c r="A33" s="657" t="s">
        <v>641</v>
      </c>
      <c r="B33" s="879" t="s">
        <v>846</v>
      </c>
      <c r="C33" s="658"/>
      <c r="D33" s="658"/>
      <c r="E33" s="658"/>
      <c r="F33" s="658"/>
      <c r="G33" s="658"/>
      <c r="H33" s="658"/>
      <c r="I33" s="658"/>
      <c r="J33" s="658"/>
      <c r="K33" s="658"/>
      <c r="L33" s="3511" t="str">
        <f>R24</f>
        <v/>
      </c>
      <c r="M33" s="3512"/>
      <c r="N33" s="882" t="s">
        <v>1107</v>
      </c>
      <c r="O33" s="3507" t="str">
        <f>IF(ISBLANK(F10),"",P30)</f>
        <v/>
      </c>
      <c r="P33" s="3506"/>
      <c r="Q33" s="660" t="s">
        <v>102</v>
      </c>
      <c r="R33" s="3505" t="str">
        <f>IF(ISBLANK(F10),"",L33/O33)</f>
        <v/>
      </c>
      <c r="S33" s="3513"/>
      <c r="T33" s="879" t="s">
        <v>92</v>
      </c>
      <c r="U33" s="659"/>
    </row>
    <row r="34" spans="1:21" ht="6" customHeight="1">
      <c r="A34" s="657"/>
      <c r="B34" s="658"/>
      <c r="C34" s="658"/>
      <c r="D34" s="658"/>
      <c r="E34" s="658"/>
      <c r="F34" s="658"/>
      <c r="G34" s="658"/>
      <c r="H34" s="658"/>
      <c r="I34" s="658"/>
      <c r="J34" s="658"/>
      <c r="K34" s="658"/>
      <c r="L34" s="658"/>
      <c r="M34" s="658"/>
      <c r="N34" s="658"/>
      <c r="O34" s="658"/>
      <c r="P34" s="658"/>
      <c r="Q34" s="658"/>
      <c r="R34" s="658"/>
      <c r="S34" s="658"/>
      <c r="T34" s="658"/>
      <c r="U34" s="659"/>
    </row>
    <row r="35" spans="1:21" ht="19.5" customHeight="1">
      <c r="A35" s="657" t="s">
        <v>642</v>
      </c>
      <c r="B35" s="879" t="s">
        <v>828</v>
      </c>
      <c r="C35" s="658"/>
      <c r="D35" s="658"/>
      <c r="E35" s="3503"/>
      <c r="F35" s="3504"/>
      <c r="G35" s="879" t="s">
        <v>92</v>
      </c>
      <c r="H35" s="658"/>
      <c r="I35" s="658"/>
      <c r="J35" s="658"/>
      <c r="K35" s="658"/>
      <c r="L35" s="658"/>
      <c r="M35" s="658"/>
      <c r="N35" s="658"/>
      <c r="O35" s="658"/>
      <c r="P35" s="658"/>
      <c r="Q35" s="658"/>
      <c r="R35" s="658"/>
      <c r="S35" s="658"/>
      <c r="T35" s="658"/>
      <c r="U35" s="659"/>
    </row>
    <row r="36" spans="1:21" ht="6" customHeight="1">
      <c r="A36" s="657"/>
      <c r="B36" s="658"/>
      <c r="C36" s="658"/>
      <c r="D36" s="658"/>
      <c r="E36" s="658"/>
      <c r="F36" s="658"/>
      <c r="G36" s="658"/>
      <c r="H36" s="658"/>
      <c r="I36" s="658"/>
      <c r="J36" s="658"/>
      <c r="K36" s="658"/>
      <c r="L36" s="658"/>
      <c r="M36" s="658"/>
      <c r="N36" s="658"/>
      <c r="O36" s="658"/>
      <c r="P36" s="658"/>
      <c r="Q36" s="658"/>
      <c r="R36" s="658"/>
      <c r="S36" s="658"/>
      <c r="T36" s="658"/>
      <c r="U36" s="659"/>
    </row>
    <row r="37" spans="1:21" ht="15" customHeight="1">
      <c r="A37" s="657" t="s">
        <v>643</v>
      </c>
      <c r="B37" s="879" t="s">
        <v>1108</v>
      </c>
      <c r="C37" s="658"/>
      <c r="D37" s="658"/>
      <c r="E37" s="658"/>
      <c r="F37" s="658"/>
      <c r="G37" s="658"/>
      <c r="H37" s="658"/>
      <c r="I37" s="658"/>
      <c r="J37" s="658"/>
      <c r="K37" s="658"/>
      <c r="L37" s="658"/>
      <c r="M37" s="658"/>
      <c r="N37" s="658"/>
      <c r="O37" s="658"/>
      <c r="P37" s="658"/>
      <c r="Q37" s="658"/>
      <c r="R37" s="658"/>
      <c r="S37" s="658"/>
      <c r="T37" s="658"/>
      <c r="U37" s="659"/>
    </row>
    <row r="38" spans="1:21" ht="6" customHeight="1">
      <c r="A38" s="657"/>
      <c r="B38" s="658"/>
      <c r="C38" s="658"/>
      <c r="D38" s="658"/>
      <c r="E38" s="658"/>
      <c r="F38" s="658"/>
      <c r="G38" s="658"/>
      <c r="H38" s="658"/>
      <c r="I38" s="658"/>
      <c r="J38" s="658"/>
      <c r="K38" s="658"/>
      <c r="L38" s="658"/>
      <c r="M38" s="658"/>
      <c r="N38" s="658"/>
      <c r="O38" s="658"/>
      <c r="P38" s="658"/>
      <c r="Q38" s="658"/>
      <c r="R38" s="658"/>
      <c r="S38" s="658"/>
      <c r="T38" s="658"/>
      <c r="U38" s="659"/>
    </row>
    <row r="39" spans="1:21" ht="19.5" customHeight="1">
      <c r="A39" s="657"/>
      <c r="B39" s="3505" t="str">
        <f>R33</f>
        <v/>
      </c>
      <c r="C39" s="3506"/>
      <c r="D39" s="882" t="s">
        <v>929</v>
      </c>
      <c r="E39" s="3507" t="str">
        <f>IF(ISBLANK(F10),"",E35)</f>
        <v/>
      </c>
      <c r="F39" s="3506"/>
      <c r="G39" s="882" t="s">
        <v>121</v>
      </c>
      <c r="H39" s="3507" t="str">
        <f>IF(ISBLANK(E35),"",ROUNDUP((B39/E39),0))</f>
        <v/>
      </c>
      <c r="I39" s="3506"/>
      <c r="J39" s="879" t="s">
        <v>740</v>
      </c>
      <c r="K39" s="658"/>
      <c r="L39" s="658"/>
      <c r="M39" s="658"/>
      <c r="N39" s="658"/>
      <c r="O39" s="658"/>
      <c r="P39" s="658"/>
      <c r="Q39" s="658"/>
      <c r="R39" s="658"/>
      <c r="S39" s="658"/>
      <c r="T39" s="658"/>
      <c r="U39" s="659"/>
    </row>
    <row r="40" spans="1:21" ht="6" customHeight="1">
      <c r="A40" s="657"/>
      <c r="B40" s="658"/>
      <c r="C40" s="658"/>
      <c r="D40" s="658"/>
      <c r="E40" s="658"/>
      <c r="F40" s="658"/>
      <c r="G40" s="658"/>
      <c r="H40" s="658"/>
      <c r="I40" s="658"/>
      <c r="J40" s="658"/>
      <c r="K40" s="658"/>
      <c r="L40" s="658"/>
      <c r="M40" s="658"/>
      <c r="N40" s="658"/>
      <c r="O40" s="658"/>
      <c r="P40" s="658"/>
      <c r="Q40" s="658"/>
      <c r="R40" s="658"/>
      <c r="S40" s="658"/>
      <c r="T40" s="658"/>
      <c r="U40" s="659"/>
    </row>
    <row r="41" spans="1:21" ht="19.5" customHeight="1">
      <c r="A41" s="657" t="s">
        <v>644</v>
      </c>
      <c r="B41" s="879" t="s">
        <v>558</v>
      </c>
      <c r="C41" s="658"/>
      <c r="D41" s="658"/>
      <c r="E41" s="3503"/>
      <c r="F41" s="3504"/>
      <c r="G41" s="879" t="s">
        <v>938</v>
      </c>
      <c r="H41" s="658"/>
      <c r="I41" s="658"/>
      <c r="J41" s="658"/>
      <c r="K41" s="658"/>
      <c r="L41" s="658"/>
      <c r="M41" s="658"/>
      <c r="N41" s="658"/>
      <c r="O41" s="658"/>
      <c r="P41" s="658"/>
      <c r="Q41" s="658"/>
      <c r="R41" s="658"/>
      <c r="S41" s="658"/>
      <c r="T41" s="658"/>
      <c r="U41" s="659"/>
    </row>
    <row r="42" spans="1:21" ht="6" customHeight="1">
      <c r="A42" s="657"/>
      <c r="B42" s="658"/>
      <c r="C42" s="658"/>
      <c r="D42" s="658"/>
      <c r="E42" s="658"/>
      <c r="F42" s="658"/>
      <c r="G42" s="658"/>
      <c r="H42" s="658"/>
      <c r="I42" s="658"/>
      <c r="J42" s="658"/>
      <c r="K42" s="658"/>
      <c r="L42" s="658"/>
      <c r="M42" s="658"/>
      <c r="N42" s="658"/>
      <c r="O42" s="658"/>
      <c r="P42" s="658"/>
      <c r="Q42" s="658"/>
      <c r="R42" s="658"/>
      <c r="S42" s="658"/>
      <c r="T42" s="658"/>
      <c r="U42" s="659"/>
    </row>
    <row r="43" spans="1:21" ht="15" customHeight="1">
      <c r="A43" s="657" t="s">
        <v>710</v>
      </c>
      <c r="B43" s="879" t="s">
        <v>847</v>
      </c>
      <c r="C43" s="658"/>
      <c r="D43" s="658"/>
      <c r="E43" s="658"/>
      <c r="F43" s="658"/>
      <c r="G43" s="658"/>
      <c r="H43" s="658"/>
      <c r="I43" s="658"/>
      <c r="J43" s="658"/>
      <c r="K43" s="658"/>
      <c r="L43" s="658"/>
      <c r="M43" s="658"/>
      <c r="N43" s="658"/>
      <c r="O43" s="658"/>
      <c r="P43" s="658"/>
      <c r="Q43" s="658"/>
      <c r="R43" s="658"/>
      <c r="S43" s="658"/>
      <c r="T43" s="658"/>
      <c r="U43" s="659"/>
    </row>
    <row r="44" spans="1:21" ht="6" customHeight="1">
      <c r="A44" s="657"/>
      <c r="B44" s="658"/>
      <c r="C44" s="658"/>
      <c r="D44" s="658"/>
      <c r="E44" s="658"/>
      <c r="F44" s="658"/>
      <c r="G44" s="658"/>
      <c r="H44" s="658"/>
      <c r="I44" s="658"/>
      <c r="J44" s="658"/>
      <c r="K44" s="658"/>
      <c r="L44" s="658"/>
      <c r="M44" s="658"/>
      <c r="N44" s="658"/>
      <c r="O44" s="658"/>
      <c r="P44" s="658"/>
      <c r="Q44" s="658"/>
      <c r="R44" s="658"/>
      <c r="S44" s="658"/>
      <c r="T44" s="658"/>
      <c r="U44" s="659"/>
    </row>
    <row r="45" spans="1:21" ht="19.5" customHeight="1">
      <c r="A45" s="657"/>
      <c r="B45" s="665" t="s">
        <v>848</v>
      </c>
      <c r="C45" s="3507" t="str">
        <f>H39</f>
        <v/>
      </c>
      <c r="D45" s="3506"/>
      <c r="E45" s="660" t="s">
        <v>721</v>
      </c>
      <c r="F45" s="3507" t="str">
        <f>IF(ISBLANK(F10),"",E41)</f>
        <v/>
      </c>
      <c r="G45" s="3506"/>
      <c r="H45" s="666" t="s">
        <v>849</v>
      </c>
      <c r="I45" s="882" t="s">
        <v>101</v>
      </c>
      <c r="J45" s="3507" t="str">
        <f>IF(ISBLANK(F10),"",P30)</f>
        <v/>
      </c>
      <c r="K45" s="3506"/>
      <c r="L45" s="882" t="s">
        <v>939</v>
      </c>
      <c r="M45" s="3507" t="str">
        <f>IF(ISBLANK(F10),"",(C45/F45)*J45)</f>
        <v/>
      </c>
      <c r="N45" s="3506"/>
      <c r="O45" s="879" t="s">
        <v>92</v>
      </c>
      <c r="P45" s="658"/>
      <c r="Q45" s="658"/>
      <c r="R45" s="658"/>
      <c r="S45" s="658"/>
      <c r="T45" s="658"/>
      <c r="U45" s="659"/>
    </row>
    <row r="46" spans="1:21" ht="6" customHeight="1">
      <c r="A46" s="657"/>
      <c r="B46" s="658"/>
      <c r="C46" s="658"/>
      <c r="D46" s="658"/>
      <c r="E46" s="658"/>
      <c r="F46" s="658"/>
      <c r="G46" s="658"/>
      <c r="H46" s="658"/>
      <c r="I46" s="658"/>
      <c r="J46" s="658"/>
      <c r="K46" s="658"/>
      <c r="L46" s="658"/>
      <c r="M46" s="658"/>
      <c r="N46" s="658"/>
      <c r="O46" s="658"/>
      <c r="P46" s="658"/>
      <c r="Q46" s="658"/>
      <c r="R46" s="658"/>
      <c r="S46" s="658"/>
      <c r="T46" s="658"/>
      <c r="U46" s="659"/>
    </row>
    <row r="47" spans="1:21" ht="19.5" customHeight="1">
      <c r="A47" s="657" t="s">
        <v>711</v>
      </c>
      <c r="B47" s="879" t="s">
        <v>897</v>
      </c>
      <c r="C47" s="658"/>
      <c r="D47" s="658"/>
      <c r="E47" s="658"/>
      <c r="F47" s="658"/>
      <c r="G47" s="658"/>
      <c r="H47" s="658"/>
      <c r="I47" s="658"/>
      <c r="J47" s="658"/>
      <c r="K47" s="3530">
        <v>2</v>
      </c>
      <c r="L47" s="3530"/>
      <c r="M47" s="882" t="s">
        <v>101</v>
      </c>
      <c r="N47" s="3507" t="str">
        <f>H39</f>
        <v/>
      </c>
      <c r="O47" s="3506"/>
      <c r="P47" s="660" t="s">
        <v>102</v>
      </c>
      <c r="Q47" s="3507" t="str">
        <f>IF(ISBLANK(F10),"",K47*N47)</f>
        <v/>
      </c>
      <c r="R47" s="3506"/>
      <c r="S47" s="879" t="s">
        <v>940</v>
      </c>
      <c r="T47" s="658"/>
      <c r="U47" s="659"/>
    </row>
    <row r="48" spans="1:21" ht="6" customHeight="1">
      <c r="A48" s="657"/>
      <c r="B48" s="658"/>
      <c r="C48" s="658"/>
      <c r="D48" s="658"/>
      <c r="E48" s="658"/>
      <c r="F48" s="658"/>
      <c r="G48" s="658"/>
      <c r="H48" s="658"/>
      <c r="I48" s="658"/>
      <c r="J48" s="658"/>
      <c r="K48" s="658"/>
      <c r="L48" s="658"/>
      <c r="M48" s="658"/>
      <c r="N48" s="658"/>
      <c r="O48" s="658"/>
      <c r="P48" s="658"/>
      <c r="Q48" s="658"/>
      <c r="R48" s="658"/>
      <c r="S48" s="658"/>
      <c r="T48" s="658"/>
      <c r="U48" s="659"/>
    </row>
    <row r="49" spans="1:21" ht="12" customHeight="1">
      <c r="A49" s="657"/>
      <c r="B49" s="658"/>
      <c r="C49" s="658"/>
      <c r="D49" s="658"/>
      <c r="E49" s="658"/>
      <c r="F49" s="658"/>
      <c r="G49" s="658"/>
      <c r="H49" s="658"/>
      <c r="I49" s="658"/>
      <c r="J49" s="658"/>
      <c r="K49" s="658"/>
      <c r="L49" s="658"/>
      <c r="M49" s="658"/>
      <c r="N49" s="658"/>
      <c r="O49" s="658"/>
      <c r="P49" s="658"/>
      <c r="Q49" s="658"/>
      <c r="R49" s="658"/>
      <c r="S49" s="658"/>
      <c r="T49" s="658"/>
      <c r="U49" s="659"/>
    </row>
    <row r="50" spans="1:21" ht="12" customHeight="1">
      <c r="A50" s="657"/>
      <c r="B50" s="658"/>
      <c r="C50" s="658"/>
      <c r="D50" s="658"/>
      <c r="E50" s="658"/>
      <c r="F50" s="658"/>
      <c r="G50" s="658"/>
      <c r="H50" s="658"/>
      <c r="I50" s="658"/>
      <c r="J50" s="658"/>
      <c r="K50" s="658"/>
      <c r="L50" s="658"/>
      <c r="M50" s="658"/>
      <c r="N50" s="658"/>
      <c r="O50" s="658"/>
      <c r="P50" s="658"/>
      <c r="Q50" s="658"/>
      <c r="R50" s="658"/>
      <c r="S50" s="658"/>
      <c r="T50" s="658"/>
      <c r="U50" s="659"/>
    </row>
    <row r="51" spans="1:21" ht="12" customHeight="1">
      <c r="A51" s="657"/>
      <c r="B51" s="658"/>
      <c r="C51" s="658"/>
      <c r="D51" s="658"/>
      <c r="E51" s="658"/>
      <c r="F51" s="658"/>
      <c r="G51" s="658"/>
      <c r="H51" s="658"/>
      <c r="I51" s="658"/>
      <c r="J51" s="658"/>
      <c r="K51" s="658"/>
      <c r="L51" s="658"/>
      <c r="M51" s="658"/>
      <c r="N51" s="658"/>
      <c r="O51" s="658"/>
      <c r="P51" s="658"/>
      <c r="Q51" s="658"/>
      <c r="R51" s="658"/>
      <c r="S51" s="658"/>
      <c r="T51" s="658"/>
      <c r="U51" s="659"/>
    </row>
    <row r="52" spans="1:21" ht="12" customHeight="1">
      <c r="A52" s="657"/>
      <c r="B52" s="658"/>
      <c r="C52" s="658"/>
      <c r="D52" s="658"/>
      <c r="E52" s="658"/>
      <c r="F52" s="658"/>
      <c r="G52" s="658"/>
      <c r="H52" s="658"/>
      <c r="I52" s="658"/>
      <c r="J52" s="658"/>
      <c r="K52" s="658"/>
      <c r="L52" s="658"/>
      <c r="M52" s="658"/>
      <c r="N52" s="658"/>
      <c r="O52" s="658"/>
      <c r="P52" s="658"/>
      <c r="Q52" s="658"/>
      <c r="R52" s="658"/>
      <c r="S52" s="658"/>
      <c r="T52" s="658"/>
      <c r="U52" s="659"/>
    </row>
    <row r="53" spans="1:21" ht="12" customHeight="1">
      <c r="A53" s="657"/>
      <c r="B53" s="658"/>
      <c r="C53" s="658"/>
      <c r="D53" s="658"/>
      <c r="E53" s="658"/>
      <c r="F53" s="658"/>
      <c r="G53" s="658"/>
      <c r="H53" s="658"/>
      <c r="I53" s="658"/>
      <c r="J53" s="658"/>
      <c r="K53" s="658"/>
      <c r="L53" s="658"/>
      <c r="M53" s="658"/>
      <c r="N53" s="658"/>
      <c r="O53" s="658"/>
      <c r="P53" s="658"/>
      <c r="Q53" s="658"/>
      <c r="R53" s="658"/>
      <c r="S53" s="658"/>
      <c r="T53" s="658"/>
      <c r="U53" s="659"/>
    </row>
    <row r="54" spans="1:21" ht="12" customHeight="1">
      <c r="A54" s="657"/>
      <c r="B54" s="658"/>
      <c r="C54" s="658"/>
      <c r="D54" s="658"/>
      <c r="E54" s="658"/>
      <c r="F54" s="658"/>
      <c r="G54" s="658"/>
      <c r="H54" s="658"/>
      <c r="I54" s="658"/>
      <c r="J54" s="658"/>
      <c r="K54" s="658"/>
      <c r="L54" s="658"/>
      <c r="M54" s="658"/>
      <c r="N54" s="658"/>
      <c r="O54" s="658"/>
      <c r="P54" s="658"/>
      <c r="Q54" s="658"/>
      <c r="R54" s="658"/>
      <c r="S54" s="658"/>
      <c r="T54" s="658"/>
      <c r="U54" s="659"/>
    </row>
    <row r="55" spans="1:21" ht="12" customHeight="1">
      <c r="A55" s="657"/>
      <c r="B55" s="658"/>
      <c r="C55" s="658"/>
      <c r="D55" s="658"/>
      <c r="E55" s="658"/>
      <c r="F55" s="658"/>
      <c r="G55" s="658"/>
      <c r="H55" s="658"/>
      <c r="I55" s="658"/>
      <c r="J55" s="658"/>
      <c r="K55" s="658"/>
      <c r="L55" s="658"/>
      <c r="M55" s="658"/>
      <c r="N55" s="658"/>
      <c r="O55" s="658"/>
      <c r="P55" s="658"/>
      <c r="Q55" s="658"/>
      <c r="R55" s="658"/>
      <c r="S55" s="658"/>
      <c r="T55" s="658"/>
      <c r="U55" s="659"/>
    </row>
    <row r="56" spans="1:21" ht="12" customHeight="1">
      <c r="A56" s="657"/>
      <c r="B56" s="658"/>
      <c r="C56" s="658"/>
      <c r="D56" s="658"/>
      <c r="E56" s="658"/>
      <c r="F56" s="658"/>
      <c r="G56" s="658"/>
      <c r="H56" s="658"/>
      <c r="I56" s="658"/>
      <c r="J56" s="658"/>
      <c r="K56" s="658"/>
      <c r="L56" s="658"/>
      <c r="M56" s="658"/>
      <c r="N56" s="658"/>
      <c r="O56" s="658"/>
      <c r="P56" s="658"/>
      <c r="Q56" s="658"/>
      <c r="R56" s="658"/>
      <c r="S56" s="658"/>
      <c r="T56" s="658"/>
      <c r="U56" s="659"/>
    </row>
    <row r="57" spans="1:21" ht="12" customHeight="1">
      <c r="A57" s="657"/>
      <c r="B57" s="658"/>
      <c r="C57" s="658"/>
      <c r="D57" s="658"/>
      <c r="E57" s="658"/>
      <c r="F57" s="658"/>
      <c r="G57" s="658"/>
      <c r="H57" s="658"/>
      <c r="I57" s="658"/>
      <c r="J57" s="658"/>
      <c r="K57" s="658"/>
      <c r="L57" s="658"/>
      <c r="M57" s="658"/>
      <c r="N57" s="658"/>
      <c r="O57" s="658"/>
      <c r="P57" s="658"/>
      <c r="Q57" s="658"/>
      <c r="R57" s="658"/>
      <c r="S57" s="658"/>
      <c r="T57" s="658"/>
      <c r="U57" s="659"/>
    </row>
    <row r="58" spans="1:21" ht="12" customHeight="1">
      <c r="A58" s="657"/>
      <c r="B58" s="658"/>
      <c r="C58" s="658"/>
      <c r="D58" s="658"/>
      <c r="E58" s="658"/>
      <c r="F58" s="658"/>
      <c r="G58" s="658"/>
      <c r="H58" s="658"/>
      <c r="I58" s="658"/>
      <c r="J58" s="658"/>
      <c r="K58" s="658"/>
      <c r="L58" s="658"/>
      <c r="M58" s="658"/>
      <c r="N58" s="658"/>
      <c r="O58" s="658"/>
      <c r="P58" s="658"/>
      <c r="Q58" s="658"/>
      <c r="R58" s="658"/>
      <c r="S58" s="658"/>
      <c r="T58" s="658"/>
      <c r="U58" s="659"/>
    </row>
    <row r="59" spans="1:21" ht="12" customHeight="1">
      <c r="A59" s="657"/>
      <c r="B59" s="658"/>
      <c r="C59" s="658"/>
      <c r="D59" s="658"/>
      <c r="E59" s="658"/>
      <c r="F59" s="658"/>
      <c r="G59" s="658"/>
      <c r="H59" s="658"/>
      <c r="I59" s="658"/>
      <c r="J59" s="658"/>
      <c r="K59" s="658"/>
      <c r="L59" s="658"/>
      <c r="M59" s="658"/>
      <c r="N59" s="658"/>
      <c r="O59" s="658"/>
      <c r="P59" s="658"/>
      <c r="Q59" s="658"/>
      <c r="R59" s="658"/>
      <c r="S59" s="658"/>
      <c r="T59" s="658"/>
      <c r="U59" s="659"/>
    </row>
    <row r="60" spans="1:21" ht="12" customHeight="1">
      <c r="A60" s="657"/>
      <c r="B60" s="658"/>
      <c r="C60" s="658"/>
      <c r="D60" s="658"/>
      <c r="E60" s="658"/>
      <c r="F60" s="658"/>
      <c r="G60" s="658"/>
      <c r="H60" s="658"/>
      <c r="I60" s="658"/>
      <c r="J60" s="658"/>
      <c r="K60" s="658"/>
      <c r="L60" s="658"/>
      <c r="M60" s="658"/>
      <c r="N60" s="658"/>
      <c r="O60" s="658"/>
      <c r="P60" s="658"/>
      <c r="Q60" s="658"/>
      <c r="R60" s="658"/>
      <c r="S60" s="658"/>
      <c r="T60" s="658"/>
      <c r="U60" s="659"/>
    </row>
    <row r="61" spans="1:21" ht="12" customHeight="1">
      <c r="A61" s="657"/>
      <c r="B61" s="658"/>
      <c r="C61" s="658"/>
      <c r="D61" s="658"/>
      <c r="E61" s="658"/>
      <c r="F61" s="658"/>
      <c r="G61" s="658"/>
      <c r="H61" s="658"/>
      <c r="I61" s="658"/>
      <c r="J61" s="658"/>
      <c r="K61" s="658"/>
      <c r="L61" s="658"/>
      <c r="M61" s="658"/>
      <c r="N61" s="658"/>
      <c r="O61" s="658"/>
      <c r="P61" s="658"/>
      <c r="Q61" s="658"/>
      <c r="R61" s="658"/>
      <c r="S61" s="658"/>
      <c r="T61" s="658"/>
      <c r="U61" s="659"/>
    </row>
    <row r="62" spans="1:21" ht="12" customHeight="1">
      <c r="A62" s="657"/>
      <c r="B62" s="658"/>
      <c r="C62" s="658"/>
      <c r="D62" s="658"/>
      <c r="E62" s="658"/>
      <c r="F62" s="658"/>
      <c r="G62" s="658"/>
      <c r="H62" s="658"/>
      <c r="I62" s="658"/>
      <c r="J62" s="658"/>
      <c r="K62" s="658"/>
      <c r="L62" s="658"/>
      <c r="M62" s="658"/>
      <c r="N62" s="658"/>
      <c r="O62" s="658"/>
      <c r="P62" s="658"/>
      <c r="Q62" s="658"/>
      <c r="R62" s="658"/>
      <c r="S62" s="658"/>
      <c r="T62" s="658"/>
      <c r="U62" s="659"/>
    </row>
    <row r="63" spans="1:21" ht="12" customHeight="1">
      <c r="A63" s="657"/>
      <c r="B63" s="658"/>
      <c r="C63" s="658"/>
      <c r="D63" s="658"/>
      <c r="E63" s="658"/>
      <c r="F63" s="658"/>
      <c r="G63" s="658"/>
      <c r="H63" s="658"/>
      <c r="I63" s="658"/>
      <c r="J63" s="658"/>
      <c r="K63" s="658"/>
      <c r="L63" s="658"/>
      <c r="M63" s="658"/>
      <c r="N63" s="658"/>
      <c r="O63" s="658"/>
      <c r="P63" s="658"/>
      <c r="Q63" s="658"/>
      <c r="R63" s="658"/>
      <c r="S63" s="658"/>
      <c r="T63" s="658"/>
      <c r="U63" s="659"/>
    </row>
    <row r="64" spans="1:21" ht="12" customHeight="1">
      <c r="A64" s="657"/>
      <c r="B64" s="658"/>
      <c r="C64" s="658"/>
      <c r="D64" s="658"/>
      <c r="E64" s="658"/>
      <c r="F64" s="658"/>
      <c r="G64" s="658"/>
      <c r="H64" s="658"/>
      <c r="I64" s="658"/>
      <c r="J64" s="658"/>
      <c r="K64" s="658"/>
      <c r="L64" s="658"/>
      <c r="M64" s="658"/>
      <c r="N64" s="658"/>
      <c r="O64" s="658"/>
      <c r="P64" s="658"/>
      <c r="Q64" s="658"/>
      <c r="R64" s="658"/>
      <c r="S64" s="658"/>
      <c r="T64" s="658"/>
      <c r="U64" s="659"/>
    </row>
    <row r="65" spans="1:21" ht="12" customHeight="1">
      <c r="A65" s="657"/>
      <c r="B65" s="658"/>
      <c r="C65" s="658"/>
      <c r="D65" s="658"/>
      <c r="E65" s="658"/>
      <c r="F65" s="658"/>
      <c r="G65" s="658"/>
      <c r="H65" s="658"/>
      <c r="I65" s="658"/>
      <c r="J65" s="658"/>
      <c r="K65" s="658"/>
      <c r="L65" s="658"/>
      <c r="M65" s="658"/>
      <c r="N65" s="658"/>
      <c r="O65" s="658"/>
      <c r="P65" s="658"/>
      <c r="Q65" s="658"/>
      <c r="R65" s="658"/>
      <c r="S65" s="658"/>
      <c r="T65" s="658"/>
      <c r="U65" s="659"/>
    </row>
    <row r="66" spans="1:21" ht="12" customHeight="1">
      <c r="A66" s="657"/>
      <c r="B66" s="658"/>
      <c r="C66" s="658"/>
      <c r="D66" s="658"/>
      <c r="E66" s="658"/>
      <c r="F66" s="658"/>
      <c r="G66" s="658"/>
      <c r="H66" s="658"/>
      <c r="I66" s="658"/>
      <c r="J66" s="658"/>
      <c r="K66" s="658"/>
      <c r="L66" s="658"/>
      <c r="M66" s="658"/>
      <c r="N66" s="658"/>
      <c r="O66" s="658"/>
      <c r="P66" s="658"/>
      <c r="Q66" s="658"/>
      <c r="R66" s="658"/>
      <c r="S66" s="658"/>
      <c r="T66" s="658"/>
      <c r="U66" s="659"/>
    </row>
    <row r="67" spans="1:21" ht="12" customHeight="1">
      <c r="A67" s="657"/>
      <c r="B67" s="658"/>
      <c r="C67" s="658"/>
      <c r="D67" s="658"/>
      <c r="E67" s="658"/>
      <c r="F67" s="658"/>
      <c r="G67" s="658"/>
      <c r="H67" s="658"/>
      <c r="I67" s="658"/>
      <c r="J67" s="658"/>
      <c r="K67" s="658"/>
      <c r="L67" s="658"/>
      <c r="M67" s="658"/>
      <c r="N67" s="658"/>
      <c r="O67" s="658"/>
      <c r="P67" s="658"/>
      <c r="Q67" s="658"/>
      <c r="R67" s="658"/>
      <c r="S67" s="658"/>
      <c r="T67" s="658"/>
      <c r="U67" s="659"/>
    </row>
    <row r="68" spans="1:21" ht="12" customHeight="1">
      <c r="A68" s="657"/>
      <c r="B68" s="658"/>
      <c r="C68" s="658"/>
      <c r="D68" s="658"/>
      <c r="E68" s="658"/>
      <c r="F68" s="658"/>
      <c r="G68" s="658"/>
      <c r="H68" s="658"/>
      <c r="I68" s="658"/>
      <c r="J68" s="658"/>
      <c r="K68" s="658"/>
      <c r="L68" s="658"/>
      <c r="M68" s="658"/>
      <c r="N68" s="658"/>
      <c r="O68" s="658"/>
      <c r="P68" s="658"/>
      <c r="Q68" s="658"/>
      <c r="R68" s="658"/>
      <c r="S68" s="658"/>
      <c r="T68" s="658"/>
      <c r="U68" s="659"/>
    </row>
    <row r="69" spans="1:21" ht="12" customHeight="1">
      <c r="A69" s="657"/>
      <c r="B69" s="658"/>
      <c r="C69" s="658"/>
      <c r="D69" s="658"/>
      <c r="E69" s="658"/>
      <c r="F69" s="658"/>
      <c r="G69" s="658"/>
      <c r="H69" s="658"/>
      <c r="I69" s="658"/>
      <c r="J69" s="658"/>
      <c r="K69" s="658"/>
      <c r="L69" s="658"/>
      <c r="M69" s="658"/>
      <c r="N69" s="658"/>
      <c r="O69" s="658"/>
      <c r="P69" s="658"/>
      <c r="Q69" s="658"/>
      <c r="R69" s="658"/>
      <c r="S69" s="658"/>
      <c r="T69" s="658"/>
      <c r="U69" s="659"/>
    </row>
    <row r="70" spans="1:21" ht="12" customHeight="1">
      <c r="A70" s="657"/>
      <c r="B70" s="658"/>
      <c r="C70" s="658"/>
      <c r="D70" s="658"/>
      <c r="E70" s="658"/>
      <c r="F70" s="658"/>
      <c r="G70" s="658"/>
      <c r="H70" s="658"/>
      <c r="I70" s="658"/>
      <c r="J70" s="658"/>
      <c r="K70" s="658"/>
      <c r="L70" s="658"/>
      <c r="M70" s="658"/>
      <c r="N70" s="658"/>
      <c r="O70" s="658"/>
      <c r="P70" s="658"/>
      <c r="Q70" s="658"/>
      <c r="R70" s="658"/>
      <c r="S70" s="658"/>
      <c r="T70" s="658"/>
      <c r="U70" s="659"/>
    </row>
    <row r="71" spans="1:21" ht="12" customHeight="1">
      <c r="A71" s="657"/>
      <c r="B71" s="658"/>
      <c r="C71" s="658"/>
      <c r="D71" s="658"/>
      <c r="E71" s="658"/>
      <c r="F71" s="658"/>
      <c r="G71" s="658"/>
      <c r="H71" s="658"/>
      <c r="I71" s="658"/>
      <c r="J71" s="658"/>
      <c r="K71" s="658"/>
      <c r="L71" s="658"/>
      <c r="M71" s="658"/>
      <c r="N71" s="658"/>
      <c r="O71" s="658"/>
      <c r="P71" s="658"/>
      <c r="Q71" s="658"/>
      <c r="R71" s="658"/>
      <c r="S71" s="658"/>
      <c r="T71" s="658"/>
      <c r="U71" s="659"/>
    </row>
    <row r="72" spans="1:21" ht="6" customHeight="1">
      <c r="A72" s="657"/>
      <c r="B72" s="658"/>
      <c r="C72" s="658"/>
      <c r="D72" s="658"/>
      <c r="E72" s="658"/>
      <c r="F72" s="658"/>
      <c r="G72" s="658"/>
      <c r="H72" s="658"/>
      <c r="I72" s="658"/>
      <c r="J72" s="658"/>
      <c r="K72" s="658"/>
      <c r="L72" s="658"/>
      <c r="M72" s="658"/>
      <c r="N72" s="658"/>
      <c r="O72" s="658"/>
      <c r="P72" s="658"/>
      <c r="Q72" s="658"/>
      <c r="R72" s="658"/>
      <c r="S72" s="658"/>
      <c r="T72" s="658"/>
      <c r="U72" s="659"/>
    </row>
    <row r="73" spans="1:21" ht="15" customHeight="1">
      <c r="A73" s="657"/>
      <c r="B73" s="658" t="s">
        <v>850</v>
      </c>
      <c r="C73" s="658"/>
      <c r="D73" s="658"/>
      <c r="E73" s="658"/>
      <c r="F73" s="658"/>
      <c r="G73" s="658"/>
      <c r="H73" s="658"/>
      <c r="I73" s="658"/>
      <c r="J73" s="658"/>
      <c r="K73" s="658"/>
      <c r="L73" s="658"/>
      <c r="M73" s="658" t="s">
        <v>851</v>
      </c>
      <c r="N73" s="658"/>
      <c r="O73" s="658"/>
      <c r="P73" s="658"/>
      <c r="Q73" s="658"/>
      <c r="R73" s="658"/>
      <c r="S73" s="658"/>
      <c r="T73" s="658"/>
      <c r="U73" s="659"/>
    </row>
    <row r="74" spans="1:21" ht="14.4" customHeight="1">
      <c r="A74" s="657"/>
      <c r="B74" s="3531" t="s">
        <v>852</v>
      </c>
      <c r="C74" s="3531"/>
      <c r="D74" s="3531"/>
      <c r="E74" s="3531"/>
      <c r="F74" s="3531"/>
      <c r="G74" s="3531"/>
      <c r="H74" s="3531"/>
      <c r="I74" s="3531"/>
      <c r="J74" s="3531"/>
      <c r="K74" s="3531"/>
      <c r="L74" s="667"/>
      <c r="M74" s="3531" t="s">
        <v>853</v>
      </c>
      <c r="N74" s="3531"/>
      <c r="O74" s="3531"/>
      <c r="P74" s="3531"/>
      <c r="Q74" s="3531"/>
      <c r="R74" s="3531"/>
      <c r="S74" s="3531"/>
      <c r="T74" s="3531"/>
      <c r="U74" s="886"/>
    </row>
    <row r="75" spans="1:21">
      <c r="A75" s="657"/>
      <c r="B75" s="3531"/>
      <c r="C75" s="3531"/>
      <c r="D75" s="3531"/>
      <c r="E75" s="3531"/>
      <c r="F75" s="3531"/>
      <c r="G75" s="3531"/>
      <c r="H75" s="3531"/>
      <c r="I75" s="3531"/>
      <c r="J75" s="3531"/>
      <c r="K75" s="3531"/>
      <c r="L75" s="667"/>
      <c r="M75" s="3531"/>
      <c r="N75" s="3531"/>
      <c r="O75" s="3531"/>
      <c r="P75" s="3531"/>
      <c r="Q75" s="3531"/>
      <c r="R75" s="3531"/>
      <c r="S75" s="3531"/>
      <c r="T75" s="3531"/>
      <c r="U75" s="886"/>
    </row>
    <row r="76" spans="1:21" ht="6" customHeight="1">
      <c r="A76" s="657"/>
      <c r="B76" s="668"/>
      <c r="C76" s="668"/>
      <c r="D76" s="668"/>
      <c r="E76" s="668"/>
      <c r="F76" s="668"/>
      <c r="G76" s="668"/>
      <c r="H76" s="668"/>
      <c r="I76" s="668"/>
      <c r="J76" s="668"/>
      <c r="K76" s="668"/>
      <c r="L76" s="667"/>
      <c r="M76" s="668"/>
      <c r="N76" s="668"/>
      <c r="O76" s="668"/>
      <c r="P76" s="668"/>
      <c r="Q76" s="668"/>
      <c r="R76" s="668"/>
      <c r="S76" s="668"/>
      <c r="T76" s="668"/>
      <c r="U76" s="669"/>
    </row>
    <row r="77" spans="1:21" ht="15" customHeight="1">
      <c r="A77" s="657"/>
      <c r="B77" s="670" t="s">
        <v>854</v>
      </c>
      <c r="C77" s="668"/>
      <c r="D77" s="668"/>
      <c r="E77" s="668"/>
      <c r="F77" s="668"/>
      <c r="G77" s="668"/>
      <c r="H77" s="668"/>
      <c r="I77" s="668"/>
      <c r="J77" s="668"/>
      <c r="K77" s="668"/>
      <c r="L77" s="667"/>
      <c r="M77" s="668"/>
      <c r="N77" s="668"/>
      <c r="O77" s="668"/>
      <c r="P77" s="668"/>
      <c r="Q77" s="668"/>
      <c r="R77" s="668"/>
      <c r="S77" s="668"/>
      <c r="T77" s="668"/>
      <c r="U77" s="669"/>
    </row>
    <row r="78" spans="1:21" ht="6" customHeight="1">
      <c r="A78" s="671"/>
      <c r="B78" s="672"/>
      <c r="C78" s="672"/>
      <c r="D78" s="672"/>
      <c r="E78" s="672"/>
      <c r="F78" s="672"/>
      <c r="G78" s="672"/>
      <c r="H78" s="672"/>
      <c r="I78" s="672"/>
      <c r="J78" s="672"/>
      <c r="K78" s="672"/>
      <c r="L78" s="672"/>
      <c r="M78" s="672"/>
      <c r="N78" s="672"/>
      <c r="O78" s="672"/>
      <c r="P78" s="672"/>
      <c r="Q78" s="672"/>
      <c r="R78" s="672"/>
      <c r="S78" s="672"/>
      <c r="T78" s="672"/>
      <c r="U78" s="673"/>
    </row>
    <row r="79" spans="1:21" ht="15" customHeight="1">
      <c r="A79" s="3508" t="s">
        <v>855</v>
      </c>
      <c r="B79" s="3509"/>
      <c r="C79" s="3509"/>
      <c r="D79" s="3509"/>
      <c r="E79" s="3509"/>
      <c r="F79" s="3509"/>
      <c r="G79" s="3509"/>
      <c r="H79" s="3509"/>
      <c r="I79" s="3509"/>
      <c r="J79" s="3509"/>
      <c r="K79" s="3509"/>
      <c r="L79" s="3509"/>
      <c r="M79" s="3509"/>
      <c r="N79" s="3509"/>
      <c r="O79" s="3509"/>
      <c r="P79" s="3509"/>
      <c r="Q79" s="3509"/>
      <c r="R79" s="3509"/>
      <c r="S79" s="3509"/>
      <c r="T79" s="3509"/>
      <c r="U79" s="3510"/>
    </row>
    <row r="80" spans="1:21" ht="6" customHeight="1">
      <c r="A80" s="654"/>
      <c r="B80" s="655"/>
      <c r="C80" s="655"/>
      <c r="D80" s="655"/>
      <c r="E80" s="655"/>
      <c r="F80" s="655"/>
      <c r="G80" s="655"/>
      <c r="H80" s="655"/>
      <c r="I80" s="655"/>
      <c r="J80" s="655"/>
      <c r="K80" s="655"/>
      <c r="L80" s="655"/>
      <c r="M80" s="655"/>
      <c r="N80" s="655"/>
      <c r="O80" s="655"/>
      <c r="P80" s="655"/>
      <c r="Q80" s="655"/>
      <c r="R80" s="655"/>
      <c r="S80" s="655"/>
      <c r="T80" s="655"/>
      <c r="U80" s="656"/>
    </row>
    <row r="81" spans="1:21" ht="19.5" customHeight="1">
      <c r="A81" s="657" t="s">
        <v>147</v>
      </c>
      <c r="B81" s="879" t="s">
        <v>856</v>
      </c>
      <c r="C81" s="658"/>
      <c r="D81" s="658"/>
      <c r="E81" s="3503"/>
      <c r="F81" s="3504"/>
      <c r="G81" s="879" t="s">
        <v>92</v>
      </c>
      <c r="H81" s="658"/>
      <c r="I81" s="658"/>
      <c r="J81" s="658"/>
      <c r="K81" s="658"/>
      <c r="L81" s="658"/>
      <c r="M81" s="658"/>
      <c r="N81" s="658"/>
      <c r="O81" s="658"/>
      <c r="P81" s="658"/>
      <c r="Q81" s="658"/>
      <c r="R81" s="658"/>
      <c r="S81" s="658"/>
      <c r="T81" s="658"/>
      <c r="U81" s="659"/>
    </row>
    <row r="82" spans="1:21" ht="6" customHeight="1">
      <c r="A82" s="657"/>
      <c r="B82" s="658"/>
      <c r="C82" s="658"/>
      <c r="D82" s="658"/>
      <c r="E82" s="658"/>
      <c r="F82" s="658"/>
      <c r="G82" s="658"/>
      <c r="H82" s="658"/>
      <c r="I82" s="658"/>
      <c r="J82" s="658"/>
      <c r="K82" s="658"/>
      <c r="L82" s="658"/>
      <c r="M82" s="658"/>
      <c r="N82" s="658"/>
      <c r="O82" s="658"/>
      <c r="P82" s="658"/>
      <c r="Q82" s="658"/>
      <c r="R82" s="658"/>
      <c r="S82" s="658"/>
      <c r="T82" s="658"/>
      <c r="U82" s="659"/>
    </row>
    <row r="83" spans="1:21" ht="19.5" customHeight="1">
      <c r="A83" s="657" t="s">
        <v>631</v>
      </c>
      <c r="B83" s="879" t="s">
        <v>857</v>
      </c>
      <c r="C83" s="658"/>
      <c r="D83" s="658"/>
      <c r="E83" s="3552"/>
      <c r="F83" s="3553"/>
      <c r="G83" s="889" t="s">
        <v>92</v>
      </c>
      <c r="H83" s="658"/>
      <c r="I83" s="879" t="s">
        <v>858</v>
      </c>
      <c r="J83" s="658"/>
      <c r="K83" s="658"/>
      <c r="L83" s="658"/>
      <c r="M83" s="3528"/>
      <c r="N83" s="3529"/>
      <c r="O83" s="879" t="s">
        <v>640</v>
      </c>
      <c r="P83" s="658"/>
      <c r="Q83" s="658"/>
      <c r="R83" s="658"/>
      <c r="S83" s="658"/>
      <c r="T83" s="658"/>
      <c r="U83" s="659"/>
    </row>
    <row r="84" spans="1:21" ht="6" customHeight="1">
      <c r="A84" s="657"/>
      <c r="B84" s="658"/>
      <c r="C84" s="658"/>
      <c r="D84" s="658"/>
      <c r="E84" s="658"/>
      <c r="F84" s="658"/>
      <c r="G84" s="658"/>
      <c r="H84" s="658"/>
      <c r="I84" s="658"/>
      <c r="J84" s="658"/>
      <c r="K84" s="658"/>
      <c r="L84" s="658"/>
      <c r="M84" s="658"/>
      <c r="N84" s="658"/>
      <c r="O84" s="658"/>
      <c r="P84" s="658"/>
      <c r="Q84" s="658"/>
      <c r="R84" s="658"/>
      <c r="S84" s="658"/>
      <c r="T84" s="658"/>
      <c r="U84" s="659"/>
    </row>
    <row r="85" spans="1:21" ht="19.5" customHeight="1">
      <c r="A85" s="657"/>
      <c r="B85" s="879" t="s">
        <v>859</v>
      </c>
      <c r="C85" s="674"/>
      <c r="D85" s="674"/>
      <c r="E85" s="674"/>
      <c r="F85" s="674"/>
      <c r="G85" s="675"/>
      <c r="H85" s="675"/>
      <c r="I85" s="674"/>
      <c r="J85" s="674"/>
      <c r="K85" s="674"/>
      <c r="L85" s="658"/>
      <c r="M85" s="3507" t="str">
        <f>IF(ISBLANK(E81),"",E83)</f>
        <v/>
      </c>
      <c r="N85" s="3506"/>
      <c r="O85" s="888" t="s">
        <v>126</v>
      </c>
      <c r="P85" s="3503"/>
      <c r="Q85" s="3504"/>
      <c r="R85" s="888" t="s">
        <v>941</v>
      </c>
      <c r="S85" s="3507" t="str">
        <f>IF(ISBLANK(E81),"",M85*P85)</f>
        <v/>
      </c>
      <c r="T85" s="3506"/>
      <c r="U85" s="881" t="s">
        <v>827</v>
      </c>
    </row>
    <row r="86" spans="1:21" ht="6" customHeight="1">
      <c r="A86" s="657"/>
      <c r="B86" s="658"/>
      <c r="C86" s="658"/>
      <c r="D86" s="658"/>
      <c r="E86" s="658"/>
      <c r="F86" s="658"/>
      <c r="G86" s="658"/>
      <c r="H86" s="658"/>
      <c r="I86" s="658"/>
      <c r="J86" s="658"/>
      <c r="K86" s="658"/>
      <c r="L86" s="658"/>
      <c r="M86" s="658"/>
      <c r="N86" s="658"/>
      <c r="O86" s="658"/>
      <c r="P86" s="658"/>
      <c r="Q86" s="658"/>
      <c r="R86" s="658"/>
      <c r="S86" s="658"/>
      <c r="T86" s="658"/>
      <c r="U86" s="659"/>
    </row>
    <row r="87" spans="1:21" ht="19.5" customHeight="1">
      <c r="A87" s="657" t="s">
        <v>149</v>
      </c>
      <c r="B87" s="879" t="s">
        <v>860</v>
      </c>
      <c r="C87" s="658"/>
      <c r="D87" s="658"/>
      <c r="E87" s="3552"/>
      <c r="F87" s="3553"/>
      <c r="G87" s="885" t="s">
        <v>92</v>
      </c>
      <c r="H87" s="658"/>
      <c r="I87" s="879" t="s">
        <v>861</v>
      </c>
      <c r="J87" s="658"/>
      <c r="K87" s="658"/>
      <c r="L87" s="658"/>
      <c r="M87" s="3528"/>
      <c r="N87" s="3529"/>
      <c r="O87" s="879" t="s">
        <v>640</v>
      </c>
      <c r="P87" s="658"/>
      <c r="Q87" s="658"/>
      <c r="R87" s="658"/>
      <c r="S87" s="658"/>
      <c r="T87" s="658"/>
      <c r="U87" s="659"/>
    </row>
    <row r="88" spans="1:21" ht="6" customHeight="1">
      <c r="A88" s="657"/>
      <c r="B88" s="658"/>
      <c r="C88" s="658"/>
      <c r="D88" s="658"/>
      <c r="E88" s="658"/>
      <c r="F88" s="658"/>
      <c r="G88" s="658"/>
      <c r="H88" s="658"/>
      <c r="I88" s="658"/>
      <c r="J88" s="658"/>
      <c r="K88" s="658"/>
      <c r="L88" s="658"/>
      <c r="M88" s="658"/>
      <c r="N88" s="658"/>
      <c r="O88" s="658"/>
      <c r="P88" s="658"/>
      <c r="Q88" s="658"/>
      <c r="R88" s="658"/>
      <c r="S88" s="658"/>
      <c r="T88" s="658"/>
      <c r="U88" s="659"/>
    </row>
    <row r="89" spans="1:21" ht="19.5" customHeight="1">
      <c r="A89" s="657"/>
      <c r="B89" s="879" t="s">
        <v>862</v>
      </c>
      <c r="C89" s="674"/>
      <c r="D89" s="674"/>
      <c r="E89" s="674"/>
      <c r="F89" s="674"/>
      <c r="G89" s="675"/>
      <c r="H89" s="675"/>
      <c r="I89" s="674"/>
      <c r="J89" s="674"/>
      <c r="K89" s="674"/>
      <c r="L89" s="658"/>
      <c r="M89" s="3507" t="str">
        <f>IF(ISBLANK(E81),"",E87)</f>
        <v/>
      </c>
      <c r="N89" s="3506"/>
      <c r="O89" s="888" t="s">
        <v>126</v>
      </c>
      <c r="P89" s="3503"/>
      <c r="Q89" s="3504"/>
      <c r="R89" s="888" t="s">
        <v>941</v>
      </c>
      <c r="S89" s="3507" t="str">
        <f>IF(ISBLANK(E81),"",M89*P89)</f>
        <v/>
      </c>
      <c r="T89" s="3506"/>
      <c r="U89" s="881" t="s">
        <v>827</v>
      </c>
    </row>
    <row r="90" spans="1:21" ht="6" customHeight="1">
      <c r="A90" s="657"/>
      <c r="B90" s="658"/>
      <c r="C90" s="658"/>
      <c r="D90" s="658"/>
      <c r="E90" s="658"/>
      <c r="F90" s="658"/>
      <c r="G90" s="658"/>
      <c r="H90" s="658"/>
      <c r="I90" s="658"/>
      <c r="J90" s="658"/>
      <c r="K90" s="658"/>
      <c r="L90" s="658"/>
      <c r="M90" s="658"/>
      <c r="N90" s="658"/>
      <c r="O90" s="658"/>
      <c r="P90" s="658"/>
      <c r="Q90" s="658"/>
      <c r="R90" s="658"/>
      <c r="S90" s="658"/>
      <c r="T90" s="658"/>
      <c r="U90" s="659"/>
    </row>
    <row r="91" spans="1:21" ht="19.5" customHeight="1">
      <c r="A91" s="657" t="s">
        <v>588</v>
      </c>
      <c r="B91" s="879" t="s">
        <v>863</v>
      </c>
      <c r="C91" s="658"/>
      <c r="D91" s="658"/>
      <c r="E91" s="658"/>
      <c r="F91" s="658"/>
      <c r="G91" s="658"/>
      <c r="H91" s="658"/>
      <c r="I91" s="658"/>
      <c r="J91" s="658"/>
      <c r="K91" s="658"/>
      <c r="L91" s="878"/>
      <c r="M91" s="3507" t="str">
        <f>S85</f>
        <v/>
      </c>
      <c r="N91" s="3506"/>
      <c r="O91" s="882" t="s">
        <v>666</v>
      </c>
      <c r="P91" s="3507" t="str">
        <f>S89</f>
        <v/>
      </c>
      <c r="Q91" s="3506"/>
      <c r="R91" s="882" t="s">
        <v>942</v>
      </c>
      <c r="S91" s="3507" t="str">
        <f>IF(ISBLANK(E81),"",M91+P91)</f>
        <v/>
      </c>
      <c r="T91" s="3506"/>
      <c r="U91" s="894" t="s">
        <v>827</v>
      </c>
    </row>
    <row r="92" spans="1:21" ht="6" customHeight="1">
      <c r="A92" s="657"/>
      <c r="B92" s="658"/>
      <c r="C92" s="658"/>
      <c r="D92" s="658"/>
      <c r="E92" s="658"/>
      <c r="F92" s="658"/>
      <c r="G92" s="658"/>
      <c r="H92" s="658"/>
      <c r="I92" s="658"/>
      <c r="J92" s="658"/>
      <c r="K92" s="658"/>
      <c r="L92" s="658"/>
      <c r="M92" s="658"/>
      <c r="N92" s="658"/>
      <c r="O92" s="658"/>
      <c r="P92" s="658"/>
      <c r="Q92" s="658"/>
      <c r="R92" s="658"/>
      <c r="S92" s="658"/>
      <c r="T92" s="658"/>
      <c r="U92" s="659"/>
    </row>
    <row r="93" spans="1:21" ht="19.5" customHeight="1">
      <c r="A93" s="657" t="s">
        <v>589</v>
      </c>
      <c r="B93" s="879" t="s">
        <v>864</v>
      </c>
      <c r="C93" s="658"/>
      <c r="D93" s="658"/>
      <c r="E93" s="658"/>
      <c r="F93" s="658"/>
      <c r="G93" s="658"/>
      <c r="H93" s="658"/>
      <c r="I93" s="658"/>
      <c r="J93" s="658"/>
      <c r="K93" s="658"/>
      <c r="L93" s="658"/>
      <c r="M93" s="3507" t="str">
        <f>M45</f>
        <v/>
      </c>
      <c r="N93" s="3506"/>
      <c r="O93" s="888" t="s">
        <v>929</v>
      </c>
      <c r="P93" s="3507" t="str">
        <f>IF(ISBLANK(E81),"",E81)</f>
        <v/>
      </c>
      <c r="Q93" s="3506"/>
      <c r="R93" s="888" t="s">
        <v>107</v>
      </c>
      <c r="S93" s="3507" t="str">
        <f>IF(ISBLANK(E81),"",M93/P93)</f>
        <v/>
      </c>
      <c r="T93" s="3506"/>
      <c r="U93" s="881" t="s">
        <v>865</v>
      </c>
    </row>
    <row r="94" spans="1:21" ht="6" customHeight="1">
      <c r="A94" s="657"/>
      <c r="B94" s="658"/>
      <c r="C94" s="658"/>
      <c r="D94" s="658"/>
      <c r="E94" s="658"/>
      <c r="F94" s="658"/>
      <c r="G94" s="658"/>
      <c r="H94" s="658"/>
      <c r="I94" s="658"/>
      <c r="J94" s="658"/>
      <c r="K94" s="658"/>
      <c r="L94" s="658"/>
      <c r="M94" s="658"/>
      <c r="N94" s="658"/>
      <c r="O94" s="658"/>
      <c r="P94" s="658"/>
      <c r="Q94" s="658"/>
      <c r="R94" s="658"/>
      <c r="S94" s="658"/>
      <c r="T94" s="658"/>
      <c r="U94" s="659"/>
    </row>
    <row r="95" spans="1:21" s="883" customFormat="1" ht="15" customHeight="1">
      <c r="A95" s="890" t="s">
        <v>589</v>
      </c>
      <c r="B95" s="879" t="s">
        <v>866</v>
      </c>
      <c r="C95" s="879"/>
      <c r="D95" s="879"/>
      <c r="E95" s="879"/>
      <c r="F95" s="879"/>
      <c r="G95" s="879"/>
      <c r="H95" s="879"/>
      <c r="I95" s="879"/>
      <c r="J95" s="879"/>
      <c r="K95" s="879"/>
      <c r="L95" s="879"/>
      <c r="M95" s="879"/>
      <c r="N95" s="879"/>
      <c r="O95" s="879"/>
      <c r="P95" s="879"/>
      <c r="Q95" s="879"/>
      <c r="R95" s="879"/>
      <c r="S95" s="879"/>
      <c r="T95" s="879"/>
      <c r="U95" s="881"/>
    </row>
    <row r="96" spans="1:21" s="883" customFormat="1" ht="6" customHeight="1">
      <c r="A96" s="890"/>
      <c r="B96" s="879"/>
      <c r="C96" s="879"/>
      <c r="D96" s="879"/>
      <c r="E96" s="879"/>
      <c r="F96" s="879"/>
      <c r="G96" s="879"/>
      <c r="H96" s="879"/>
      <c r="I96" s="879"/>
      <c r="J96" s="879"/>
      <c r="K96" s="879"/>
      <c r="L96" s="879"/>
      <c r="M96" s="879"/>
      <c r="N96" s="879"/>
      <c r="O96" s="879"/>
      <c r="P96" s="879"/>
      <c r="Q96" s="879"/>
      <c r="R96" s="879"/>
      <c r="S96" s="879"/>
      <c r="T96" s="879"/>
      <c r="U96" s="881"/>
    </row>
    <row r="97" spans="1:21" s="883" customFormat="1" ht="19.5" customHeight="1">
      <c r="A97" s="890"/>
      <c r="B97" s="891" t="s">
        <v>848</v>
      </c>
      <c r="C97" s="3507" t="str">
        <f>S93</f>
        <v/>
      </c>
      <c r="D97" s="3506"/>
      <c r="E97" s="888" t="s">
        <v>101</v>
      </c>
      <c r="F97" s="3507" t="str">
        <f>IF(ISBLANK(E81),"",E22)</f>
        <v/>
      </c>
      <c r="G97" s="3506"/>
      <c r="H97" s="887" t="s">
        <v>1109</v>
      </c>
      <c r="I97" s="882" t="s">
        <v>721</v>
      </c>
      <c r="J97" s="892">
        <v>60</v>
      </c>
      <c r="K97" s="882" t="s">
        <v>102</v>
      </c>
      <c r="L97" s="3507" t="str">
        <f>IF(ISBLANK(E81),"",(C97*F97)/60)</f>
        <v/>
      </c>
      <c r="M97" s="3506"/>
      <c r="N97" s="887" t="s">
        <v>867</v>
      </c>
      <c r="O97" s="879"/>
      <c r="P97" s="879"/>
      <c r="Q97" s="879"/>
      <c r="R97" s="879"/>
      <c r="S97" s="879"/>
      <c r="T97" s="879"/>
      <c r="U97" s="881"/>
    </row>
    <row r="98" spans="1:21" s="883" customFormat="1" ht="6" customHeight="1">
      <c r="A98" s="890"/>
      <c r="B98" s="879"/>
      <c r="C98" s="879"/>
      <c r="D98" s="879"/>
      <c r="E98" s="879"/>
      <c r="F98" s="879"/>
      <c r="G98" s="879"/>
      <c r="H98" s="879"/>
      <c r="I98" s="879"/>
      <c r="J98" s="879"/>
      <c r="K98" s="879"/>
      <c r="L98" s="879"/>
      <c r="M98" s="879"/>
      <c r="N98" s="879"/>
      <c r="O98" s="879"/>
      <c r="P98" s="879"/>
      <c r="Q98" s="879"/>
      <c r="R98" s="879"/>
      <c r="S98" s="879"/>
      <c r="T98" s="879"/>
      <c r="U98" s="881"/>
    </row>
    <row r="99" spans="1:21" s="883" customFormat="1" ht="19.5" customHeight="1">
      <c r="A99" s="890" t="s">
        <v>641</v>
      </c>
      <c r="B99" s="879" t="s">
        <v>868</v>
      </c>
      <c r="C99" s="879"/>
      <c r="D99" s="879"/>
      <c r="E99" s="879"/>
      <c r="F99" s="879"/>
      <c r="G99" s="879"/>
      <c r="H99" s="879"/>
      <c r="I99" s="879"/>
      <c r="J99" s="879"/>
      <c r="K99" s="879"/>
      <c r="L99" s="879"/>
      <c r="M99" s="3507" t="str">
        <f>M45</f>
        <v/>
      </c>
      <c r="N99" s="3506"/>
      <c r="O99" s="882" t="s">
        <v>126</v>
      </c>
      <c r="P99" s="3507" t="str">
        <f>IF(ISBLANK(E81),"",L20)</f>
        <v/>
      </c>
      <c r="Q99" s="3506"/>
      <c r="R99" s="882" t="s">
        <v>102</v>
      </c>
      <c r="S99" s="3507" t="str">
        <f>IF(ISBLANK(E81),"",M99*P99)</f>
        <v/>
      </c>
      <c r="T99" s="3506"/>
      <c r="U99" s="881" t="s">
        <v>827</v>
      </c>
    </row>
    <row r="100" spans="1:21" s="883" customFormat="1" ht="6" customHeight="1">
      <c r="A100" s="890"/>
      <c r="B100" s="879"/>
      <c r="C100" s="879"/>
      <c r="D100" s="879"/>
      <c r="E100" s="879"/>
      <c r="F100" s="879"/>
      <c r="G100" s="879"/>
      <c r="H100" s="879"/>
      <c r="I100" s="879"/>
      <c r="J100" s="879"/>
      <c r="K100" s="879"/>
      <c r="L100" s="879"/>
      <c r="M100" s="879"/>
      <c r="N100" s="879"/>
      <c r="O100" s="879"/>
      <c r="P100" s="879"/>
      <c r="Q100" s="879"/>
      <c r="R100" s="879"/>
      <c r="S100" s="879"/>
      <c r="T100" s="879"/>
      <c r="U100" s="881"/>
    </row>
    <row r="101" spans="1:21" s="883" customFormat="1" ht="15" customHeight="1">
      <c r="A101" s="890" t="s">
        <v>642</v>
      </c>
      <c r="B101" s="879" t="s">
        <v>869</v>
      </c>
      <c r="C101" s="879"/>
      <c r="D101" s="879"/>
      <c r="E101" s="879"/>
      <c r="F101" s="879"/>
      <c r="G101" s="879"/>
      <c r="H101" s="879"/>
      <c r="I101" s="879"/>
      <c r="J101" s="879"/>
      <c r="K101" s="879"/>
      <c r="L101" s="879"/>
      <c r="M101" s="879"/>
      <c r="N101" s="879"/>
      <c r="O101" s="879"/>
      <c r="P101" s="879"/>
      <c r="Q101" s="879"/>
      <c r="R101" s="879"/>
      <c r="S101" s="879"/>
      <c r="T101" s="879"/>
      <c r="U101" s="881"/>
    </row>
    <row r="102" spans="1:21" s="883" customFormat="1" ht="6" customHeight="1">
      <c r="A102" s="890"/>
      <c r="B102" s="879"/>
      <c r="C102" s="879"/>
      <c r="D102" s="879"/>
      <c r="E102" s="879"/>
      <c r="F102" s="879"/>
      <c r="G102" s="879"/>
      <c r="H102" s="879"/>
      <c r="I102" s="879"/>
      <c r="J102" s="879"/>
      <c r="K102" s="879"/>
      <c r="L102" s="879"/>
      <c r="M102" s="879"/>
      <c r="N102" s="879"/>
      <c r="O102" s="879"/>
      <c r="P102" s="879"/>
      <c r="Q102" s="879"/>
      <c r="R102" s="879"/>
      <c r="S102" s="879"/>
      <c r="T102" s="879"/>
      <c r="U102" s="881"/>
    </row>
    <row r="103" spans="1:21" s="883" customFormat="1" ht="19.5" customHeight="1">
      <c r="A103" s="890"/>
      <c r="B103" s="891" t="s">
        <v>848</v>
      </c>
      <c r="C103" s="3535">
        <v>4</v>
      </c>
      <c r="D103" s="3535"/>
      <c r="E103" s="882" t="s">
        <v>101</v>
      </c>
      <c r="F103" s="3507" t="str">
        <f>S99</f>
        <v/>
      </c>
      <c r="G103" s="3506"/>
      <c r="H103" s="893" t="s">
        <v>1110</v>
      </c>
      <c r="I103" s="882" t="s">
        <v>1111</v>
      </c>
      <c r="J103" s="3507" t="str">
        <f>S91</f>
        <v/>
      </c>
      <c r="K103" s="3506"/>
      <c r="L103" s="882" t="s">
        <v>942</v>
      </c>
      <c r="M103" s="3507" t="str">
        <f>IF(ISBLANK(E81),"",(4*S99)+S91)</f>
        <v/>
      </c>
      <c r="N103" s="3506"/>
      <c r="O103" s="879" t="s">
        <v>827</v>
      </c>
      <c r="P103" s="879"/>
      <c r="Q103" s="879"/>
      <c r="R103" s="879"/>
      <c r="S103" s="879"/>
      <c r="T103" s="879"/>
      <c r="U103" s="881"/>
    </row>
    <row r="104" spans="1:21" s="883" customFormat="1" ht="6" customHeight="1">
      <c r="A104" s="890"/>
      <c r="B104" s="879"/>
      <c r="C104" s="879"/>
      <c r="D104" s="879"/>
      <c r="E104" s="879"/>
      <c r="F104" s="879"/>
      <c r="G104" s="879"/>
      <c r="H104" s="879"/>
      <c r="I104" s="879"/>
      <c r="J104" s="879"/>
      <c r="K104" s="879"/>
      <c r="L104" s="879"/>
      <c r="M104" s="879"/>
      <c r="N104" s="879"/>
      <c r="O104" s="879"/>
      <c r="P104" s="879"/>
      <c r="Q104" s="879"/>
      <c r="R104" s="879"/>
      <c r="S104" s="879"/>
      <c r="T104" s="879"/>
      <c r="U104" s="881"/>
    </row>
    <row r="105" spans="1:21" s="883" customFormat="1" ht="15" customHeight="1">
      <c r="A105" s="890" t="s">
        <v>643</v>
      </c>
      <c r="B105" s="879" t="s">
        <v>870</v>
      </c>
      <c r="C105" s="879"/>
      <c r="D105" s="879"/>
      <c r="E105" s="879"/>
      <c r="F105" s="879"/>
      <c r="G105" s="879"/>
      <c r="H105" s="879"/>
      <c r="I105" s="879"/>
      <c r="J105" s="879"/>
      <c r="K105" s="879"/>
      <c r="L105" s="879"/>
      <c r="M105" s="879"/>
      <c r="N105" s="879"/>
      <c r="O105" s="879"/>
      <c r="P105" s="879"/>
      <c r="Q105" s="879"/>
      <c r="R105" s="879"/>
      <c r="S105" s="879"/>
      <c r="T105" s="879"/>
      <c r="U105" s="881"/>
    </row>
    <row r="106" spans="1:21" s="883" customFormat="1" ht="6" customHeight="1">
      <c r="A106" s="890"/>
      <c r="B106" s="879"/>
      <c r="C106" s="879"/>
      <c r="D106" s="879"/>
      <c r="E106" s="879"/>
      <c r="F106" s="879"/>
      <c r="G106" s="879"/>
      <c r="H106" s="879"/>
      <c r="I106" s="879"/>
      <c r="J106" s="879"/>
      <c r="K106" s="879"/>
      <c r="L106" s="879"/>
      <c r="M106" s="879"/>
      <c r="N106" s="879"/>
      <c r="O106" s="879"/>
      <c r="P106" s="879"/>
      <c r="Q106" s="879"/>
      <c r="R106" s="879"/>
      <c r="S106" s="879"/>
      <c r="T106" s="879"/>
      <c r="U106" s="881"/>
    </row>
    <row r="107" spans="1:21" s="883" customFormat="1" ht="19.5" customHeight="1">
      <c r="A107" s="890"/>
      <c r="B107" s="3507" t="str">
        <f>M45</f>
        <v/>
      </c>
      <c r="C107" s="3506"/>
      <c r="D107" s="882" t="s">
        <v>122</v>
      </c>
      <c r="E107" s="3507" t="str">
        <f>IF(ISBLANK(E81),"",F10/12)</f>
        <v/>
      </c>
      <c r="F107" s="3506"/>
      <c r="G107" s="882" t="s">
        <v>126</v>
      </c>
      <c r="H107" s="3532" t="str">
        <f>IF(ISBLANK(E81),"",E20/12)</f>
        <v/>
      </c>
      <c r="I107" s="3533"/>
      <c r="J107" s="882" t="s">
        <v>126</v>
      </c>
      <c r="K107" s="3534" t="str">
        <f>IF(ISBLANK(E81),"",F16)</f>
        <v/>
      </c>
      <c r="L107" s="3506"/>
      <c r="M107" s="882" t="s">
        <v>101</v>
      </c>
      <c r="N107" s="3535">
        <v>7.5</v>
      </c>
      <c r="O107" s="3535"/>
      <c r="P107" s="882" t="s">
        <v>102</v>
      </c>
      <c r="Q107" s="3507" t="str">
        <f>IF(ISBLANK(E81),"",B107*E107*H107*K107*N107)</f>
        <v/>
      </c>
      <c r="R107" s="3506"/>
      <c r="S107" s="879" t="s">
        <v>827</v>
      </c>
      <c r="T107" s="879"/>
      <c r="U107" s="881"/>
    </row>
    <row r="108" spans="1:21" s="883" customFormat="1" ht="6" customHeight="1">
      <c r="A108" s="890"/>
      <c r="B108" s="879"/>
      <c r="C108" s="879"/>
      <c r="D108" s="879"/>
      <c r="E108" s="879"/>
      <c r="F108" s="879"/>
      <c r="G108" s="879"/>
      <c r="H108" s="879"/>
      <c r="I108" s="879"/>
      <c r="J108" s="879"/>
      <c r="K108" s="879"/>
      <c r="L108" s="879"/>
      <c r="M108" s="879"/>
      <c r="N108" s="879"/>
      <c r="O108" s="879"/>
      <c r="P108" s="879"/>
      <c r="Q108" s="879"/>
      <c r="R108" s="879"/>
      <c r="S108" s="879"/>
      <c r="T108" s="879"/>
      <c r="U108" s="881"/>
    </row>
    <row r="109" spans="1:21" s="883" customFormat="1" ht="19.5" customHeight="1">
      <c r="A109" s="890" t="s">
        <v>644</v>
      </c>
      <c r="B109" s="879" t="s">
        <v>871</v>
      </c>
      <c r="C109" s="879"/>
      <c r="D109" s="879"/>
      <c r="E109" s="879"/>
      <c r="F109" s="879"/>
      <c r="G109" s="879"/>
      <c r="H109" s="879"/>
      <c r="I109" s="879"/>
      <c r="J109" s="879"/>
      <c r="K109" s="879"/>
      <c r="L109" s="879"/>
      <c r="M109" s="879"/>
      <c r="N109" s="879"/>
      <c r="O109" s="3503"/>
      <c r="P109" s="3504"/>
      <c r="Q109" s="879" t="s">
        <v>827</v>
      </c>
      <c r="R109" s="879"/>
      <c r="S109" s="879"/>
      <c r="T109" s="879"/>
      <c r="U109" s="881"/>
    </row>
    <row r="110" spans="1:21" s="883" customFormat="1" ht="6" customHeight="1">
      <c r="A110" s="890"/>
      <c r="B110" s="879"/>
      <c r="C110" s="879"/>
      <c r="D110" s="879"/>
      <c r="E110" s="879"/>
      <c r="F110" s="879"/>
      <c r="G110" s="879"/>
      <c r="H110" s="879"/>
      <c r="I110" s="879"/>
      <c r="J110" s="879"/>
      <c r="K110" s="879"/>
      <c r="L110" s="879"/>
      <c r="M110" s="879"/>
      <c r="N110" s="879"/>
      <c r="O110" s="879"/>
      <c r="P110" s="879"/>
      <c r="Q110" s="879"/>
      <c r="R110" s="879"/>
      <c r="S110" s="879"/>
      <c r="T110" s="879"/>
      <c r="U110" s="881"/>
    </row>
    <row r="111" spans="1:21" s="883" customFormat="1" ht="19.5" customHeight="1">
      <c r="A111" s="890" t="s">
        <v>710</v>
      </c>
      <c r="B111" s="879" t="s">
        <v>872</v>
      </c>
      <c r="C111" s="879"/>
      <c r="D111" s="879"/>
      <c r="E111" s="879"/>
      <c r="F111" s="879"/>
      <c r="G111" s="879"/>
      <c r="H111" s="879"/>
      <c r="I111" s="879"/>
      <c r="J111" s="879"/>
      <c r="K111" s="879"/>
      <c r="L111" s="3507" t="str">
        <f>IF(ISBLANK(E81),"",O109)</f>
        <v/>
      </c>
      <c r="M111" s="3506"/>
      <c r="N111" s="888" t="s">
        <v>721</v>
      </c>
      <c r="O111" s="3507" t="str">
        <f>L97</f>
        <v/>
      </c>
      <c r="P111" s="3506"/>
      <c r="Q111" s="888" t="s">
        <v>102</v>
      </c>
      <c r="R111" s="3505" t="str">
        <f>IF(ISBLANK(E81),"",L111/O111)</f>
        <v/>
      </c>
      <c r="S111" s="3513"/>
      <c r="T111" s="879" t="s">
        <v>742</v>
      </c>
      <c r="U111" s="881"/>
    </row>
    <row r="112" spans="1:21" s="883" customFormat="1" ht="6" customHeight="1">
      <c r="A112" s="890"/>
      <c r="B112" s="879"/>
      <c r="C112" s="879"/>
      <c r="D112" s="879"/>
      <c r="E112" s="879"/>
      <c r="F112" s="879"/>
      <c r="G112" s="879"/>
      <c r="H112" s="879"/>
      <c r="I112" s="879"/>
      <c r="J112" s="879"/>
      <c r="K112" s="879"/>
      <c r="L112" s="879"/>
      <c r="M112" s="879"/>
      <c r="N112" s="879"/>
      <c r="O112" s="879"/>
      <c r="P112" s="879"/>
      <c r="Q112" s="879"/>
      <c r="R112" s="879"/>
      <c r="S112" s="879"/>
      <c r="T112" s="879"/>
      <c r="U112" s="881"/>
    </row>
    <row r="113" spans="1:21" s="883" customFormat="1" ht="15" customHeight="1">
      <c r="A113" s="890" t="s">
        <v>711</v>
      </c>
      <c r="B113" s="879" t="s">
        <v>873</v>
      </c>
      <c r="C113" s="879"/>
      <c r="D113" s="879"/>
      <c r="E113" s="879"/>
      <c r="F113" s="879"/>
      <c r="G113" s="879"/>
      <c r="H113" s="879"/>
      <c r="I113" s="879"/>
      <c r="J113" s="879"/>
      <c r="K113" s="879"/>
      <c r="L113" s="879"/>
      <c r="M113" s="879"/>
      <c r="N113" s="879"/>
      <c r="O113" s="884" t="s">
        <v>899</v>
      </c>
      <c r="P113" s="879"/>
      <c r="Q113" s="879"/>
      <c r="R113" s="879"/>
      <c r="S113" s="879"/>
      <c r="T113" s="879"/>
      <c r="U113" s="881"/>
    </row>
    <row r="114" spans="1:21" s="883" customFormat="1" ht="6" customHeight="1">
      <c r="A114" s="890"/>
      <c r="B114" s="879"/>
      <c r="C114" s="879"/>
      <c r="D114" s="879"/>
      <c r="E114" s="879"/>
      <c r="F114" s="879"/>
      <c r="G114" s="879"/>
      <c r="H114" s="879"/>
      <c r="I114" s="879"/>
      <c r="J114" s="879"/>
      <c r="K114" s="879"/>
      <c r="L114" s="879"/>
      <c r="M114" s="879"/>
      <c r="N114" s="879"/>
      <c r="O114" s="879"/>
      <c r="P114" s="879"/>
      <c r="Q114" s="879"/>
      <c r="R114" s="879"/>
      <c r="S114" s="879"/>
      <c r="T114" s="879"/>
      <c r="U114" s="881"/>
    </row>
    <row r="115" spans="1:21" s="883" customFormat="1" ht="19.5" customHeight="1">
      <c r="A115" s="890"/>
      <c r="B115" s="3507" t="str">
        <f>E4</f>
        <v/>
      </c>
      <c r="C115" s="3506"/>
      <c r="D115" s="882" t="s">
        <v>721</v>
      </c>
      <c r="E115" s="3507" t="str">
        <f>IF(ISBLANK(E81),"",E41)</f>
        <v/>
      </c>
      <c r="F115" s="3506"/>
      <c r="G115" s="882" t="s">
        <v>721</v>
      </c>
      <c r="H115" s="3507" t="str">
        <f>IF(ISBLANK(E81),"",O109)</f>
        <v/>
      </c>
      <c r="I115" s="3506"/>
      <c r="J115" s="882" t="s">
        <v>102</v>
      </c>
      <c r="K115" s="3511" t="str">
        <f>IF(ISBLANK(E81),"",MAX(4,(B115/E115/H115)))</f>
        <v/>
      </c>
      <c r="L115" s="3512"/>
      <c r="M115" s="879" t="s">
        <v>874</v>
      </c>
      <c r="N115" s="879"/>
      <c r="O115" s="879"/>
      <c r="P115" s="879"/>
      <c r="Q115" s="879"/>
      <c r="R115" s="879"/>
      <c r="S115" s="879"/>
      <c r="T115" s="879"/>
      <c r="U115" s="881"/>
    </row>
    <row r="116" spans="1:21" s="883" customFormat="1" ht="6" customHeight="1">
      <c r="A116" s="890"/>
      <c r="B116" s="879"/>
      <c r="C116" s="879"/>
      <c r="D116" s="879"/>
      <c r="E116" s="879"/>
      <c r="F116" s="879"/>
      <c r="G116" s="879"/>
      <c r="H116" s="879"/>
      <c r="I116" s="879"/>
      <c r="J116" s="879"/>
      <c r="K116" s="879"/>
      <c r="L116" s="879"/>
      <c r="M116" s="879"/>
      <c r="N116" s="879"/>
      <c r="O116" s="879"/>
      <c r="P116" s="879"/>
      <c r="Q116" s="879"/>
      <c r="R116" s="879"/>
      <c r="S116" s="879"/>
      <c r="T116" s="879"/>
      <c r="U116" s="881"/>
    </row>
    <row r="117" spans="1:21" s="883" customFormat="1" ht="19.5" customHeight="1">
      <c r="A117" s="890" t="s">
        <v>712</v>
      </c>
      <c r="B117" s="879" t="s">
        <v>875</v>
      </c>
      <c r="C117" s="879"/>
      <c r="D117" s="879"/>
      <c r="E117" s="879"/>
      <c r="F117" s="879"/>
      <c r="G117" s="879"/>
      <c r="H117" s="879"/>
      <c r="I117" s="3536">
        <v>1440</v>
      </c>
      <c r="J117" s="3536"/>
      <c r="K117" s="882" t="s">
        <v>721</v>
      </c>
      <c r="L117" s="3537" t="str">
        <f>K115</f>
        <v/>
      </c>
      <c r="M117" s="3538"/>
      <c r="N117" s="882" t="s">
        <v>102</v>
      </c>
      <c r="O117" s="3539" t="str">
        <f>IF(ISBLANK(E81),"",I117/L117)</f>
        <v/>
      </c>
      <c r="P117" s="3540"/>
      <c r="Q117" s="879" t="s">
        <v>742</v>
      </c>
      <c r="R117" s="879"/>
      <c r="S117" s="879"/>
      <c r="T117" s="879"/>
      <c r="U117" s="881"/>
    </row>
    <row r="118" spans="1:21" s="883" customFormat="1" ht="6" customHeight="1">
      <c r="A118" s="890"/>
      <c r="B118" s="879"/>
      <c r="C118" s="879"/>
      <c r="D118" s="879"/>
      <c r="E118" s="879"/>
      <c r="F118" s="879"/>
      <c r="G118" s="879"/>
      <c r="H118" s="879"/>
      <c r="I118" s="879"/>
      <c r="J118" s="879"/>
      <c r="K118" s="879"/>
      <c r="L118" s="879"/>
      <c r="M118" s="879"/>
      <c r="N118" s="879"/>
      <c r="O118" s="879"/>
      <c r="P118" s="879"/>
      <c r="Q118" s="879"/>
      <c r="R118" s="879"/>
      <c r="S118" s="879"/>
      <c r="T118" s="879"/>
      <c r="U118" s="881"/>
    </row>
    <row r="119" spans="1:21" s="883" customFormat="1" ht="19.5" customHeight="1">
      <c r="A119" s="890" t="s">
        <v>7</v>
      </c>
      <c r="B119" s="879" t="s">
        <v>876</v>
      </c>
      <c r="C119" s="879"/>
      <c r="D119" s="879"/>
      <c r="E119" s="879"/>
      <c r="F119" s="879"/>
      <c r="G119" s="879"/>
      <c r="H119" s="879"/>
      <c r="I119" s="3505" t="str">
        <f>O117</f>
        <v/>
      </c>
      <c r="J119" s="3506"/>
      <c r="K119" s="882" t="s">
        <v>143</v>
      </c>
      <c r="L119" s="3505" t="str">
        <f>R111</f>
        <v/>
      </c>
      <c r="M119" s="3506"/>
      <c r="N119" s="882" t="s">
        <v>102</v>
      </c>
      <c r="O119" s="3505" t="str">
        <f>IF(ISBLANK(E81),"",I119-L119)</f>
        <v/>
      </c>
      <c r="P119" s="3506"/>
      <c r="Q119" s="879" t="s">
        <v>742</v>
      </c>
      <c r="R119" s="879"/>
      <c r="S119" s="879"/>
      <c r="T119" s="879"/>
      <c r="U119" s="881"/>
    </row>
    <row r="120" spans="1:21" s="883" customFormat="1" ht="6" customHeight="1">
      <c r="A120" s="890"/>
      <c r="B120" s="879"/>
      <c r="C120" s="879"/>
      <c r="D120" s="879"/>
      <c r="E120" s="879"/>
      <c r="F120" s="879"/>
      <c r="G120" s="879"/>
      <c r="H120" s="879"/>
      <c r="I120" s="879"/>
      <c r="J120" s="879"/>
      <c r="K120" s="879"/>
      <c r="L120" s="879"/>
      <c r="M120" s="879"/>
      <c r="N120" s="879"/>
      <c r="O120" s="879"/>
      <c r="P120" s="879"/>
      <c r="Q120" s="879"/>
      <c r="R120" s="879"/>
      <c r="S120" s="879"/>
      <c r="T120" s="879"/>
      <c r="U120" s="881"/>
    </row>
    <row r="121" spans="1:21" s="883" customFormat="1" ht="19.5" customHeight="1">
      <c r="A121" s="890" t="s">
        <v>8</v>
      </c>
      <c r="B121" s="879" t="s">
        <v>877</v>
      </c>
      <c r="C121" s="879"/>
      <c r="D121" s="879"/>
      <c r="E121" s="879"/>
      <c r="F121" s="879"/>
      <c r="G121" s="879"/>
      <c r="H121" s="879"/>
      <c r="I121" s="879"/>
      <c r="J121" s="879"/>
      <c r="K121" s="879"/>
      <c r="L121" s="879"/>
      <c r="M121" s="3507" t="str">
        <f>Q47</f>
        <v/>
      </c>
      <c r="N121" s="3506"/>
      <c r="O121" s="892" t="s">
        <v>101</v>
      </c>
      <c r="P121" s="3535">
        <f>1.6</f>
        <v>1.6</v>
      </c>
      <c r="Q121" s="3535"/>
      <c r="R121" s="892" t="s">
        <v>102</v>
      </c>
      <c r="S121" s="3507" t="str">
        <f>IF(ISBLANK(E81),"",M121*P121)</f>
        <v/>
      </c>
      <c r="T121" s="3506"/>
      <c r="U121" s="894" t="s">
        <v>827</v>
      </c>
    </row>
    <row r="122" spans="1:21" s="883" customFormat="1" ht="6" customHeight="1">
      <c r="A122" s="890"/>
      <c r="B122" s="879"/>
      <c r="C122" s="879"/>
      <c r="D122" s="879"/>
      <c r="E122" s="879"/>
      <c r="F122" s="879"/>
      <c r="G122" s="879"/>
      <c r="H122" s="879"/>
      <c r="I122" s="879"/>
      <c r="J122" s="879"/>
      <c r="K122" s="879"/>
      <c r="L122" s="879"/>
      <c r="M122" s="879"/>
      <c r="N122" s="879"/>
      <c r="O122" s="879"/>
      <c r="P122" s="879"/>
      <c r="Q122" s="879"/>
      <c r="R122" s="879"/>
      <c r="S122" s="879"/>
      <c r="T122" s="879"/>
      <c r="U122" s="881"/>
    </row>
    <row r="123" spans="1:21" s="883" customFormat="1" ht="15" customHeight="1">
      <c r="A123" s="890" t="s">
        <v>831</v>
      </c>
      <c r="B123" s="879" t="s">
        <v>878</v>
      </c>
      <c r="C123" s="879"/>
      <c r="D123" s="879"/>
      <c r="E123" s="879"/>
      <c r="F123" s="879"/>
      <c r="G123" s="879"/>
      <c r="H123" s="879"/>
      <c r="I123" s="879"/>
      <c r="J123" s="879"/>
      <c r="K123" s="879"/>
      <c r="L123" s="879"/>
      <c r="M123" s="879"/>
      <c r="N123" s="879"/>
      <c r="O123" s="879"/>
      <c r="P123" s="879"/>
      <c r="Q123" s="879"/>
      <c r="R123" s="879"/>
      <c r="S123" s="879"/>
      <c r="T123" s="879"/>
      <c r="U123" s="881"/>
    </row>
    <row r="124" spans="1:21" s="883" customFormat="1" ht="6" customHeight="1">
      <c r="A124" s="890"/>
      <c r="B124" s="879"/>
      <c r="C124" s="879"/>
      <c r="D124" s="879"/>
      <c r="E124" s="879"/>
      <c r="F124" s="879"/>
      <c r="G124" s="879"/>
      <c r="H124" s="879"/>
      <c r="I124" s="879"/>
      <c r="J124" s="879"/>
      <c r="K124" s="879"/>
      <c r="L124" s="879"/>
      <c r="M124" s="879"/>
      <c r="N124" s="879"/>
      <c r="O124" s="879"/>
      <c r="P124" s="879"/>
      <c r="Q124" s="879"/>
      <c r="R124" s="879"/>
      <c r="S124" s="879"/>
      <c r="T124" s="879"/>
      <c r="U124" s="881"/>
    </row>
    <row r="125" spans="1:21" s="883" customFormat="1" ht="19.5" customHeight="1">
      <c r="A125" s="890"/>
      <c r="B125" s="3541" t="str">
        <f>L97</f>
        <v/>
      </c>
      <c r="C125" s="3538"/>
      <c r="D125" s="882" t="s">
        <v>311</v>
      </c>
      <c r="E125" s="3507" t="str">
        <f>S121</f>
        <v/>
      </c>
      <c r="F125" s="3506"/>
      <c r="G125" s="882" t="s">
        <v>102</v>
      </c>
      <c r="H125" s="3541" t="str">
        <f>IF(ISBLANK(E81),"",B125+E125)</f>
        <v/>
      </c>
      <c r="I125" s="3538"/>
      <c r="J125" s="887" t="s">
        <v>867</v>
      </c>
      <c r="K125" s="879"/>
      <c r="L125" s="879"/>
      <c r="M125" s="879"/>
      <c r="N125" s="879"/>
      <c r="O125" s="879"/>
      <c r="P125" s="879"/>
      <c r="Q125" s="879"/>
      <c r="R125" s="879"/>
      <c r="S125" s="879"/>
      <c r="T125" s="879"/>
      <c r="U125" s="881"/>
    </row>
    <row r="126" spans="1:21" s="883" customFormat="1" ht="6" customHeight="1">
      <c r="A126" s="890"/>
      <c r="B126" s="879"/>
      <c r="C126" s="879"/>
      <c r="D126" s="879"/>
      <c r="E126" s="879"/>
      <c r="F126" s="879"/>
      <c r="G126" s="879"/>
      <c r="H126" s="879"/>
      <c r="I126" s="879"/>
      <c r="J126" s="879"/>
      <c r="K126" s="879"/>
      <c r="L126" s="879"/>
      <c r="M126" s="879"/>
      <c r="N126" s="879"/>
      <c r="O126" s="879"/>
      <c r="P126" s="879"/>
      <c r="Q126" s="879"/>
      <c r="R126" s="879"/>
      <c r="S126" s="879"/>
      <c r="T126" s="879"/>
      <c r="U126" s="881"/>
    </row>
    <row r="127" spans="1:21" s="883" customFormat="1" ht="19.5" customHeight="1">
      <c r="A127" s="890" t="s">
        <v>832</v>
      </c>
      <c r="B127" s="879" t="s">
        <v>879</v>
      </c>
      <c r="C127" s="879"/>
      <c r="D127" s="879"/>
      <c r="E127" s="879"/>
      <c r="F127" s="879"/>
      <c r="G127" s="879"/>
      <c r="H127" s="879"/>
      <c r="I127" s="879"/>
      <c r="J127" s="879"/>
      <c r="K127" s="3507" t="str">
        <f>H125</f>
        <v/>
      </c>
      <c r="L127" s="3506"/>
      <c r="M127" s="882" t="s">
        <v>101</v>
      </c>
      <c r="N127" s="3505" t="str">
        <f>R111</f>
        <v/>
      </c>
      <c r="O127" s="3506"/>
      <c r="P127" s="882" t="s">
        <v>102</v>
      </c>
      <c r="Q127" s="3511" t="str">
        <f>IF(ISBLANK(E81),"",K127*N127)</f>
        <v/>
      </c>
      <c r="R127" s="3512"/>
      <c r="S127" s="879" t="s">
        <v>827</v>
      </c>
      <c r="T127" s="879"/>
      <c r="U127" s="881"/>
    </row>
    <row r="128" spans="1:21" s="883" customFormat="1" ht="6" customHeight="1">
      <c r="A128" s="890"/>
      <c r="B128" s="879"/>
      <c r="C128" s="879"/>
      <c r="D128" s="879"/>
      <c r="E128" s="879"/>
      <c r="F128" s="879"/>
      <c r="G128" s="879"/>
      <c r="H128" s="879"/>
      <c r="I128" s="879"/>
      <c r="J128" s="879"/>
      <c r="K128" s="879"/>
      <c r="L128" s="879"/>
      <c r="M128" s="879"/>
      <c r="N128" s="879"/>
      <c r="O128" s="879"/>
      <c r="P128" s="879"/>
      <c r="Q128" s="879"/>
      <c r="R128" s="879"/>
      <c r="S128" s="879"/>
      <c r="T128" s="879"/>
      <c r="U128" s="881"/>
    </row>
    <row r="129" spans="1:21" s="883" customFormat="1" ht="15" customHeight="1">
      <c r="A129" s="890" t="s">
        <v>833</v>
      </c>
      <c r="B129" s="879" t="s">
        <v>880</v>
      </c>
      <c r="C129" s="895"/>
      <c r="D129" s="895"/>
      <c r="E129" s="895"/>
      <c r="F129" s="895"/>
      <c r="G129" s="895"/>
      <c r="H129" s="895"/>
      <c r="I129" s="895"/>
      <c r="J129" s="895"/>
      <c r="K129" s="895"/>
      <c r="L129" s="896"/>
      <c r="M129" s="879"/>
      <c r="N129" s="879"/>
      <c r="O129" s="879"/>
      <c r="P129" s="879"/>
      <c r="Q129" s="879"/>
      <c r="R129" s="879"/>
      <c r="S129" s="879"/>
      <c r="T129" s="879"/>
      <c r="U129" s="881"/>
    </row>
    <row r="130" spans="1:21" s="883" customFormat="1" ht="6" customHeight="1">
      <c r="A130" s="890"/>
      <c r="B130" s="879"/>
      <c r="C130" s="879"/>
      <c r="D130" s="879"/>
      <c r="E130" s="879"/>
      <c r="F130" s="879"/>
      <c r="G130" s="879"/>
      <c r="H130" s="879"/>
      <c r="I130" s="879"/>
      <c r="J130" s="879"/>
      <c r="K130" s="879"/>
      <c r="L130" s="879"/>
      <c r="M130" s="879"/>
      <c r="N130" s="879"/>
      <c r="O130" s="879"/>
      <c r="P130" s="879"/>
      <c r="Q130" s="879"/>
      <c r="R130" s="879"/>
      <c r="S130" s="879"/>
      <c r="T130" s="879"/>
      <c r="U130" s="881"/>
    </row>
    <row r="131" spans="1:21" s="883" customFormat="1" ht="19.5" customHeight="1">
      <c r="A131" s="890"/>
      <c r="B131" s="3505" t="str">
        <f>IF(ISBLANK(E81),"",E41)</f>
        <v/>
      </c>
      <c r="C131" s="3513"/>
      <c r="D131" s="896" t="s">
        <v>101</v>
      </c>
      <c r="E131" s="3505" t="str">
        <f>K115</f>
        <v/>
      </c>
      <c r="F131" s="3513"/>
      <c r="G131" s="896" t="s">
        <v>101</v>
      </c>
      <c r="H131" s="3505" t="str">
        <f>R111</f>
        <v/>
      </c>
      <c r="I131" s="3513"/>
      <c r="J131" s="896" t="s">
        <v>102</v>
      </c>
      <c r="K131" s="3505" t="str">
        <f>IF(ISBLANK(E81),"",B131*E131*H131)</f>
        <v/>
      </c>
      <c r="L131" s="3513"/>
      <c r="M131" s="895" t="s">
        <v>742</v>
      </c>
      <c r="N131" s="879"/>
      <c r="O131" s="879"/>
      <c r="P131" s="879"/>
      <c r="Q131" s="879"/>
      <c r="R131" s="879"/>
      <c r="S131" s="879"/>
      <c r="T131" s="879"/>
      <c r="U131" s="881"/>
    </row>
    <row r="132" spans="1:21" ht="6" customHeight="1">
      <c r="A132" s="657"/>
      <c r="B132" s="658"/>
      <c r="C132" s="658"/>
      <c r="D132" s="658"/>
      <c r="E132" s="658"/>
      <c r="F132" s="658"/>
      <c r="G132" s="658"/>
      <c r="H132" s="658"/>
      <c r="I132" s="658"/>
      <c r="J132" s="658"/>
      <c r="K132" s="658"/>
      <c r="L132" s="658"/>
      <c r="M132" s="658"/>
      <c r="N132" s="658"/>
      <c r="O132" s="658"/>
      <c r="P132" s="658"/>
      <c r="Q132" s="658"/>
      <c r="R132" s="658"/>
      <c r="S132" s="658"/>
      <c r="T132" s="658"/>
      <c r="U132" s="659"/>
    </row>
    <row r="133" spans="1:21" ht="15" customHeight="1">
      <c r="A133" s="3508" t="s">
        <v>881</v>
      </c>
      <c r="B133" s="3509"/>
      <c r="C133" s="3509"/>
      <c r="D133" s="3509"/>
      <c r="E133" s="3509"/>
      <c r="F133" s="3509"/>
      <c r="G133" s="3509"/>
      <c r="H133" s="3509"/>
      <c r="I133" s="3509"/>
      <c r="J133" s="3509"/>
      <c r="K133" s="3509"/>
      <c r="L133" s="3509"/>
      <c r="M133" s="3509"/>
      <c r="N133" s="3509"/>
      <c r="O133" s="3509"/>
      <c r="P133" s="3509"/>
      <c r="Q133" s="3509"/>
      <c r="R133" s="3509"/>
      <c r="S133" s="3509"/>
      <c r="T133" s="3509"/>
      <c r="U133" s="3510"/>
    </row>
    <row r="134" spans="1:21" ht="6" customHeight="1">
      <c r="A134" s="657"/>
      <c r="B134" s="658"/>
      <c r="C134" s="658"/>
      <c r="D134" s="658"/>
      <c r="E134" s="658"/>
      <c r="F134" s="658"/>
      <c r="G134" s="658"/>
      <c r="H134" s="658"/>
      <c r="I134" s="658"/>
      <c r="J134" s="658"/>
      <c r="K134" s="658"/>
      <c r="L134" s="658"/>
      <c r="M134" s="658"/>
      <c r="N134" s="658"/>
      <c r="O134" s="658"/>
      <c r="P134" s="658"/>
      <c r="Q134" s="658"/>
      <c r="R134" s="658"/>
      <c r="S134" s="658"/>
      <c r="T134" s="658"/>
      <c r="U134" s="659"/>
    </row>
    <row r="135" spans="1:21" s="883" customFormat="1" ht="19.5" customHeight="1">
      <c r="A135" s="890" t="s">
        <v>147</v>
      </c>
      <c r="B135" s="879" t="s">
        <v>856</v>
      </c>
      <c r="C135" s="879"/>
      <c r="D135" s="879"/>
      <c r="E135" s="3503"/>
      <c r="F135" s="3504"/>
      <c r="G135" s="879" t="s">
        <v>92</v>
      </c>
      <c r="H135" s="879"/>
      <c r="I135" s="879"/>
      <c r="J135" s="879"/>
      <c r="K135" s="879"/>
      <c r="L135" s="879"/>
      <c r="M135" s="879"/>
      <c r="N135" s="879"/>
      <c r="O135" s="879"/>
      <c r="P135" s="879"/>
      <c r="Q135" s="879"/>
      <c r="R135" s="879"/>
      <c r="S135" s="879"/>
      <c r="T135" s="879"/>
      <c r="U135" s="881"/>
    </row>
    <row r="136" spans="1:21" s="883" customFormat="1" ht="6" customHeight="1">
      <c r="A136" s="890"/>
      <c r="B136" s="879"/>
      <c r="C136" s="879"/>
      <c r="D136" s="879"/>
      <c r="E136" s="879"/>
      <c r="F136" s="879"/>
      <c r="G136" s="879"/>
      <c r="H136" s="879"/>
      <c r="I136" s="879"/>
      <c r="J136" s="879"/>
      <c r="K136" s="879"/>
      <c r="L136" s="879"/>
      <c r="M136" s="879"/>
      <c r="N136" s="879"/>
      <c r="O136" s="879"/>
      <c r="P136" s="879"/>
      <c r="Q136" s="879"/>
      <c r="R136" s="879"/>
      <c r="S136" s="879"/>
      <c r="T136" s="879"/>
      <c r="U136" s="881"/>
    </row>
    <row r="137" spans="1:21" s="883" customFormat="1" ht="19.5" customHeight="1">
      <c r="A137" s="890" t="s">
        <v>631</v>
      </c>
      <c r="B137" s="879" t="s">
        <v>857</v>
      </c>
      <c r="C137" s="879"/>
      <c r="D137" s="879"/>
      <c r="E137" s="3503"/>
      <c r="F137" s="3504"/>
      <c r="G137" s="879" t="s">
        <v>92</v>
      </c>
      <c r="H137" s="879"/>
      <c r="I137" s="879" t="s">
        <v>858</v>
      </c>
      <c r="J137" s="879"/>
      <c r="K137" s="879"/>
      <c r="L137" s="879"/>
      <c r="M137" s="3528"/>
      <c r="N137" s="3529"/>
      <c r="O137" s="879" t="s">
        <v>640</v>
      </c>
      <c r="P137" s="879"/>
      <c r="Q137" s="879"/>
      <c r="R137" s="879"/>
      <c r="S137" s="879"/>
      <c r="T137" s="879"/>
      <c r="U137" s="881"/>
    </row>
    <row r="138" spans="1:21" s="883" customFormat="1" ht="6" customHeight="1">
      <c r="A138" s="890"/>
      <c r="B138" s="879"/>
      <c r="C138" s="879"/>
      <c r="D138" s="879"/>
      <c r="E138" s="879"/>
      <c r="F138" s="879"/>
      <c r="G138" s="879"/>
      <c r="H138" s="879"/>
      <c r="I138" s="879"/>
      <c r="J138" s="879"/>
      <c r="K138" s="879"/>
      <c r="L138" s="879"/>
      <c r="M138" s="879"/>
      <c r="N138" s="879"/>
      <c r="O138" s="879"/>
      <c r="P138" s="879"/>
      <c r="Q138" s="879"/>
      <c r="R138" s="879"/>
      <c r="S138" s="879"/>
      <c r="T138" s="879"/>
      <c r="U138" s="881"/>
    </row>
    <row r="139" spans="1:21" s="883" customFormat="1" ht="19.5" customHeight="1">
      <c r="A139" s="890"/>
      <c r="B139" s="879" t="s">
        <v>859</v>
      </c>
      <c r="C139" s="897"/>
      <c r="D139" s="897"/>
      <c r="E139" s="897"/>
      <c r="F139" s="897"/>
      <c r="G139" s="898"/>
      <c r="H139" s="898"/>
      <c r="I139" s="897"/>
      <c r="J139" s="897"/>
      <c r="K139" s="897"/>
      <c r="L139" s="879"/>
      <c r="M139" s="3541" t="str">
        <f>IF(ISBLANK(E135),"",E137)</f>
        <v/>
      </c>
      <c r="N139" s="3538"/>
      <c r="O139" s="888" t="s">
        <v>101</v>
      </c>
      <c r="P139" s="3503"/>
      <c r="Q139" s="3504"/>
      <c r="R139" s="888" t="s">
        <v>102</v>
      </c>
      <c r="S139" s="3541" t="str">
        <f>IF(ISBLANK(E135),"",M139*P139)</f>
        <v/>
      </c>
      <c r="T139" s="3538"/>
      <c r="U139" s="881" t="s">
        <v>827</v>
      </c>
    </row>
    <row r="140" spans="1:21" s="883" customFormat="1" ht="6" customHeight="1">
      <c r="A140" s="890"/>
      <c r="B140" s="879"/>
      <c r="C140" s="879"/>
      <c r="D140" s="879"/>
      <c r="E140" s="879"/>
      <c r="F140" s="879"/>
      <c r="G140" s="879"/>
      <c r="H140" s="879"/>
      <c r="I140" s="879"/>
      <c r="J140" s="879"/>
      <c r="K140" s="879"/>
      <c r="L140" s="879"/>
      <c r="M140" s="879"/>
      <c r="N140" s="879"/>
      <c r="O140" s="879"/>
      <c r="P140" s="879"/>
      <c r="Q140" s="879"/>
      <c r="R140" s="879"/>
      <c r="S140" s="879"/>
      <c r="T140" s="879"/>
      <c r="U140" s="881"/>
    </row>
    <row r="141" spans="1:21" s="883" customFormat="1" ht="19.5" customHeight="1">
      <c r="A141" s="890" t="s">
        <v>149</v>
      </c>
      <c r="B141" s="879" t="s">
        <v>860</v>
      </c>
      <c r="C141" s="879"/>
      <c r="D141" s="879"/>
      <c r="E141" s="3542"/>
      <c r="F141" s="3543"/>
      <c r="G141" s="885" t="s">
        <v>92</v>
      </c>
      <c r="H141" s="879"/>
      <c r="I141" s="879" t="s">
        <v>861</v>
      </c>
      <c r="J141" s="879"/>
      <c r="K141" s="879"/>
      <c r="L141" s="879"/>
      <c r="M141" s="3528"/>
      <c r="N141" s="3529"/>
      <c r="O141" s="879" t="s">
        <v>640</v>
      </c>
      <c r="P141" s="879"/>
      <c r="Q141" s="879"/>
      <c r="R141" s="879"/>
      <c r="S141" s="879"/>
      <c r="T141" s="879"/>
      <c r="U141" s="881"/>
    </row>
    <row r="142" spans="1:21" s="883" customFormat="1" ht="6" customHeight="1">
      <c r="A142" s="890"/>
      <c r="B142" s="879"/>
      <c r="C142" s="879"/>
      <c r="D142" s="879"/>
      <c r="E142" s="879"/>
      <c r="F142" s="879"/>
      <c r="G142" s="879"/>
      <c r="H142" s="879"/>
      <c r="I142" s="879"/>
      <c r="J142" s="879"/>
      <c r="K142" s="879"/>
      <c r="L142" s="879"/>
      <c r="M142" s="879"/>
      <c r="N142" s="879"/>
      <c r="O142" s="879"/>
      <c r="P142" s="879"/>
      <c r="Q142" s="879"/>
      <c r="R142" s="879"/>
      <c r="S142" s="879"/>
      <c r="T142" s="879"/>
      <c r="U142" s="881"/>
    </row>
    <row r="143" spans="1:21" s="883" customFormat="1" ht="19.5" customHeight="1">
      <c r="A143" s="890"/>
      <c r="B143" s="879" t="s">
        <v>862</v>
      </c>
      <c r="C143" s="897"/>
      <c r="D143" s="897"/>
      <c r="E143" s="897"/>
      <c r="F143" s="897"/>
      <c r="G143" s="898"/>
      <c r="H143" s="898"/>
      <c r="I143" s="897"/>
      <c r="J143" s="897"/>
      <c r="K143" s="897"/>
      <c r="L143" s="879"/>
      <c r="M143" s="3541" t="str">
        <f>IF(ISBLANK(E135),"",E141)</f>
        <v/>
      </c>
      <c r="N143" s="3538"/>
      <c r="O143" s="888" t="s">
        <v>101</v>
      </c>
      <c r="P143" s="3503"/>
      <c r="Q143" s="3504"/>
      <c r="R143" s="888" t="s">
        <v>102</v>
      </c>
      <c r="S143" s="3541" t="str">
        <f>IF(ISBLANK(E135),"",M143*P143)</f>
        <v/>
      </c>
      <c r="T143" s="3538"/>
      <c r="U143" s="881" t="s">
        <v>827</v>
      </c>
    </row>
    <row r="144" spans="1:21" s="883" customFormat="1" ht="6" customHeight="1">
      <c r="A144" s="890"/>
      <c r="B144" s="879"/>
      <c r="C144" s="879"/>
      <c r="D144" s="879"/>
      <c r="E144" s="879"/>
      <c r="F144" s="879"/>
      <c r="G144" s="879"/>
      <c r="H144" s="879"/>
      <c r="I144" s="879"/>
      <c r="J144" s="879"/>
      <c r="K144" s="879"/>
      <c r="L144" s="879"/>
      <c r="M144" s="879"/>
      <c r="N144" s="879"/>
      <c r="O144" s="879"/>
      <c r="P144" s="879"/>
      <c r="Q144" s="879"/>
      <c r="R144" s="879"/>
      <c r="S144" s="879"/>
      <c r="T144" s="879"/>
      <c r="U144" s="881"/>
    </row>
    <row r="145" spans="1:21" s="883" customFormat="1" ht="19.5" customHeight="1">
      <c r="A145" s="890" t="s">
        <v>588</v>
      </c>
      <c r="B145" s="879" t="s">
        <v>882</v>
      </c>
      <c r="C145" s="879"/>
      <c r="D145" s="879"/>
      <c r="E145" s="879"/>
      <c r="F145" s="879"/>
      <c r="G145" s="879"/>
      <c r="H145" s="879"/>
      <c r="I145" s="879"/>
      <c r="J145" s="879"/>
      <c r="K145" s="879"/>
      <c r="L145" s="878"/>
      <c r="M145" s="3507" t="str">
        <f>S139</f>
        <v/>
      </c>
      <c r="N145" s="3506"/>
      <c r="O145" s="906" t="s">
        <v>311</v>
      </c>
      <c r="P145" s="3507" t="str">
        <f>S143</f>
        <v/>
      </c>
      <c r="Q145" s="3506"/>
      <c r="R145" s="888" t="s">
        <v>102</v>
      </c>
      <c r="S145" s="3507" t="str">
        <f>IF(ISBLANK(E135),"",M145+P145)</f>
        <v/>
      </c>
      <c r="T145" s="3506"/>
      <c r="U145" s="881" t="s">
        <v>827</v>
      </c>
    </row>
    <row r="146" spans="1:21" s="883" customFormat="1" ht="6" customHeight="1">
      <c r="A146" s="890"/>
      <c r="B146" s="879"/>
      <c r="C146" s="879"/>
      <c r="D146" s="879"/>
      <c r="E146" s="879"/>
      <c r="F146" s="879"/>
      <c r="G146" s="879"/>
      <c r="H146" s="879"/>
      <c r="I146" s="879"/>
      <c r="J146" s="879"/>
      <c r="K146" s="879"/>
      <c r="L146" s="879"/>
      <c r="M146" s="879"/>
      <c r="N146" s="879"/>
      <c r="O146" s="879"/>
      <c r="P146" s="879"/>
      <c r="Q146" s="879"/>
      <c r="R146" s="879" t="s">
        <v>102</v>
      </c>
      <c r="S146" s="879"/>
      <c r="T146" s="879"/>
      <c r="U146" s="881"/>
    </row>
    <row r="147" spans="1:21" s="883" customFormat="1" ht="19.5" customHeight="1">
      <c r="A147" s="890" t="s">
        <v>589</v>
      </c>
      <c r="B147" s="879" t="s">
        <v>883</v>
      </c>
      <c r="C147" s="879"/>
      <c r="D147" s="879"/>
      <c r="E147" s="879"/>
      <c r="F147" s="879"/>
      <c r="G147" s="879"/>
      <c r="H147" s="879"/>
      <c r="I147" s="879"/>
      <c r="J147" s="879"/>
      <c r="K147" s="879"/>
      <c r="L147" s="879"/>
      <c r="M147" s="3541" t="str">
        <f>M45</f>
        <v/>
      </c>
      <c r="N147" s="3538"/>
      <c r="O147" s="888" t="s">
        <v>721</v>
      </c>
      <c r="P147" s="3541" t="str">
        <f>IF(ISBLANK(E135),"",E135)</f>
        <v/>
      </c>
      <c r="Q147" s="3538"/>
      <c r="R147" s="888" t="s">
        <v>102</v>
      </c>
      <c r="S147" s="3541" t="str">
        <f>IF(ISBLANK(E135),"",M147/P147)</f>
        <v/>
      </c>
      <c r="T147" s="3538"/>
      <c r="U147" s="881" t="s">
        <v>865</v>
      </c>
    </row>
    <row r="148" spans="1:21" s="883" customFormat="1" ht="6" customHeight="1">
      <c r="A148" s="890"/>
      <c r="B148" s="879"/>
      <c r="C148" s="879"/>
      <c r="D148" s="879"/>
      <c r="E148" s="879"/>
      <c r="F148" s="879"/>
      <c r="G148" s="879"/>
      <c r="H148" s="879"/>
      <c r="I148" s="879"/>
      <c r="J148" s="879"/>
      <c r="K148" s="879"/>
      <c r="L148" s="879"/>
      <c r="M148" s="879"/>
      <c r="N148" s="879"/>
      <c r="O148" s="879"/>
      <c r="P148" s="879"/>
      <c r="Q148" s="879"/>
      <c r="R148" s="879"/>
      <c r="S148" s="879"/>
      <c r="T148" s="879"/>
      <c r="U148" s="881"/>
    </row>
    <row r="149" spans="1:21" s="883" customFormat="1" ht="15" customHeight="1">
      <c r="A149" s="890" t="s">
        <v>641</v>
      </c>
      <c r="B149" s="879" t="s">
        <v>1396</v>
      </c>
      <c r="C149" s="879"/>
      <c r="D149" s="879"/>
      <c r="E149" s="879"/>
      <c r="F149" s="879"/>
      <c r="G149" s="879"/>
      <c r="H149" s="879"/>
      <c r="I149" s="879"/>
      <c r="J149" s="879"/>
      <c r="K149" s="879"/>
      <c r="L149" s="879"/>
      <c r="M149" s="879"/>
      <c r="N149" s="879"/>
      <c r="O149" s="879"/>
      <c r="P149" s="879"/>
      <c r="Q149" s="879"/>
      <c r="R149" s="879"/>
      <c r="S149" s="879"/>
      <c r="T149" s="879"/>
      <c r="U149" s="881"/>
    </row>
    <row r="150" spans="1:21" s="883" customFormat="1" ht="6" customHeight="1">
      <c r="A150" s="890"/>
      <c r="B150" s="879"/>
      <c r="C150" s="879"/>
      <c r="D150" s="879"/>
      <c r="E150" s="879"/>
      <c r="F150" s="879"/>
      <c r="G150" s="879"/>
      <c r="H150" s="879"/>
      <c r="I150" s="879"/>
      <c r="J150" s="879"/>
      <c r="K150" s="879"/>
      <c r="L150" s="879"/>
      <c r="M150" s="879"/>
      <c r="N150" s="879"/>
      <c r="O150" s="879"/>
      <c r="P150" s="879"/>
      <c r="Q150" s="879"/>
      <c r="R150" s="879"/>
      <c r="S150" s="879"/>
      <c r="T150" s="879"/>
      <c r="U150" s="881"/>
    </row>
    <row r="151" spans="1:21" s="883" customFormat="1" ht="19.5" customHeight="1">
      <c r="A151" s="890"/>
      <c r="B151" s="891"/>
      <c r="C151" s="3507" t="str">
        <f>S147</f>
        <v/>
      </c>
      <c r="D151" s="3506"/>
      <c r="E151" s="1157" t="s">
        <v>6</v>
      </c>
      <c r="F151" s="3507" t="str">
        <f>IF(ISBLANK(E135),"",E22)</f>
        <v/>
      </c>
      <c r="G151" s="3506"/>
      <c r="H151" s="887" t="s">
        <v>1397</v>
      </c>
      <c r="I151" s="882" t="s">
        <v>721</v>
      </c>
      <c r="J151" s="892">
        <v>60</v>
      </c>
      <c r="K151" s="882" t="s">
        <v>102</v>
      </c>
      <c r="L151" s="3507" t="str">
        <f>IF(ISBLANK(E135),"",C151*(F151/60))</f>
        <v/>
      </c>
      <c r="M151" s="3506"/>
      <c r="N151" s="887" t="s">
        <v>867</v>
      </c>
      <c r="O151" s="879"/>
      <c r="P151" s="879"/>
      <c r="Q151" s="879"/>
      <c r="R151" s="879"/>
      <c r="S151" s="879"/>
      <c r="T151" s="879"/>
      <c r="U151" s="881"/>
    </row>
    <row r="152" spans="1:21" s="883" customFormat="1" ht="6" customHeight="1">
      <c r="A152" s="890"/>
      <c r="B152" s="879"/>
      <c r="C152" s="879"/>
      <c r="D152" s="879"/>
      <c r="E152" s="879"/>
      <c r="F152" s="879"/>
      <c r="G152" s="879"/>
      <c r="H152" s="879"/>
      <c r="I152" s="879"/>
      <c r="J152" s="879"/>
      <c r="K152" s="879"/>
      <c r="L152" s="879"/>
      <c r="M152" s="879"/>
      <c r="N152" s="879"/>
      <c r="O152" s="879"/>
      <c r="P152" s="879"/>
      <c r="Q152" s="879"/>
      <c r="R152" s="879"/>
      <c r="S152" s="879"/>
      <c r="T152" s="879"/>
      <c r="U152" s="881"/>
    </row>
    <row r="153" spans="1:21" s="883" customFormat="1" ht="19.5" customHeight="1">
      <c r="A153" s="890" t="s">
        <v>642</v>
      </c>
      <c r="B153" s="879" t="s">
        <v>868</v>
      </c>
      <c r="C153" s="879"/>
      <c r="D153" s="879"/>
      <c r="E153" s="879"/>
      <c r="F153" s="879"/>
      <c r="G153" s="879"/>
      <c r="H153" s="879"/>
      <c r="I153" s="879"/>
      <c r="J153" s="879"/>
      <c r="K153" s="879"/>
      <c r="L153" s="879"/>
      <c r="M153" s="3507" t="str">
        <f>M45</f>
        <v/>
      </c>
      <c r="N153" s="3506"/>
      <c r="O153" s="882" t="s">
        <v>101</v>
      </c>
      <c r="P153" s="3507" t="str">
        <f>IF(ISBLANK(E135),"",L20)</f>
        <v/>
      </c>
      <c r="Q153" s="3506"/>
      <c r="R153" s="882" t="s">
        <v>102</v>
      </c>
      <c r="S153" s="3507" t="str">
        <f>IF(ISBLANK(E135),"",M153*P153)</f>
        <v/>
      </c>
      <c r="T153" s="3506"/>
      <c r="U153" s="881" t="s">
        <v>827</v>
      </c>
    </row>
    <row r="154" spans="1:21" s="883" customFormat="1" ht="6" customHeight="1">
      <c r="A154" s="890"/>
      <c r="B154" s="879"/>
      <c r="C154" s="879"/>
      <c r="D154" s="879"/>
      <c r="E154" s="879"/>
      <c r="F154" s="879"/>
      <c r="G154" s="879"/>
      <c r="H154" s="879"/>
      <c r="I154" s="879"/>
      <c r="J154" s="879"/>
      <c r="K154" s="879"/>
      <c r="L154" s="879"/>
      <c r="M154" s="879"/>
      <c r="N154" s="879"/>
      <c r="O154" s="879"/>
      <c r="P154" s="879"/>
      <c r="Q154" s="879"/>
      <c r="R154" s="879"/>
      <c r="S154" s="879"/>
      <c r="T154" s="879"/>
      <c r="U154" s="881"/>
    </row>
    <row r="155" spans="1:21" s="883" customFormat="1" ht="15" customHeight="1">
      <c r="A155" s="890" t="s">
        <v>643</v>
      </c>
      <c r="B155" s="879" t="s">
        <v>884</v>
      </c>
      <c r="C155" s="879"/>
      <c r="D155" s="879"/>
      <c r="E155" s="879"/>
      <c r="F155" s="879"/>
      <c r="G155" s="879"/>
      <c r="H155" s="879"/>
      <c r="I155" s="879"/>
      <c r="J155" s="879"/>
      <c r="K155" s="879"/>
      <c r="L155" s="879"/>
      <c r="M155" s="879"/>
      <c r="N155" s="879"/>
      <c r="O155" s="879"/>
      <c r="P155" s="879"/>
      <c r="Q155" s="879"/>
      <c r="R155" s="879"/>
      <c r="S155" s="879"/>
      <c r="T155" s="879"/>
      <c r="U155" s="881"/>
    </row>
    <row r="156" spans="1:21" s="883" customFormat="1" ht="6" customHeight="1">
      <c r="A156" s="890"/>
      <c r="B156" s="879"/>
      <c r="C156" s="879"/>
      <c r="D156" s="879"/>
      <c r="E156" s="879"/>
      <c r="F156" s="879"/>
      <c r="G156" s="879"/>
      <c r="H156" s="879"/>
      <c r="I156" s="879"/>
      <c r="J156" s="879"/>
      <c r="K156" s="879"/>
      <c r="L156" s="879"/>
      <c r="M156" s="879"/>
      <c r="N156" s="879"/>
      <c r="O156" s="879"/>
      <c r="P156" s="879"/>
      <c r="Q156" s="879"/>
      <c r="R156" s="879"/>
      <c r="S156" s="879"/>
      <c r="T156" s="879"/>
      <c r="U156" s="881"/>
    </row>
    <row r="157" spans="1:21" s="883" customFormat="1" ht="19.5" customHeight="1">
      <c r="A157" s="890"/>
      <c r="B157" s="891" t="s">
        <v>848</v>
      </c>
      <c r="C157" s="3535">
        <v>4</v>
      </c>
      <c r="D157" s="3535"/>
      <c r="E157" s="882" t="s">
        <v>101</v>
      </c>
      <c r="F157" s="3507" t="str">
        <f>S153</f>
        <v/>
      </c>
      <c r="G157" s="3506"/>
      <c r="H157" s="887" t="s">
        <v>849</v>
      </c>
      <c r="I157" s="882" t="s">
        <v>311</v>
      </c>
      <c r="J157" s="3507" t="str">
        <f>S145</f>
        <v/>
      </c>
      <c r="K157" s="3506"/>
      <c r="L157" s="882" t="s">
        <v>102</v>
      </c>
      <c r="M157" s="3507" t="str">
        <f>IF(ISBLANK(E135),"",(4*S153)+S145)</f>
        <v/>
      </c>
      <c r="N157" s="3506"/>
      <c r="O157" s="879" t="s">
        <v>827</v>
      </c>
      <c r="P157" s="879"/>
      <c r="Q157" s="879"/>
      <c r="R157" s="879"/>
      <c r="S157" s="879"/>
      <c r="T157" s="879"/>
      <c r="U157" s="881"/>
    </row>
    <row r="158" spans="1:21" s="883" customFormat="1" ht="6" customHeight="1">
      <c r="A158" s="890"/>
      <c r="B158" s="879"/>
      <c r="C158" s="879"/>
      <c r="D158" s="879"/>
      <c r="E158" s="879"/>
      <c r="F158" s="879"/>
      <c r="G158" s="879"/>
      <c r="H158" s="879"/>
      <c r="I158" s="879"/>
      <c r="J158" s="879"/>
      <c r="K158" s="879"/>
      <c r="L158" s="879"/>
      <c r="M158" s="879"/>
      <c r="N158" s="879"/>
      <c r="O158" s="879"/>
      <c r="P158" s="879"/>
      <c r="Q158" s="879"/>
      <c r="R158" s="879"/>
      <c r="S158" s="879"/>
      <c r="T158" s="879"/>
      <c r="U158" s="881"/>
    </row>
    <row r="159" spans="1:21" s="883" customFormat="1" ht="15" customHeight="1">
      <c r="A159" s="890" t="s">
        <v>644</v>
      </c>
      <c r="B159" s="879" t="s">
        <v>870</v>
      </c>
      <c r="C159" s="879"/>
      <c r="D159" s="879"/>
      <c r="E159" s="879"/>
      <c r="F159" s="879"/>
      <c r="G159" s="879"/>
      <c r="H159" s="879"/>
      <c r="I159" s="879"/>
      <c r="J159" s="879"/>
      <c r="K159" s="879"/>
      <c r="L159" s="879"/>
      <c r="M159" s="879"/>
      <c r="N159" s="879"/>
      <c r="O159" s="879"/>
      <c r="P159" s="879"/>
      <c r="Q159" s="879"/>
      <c r="R159" s="879"/>
      <c r="S159" s="879"/>
      <c r="T159" s="879"/>
      <c r="U159" s="881"/>
    </row>
    <row r="160" spans="1:21" s="883" customFormat="1" ht="6" customHeight="1">
      <c r="A160" s="890"/>
      <c r="B160" s="879"/>
      <c r="C160" s="879"/>
      <c r="D160" s="879"/>
      <c r="E160" s="879"/>
      <c r="F160" s="879"/>
      <c r="G160" s="879"/>
      <c r="H160" s="879"/>
      <c r="I160" s="879"/>
      <c r="J160" s="879"/>
      <c r="K160" s="879"/>
      <c r="L160" s="879"/>
      <c r="M160" s="879"/>
      <c r="N160" s="879"/>
      <c r="O160" s="879"/>
      <c r="P160" s="879"/>
      <c r="Q160" s="879"/>
      <c r="R160" s="879"/>
      <c r="S160" s="879"/>
      <c r="T160" s="879"/>
      <c r="U160" s="881"/>
    </row>
    <row r="161" spans="1:21" s="883" customFormat="1" ht="19.5" customHeight="1">
      <c r="A161" s="890"/>
      <c r="B161" s="3507" t="str">
        <f>M45</f>
        <v/>
      </c>
      <c r="C161" s="3506"/>
      <c r="D161" s="882" t="s">
        <v>101</v>
      </c>
      <c r="E161" s="3507" t="str">
        <f>IF(ISBLANK(E135),"",F10/12)</f>
        <v/>
      </c>
      <c r="F161" s="3506"/>
      <c r="G161" s="882" t="s">
        <v>101</v>
      </c>
      <c r="H161" s="3532" t="str">
        <f>IF(ISBLANK(E135),"",E20/12)</f>
        <v/>
      </c>
      <c r="I161" s="3533"/>
      <c r="J161" s="882" t="s">
        <v>101</v>
      </c>
      <c r="K161" s="3534" t="str">
        <f>IF(ISBLANK(E135),"",F16)</f>
        <v/>
      </c>
      <c r="L161" s="3506"/>
      <c r="M161" s="882" t="s">
        <v>101</v>
      </c>
      <c r="N161" s="3535">
        <v>7.5</v>
      </c>
      <c r="O161" s="3535"/>
      <c r="P161" s="882" t="s">
        <v>102</v>
      </c>
      <c r="Q161" s="3541" t="str">
        <f>IF(ISBLANK(E135),"",B161*E161*H161*K161*N161)</f>
        <v/>
      </c>
      <c r="R161" s="3538"/>
      <c r="S161" s="879" t="s">
        <v>827</v>
      </c>
      <c r="T161" s="879"/>
      <c r="U161" s="881"/>
    </row>
    <row r="162" spans="1:21" s="883" customFormat="1" ht="6" customHeight="1">
      <c r="A162" s="890"/>
      <c r="B162" s="879"/>
      <c r="C162" s="879"/>
      <c r="D162" s="879"/>
      <c r="E162" s="879"/>
      <c r="F162" s="879"/>
      <c r="G162" s="879"/>
      <c r="H162" s="879"/>
      <c r="I162" s="879"/>
      <c r="J162" s="879"/>
      <c r="K162" s="879"/>
      <c r="L162" s="879"/>
      <c r="M162" s="879"/>
      <c r="N162" s="879"/>
      <c r="O162" s="879"/>
      <c r="P162" s="879"/>
      <c r="Q162" s="879"/>
      <c r="R162" s="879"/>
      <c r="S162" s="879"/>
      <c r="T162" s="879"/>
      <c r="U162" s="881"/>
    </row>
    <row r="163" spans="1:21" s="883" customFormat="1" ht="19.5" customHeight="1">
      <c r="A163" s="890" t="s">
        <v>710</v>
      </c>
      <c r="B163" s="879" t="s">
        <v>871</v>
      </c>
      <c r="C163" s="879"/>
      <c r="D163" s="879"/>
      <c r="E163" s="879"/>
      <c r="F163" s="879"/>
      <c r="G163" s="879"/>
      <c r="H163" s="879"/>
      <c r="I163" s="879"/>
      <c r="J163" s="879"/>
      <c r="K163" s="879"/>
      <c r="L163" s="879"/>
      <c r="M163" s="879"/>
      <c r="N163" s="879"/>
      <c r="O163" s="3544"/>
      <c r="P163" s="3545"/>
      <c r="Q163" s="879" t="s">
        <v>827</v>
      </c>
      <c r="R163" s="879"/>
      <c r="S163" s="879"/>
      <c r="T163" s="879"/>
      <c r="U163" s="881"/>
    </row>
    <row r="164" spans="1:21" s="883" customFormat="1" ht="6" customHeight="1">
      <c r="A164" s="890"/>
      <c r="B164" s="879"/>
      <c r="C164" s="879"/>
      <c r="D164" s="879"/>
      <c r="E164" s="879"/>
      <c r="F164" s="879"/>
      <c r="G164" s="879"/>
      <c r="H164" s="879"/>
      <c r="I164" s="879"/>
      <c r="J164" s="879"/>
      <c r="K164" s="879"/>
      <c r="L164" s="879"/>
      <c r="M164" s="879"/>
      <c r="N164" s="879"/>
      <c r="O164" s="879"/>
      <c r="P164" s="879"/>
      <c r="Q164" s="879"/>
      <c r="R164" s="879"/>
      <c r="S164" s="879"/>
      <c r="T164" s="879"/>
      <c r="U164" s="881"/>
    </row>
    <row r="165" spans="1:21" s="883" customFormat="1" ht="19.5" customHeight="1">
      <c r="A165" s="890" t="s">
        <v>711</v>
      </c>
      <c r="B165" s="879" t="s">
        <v>885</v>
      </c>
      <c r="C165" s="879"/>
      <c r="D165" s="879"/>
      <c r="E165" s="879"/>
      <c r="F165" s="879"/>
      <c r="G165" s="879"/>
      <c r="H165" s="879"/>
      <c r="I165" s="879"/>
      <c r="J165" s="879"/>
      <c r="K165" s="879"/>
      <c r="L165" s="3541" t="str">
        <f>IF(ISBLANK(E135),"",O163)</f>
        <v/>
      </c>
      <c r="M165" s="3538"/>
      <c r="N165" s="888" t="s">
        <v>721</v>
      </c>
      <c r="O165" s="3541" t="str">
        <f>L151</f>
        <v/>
      </c>
      <c r="P165" s="3538"/>
      <c r="Q165" s="888" t="s">
        <v>102</v>
      </c>
      <c r="R165" s="3539" t="str">
        <f>IF(ISBLANK(E135),"",L165/O165)</f>
        <v/>
      </c>
      <c r="S165" s="3540"/>
      <c r="T165" s="879" t="s">
        <v>742</v>
      </c>
      <c r="U165" s="881"/>
    </row>
    <row r="166" spans="1:21" s="883" customFormat="1" ht="6" customHeight="1">
      <c r="A166" s="899"/>
      <c r="B166" s="900"/>
      <c r="C166" s="900"/>
      <c r="D166" s="900"/>
      <c r="E166" s="900"/>
      <c r="F166" s="900"/>
      <c r="G166" s="900"/>
      <c r="H166" s="900"/>
      <c r="I166" s="900"/>
      <c r="J166" s="900"/>
      <c r="K166" s="900"/>
      <c r="L166" s="900"/>
      <c r="M166" s="900"/>
      <c r="N166" s="900"/>
      <c r="O166" s="900"/>
      <c r="P166" s="900"/>
      <c r="Q166" s="900"/>
      <c r="R166" s="900"/>
      <c r="S166" s="900"/>
      <c r="T166" s="900"/>
      <c r="U166" s="901"/>
    </row>
    <row r="167" spans="1:21" s="883" customFormat="1" ht="15" customHeight="1">
      <c r="A167" s="902" t="s">
        <v>712</v>
      </c>
      <c r="B167" s="903" t="s">
        <v>898</v>
      </c>
      <c r="C167" s="903"/>
      <c r="D167" s="903"/>
      <c r="E167" s="903"/>
      <c r="F167" s="903"/>
      <c r="G167" s="903"/>
      <c r="H167" s="903"/>
      <c r="I167" s="903"/>
      <c r="J167" s="903"/>
      <c r="K167" s="903"/>
      <c r="L167" s="903"/>
      <c r="M167" s="903"/>
      <c r="N167" s="903"/>
      <c r="O167" s="904" t="s">
        <v>899</v>
      </c>
      <c r="P167" s="903"/>
      <c r="Q167" s="903"/>
      <c r="R167" s="903"/>
      <c r="S167" s="903"/>
      <c r="T167" s="903"/>
      <c r="U167" s="905"/>
    </row>
    <row r="168" spans="1:21" s="883" customFormat="1" ht="6" customHeight="1">
      <c r="A168" s="890"/>
      <c r="B168" s="879"/>
      <c r="C168" s="879"/>
      <c r="D168" s="879"/>
      <c r="E168" s="879"/>
      <c r="F168" s="879"/>
      <c r="G168" s="879"/>
      <c r="H168" s="879"/>
      <c r="I168" s="879"/>
      <c r="J168" s="879"/>
      <c r="K168" s="879"/>
      <c r="L168" s="879"/>
      <c r="M168" s="879"/>
      <c r="N168" s="879"/>
      <c r="O168" s="879"/>
      <c r="P168" s="879"/>
      <c r="Q168" s="879"/>
      <c r="R168" s="879"/>
      <c r="S168" s="879"/>
      <c r="T168" s="879"/>
      <c r="U168" s="881"/>
    </row>
    <row r="169" spans="1:21" s="883" customFormat="1" ht="19.5" customHeight="1">
      <c r="A169" s="890"/>
      <c r="B169" s="3507" t="str">
        <f>E4</f>
        <v/>
      </c>
      <c r="C169" s="3506"/>
      <c r="D169" s="882" t="s">
        <v>721</v>
      </c>
      <c r="E169" s="3507" t="str">
        <f>IF(ISBLANK(E135),"",E41)</f>
        <v/>
      </c>
      <c r="F169" s="3506"/>
      <c r="G169" s="882" t="s">
        <v>721</v>
      </c>
      <c r="H169" s="3507" t="str">
        <f>IF(ISBLANK(E135),"",O163)</f>
        <v/>
      </c>
      <c r="I169" s="3506"/>
      <c r="J169" s="882" t="s">
        <v>102</v>
      </c>
      <c r="K169" s="3511" t="str">
        <f>IF(ISBLANK(O163),"",MAX(4,(B169/E169/H169)))</f>
        <v/>
      </c>
      <c r="L169" s="3512"/>
      <c r="M169" s="879" t="s">
        <v>874</v>
      </c>
      <c r="N169" s="879"/>
      <c r="O169" s="879"/>
      <c r="P169" s="879"/>
      <c r="Q169" s="879"/>
      <c r="R169" s="879"/>
      <c r="S169" s="879"/>
      <c r="T169" s="879"/>
      <c r="U169" s="881"/>
    </row>
    <row r="170" spans="1:21" s="883" customFormat="1" ht="6" customHeight="1">
      <c r="A170" s="890"/>
      <c r="B170" s="879"/>
      <c r="C170" s="879"/>
      <c r="D170" s="879"/>
      <c r="E170" s="879"/>
      <c r="F170" s="879"/>
      <c r="G170" s="879"/>
      <c r="H170" s="879"/>
      <c r="I170" s="879"/>
      <c r="J170" s="879"/>
      <c r="K170" s="879"/>
      <c r="L170" s="879"/>
      <c r="M170" s="879"/>
      <c r="N170" s="879"/>
      <c r="O170" s="879"/>
      <c r="P170" s="879"/>
      <c r="Q170" s="879"/>
      <c r="R170" s="879"/>
      <c r="S170" s="879"/>
      <c r="T170" s="879"/>
      <c r="U170" s="881"/>
    </row>
    <row r="171" spans="1:21" s="883" customFormat="1" ht="19.5" customHeight="1">
      <c r="A171" s="890" t="s">
        <v>7</v>
      </c>
      <c r="B171" s="879" t="s">
        <v>1340</v>
      </c>
      <c r="C171" s="879"/>
      <c r="D171" s="879"/>
      <c r="E171" s="879"/>
      <c r="F171" s="879"/>
      <c r="G171" s="879"/>
      <c r="H171" s="879"/>
      <c r="I171" s="3536">
        <v>1440</v>
      </c>
      <c r="J171" s="3536"/>
      <c r="K171" s="882" t="s">
        <v>721</v>
      </c>
      <c r="L171" s="3537" t="str">
        <f>K169</f>
        <v/>
      </c>
      <c r="M171" s="3538"/>
      <c r="N171" s="882" t="s">
        <v>102</v>
      </c>
      <c r="O171" s="3539" t="str">
        <f>IF(ISBLANK(O163),"",I171/L171)</f>
        <v/>
      </c>
      <c r="P171" s="3540"/>
      <c r="Q171" s="879" t="s">
        <v>742</v>
      </c>
      <c r="R171" s="879"/>
      <c r="S171" s="879"/>
      <c r="T171" s="879"/>
      <c r="U171" s="881"/>
    </row>
    <row r="172" spans="1:21" s="883" customFormat="1" ht="6" customHeight="1">
      <c r="A172" s="890"/>
      <c r="B172" s="879"/>
      <c r="C172" s="879"/>
      <c r="D172" s="879"/>
      <c r="E172" s="879"/>
      <c r="F172" s="879"/>
      <c r="G172" s="879"/>
      <c r="H172" s="879"/>
      <c r="I172" s="879"/>
      <c r="J172" s="879"/>
      <c r="K172" s="879"/>
      <c r="L172" s="879"/>
      <c r="M172" s="879"/>
      <c r="N172" s="879"/>
      <c r="O172" s="879"/>
      <c r="P172" s="879"/>
      <c r="Q172" s="879"/>
      <c r="R172" s="879"/>
      <c r="S172" s="879"/>
      <c r="T172" s="879"/>
      <c r="U172" s="881"/>
    </row>
    <row r="173" spans="1:21" s="883" customFormat="1" ht="19.5" customHeight="1">
      <c r="A173" s="890" t="s">
        <v>8</v>
      </c>
      <c r="B173" s="879" t="s">
        <v>886</v>
      </c>
      <c r="C173" s="879"/>
      <c r="D173" s="879"/>
      <c r="E173" s="879"/>
      <c r="F173" s="879"/>
      <c r="G173" s="879"/>
      <c r="H173" s="879"/>
      <c r="I173" s="3505" t="str">
        <f>O171</f>
        <v/>
      </c>
      <c r="J173" s="3506"/>
      <c r="K173" s="882" t="s">
        <v>143</v>
      </c>
      <c r="L173" s="3505" t="str">
        <f>R165</f>
        <v/>
      </c>
      <c r="M173" s="3506"/>
      <c r="N173" s="882" t="s">
        <v>102</v>
      </c>
      <c r="O173" s="3505" t="str">
        <f>IF(ISBLANK(O163),"",I173-L173)</f>
        <v/>
      </c>
      <c r="P173" s="3506"/>
      <c r="Q173" s="879" t="s">
        <v>742</v>
      </c>
      <c r="R173" s="879"/>
      <c r="S173" s="879"/>
      <c r="T173" s="879"/>
      <c r="U173" s="881"/>
    </row>
    <row r="174" spans="1:21" s="883" customFormat="1" ht="6" customHeight="1">
      <c r="A174" s="890"/>
      <c r="B174" s="879"/>
      <c r="C174" s="879"/>
      <c r="D174" s="879"/>
      <c r="E174" s="879"/>
      <c r="F174" s="879"/>
      <c r="G174" s="879"/>
      <c r="H174" s="879"/>
      <c r="I174" s="879"/>
      <c r="J174" s="879"/>
      <c r="K174" s="879"/>
      <c r="L174" s="879"/>
      <c r="M174" s="879"/>
      <c r="N174" s="879"/>
      <c r="O174" s="879"/>
      <c r="P174" s="879"/>
      <c r="Q174" s="879"/>
      <c r="R174" s="879"/>
      <c r="S174" s="879"/>
      <c r="T174" s="879"/>
      <c r="U174" s="881"/>
    </row>
    <row r="175" spans="1:21" s="883" customFormat="1" ht="19.5" customHeight="1">
      <c r="A175" s="890" t="s">
        <v>831</v>
      </c>
      <c r="B175" s="879" t="s">
        <v>877</v>
      </c>
      <c r="C175" s="879"/>
      <c r="D175" s="879"/>
      <c r="E175" s="879"/>
      <c r="F175" s="879"/>
      <c r="G175" s="879"/>
      <c r="H175" s="879"/>
      <c r="I175" s="879"/>
      <c r="J175" s="879"/>
      <c r="K175" s="3507" t="str">
        <f>Q47</f>
        <v/>
      </c>
      <c r="L175" s="3506"/>
      <c r="M175" s="3546" t="s">
        <v>1398</v>
      </c>
      <c r="N175" s="3547"/>
      <c r="O175" s="3507" t="str">
        <f>IF(ISBLANK(E135),"",K175*N175)</f>
        <v/>
      </c>
      <c r="P175" s="3506"/>
      <c r="Q175" s="887" t="s">
        <v>1087</v>
      </c>
      <c r="R175" s="879"/>
      <c r="S175" s="879"/>
      <c r="T175" s="879"/>
      <c r="U175" s="881"/>
    </row>
    <row r="176" spans="1:21" s="883" customFormat="1" ht="6" customHeight="1">
      <c r="A176" s="890"/>
      <c r="B176" s="879"/>
      <c r="C176" s="879"/>
      <c r="D176" s="879"/>
      <c r="E176" s="879"/>
      <c r="F176" s="879"/>
      <c r="G176" s="879"/>
      <c r="H176" s="879"/>
      <c r="I176" s="879"/>
      <c r="J176" s="879"/>
      <c r="K176" s="879"/>
      <c r="L176" s="879"/>
      <c r="M176" s="879"/>
      <c r="N176" s="879"/>
      <c r="O176" s="879"/>
      <c r="P176" s="879"/>
      <c r="Q176" s="879"/>
      <c r="R176" s="879"/>
      <c r="S176" s="879"/>
      <c r="T176" s="879"/>
      <c r="U176" s="881"/>
    </row>
    <row r="177" spans="1:21" s="883" customFormat="1" ht="15" customHeight="1">
      <c r="A177" s="890" t="s">
        <v>832</v>
      </c>
      <c r="B177" s="879" t="s">
        <v>887</v>
      </c>
      <c r="C177" s="879"/>
      <c r="D177" s="879"/>
      <c r="E177" s="879"/>
      <c r="F177" s="879"/>
      <c r="G177" s="879"/>
      <c r="H177" s="879"/>
      <c r="I177" s="879"/>
      <c r="J177" s="879"/>
      <c r="K177" s="879"/>
      <c r="L177" s="879"/>
      <c r="M177" s="879"/>
      <c r="N177" s="879"/>
      <c r="O177" s="879"/>
      <c r="P177" s="879"/>
      <c r="Q177" s="879"/>
      <c r="R177" s="879"/>
      <c r="S177" s="879"/>
      <c r="T177" s="879"/>
      <c r="U177" s="881"/>
    </row>
    <row r="178" spans="1:21" s="883" customFormat="1" ht="6" customHeight="1">
      <c r="A178" s="890"/>
      <c r="B178" s="879"/>
      <c r="C178" s="879"/>
      <c r="D178" s="879"/>
      <c r="E178" s="879"/>
      <c r="F178" s="879"/>
      <c r="G178" s="879"/>
      <c r="H178" s="879"/>
      <c r="I178" s="879"/>
      <c r="J178" s="879"/>
      <c r="K178" s="879"/>
      <c r="L178" s="879"/>
      <c r="M178" s="879"/>
      <c r="N178" s="879"/>
      <c r="O178" s="879"/>
      <c r="P178" s="879"/>
      <c r="Q178" s="879"/>
      <c r="R178" s="879"/>
      <c r="S178" s="879"/>
      <c r="T178" s="879"/>
      <c r="U178" s="881"/>
    </row>
    <row r="179" spans="1:21" s="883" customFormat="1" ht="19.5" customHeight="1">
      <c r="A179" s="890"/>
      <c r="B179" s="3541" t="str">
        <f>L151</f>
        <v/>
      </c>
      <c r="C179" s="3538"/>
      <c r="D179" s="882" t="s">
        <v>311</v>
      </c>
      <c r="E179" s="3507" t="str">
        <f>O175</f>
        <v/>
      </c>
      <c r="F179" s="3506"/>
      <c r="G179" s="882" t="s">
        <v>102</v>
      </c>
      <c r="H179" s="3541" t="str">
        <f>IF(ISBLANK(E135),"",B179+E179)</f>
        <v/>
      </c>
      <c r="I179" s="3538"/>
      <c r="J179" s="887" t="s">
        <v>867</v>
      </c>
      <c r="K179" s="879"/>
      <c r="L179" s="879"/>
      <c r="M179" s="879"/>
      <c r="N179" s="879"/>
      <c r="O179" s="879"/>
      <c r="P179" s="879"/>
      <c r="Q179" s="879"/>
      <c r="R179" s="879"/>
      <c r="S179" s="879"/>
      <c r="T179" s="879"/>
      <c r="U179" s="881"/>
    </row>
    <row r="180" spans="1:21" s="883" customFormat="1" ht="6" customHeight="1">
      <c r="A180" s="890"/>
      <c r="B180" s="879"/>
      <c r="C180" s="879"/>
      <c r="D180" s="879"/>
      <c r="E180" s="879"/>
      <c r="F180" s="879"/>
      <c r="G180" s="879"/>
      <c r="H180" s="879"/>
      <c r="I180" s="879"/>
      <c r="J180" s="879"/>
      <c r="K180" s="879"/>
      <c r="L180" s="879"/>
      <c r="M180" s="879"/>
      <c r="N180" s="879"/>
      <c r="O180" s="879"/>
      <c r="P180" s="879"/>
      <c r="Q180" s="879"/>
      <c r="R180" s="879"/>
      <c r="S180" s="879"/>
      <c r="T180" s="879"/>
      <c r="U180" s="881"/>
    </row>
    <row r="181" spans="1:21" s="883" customFormat="1" ht="19.5" customHeight="1">
      <c r="A181" s="890" t="s">
        <v>833</v>
      </c>
      <c r="B181" s="879" t="s">
        <v>888</v>
      </c>
      <c r="C181" s="879"/>
      <c r="D181" s="879"/>
      <c r="E181" s="879"/>
      <c r="F181" s="879"/>
      <c r="G181" s="879"/>
      <c r="H181" s="879"/>
      <c r="I181" s="3507" t="str">
        <f>H179</f>
        <v/>
      </c>
      <c r="J181" s="3506"/>
      <c r="K181" s="882" t="s">
        <v>101</v>
      </c>
      <c r="L181" s="3505" t="str">
        <f>R165</f>
        <v/>
      </c>
      <c r="M181" s="3506"/>
      <c r="N181" s="882" t="s">
        <v>102</v>
      </c>
      <c r="O181" s="3511" t="str">
        <f>IF(ISBLANK(E135),"",I181*L181)</f>
        <v/>
      </c>
      <c r="P181" s="3512"/>
      <c r="Q181" s="879" t="s">
        <v>1087</v>
      </c>
      <c r="R181" s="879"/>
      <c r="S181" s="879"/>
      <c r="T181" s="879"/>
      <c r="U181" s="881"/>
    </row>
    <row r="182" spans="1:21" s="883" customFormat="1" ht="6" customHeight="1">
      <c r="A182" s="890"/>
      <c r="B182" s="879"/>
      <c r="C182" s="879"/>
      <c r="D182" s="879"/>
      <c r="E182" s="879"/>
      <c r="F182" s="879"/>
      <c r="G182" s="879"/>
      <c r="H182" s="879"/>
      <c r="I182" s="879"/>
      <c r="J182" s="879"/>
      <c r="K182" s="879"/>
      <c r="L182" s="879"/>
      <c r="M182" s="879"/>
      <c r="N182" s="879"/>
      <c r="O182" s="879"/>
      <c r="P182" s="879"/>
      <c r="Q182" s="879"/>
      <c r="R182" s="879"/>
      <c r="S182" s="879"/>
      <c r="T182" s="879"/>
      <c r="U182" s="881"/>
    </row>
    <row r="183" spans="1:21" s="883" customFormat="1" ht="15" customHeight="1">
      <c r="A183" s="890" t="s">
        <v>1339</v>
      </c>
      <c r="B183" s="879" t="s">
        <v>880</v>
      </c>
      <c r="C183" s="895"/>
      <c r="D183" s="895"/>
      <c r="E183" s="895"/>
      <c r="F183" s="895"/>
      <c r="G183" s="895"/>
      <c r="H183" s="895"/>
      <c r="I183" s="895"/>
      <c r="J183" s="895"/>
      <c r="K183" s="895"/>
      <c r="L183" s="896"/>
      <c r="M183" s="879"/>
      <c r="N183" s="879"/>
      <c r="O183" s="879"/>
      <c r="P183" s="879"/>
      <c r="Q183" s="879"/>
      <c r="R183" s="879"/>
      <c r="S183" s="879"/>
      <c r="T183" s="879"/>
      <c r="U183" s="881"/>
    </row>
    <row r="184" spans="1:21" s="883" customFormat="1" ht="6" customHeight="1">
      <c r="A184" s="890"/>
      <c r="B184" s="879"/>
      <c r="C184" s="879"/>
      <c r="D184" s="879"/>
      <c r="E184" s="879"/>
      <c r="F184" s="879"/>
      <c r="G184" s="879"/>
      <c r="H184" s="879"/>
      <c r="I184" s="879"/>
      <c r="J184" s="879"/>
      <c r="K184" s="879"/>
      <c r="L184" s="879"/>
      <c r="M184" s="879"/>
      <c r="N184" s="879"/>
      <c r="O184" s="879"/>
      <c r="P184" s="879"/>
      <c r="Q184" s="879"/>
      <c r="R184" s="879"/>
      <c r="S184" s="879"/>
      <c r="T184" s="879"/>
      <c r="U184" s="881"/>
    </row>
    <row r="185" spans="1:21" s="883" customFormat="1" ht="19.5" customHeight="1">
      <c r="A185" s="890"/>
      <c r="B185" s="3505" t="str">
        <f>IF(ISBLANK(E135),"",E41)</f>
        <v/>
      </c>
      <c r="C185" s="3513"/>
      <c r="D185" s="896" t="s">
        <v>101</v>
      </c>
      <c r="E185" s="3505" t="str">
        <f>K169</f>
        <v/>
      </c>
      <c r="F185" s="3513"/>
      <c r="G185" s="896" t="s">
        <v>101</v>
      </c>
      <c r="H185" s="3505" t="str">
        <f>R165</f>
        <v/>
      </c>
      <c r="I185" s="3513"/>
      <c r="J185" s="896" t="s">
        <v>102</v>
      </c>
      <c r="K185" s="3505" t="str">
        <f>IF(ISBLANK(O163),"",B185*E185*H185)</f>
        <v/>
      </c>
      <c r="L185" s="3513"/>
      <c r="M185" s="895" t="s">
        <v>742</v>
      </c>
      <c r="N185" s="879"/>
      <c r="O185" s="879"/>
      <c r="P185" s="879"/>
      <c r="Q185" s="879"/>
      <c r="R185" s="879"/>
      <c r="S185" s="879"/>
      <c r="T185" s="879"/>
      <c r="U185" s="881"/>
    </row>
    <row r="186" spans="1:21" ht="6" customHeight="1">
      <c r="A186" s="657"/>
      <c r="B186" s="658"/>
      <c r="C186" s="658"/>
      <c r="D186" s="658"/>
      <c r="E186" s="658"/>
      <c r="F186" s="658"/>
      <c r="G186" s="658"/>
      <c r="H186" s="658"/>
      <c r="I186" s="658"/>
      <c r="J186" s="658"/>
      <c r="K186" s="658"/>
      <c r="L186" s="658"/>
      <c r="M186" s="658"/>
      <c r="N186" s="658"/>
      <c r="O186" s="658"/>
      <c r="P186" s="658"/>
      <c r="Q186" s="658"/>
      <c r="R186" s="658"/>
      <c r="S186" s="658"/>
      <c r="T186" s="658"/>
      <c r="U186" s="659"/>
    </row>
    <row r="187" spans="1:21" ht="15" customHeight="1">
      <c r="A187" s="3508" t="s">
        <v>889</v>
      </c>
      <c r="B187" s="3509"/>
      <c r="C187" s="3509"/>
      <c r="D187" s="3509"/>
      <c r="E187" s="3509"/>
      <c r="F187" s="3509"/>
      <c r="G187" s="3509"/>
      <c r="H187" s="3509"/>
      <c r="I187" s="3509"/>
      <c r="J187" s="3509"/>
      <c r="K187" s="3509"/>
      <c r="L187" s="3509"/>
      <c r="M187" s="3509"/>
      <c r="N187" s="3509"/>
      <c r="O187" s="3509"/>
      <c r="P187" s="3509"/>
      <c r="Q187" s="3509"/>
      <c r="R187" s="3509"/>
      <c r="S187" s="3509"/>
      <c r="T187" s="3509"/>
      <c r="U187" s="3510"/>
    </row>
    <row r="188" spans="1:21" ht="6" customHeight="1">
      <c r="A188" s="657"/>
      <c r="B188" s="658"/>
      <c r="C188" s="658"/>
      <c r="D188" s="658"/>
      <c r="E188" s="658"/>
      <c r="F188" s="658"/>
      <c r="G188" s="658"/>
      <c r="H188" s="658"/>
      <c r="I188" s="658"/>
      <c r="J188" s="658"/>
      <c r="K188" s="658"/>
      <c r="L188" s="658"/>
      <c r="M188" s="658"/>
      <c r="N188" s="658"/>
      <c r="O188" s="658"/>
      <c r="P188" s="658"/>
      <c r="Q188" s="658"/>
      <c r="R188" s="658"/>
      <c r="S188" s="658"/>
      <c r="T188" s="658"/>
      <c r="U188" s="659"/>
    </row>
    <row r="189" spans="1:21" s="883" customFormat="1" ht="19.5" customHeight="1">
      <c r="A189" s="890" t="s">
        <v>147</v>
      </c>
      <c r="B189" s="879" t="s">
        <v>856</v>
      </c>
      <c r="C189" s="879"/>
      <c r="D189" s="879"/>
      <c r="E189" s="3544"/>
      <c r="F189" s="3545"/>
      <c r="G189" s="879" t="s">
        <v>92</v>
      </c>
      <c r="H189" s="879"/>
      <c r="I189" s="879"/>
      <c r="J189" s="879"/>
      <c r="K189" s="879"/>
      <c r="L189" s="879"/>
      <c r="M189" s="879"/>
      <c r="N189" s="879"/>
      <c r="O189" s="879"/>
      <c r="P189" s="879"/>
      <c r="Q189" s="879"/>
      <c r="R189" s="879"/>
      <c r="S189" s="879"/>
      <c r="T189" s="879"/>
      <c r="U189" s="881"/>
    </row>
    <row r="190" spans="1:21" s="883" customFormat="1" ht="6" customHeight="1">
      <c r="A190" s="890"/>
      <c r="B190" s="879"/>
      <c r="C190" s="879"/>
      <c r="D190" s="879"/>
      <c r="E190" s="879"/>
      <c r="F190" s="879"/>
      <c r="G190" s="879"/>
      <c r="H190" s="879"/>
      <c r="I190" s="879"/>
      <c r="J190" s="879"/>
      <c r="K190" s="879"/>
      <c r="L190" s="879"/>
      <c r="M190" s="879"/>
      <c r="N190" s="879"/>
      <c r="O190" s="879"/>
      <c r="P190" s="879"/>
      <c r="Q190" s="879"/>
      <c r="R190" s="879"/>
      <c r="S190" s="879"/>
      <c r="T190" s="879"/>
      <c r="U190" s="881"/>
    </row>
    <row r="191" spans="1:21" s="883" customFormat="1" ht="19.5" customHeight="1">
      <c r="A191" s="890" t="s">
        <v>631</v>
      </c>
      <c r="B191" s="879" t="s">
        <v>857</v>
      </c>
      <c r="C191" s="879"/>
      <c r="D191" s="879"/>
      <c r="E191" s="879"/>
      <c r="F191" s="3544"/>
      <c r="G191" s="3545"/>
      <c r="H191" s="879" t="s">
        <v>92</v>
      </c>
      <c r="I191" s="879" t="s">
        <v>858</v>
      </c>
      <c r="J191" s="879"/>
      <c r="K191" s="879"/>
      <c r="L191" s="879"/>
      <c r="M191" s="3548"/>
      <c r="N191" s="3549"/>
      <c r="O191" s="879" t="s">
        <v>640</v>
      </c>
      <c r="P191" s="879"/>
      <c r="Q191" s="879"/>
      <c r="R191" s="879"/>
      <c r="S191" s="879"/>
      <c r="T191" s="879"/>
      <c r="U191" s="881"/>
    </row>
    <row r="192" spans="1:21" s="883" customFormat="1" ht="6" customHeight="1">
      <c r="A192" s="890"/>
      <c r="B192" s="879"/>
      <c r="C192" s="879"/>
      <c r="D192" s="879"/>
      <c r="E192" s="879"/>
      <c r="F192" s="879"/>
      <c r="G192" s="879"/>
      <c r="H192" s="879"/>
      <c r="I192" s="879"/>
      <c r="J192" s="879"/>
      <c r="K192" s="879"/>
      <c r="L192" s="879"/>
      <c r="M192" s="879"/>
      <c r="N192" s="879"/>
      <c r="O192" s="879"/>
      <c r="P192" s="879"/>
      <c r="Q192" s="879"/>
      <c r="R192" s="879"/>
      <c r="S192" s="879"/>
      <c r="T192" s="879"/>
      <c r="U192" s="881"/>
    </row>
    <row r="193" spans="1:21" s="883" customFormat="1" ht="19.5" customHeight="1">
      <c r="A193" s="890"/>
      <c r="B193" s="879" t="s">
        <v>859</v>
      </c>
      <c r="C193" s="897"/>
      <c r="D193" s="897"/>
      <c r="E193" s="897"/>
      <c r="F193" s="897"/>
      <c r="G193" s="898"/>
      <c r="H193" s="898"/>
      <c r="I193" s="897"/>
      <c r="J193" s="897"/>
      <c r="K193" s="897"/>
      <c r="L193" s="879"/>
      <c r="M193" s="3541" t="str">
        <f>IF(ISBLANK(E189),"",F191)</f>
        <v/>
      </c>
      <c r="N193" s="3538"/>
      <c r="O193" s="888" t="s">
        <v>101</v>
      </c>
      <c r="P193" s="3544"/>
      <c r="Q193" s="3545"/>
      <c r="R193" s="888" t="s">
        <v>102</v>
      </c>
      <c r="S193" s="3541" t="str">
        <f>IF(ISBLANK(E189),"",M193*P193)</f>
        <v/>
      </c>
      <c r="T193" s="3538"/>
      <c r="U193" s="881" t="s">
        <v>827</v>
      </c>
    </row>
    <row r="194" spans="1:21" s="883" customFormat="1" ht="6" customHeight="1">
      <c r="A194" s="890"/>
      <c r="B194" s="879"/>
      <c r="C194" s="879"/>
      <c r="D194" s="879"/>
      <c r="E194" s="879"/>
      <c r="F194" s="879"/>
      <c r="G194" s="879"/>
      <c r="H194" s="879"/>
      <c r="I194" s="879"/>
      <c r="J194" s="879"/>
      <c r="K194" s="879"/>
      <c r="L194" s="879"/>
      <c r="M194" s="879"/>
      <c r="N194" s="879"/>
      <c r="O194" s="879"/>
      <c r="P194" s="879"/>
      <c r="Q194" s="879"/>
      <c r="R194" s="879"/>
      <c r="S194" s="879"/>
      <c r="T194" s="879"/>
      <c r="U194" s="881"/>
    </row>
    <row r="195" spans="1:21" s="883" customFormat="1" ht="19.5" customHeight="1">
      <c r="A195" s="890" t="s">
        <v>149</v>
      </c>
      <c r="B195" s="879" t="s">
        <v>860</v>
      </c>
      <c r="C195" s="879"/>
      <c r="D195" s="879"/>
      <c r="E195" s="879"/>
      <c r="F195" s="3544"/>
      <c r="G195" s="3545"/>
      <c r="H195" s="879" t="s">
        <v>92</v>
      </c>
      <c r="I195" s="879" t="s">
        <v>861</v>
      </c>
      <c r="J195" s="879"/>
      <c r="K195" s="879"/>
      <c r="L195" s="879"/>
      <c r="M195" s="3548"/>
      <c r="N195" s="3549"/>
      <c r="O195" s="879" t="s">
        <v>640</v>
      </c>
      <c r="P195" s="879"/>
      <c r="Q195" s="879"/>
      <c r="R195" s="879"/>
      <c r="S195" s="879"/>
      <c r="T195" s="879"/>
      <c r="U195" s="881"/>
    </row>
    <row r="196" spans="1:21" s="883" customFormat="1" ht="6" customHeight="1">
      <c r="A196" s="890"/>
      <c r="B196" s="879"/>
      <c r="C196" s="879"/>
      <c r="D196" s="879"/>
      <c r="E196" s="879"/>
      <c r="F196" s="879"/>
      <c r="G196" s="879"/>
      <c r="H196" s="879"/>
      <c r="I196" s="879"/>
      <c r="J196" s="879"/>
      <c r="K196" s="879"/>
      <c r="L196" s="879"/>
      <c r="M196" s="879"/>
      <c r="N196" s="879"/>
      <c r="O196" s="879"/>
      <c r="P196" s="879"/>
      <c r="Q196" s="879"/>
      <c r="R196" s="879"/>
      <c r="S196" s="879"/>
      <c r="T196" s="879"/>
      <c r="U196" s="881"/>
    </row>
    <row r="197" spans="1:21" s="883" customFormat="1" ht="19.5" customHeight="1">
      <c r="A197" s="890"/>
      <c r="B197" s="879" t="s">
        <v>862</v>
      </c>
      <c r="C197" s="897"/>
      <c r="D197" s="897"/>
      <c r="E197" s="897"/>
      <c r="F197" s="897"/>
      <c r="G197" s="898"/>
      <c r="H197" s="898"/>
      <c r="I197" s="897"/>
      <c r="J197" s="897"/>
      <c r="K197" s="897"/>
      <c r="L197" s="879"/>
      <c r="M197" s="3541" t="str">
        <f>IF(ISBLANK(E189),"",F195)</f>
        <v/>
      </c>
      <c r="N197" s="3538"/>
      <c r="O197" s="888" t="s">
        <v>101</v>
      </c>
      <c r="P197" s="3544"/>
      <c r="Q197" s="3545"/>
      <c r="R197" s="888" t="s">
        <v>102</v>
      </c>
      <c r="S197" s="3541" t="str">
        <f>IF(ISBLANK(E189),"",M197*P197)</f>
        <v/>
      </c>
      <c r="T197" s="3538"/>
      <c r="U197" s="881" t="s">
        <v>827</v>
      </c>
    </row>
    <row r="198" spans="1:21" s="883" customFormat="1" ht="6" customHeight="1">
      <c r="A198" s="890"/>
      <c r="B198" s="879"/>
      <c r="C198" s="879"/>
      <c r="D198" s="879"/>
      <c r="E198" s="879"/>
      <c r="F198" s="879"/>
      <c r="G198" s="879"/>
      <c r="H198" s="879"/>
      <c r="I198" s="879"/>
      <c r="J198" s="879"/>
      <c r="K198" s="879"/>
      <c r="L198" s="879"/>
      <c r="M198" s="879"/>
      <c r="N198" s="879"/>
      <c r="O198" s="879"/>
      <c r="P198" s="879"/>
      <c r="Q198" s="879"/>
      <c r="R198" s="879"/>
      <c r="S198" s="879"/>
      <c r="T198" s="879"/>
      <c r="U198" s="881"/>
    </row>
    <row r="199" spans="1:21" s="883" customFormat="1" ht="19.5" customHeight="1">
      <c r="A199" s="890" t="s">
        <v>588</v>
      </c>
      <c r="B199" s="879" t="s">
        <v>890</v>
      </c>
      <c r="C199" s="879"/>
      <c r="D199" s="879"/>
      <c r="E199" s="879"/>
      <c r="F199" s="879"/>
      <c r="G199" s="879"/>
      <c r="H199" s="879"/>
      <c r="I199" s="879"/>
      <c r="J199" s="879"/>
      <c r="K199" s="879"/>
      <c r="L199" s="3507" t="str">
        <f>S193</f>
        <v/>
      </c>
      <c r="M199" s="3506"/>
      <c r="N199" s="882" t="s">
        <v>311</v>
      </c>
      <c r="O199" s="3507" t="str">
        <f>S197</f>
        <v/>
      </c>
      <c r="P199" s="3506"/>
      <c r="Q199" s="882" t="s">
        <v>102</v>
      </c>
      <c r="R199" s="3507" t="str">
        <f>IF(ISBLANK(E189),"",L199+O199)</f>
        <v/>
      </c>
      <c r="S199" s="3506"/>
      <c r="T199" s="887" t="s">
        <v>827</v>
      </c>
      <c r="U199" s="881"/>
    </row>
    <row r="200" spans="1:21" s="883" customFormat="1" ht="6" customHeight="1">
      <c r="A200" s="890"/>
      <c r="B200" s="879"/>
      <c r="C200" s="879"/>
      <c r="D200" s="879"/>
      <c r="E200" s="879"/>
      <c r="F200" s="879"/>
      <c r="G200" s="879"/>
      <c r="H200" s="879"/>
      <c r="I200" s="879"/>
      <c r="J200" s="879"/>
      <c r="K200" s="879"/>
      <c r="L200" s="879"/>
      <c r="M200" s="879"/>
      <c r="N200" s="879"/>
      <c r="O200" s="879"/>
      <c r="P200" s="879"/>
      <c r="Q200" s="879"/>
      <c r="R200" s="879"/>
      <c r="S200" s="879"/>
      <c r="T200" s="879"/>
      <c r="U200" s="881"/>
    </row>
    <row r="201" spans="1:21" s="883" customFormat="1" ht="19.5" customHeight="1">
      <c r="A201" s="890" t="s">
        <v>589</v>
      </c>
      <c r="B201" s="879" t="s">
        <v>891</v>
      </c>
      <c r="C201" s="879"/>
      <c r="D201" s="879"/>
      <c r="E201" s="879"/>
      <c r="F201" s="879"/>
      <c r="G201" s="879"/>
      <c r="H201" s="879"/>
      <c r="I201" s="879"/>
      <c r="J201" s="879"/>
      <c r="K201" s="879"/>
      <c r="L201" s="879"/>
      <c r="M201" s="3541" t="str">
        <f>M45</f>
        <v/>
      </c>
      <c r="N201" s="3538"/>
      <c r="O201" s="888" t="s">
        <v>721</v>
      </c>
      <c r="P201" s="3541" t="str">
        <f>IF(ISBLANK(E189),"",E189)</f>
        <v/>
      </c>
      <c r="Q201" s="3538"/>
      <c r="R201" s="888" t="s">
        <v>102</v>
      </c>
      <c r="S201" s="3541" t="str">
        <f>IF(ISBLANK(E189),"",M201/P201)</f>
        <v/>
      </c>
      <c r="T201" s="3538"/>
      <c r="U201" s="881" t="s">
        <v>865</v>
      </c>
    </row>
    <row r="202" spans="1:21" s="883" customFormat="1" ht="6" customHeight="1">
      <c r="A202" s="890"/>
      <c r="B202" s="879"/>
      <c r="C202" s="879"/>
      <c r="D202" s="879"/>
      <c r="E202" s="879"/>
      <c r="F202" s="879"/>
      <c r="G202" s="879"/>
      <c r="H202" s="879"/>
      <c r="I202" s="879"/>
      <c r="J202" s="879"/>
      <c r="K202" s="879"/>
      <c r="L202" s="879"/>
      <c r="M202" s="879"/>
      <c r="N202" s="879"/>
      <c r="O202" s="879"/>
      <c r="P202" s="879"/>
      <c r="Q202" s="879"/>
      <c r="R202" s="879"/>
      <c r="S202" s="879"/>
      <c r="T202" s="879"/>
      <c r="U202" s="881"/>
    </row>
    <row r="203" spans="1:21" s="883" customFormat="1" ht="15" customHeight="1">
      <c r="A203" s="1108" t="s">
        <v>641</v>
      </c>
      <c r="B203" s="879" t="s">
        <v>892</v>
      </c>
      <c r="C203" s="879"/>
      <c r="D203" s="879"/>
      <c r="E203" s="879"/>
      <c r="F203" s="879"/>
      <c r="G203" s="879"/>
      <c r="H203" s="879"/>
      <c r="I203" s="879"/>
      <c r="J203" s="879"/>
      <c r="K203" s="879"/>
      <c r="L203" s="879"/>
      <c r="M203" s="879"/>
      <c r="N203" s="879"/>
      <c r="O203" s="879"/>
      <c r="P203" s="879"/>
      <c r="Q203" s="879"/>
      <c r="R203" s="879"/>
      <c r="S203" s="879"/>
      <c r="T203" s="879"/>
      <c r="U203" s="881"/>
    </row>
    <row r="204" spans="1:21" s="883" customFormat="1" ht="6" customHeight="1">
      <c r="A204" s="890"/>
      <c r="B204" s="879"/>
      <c r="C204" s="879"/>
      <c r="D204" s="879"/>
      <c r="E204" s="879"/>
      <c r="F204" s="879"/>
      <c r="G204" s="879"/>
      <c r="H204" s="879"/>
      <c r="I204" s="879"/>
      <c r="J204" s="879"/>
      <c r="K204" s="879"/>
      <c r="L204" s="879"/>
      <c r="M204" s="879"/>
      <c r="N204" s="879"/>
      <c r="O204" s="879"/>
      <c r="P204" s="879"/>
      <c r="Q204" s="879"/>
      <c r="R204" s="879"/>
      <c r="S204" s="879"/>
      <c r="T204" s="879"/>
      <c r="U204" s="881"/>
    </row>
    <row r="205" spans="1:21" s="883" customFormat="1" ht="19.5" customHeight="1">
      <c r="A205" s="890"/>
      <c r="B205" s="891" t="s">
        <v>848</v>
      </c>
      <c r="C205" s="3507" t="str">
        <f>S201</f>
        <v/>
      </c>
      <c r="D205" s="3506"/>
      <c r="E205" s="888" t="s">
        <v>101</v>
      </c>
      <c r="F205" s="3507" t="str">
        <f>IF(ISBLANK(E189),"",E22)</f>
        <v/>
      </c>
      <c r="G205" s="3506"/>
      <c r="H205" s="887" t="s">
        <v>849</v>
      </c>
      <c r="I205" s="882" t="s">
        <v>721</v>
      </c>
      <c r="J205" s="892">
        <v>60</v>
      </c>
      <c r="K205" s="882" t="s">
        <v>102</v>
      </c>
      <c r="L205" s="3507" t="str">
        <f>IF(ISBLANK(E189),"",(C205*F205)/60)</f>
        <v/>
      </c>
      <c r="M205" s="3506"/>
      <c r="N205" s="887" t="s">
        <v>867</v>
      </c>
      <c r="O205" s="879"/>
      <c r="P205" s="879"/>
      <c r="Q205" s="879"/>
      <c r="R205" s="879"/>
      <c r="S205" s="879"/>
      <c r="T205" s="879"/>
      <c r="U205" s="881"/>
    </row>
    <row r="206" spans="1:21" s="883" customFormat="1" ht="6" customHeight="1">
      <c r="A206" s="890"/>
      <c r="B206" s="879"/>
      <c r="C206" s="879"/>
      <c r="D206" s="879"/>
      <c r="E206" s="879"/>
      <c r="F206" s="879"/>
      <c r="G206" s="879"/>
      <c r="H206" s="879"/>
      <c r="I206" s="879"/>
      <c r="J206" s="879"/>
      <c r="K206" s="879"/>
      <c r="L206" s="879"/>
      <c r="M206" s="879"/>
      <c r="N206" s="879"/>
      <c r="O206" s="879"/>
      <c r="P206" s="879"/>
      <c r="Q206" s="879"/>
      <c r="R206" s="879"/>
      <c r="S206" s="879"/>
      <c r="T206" s="879"/>
      <c r="U206" s="881"/>
    </row>
    <row r="207" spans="1:21" s="883" customFormat="1" ht="19.5" customHeight="1">
      <c r="A207" s="890" t="s">
        <v>642</v>
      </c>
      <c r="B207" s="879" t="s">
        <v>868</v>
      </c>
      <c r="C207" s="879"/>
      <c r="D207" s="879"/>
      <c r="E207" s="879"/>
      <c r="F207" s="879"/>
      <c r="G207" s="879"/>
      <c r="H207" s="879"/>
      <c r="I207" s="879"/>
      <c r="J207" s="879"/>
      <c r="K207" s="879"/>
      <c r="L207" s="879"/>
      <c r="M207" s="3507" t="str">
        <f>M45</f>
        <v/>
      </c>
      <c r="N207" s="3506"/>
      <c r="O207" s="882" t="s">
        <v>101</v>
      </c>
      <c r="P207" s="3507" t="str">
        <f>IF(ISBLANK(E189),"",L20)</f>
        <v/>
      </c>
      <c r="Q207" s="3506"/>
      <c r="R207" s="882" t="s">
        <v>102</v>
      </c>
      <c r="S207" s="3507" t="str">
        <f>IF(ISBLANK(E189),"",M207*P207)</f>
        <v/>
      </c>
      <c r="T207" s="3506"/>
      <c r="U207" s="881" t="s">
        <v>827</v>
      </c>
    </row>
    <row r="208" spans="1:21" s="883" customFormat="1" ht="6" customHeight="1">
      <c r="A208" s="890"/>
      <c r="B208" s="879"/>
      <c r="C208" s="879"/>
      <c r="D208" s="879"/>
      <c r="E208" s="879"/>
      <c r="F208" s="879"/>
      <c r="G208" s="879"/>
      <c r="H208" s="879"/>
      <c r="I208" s="879"/>
      <c r="J208" s="879"/>
      <c r="K208" s="879"/>
      <c r="L208" s="879"/>
      <c r="M208" s="879"/>
      <c r="N208" s="879"/>
      <c r="O208" s="879"/>
      <c r="P208" s="879"/>
      <c r="Q208" s="879"/>
      <c r="R208" s="879"/>
      <c r="S208" s="879"/>
      <c r="T208" s="879"/>
      <c r="U208" s="881"/>
    </row>
    <row r="209" spans="1:21" s="883" customFormat="1" ht="15" customHeight="1">
      <c r="A209" s="890" t="s">
        <v>643</v>
      </c>
      <c r="B209" s="879" t="s">
        <v>1364</v>
      </c>
      <c r="C209" s="879"/>
      <c r="D209" s="879"/>
      <c r="E209" s="879"/>
      <c r="F209" s="879"/>
      <c r="G209" s="879"/>
      <c r="H209" s="879"/>
      <c r="I209" s="879"/>
      <c r="J209" s="879"/>
      <c r="K209" s="879"/>
      <c r="L209" s="879"/>
      <c r="M209" s="879"/>
      <c r="N209" s="879"/>
      <c r="O209" s="879"/>
      <c r="P209" s="879"/>
      <c r="Q209" s="879"/>
      <c r="R209" s="879"/>
      <c r="S209" s="879"/>
      <c r="T209" s="879"/>
      <c r="U209" s="881"/>
    </row>
    <row r="210" spans="1:21" s="883" customFormat="1" ht="6" customHeight="1">
      <c r="A210" s="890"/>
      <c r="B210" s="879"/>
      <c r="C210" s="879"/>
      <c r="D210" s="879"/>
      <c r="E210" s="879"/>
      <c r="F210" s="879"/>
      <c r="G210" s="879"/>
      <c r="H210" s="879"/>
      <c r="I210" s="879"/>
      <c r="J210" s="879"/>
      <c r="K210" s="879"/>
      <c r="L210" s="879"/>
      <c r="M210" s="879"/>
      <c r="N210" s="879"/>
      <c r="O210" s="879"/>
      <c r="P210" s="879"/>
      <c r="Q210" s="879"/>
      <c r="R210" s="879"/>
      <c r="S210" s="879"/>
      <c r="T210" s="879"/>
      <c r="U210" s="881"/>
    </row>
    <row r="211" spans="1:21" s="883" customFormat="1" ht="19.5" customHeight="1">
      <c r="A211" s="890"/>
      <c r="B211" s="891" t="s">
        <v>848</v>
      </c>
      <c r="C211" s="3535">
        <v>4</v>
      </c>
      <c r="D211" s="3535"/>
      <c r="E211" s="882" t="s">
        <v>101</v>
      </c>
      <c r="F211" s="3507" t="str">
        <f>S207</f>
        <v/>
      </c>
      <c r="G211" s="3506"/>
      <c r="H211" s="887" t="s">
        <v>849</v>
      </c>
      <c r="I211" s="882" t="s">
        <v>311</v>
      </c>
      <c r="J211" s="3507" t="str">
        <f>R199</f>
        <v/>
      </c>
      <c r="K211" s="3506"/>
      <c r="L211" s="882" t="s">
        <v>102</v>
      </c>
      <c r="M211" s="3507" t="str">
        <f>IF(ISBLANK(E189),"",(4*S207)+R199)</f>
        <v/>
      </c>
      <c r="N211" s="3506"/>
      <c r="O211" s="879" t="s">
        <v>827</v>
      </c>
      <c r="P211" s="879"/>
      <c r="Q211" s="879"/>
      <c r="R211" s="879"/>
      <c r="S211" s="879"/>
      <c r="T211" s="879"/>
      <c r="U211" s="881"/>
    </row>
    <row r="212" spans="1:21" s="883" customFormat="1" ht="6" customHeight="1">
      <c r="A212" s="890"/>
      <c r="B212" s="879"/>
      <c r="C212" s="879"/>
      <c r="D212" s="879"/>
      <c r="E212" s="879"/>
      <c r="F212" s="879"/>
      <c r="G212" s="879"/>
      <c r="H212" s="879"/>
      <c r="I212" s="879"/>
      <c r="J212" s="879"/>
      <c r="K212" s="879"/>
      <c r="L212" s="879"/>
      <c r="M212" s="879"/>
      <c r="N212" s="879"/>
      <c r="O212" s="879"/>
      <c r="P212" s="879"/>
      <c r="Q212" s="879"/>
      <c r="R212" s="879"/>
      <c r="S212" s="879"/>
      <c r="T212" s="879"/>
      <c r="U212" s="881"/>
    </row>
    <row r="213" spans="1:21" s="883" customFormat="1" ht="15" customHeight="1">
      <c r="A213" s="890" t="s">
        <v>644</v>
      </c>
      <c r="B213" s="879" t="s">
        <v>870</v>
      </c>
      <c r="C213" s="879"/>
      <c r="D213" s="879"/>
      <c r="E213" s="879"/>
      <c r="F213" s="879"/>
      <c r="G213" s="879"/>
      <c r="H213" s="879"/>
      <c r="I213" s="879"/>
      <c r="J213" s="879"/>
      <c r="K213" s="879"/>
      <c r="L213" s="879"/>
      <c r="M213" s="879"/>
      <c r="N213" s="879"/>
      <c r="O213" s="879"/>
      <c r="P213" s="879"/>
      <c r="Q213" s="879"/>
      <c r="R213" s="879"/>
      <c r="S213" s="879"/>
      <c r="T213" s="879"/>
      <c r="U213" s="881"/>
    </row>
    <row r="214" spans="1:21" s="883" customFormat="1" ht="6" customHeight="1">
      <c r="A214" s="890"/>
      <c r="B214" s="879"/>
      <c r="C214" s="879"/>
      <c r="D214" s="879"/>
      <c r="E214" s="879"/>
      <c r="F214" s="879"/>
      <c r="G214" s="879"/>
      <c r="H214" s="879"/>
      <c r="I214" s="879"/>
      <c r="J214" s="879"/>
      <c r="K214" s="879"/>
      <c r="L214" s="879"/>
      <c r="M214" s="879"/>
      <c r="N214" s="879"/>
      <c r="O214" s="879"/>
      <c r="P214" s="879"/>
      <c r="Q214" s="879"/>
      <c r="R214" s="879"/>
      <c r="S214" s="879"/>
      <c r="T214" s="879"/>
      <c r="U214" s="881"/>
    </row>
    <row r="215" spans="1:21" s="883" customFormat="1" ht="19.5" customHeight="1">
      <c r="A215" s="890"/>
      <c r="B215" s="3507" t="str">
        <f>M45</f>
        <v/>
      </c>
      <c r="C215" s="3506"/>
      <c r="D215" s="882" t="s">
        <v>101</v>
      </c>
      <c r="E215" s="3507" t="str">
        <f>IF(ISBLANK(E189),"",E10/12)</f>
        <v/>
      </c>
      <c r="F215" s="3506"/>
      <c r="G215" s="882" t="s">
        <v>101</v>
      </c>
      <c r="H215" s="3532" t="str">
        <f>IF(ISBLANK(E189),"",E20/12)</f>
        <v/>
      </c>
      <c r="I215" s="3533"/>
      <c r="J215" s="882" t="s">
        <v>101</v>
      </c>
      <c r="K215" s="3534" t="str">
        <f>IF(ISBLANK(E189),"",E16)</f>
        <v/>
      </c>
      <c r="L215" s="3506"/>
      <c r="M215" s="882" t="s">
        <v>101</v>
      </c>
      <c r="N215" s="3535">
        <v>7.5</v>
      </c>
      <c r="O215" s="3535"/>
      <c r="P215" s="882" t="s">
        <v>102</v>
      </c>
      <c r="Q215" s="3541" t="str">
        <f>IF(ISBLANK(E189),"",B215*E215*H215*K215*N215)</f>
        <v/>
      </c>
      <c r="R215" s="3538"/>
      <c r="S215" s="879" t="s">
        <v>827</v>
      </c>
      <c r="T215" s="879"/>
      <c r="U215" s="881"/>
    </row>
    <row r="216" spans="1:21" s="883" customFormat="1" ht="6" customHeight="1">
      <c r="A216" s="890"/>
      <c r="B216" s="879"/>
      <c r="C216" s="879"/>
      <c r="D216" s="879"/>
      <c r="E216" s="879"/>
      <c r="F216" s="879"/>
      <c r="G216" s="879"/>
      <c r="H216" s="879"/>
      <c r="I216" s="879"/>
      <c r="J216" s="879"/>
      <c r="K216" s="879"/>
      <c r="L216" s="879"/>
      <c r="M216" s="879"/>
      <c r="N216" s="879"/>
      <c r="O216" s="879"/>
      <c r="P216" s="879"/>
      <c r="Q216" s="879"/>
      <c r="R216" s="879"/>
      <c r="S216" s="879"/>
      <c r="T216" s="879"/>
      <c r="U216" s="881"/>
    </row>
    <row r="217" spans="1:21" s="883" customFormat="1" ht="19.5" customHeight="1">
      <c r="A217" s="890" t="s">
        <v>710</v>
      </c>
      <c r="B217" s="879" t="s">
        <v>871</v>
      </c>
      <c r="C217" s="879"/>
      <c r="D217" s="879"/>
      <c r="E217" s="879"/>
      <c r="F217" s="879"/>
      <c r="G217" s="879"/>
      <c r="H217" s="879"/>
      <c r="I217" s="879"/>
      <c r="J217" s="879"/>
      <c r="K217" s="879"/>
      <c r="L217" s="879"/>
      <c r="M217" s="879"/>
      <c r="N217" s="879"/>
      <c r="O217" s="3544"/>
      <c r="P217" s="3545"/>
      <c r="Q217" s="879" t="s">
        <v>827</v>
      </c>
      <c r="R217" s="879"/>
      <c r="S217" s="879"/>
      <c r="T217" s="879"/>
      <c r="U217" s="881"/>
    </row>
    <row r="218" spans="1:21" s="883" customFormat="1" ht="6" customHeight="1">
      <c r="A218" s="890"/>
      <c r="B218" s="879"/>
      <c r="C218" s="879"/>
      <c r="D218" s="879"/>
      <c r="E218" s="879"/>
      <c r="F218" s="879"/>
      <c r="G218" s="879"/>
      <c r="H218" s="879"/>
      <c r="I218" s="879"/>
      <c r="J218" s="879"/>
      <c r="K218" s="879"/>
      <c r="L218" s="879"/>
      <c r="M218" s="879"/>
      <c r="N218" s="879"/>
      <c r="O218" s="879"/>
      <c r="P218" s="879"/>
      <c r="Q218" s="879"/>
      <c r="R218" s="879"/>
      <c r="S218" s="879"/>
      <c r="T218" s="879"/>
      <c r="U218" s="881"/>
    </row>
    <row r="219" spans="1:21" s="883" customFormat="1" ht="19.5" customHeight="1">
      <c r="A219" s="890" t="s">
        <v>711</v>
      </c>
      <c r="B219" s="879" t="s">
        <v>1365</v>
      </c>
      <c r="C219" s="879"/>
      <c r="D219" s="879"/>
      <c r="E219" s="879"/>
      <c r="F219" s="879"/>
      <c r="G219" s="879"/>
      <c r="H219" s="879"/>
      <c r="I219" s="879"/>
      <c r="J219" s="879"/>
      <c r="K219" s="879"/>
      <c r="L219" s="3541" t="str">
        <f>IF(ISBLANK(E189),"",O217)</f>
        <v/>
      </c>
      <c r="M219" s="3538"/>
      <c r="N219" s="888" t="s">
        <v>721</v>
      </c>
      <c r="O219" s="3541" t="str">
        <f>L205</f>
        <v/>
      </c>
      <c r="P219" s="3538"/>
      <c r="Q219" s="888" t="s">
        <v>102</v>
      </c>
      <c r="R219" s="3539" t="str">
        <f>IF(ISBLANK(E189),"",L219/O219)</f>
        <v/>
      </c>
      <c r="S219" s="3540"/>
      <c r="T219" s="879" t="s">
        <v>742</v>
      </c>
      <c r="U219" s="881"/>
    </row>
    <row r="220" spans="1:21" s="883" customFormat="1" ht="6" customHeight="1">
      <c r="A220" s="890"/>
      <c r="B220" s="879"/>
      <c r="C220" s="879"/>
      <c r="D220" s="879"/>
      <c r="E220" s="879"/>
      <c r="F220" s="879"/>
      <c r="G220" s="879"/>
      <c r="H220" s="879"/>
      <c r="I220" s="879"/>
      <c r="J220" s="879"/>
      <c r="K220" s="879"/>
      <c r="L220" s="879"/>
      <c r="M220" s="879"/>
      <c r="N220" s="879"/>
      <c r="O220" s="879"/>
      <c r="P220" s="879"/>
      <c r="Q220" s="879"/>
      <c r="R220" s="879"/>
      <c r="S220" s="879"/>
      <c r="T220" s="879"/>
      <c r="U220" s="881"/>
    </row>
    <row r="221" spans="1:21" s="883" customFormat="1" ht="15" customHeight="1">
      <c r="A221" s="890" t="s">
        <v>712</v>
      </c>
      <c r="B221" s="879" t="s">
        <v>1366</v>
      </c>
      <c r="C221" s="879"/>
      <c r="D221" s="879"/>
      <c r="E221" s="879"/>
      <c r="F221" s="879"/>
      <c r="G221" s="879"/>
      <c r="H221" s="879"/>
      <c r="I221" s="879"/>
      <c r="J221" s="879"/>
      <c r="K221" s="879"/>
      <c r="L221" s="879"/>
      <c r="M221" s="879"/>
      <c r="N221" s="879"/>
      <c r="O221" s="884" t="s">
        <v>899</v>
      </c>
      <c r="P221" s="879"/>
      <c r="Q221" s="879"/>
      <c r="R221" s="879"/>
      <c r="S221" s="879"/>
      <c r="T221" s="879"/>
      <c r="U221" s="881"/>
    </row>
    <row r="222" spans="1:21" s="883" customFormat="1" ht="6" customHeight="1">
      <c r="A222" s="890"/>
      <c r="B222" s="879"/>
      <c r="C222" s="879"/>
      <c r="D222" s="879"/>
      <c r="E222" s="879"/>
      <c r="F222" s="879"/>
      <c r="G222" s="879"/>
      <c r="H222" s="879"/>
      <c r="I222" s="879"/>
      <c r="J222" s="879"/>
      <c r="K222" s="879"/>
      <c r="L222" s="879"/>
      <c r="M222" s="879"/>
      <c r="N222" s="879"/>
      <c r="O222" s="879"/>
      <c r="P222" s="879"/>
      <c r="Q222" s="879"/>
      <c r="R222" s="879"/>
      <c r="S222" s="879"/>
      <c r="T222" s="879"/>
      <c r="U222" s="881"/>
    </row>
    <row r="223" spans="1:21" s="883" customFormat="1" ht="19.5" customHeight="1">
      <c r="A223" s="890"/>
      <c r="B223" s="3507" t="str">
        <f>E4</f>
        <v/>
      </c>
      <c r="C223" s="3506"/>
      <c r="D223" s="882" t="s">
        <v>721</v>
      </c>
      <c r="E223" s="3507" t="str">
        <f>IF(ISBLANK(E189),"",E41)</f>
        <v/>
      </c>
      <c r="F223" s="3506"/>
      <c r="G223" s="882" t="s">
        <v>721</v>
      </c>
      <c r="H223" s="3507" t="str">
        <f>IF(ISBLANK(E189),"",O217)</f>
        <v/>
      </c>
      <c r="I223" s="3506"/>
      <c r="J223" s="882" t="s">
        <v>102</v>
      </c>
      <c r="K223" s="3511" t="str">
        <f>IF(ISBLANK(E189),"",MAX(4,(B223/E223/H223)))</f>
        <v/>
      </c>
      <c r="L223" s="3512"/>
      <c r="M223" s="879" t="s">
        <v>874</v>
      </c>
      <c r="N223" s="879"/>
      <c r="O223" s="879"/>
      <c r="P223" s="879"/>
      <c r="Q223" s="879"/>
      <c r="R223" s="879"/>
      <c r="S223" s="879"/>
      <c r="T223" s="879"/>
      <c r="U223" s="881"/>
    </row>
    <row r="224" spans="1:21" s="883" customFormat="1" ht="6" customHeight="1">
      <c r="A224" s="890"/>
      <c r="B224" s="879"/>
      <c r="C224" s="879"/>
      <c r="D224" s="879"/>
      <c r="E224" s="879"/>
      <c r="F224" s="879"/>
      <c r="G224" s="879"/>
      <c r="H224" s="879"/>
      <c r="I224" s="879"/>
      <c r="J224" s="879"/>
      <c r="K224" s="879"/>
      <c r="L224" s="879"/>
      <c r="M224" s="879"/>
      <c r="N224" s="879"/>
      <c r="O224" s="879"/>
      <c r="P224" s="879"/>
      <c r="Q224" s="879"/>
      <c r="R224" s="879"/>
      <c r="S224" s="879"/>
      <c r="T224" s="879"/>
      <c r="U224" s="881"/>
    </row>
    <row r="225" spans="1:21" s="883" customFormat="1" ht="19.5" customHeight="1">
      <c r="A225" s="890" t="s">
        <v>7</v>
      </c>
      <c r="B225" s="879" t="s">
        <v>1367</v>
      </c>
      <c r="C225" s="879"/>
      <c r="D225" s="879"/>
      <c r="E225" s="879"/>
      <c r="F225" s="879"/>
      <c r="G225" s="879"/>
      <c r="H225" s="879"/>
      <c r="I225" s="3536">
        <v>1440</v>
      </c>
      <c r="J225" s="3536"/>
      <c r="K225" s="882" t="s">
        <v>721</v>
      </c>
      <c r="L225" s="3537" t="str">
        <f>K223</f>
        <v/>
      </c>
      <c r="M225" s="3538"/>
      <c r="N225" s="882" t="s">
        <v>102</v>
      </c>
      <c r="O225" s="3539" t="str">
        <f>IF(ISBLANK(E189),"",I225/L225)</f>
        <v/>
      </c>
      <c r="P225" s="3540"/>
      <c r="Q225" s="879" t="s">
        <v>742</v>
      </c>
      <c r="R225" s="879"/>
      <c r="S225" s="879"/>
      <c r="T225" s="879"/>
      <c r="U225" s="881"/>
    </row>
    <row r="226" spans="1:21" s="883" customFormat="1" ht="6" customHeight="1">
      <c r="A226" s="890"/>
      <c r="B226" s="879"/>
      <c r="C226" s="879"/>
      <c r="D226" s="879"/>
      <c r="E226" s="879"/>
      <c r="F226" s="879"/>
      <c r="G226" s="879"/>
      <c r="H226" s="879"/>
      <c r="I226" s="879"/>
      <c r="J226" s="879"/>
      <c r="K226" s="879"/>
      <c r="L226" s="879"/>
      <c r="M226" s="879"/>
      <c r="N226" s="879"/>
      <c r="O226" s="879"/>
      <c r="P226" s="879"/>
      <c r="Q226" s="879"/>
      <c r="R226" s="879"/>
      <c r="S226" s="879"/>
      <c r="T226" s="879"/>
      <c r="U226" s="881"/>
    </row>
    <row r="227" spans="1:21" s="883" customFormat="1" ht="19.5" customHeight="1">
      <c r="A227" s="890" t="s">
        <v>8</v>
      </c>
      <c r="B227" s="879" t="s">
        <v>1368</v>
      </c>
      <c r="C227" s="879"/>
      <c r="D227" s="879"/>
      <c r="E227" s="879"/>
      <c r="F227" s="879"/>
      <c r="G227" s="879"/>
      <c r="H227" s="879"/>
      <c r="I227" s="3505" t="str">
        <f>O225</f>
        <v/>
      </c>
      <c r="J227" s="3506"/>
      <c r="K227" s="882" t="s">
        <v>143</v>
      </c>
      <c r="L227" s="3505" t="str">
        <f>R219</f>
        <v/>
      </c>
      <c r="M227" s="3506"/>
      <c r="N227" s="882" t="s">
        <v>102</v>
      </c>
      <c r="O227" s="3505" t="str">
        <f>IF(ISBLANK(E189),"",I227-L227)</f>
        <v/>
      </c>
      <c r="P227" s="3506"/>
      <c r="Q227" s="879" t="s">
        <v>742</v>
      </c>
      <c r="R227" s="879"/>
      <c r="S227" s="879"/>
      <c r="T227" s="879"/>
      <c r="U227" s="881"/>
    </row>
    <row r="228" spans="1:21" s="883" customFormat="1" ht="6" customHeight="1">
      <c r="A228" s="890"/>
      <c r="B228" s="879"/>
      <c r="C228" s="879"/>
      <c r="D228" s="879"/>
      <c r="E228" s="879"/>
      <c r="F228" s="879"/>
      <c r="G228" s="879"/>
      <c r="H228" s="879"/>
      <c r="I228" s="879"/>
      <c r="J228" s="879"/>
      <c r="K228" s="879"/>
      <c r="L228" s="879"/>
      <c r="M228" s="879"/>
      <c r="N228" s="879"/>
      <c r="O228" s="879"/>
      <c r="P228" s="879"/>
      <c r="Q228" s="879"/>
      <c r="R228" s="879"/>
      <c r="S228" s="879"/>
      <c r="T228" s="879"/>
      <c r="U228" s="881"/>
    </row>
    <row r="229" spans="1:21" s="883" customFormat="1" ht="19.5" customHeight="1">
      <c r="A229" s="890" t="s">
        <v>831</v>
      </c>
      <c r="B229" s="879" t="s">
        <v>877</v>
      </c>
      <c r="C229" s="879"/>
      <c r="D229" s="879"/>
      <c r="E229" s="879"/>
      <c r="F229" s="879"/>
      <c r="G229" s="879"/>
      <c r="H229" s="879"/>
      <c r="I229" s="879"/>
      <c r="J229" s="879"/>
      <c r="K229" s="879"/>
      <c r="L229" s="879"/>
      <c r="M229" s="3507" t="str">
        <f>Q47</f>
        <v/>
      </c>
      <c r="N229" s="3506"/>
      <c r="O229" s="892" t="s">
        <v>101</v>
      </c>
      <c r="P229" s="3535">
        <f>1.6</f>
        <v>1.6</v>
      </c>
      <c r="Q229" s="3535"/>
      <c r="R229" s="892" t="s">
        <v>102</v>
      </c>
      <c r="S229" s="3507" t="str">
        <f>IF(ISBLANK(E189),"",M229*P229)</f>
        <v/>
      </c>
      <c r="T229" s="3506"/>
      <c r="U229" s="894" t="s">
        <v>827</v>
      </c>
    </row>
    <row r="230" spans="1:21" s="883" customFormat="1" ht="6" customHeight="1">
      <c r="A230" s="890"/>
      <c r="B230" s="879"/>
      <c r="C230" s="879"/>
      <c r="D230" s="879"/>
      <c r="E230" s="879"/>
      <c r="F230" s="879"/>
      <c r="G230" s="879"/>
      <c r="H230" s="879"/>
      <c r="I230" s="879"/>
      <c r="J230" s="879"/>
      <c r="K230" s="879"/>
      <c r="L230" s="879"/>
      <c r="M230" s="879"/>
      <c r="N230" s="879"/>
      <c r="O230" s="879"/>
      <c r="P230" s="879"/>
      <c r="Q230" s="879"/>
      <c r="R230" s="879"/>
      <c r="S230" s="879"/>
      <c r="T230" s="879"/>
      <c r="U230" s="881"/>
    </row>
    <row r="231" spans="1:21" s="883" customFormat="1" ht="15" customHeight="1">
      <c r="A231" s="890" t="s">
        <v>832</v>
      </c>
      <c r="B231" s="879" t="s">
        <v>1369</v>
      </c>
      <c r="C231" s="879"/>
      <c r="D231" s="879"/>
      <c r="E231" s="879"/>
      <c r="F231" s="879"/>
      <c r="G231" s="879"/>
      <c r="H231" s="879"/>
      <c r="I231" s="879"/>
      <c r="J231" s="879"/>
      <c r="K231" s="879"/>
      <c r="L231" s="879"/>
      <c r="M231" s="879"/>
      <c r="N231" s="879"/>
      <c r="O231" s="879"/>
      <c r="P231" s="879"/>
      <c r="Q231" s="879"/>
      <c r="R231" s="879"/>
      <c r="S231" s="879"/>
      <c r="T231" s="879"/>
      <c r="U231" s="881"/>
    </row>
    <row r="232" spans="1:21" s="883" customFormat="1" ht="6" customHeight="1">
      <c r="A232" s="890"/>
      <c r="B232" s="879"/>
      <c r="C232" s="879"/>
      <c r="D232" s="879"/>
      <c r="E232" s="879"/>
      <c r="F232" s="879"/>
      <c r="G232" s="879"/>
      <c r="H232" s="879"/>
      <c r="I232" s="879"/>
      <c r="J232" s="879"/>
      <c r="K232" s="879"/>
      <c r="L232" s="879"/>
      <c r="M232" s="879"/>
      <c r="N232" s="879"/>
      <c r="O232" s="879"/>
      <c r="P232" s="879"/>
      <c r="Q232" s="879"/>
      <c r="R232" s="879"/>
      <c r="S232" s="879"/>
      <c r="T232" s="879"/>
      <c r="U232" s="881"/>
    </row>
    <row r="233" spans="1:21" s="883" customFormat="1" ht="19.5" customHeight="1">
      <c r="A233" s="890"/>
      <c r="B233" s="3541" t="str">
        <f>L205</f>
        <v/>
      </c>
      <c r="C233" s="3538"/>
      <c r="D233" s="882" t="s">
        <v>311</v>
      </c>
      <c r="E233" s="3507" t="str">
        <f>S229</f>
        <v/>
      </c>
      <c r="F233" s="3506"/>
      <c r="G233" s="882" t="s">
        <v>102</v>
      </c>
      <c r="H233" s="3541" t="str">
        <f>IF(ISBLANK(E189),"",B233+E233)</f>
        <v/>
      </c>
      <c r="I233" s="3538"/>
      <c r="J233" s="887" t="s">
        <v>867</v>
      </c>
      <c r="K233" s="879"/>
      <c r="L233" s="879"/>
      <c r="M233" s="879"/>
      <c r="N233" s="879"/>
      <c r="O233" s="879"/>
      <c r="P233" s="879"/>
      <c r="Q233" s="879"/>
      <c r="R233" s="879"/>
      <c r="S233" s="879"/>
      <c r="T233" s="879"/>
      <c r="U233" s="881"/>
    </row>
    <row r="234" spans="1:21" s="883" customFormat="1" ht="6" customHeight="1">
      <c r="A234" s="890"/>
      <c r="B234" s="879"/>
      <c r="C234" s="879"/>
      <c r="D234" s="879"/>
      <c r="E234" s="879"/>
      <c r="F234" s="879"/>
      <c r="G234" s="879"/>
      <c r="H234" s="879"/>
      <c r="I234" s="879"/>
      <c r="J234" s="879"/>
      <c r="K234" s="879"/>
      <c r="L234" s="879"/>
      <c r="M234" s="879"/>
      <c r="N234" s="879"/>
      <c r="O234" s="879"/>
      <c r="P234" s="879"/>
      <c r="Q234" s="879"/>
      <c r="R234" s="879"/>
      <c r="S234" s="879"/>
      <c r="T234" s="879"/>
      <c r="U234" s="881"/>
    </row>
    <row r="235" spans="1:21" s="883" customFormat="1" ht="19.5" customHeight="1">
      <c r="A235" s="890" t="s">
        <v>833</v>
      </c>
      <c r="B235" s="879" t="s">
        <v>1370</v>
      </c>
      <c r="C235" s="879"/>
      <c r="D235" s="879"/>
      <c r="E235" s="879"/>
      <c r="F235" s="879"/>
      <c r="G235" s="879"/>
      <c r="H235" s="879"/>
      <c r="I235" s="879"/>
      <c r="J235" s="879"/>
      <c r="K235" s="3507" t="str">
        <f>H233</f>
        <v/>
      </c>
      <c r="L235" s="3506"/>
      <c r="M235" s="882" t="s">
        <v>101</v>
      </c>
      <c r="N235" s="3505" t="str">
        <f>R219</f>
        <v/>
      </c>
      <c r="O235" s="3506"/>
      <c r="P235" s="882" t="s">
        <v>102</v>
      </c>
      <c r="Q235" s="3511" t="str">
        <f>IF(ISBLANK(E189),"",K235*N235)</f>
        <v/>
      </c>
      <c r="R235" s="3512"/>
      <c r="S235" s="879" t="s">
        <v>827</v>
      </c>
      <c r="T235" s="879"/>
      <c r="U235" s="881"/>
    </row>
    <row r="236" spans="1:21" s="883" customFormat="1" ht="6" customHeight="1">
      <c r="A236" s="890"/>
      <c r="B236" s="879"/>
      <c r="C236" s="879"/>
      <c r="D236" s="879"/>
      <c r="E236" s="879"/>
      <c r="F236" s="879"/>
      <c r="G236" s="879"/>
      <c r="H236" s="879"/>
      <c r="I236" s="879"/>
      <c r="J236" s="879"/>
      <c r="K236" s="879"/>
      <c r="L236" s="879"/>
      <c r="M236" s="879"/>
      <c r="N236" s="879"/>
      <c r="O236" s="879"/>
      <c r="P236" s="879"/>
      <c r="Q236" s="879"/>
      <c r="R236" s="879"/>
      <c r="S236" s="879"/>
      <c r="T236" s="879"/>
      <c r="U236" s="881"/>
    </row>
    <row r="237" spans="1:21" s="883" customFormat="1" ht="15" customHeight="1">
      <c r="A237" s="890"/>
      <c r="B237" s="879" t="s">
        <v>880</v>
      </c>
      <c r="C237" s="895"/>
      <c r="D237" s="895"/>
      <c r="E237" s="895"/>
      <c r="F237" s="895"/>
      <c r="G237" s="895"/>
      <c r="H237" s="895"/>
      <c r="I237" s="895"/>
      <c r="J237" s="895"/>
      <c r="K237" s="895"/>
      <c r="L237" s="896"/>
      <c r="M237" s="879"/>
      <c r="N237" s="879"/>
      <c r="O237" s="879"/>
      <c r="P237" s="879"/>
      <c r="Q237" s="879"/>
      <c r="R237" s="879"/>
      <c r="S237" s="879"/>
      <c r="T237" s="879"/>
      <c r="U237" s="881"/>
    </row>
    <row r="238" spans="1:21" s="883" customFormat="1" ht="6" customHeight="1">
      <c r="A238" s="890"/>
      <c r="B238" s="879"/>
      <c r="C238" s="879"/>
      <c r="D238" s="879"/>
      <c r="E238" s="879"/>
      <c r="F238" s="879"/>
      <c r="G238" s="879"/>
      <c r="H238" s="879"/>
      <c r="I238" s="879"/>
      <c r="J238" s="879"/>
      <c r="K238" s="879"/>
      <c r="L238" s="879"/>
      <c r="M238" s="879"/>
      <c r="N238" s="879"/>
      <c r="O238" s="879"/>
      <c r="P238" s="879"/>
      <c r="Q238" s="879"/>
      <c r="R238" s="879"/>
      <c r="S238" s="879"/>
      <c r="T238" s="879"/>
      <c r="U238" s="881"/>
    </row>
    <row r="239" spans="1:21" s="883" customFormat="1" ht="19.5" customHeight="1">
      <c r="A239" s="890"/>
      <c r="B239" s="3505" t="str">
        <f>IF(ISBLANK(E189),"",E41)</f>
        <v/>
      </c>
      <c r="C239" s="3513"/>
      <c r="D239" s="896" t="s">
        <v>101</v>
      </c>
      <c r="E239" s="3505" t="str">
        <f>K223</f>
        <v/>
      </c>
      <c r="F239" s="3513"/>
      <c r="G239" s="896" t="s">
        <v>101</v>
      </c>
      <c r="H239" s="3505" t="str">
        <f>R219</f>
        <v/>
      </c>
      <c r="I239" s="3513"/>
      <c r="J239" s="896" t="s">
        <v>102</v>
      </c>
      <c r="K239" s="3505" t="str">
        <f>IF(ISBLANK(E189),"",B239*E239*H239)</f>
        <v/>
      </c>
      <c r="L239" s="3513"/>
      <c r="M239" s="2" t="s">
        <v>742</v>
      </c>
      <c r="N239" s="879"/>
      <c r="O239" s="879"/>
      <c r="P239" s="879"/>
      <c r="Q239" s="879"/>
      <c r="R239" s="879"/>
      <c r="S239" s="879"/>
      <c r="T239" s="879"/>
      <c r="U239" s="881"/>
    </row>
    <row r="240" spans="1:21" ht="6" customHeight="1">
      <c r="A240" s="657"/>
      <c r="B240" s="658"/>
      <c r="C240" s="658"/>
      <c r="D240" s="658"/>
      <c r="E240" s="658"/>
      <c r="F240" s="658"/>
      <c r="G240" s="658"/>
      <c r="H240" s="658"/>
      <c r="I240" s="658"/>
      <c r="J240" s="658"/>
      <c r="K240" s="658"/>
      <c r="L240" s="658"/>
      <c r="M240" s="658"/>
      <c r="N240" s="658"/>
      <c r="O240" s="658"/>
      <c r="P240" s="658"/>
      <c r="Q240" s="658"/>
      <c r="R240" s="658"/>
      <c r="S240" s="658"/>
      <c r="T240" s="658"/>
      <c r="U240" s="659"/>
    </row>
    <row r="241" spans="1:21" ht="15" customHeight="1">
      <c r="A241" s="3508" t="s">
        <v>893</v>
      </c>
      <c r="B241" s="3509"/>
      <c r="C241" s="3509"/>
      <c r="D241" s="3509"/>
      <c r="E241" s="3509"/>
      <c r="F241" s="3509"/>
      <c r="G241" s="3509"/>
      <c r="H241" s="3509"/>
      <c r="I241" s="3509"/>
      <c r="J241" s="3509"/>
      <c r="K241" s="3509"/>
      <c r="L241" s="3509"/>
      <c r="M241" s="3509"/>
      <c r="N241" s="3509"/>
      <c r="O241" s="3509"/>
      <c r="P241" s="3509"/>
      <c r="Q241" s="3509"/>
      <c r="R241" s="3509"/>
      <c r="S241" s="3509"/>
      <c r="T241" s="3509"/>
      <c r="U241" s="3510"/>
    </row>
    <row r="242" spans="1:21" ht="6" customHeight="1">
      <c r="A242" s="654"/>
      <c r="B242" s="655"/>
      <c r="C242" s="655"/>
      <c r="D242" s="655"/>
      <c r="E242" s="655"/>
      <c r="F242" s="655"/>
      <c r="G242" s="655"/>
      <c r="H242" s="655"/>
      <c r="I242" s="655"/>
      <c r="J242" s="655"/>
      <c r="K242" s="655"/>
      <c r="L242" s="655"/>
      <c r="M242" s="655"/>
      <c r="N242" s="655"/>
      <c r="O242" s="655"/>
      <c r="P242" s="655"/>
      <c r="Q242" s="655"/>
      <c r="R242" s="655"/>
      <c r="S242" s="655"/>
      <c r="T242" s="655"/>
      <c r="U242" s="656"/>
    </row>
    <row r="243" spans="1:21" s="883" customFormat="1" ht="19.5" customHeight="1">
      <c r="A243" s="890" t="s">
        <v>147</v>
      </c>
      <c r="B243" s="879" t="s">
        <v>856</v>
      </c>
      <c r="C243" s="879"/>
      <c r="D243" s="879"/>
      <c r="E243" s="3544"/>
      <c r="F243" s="3545"/>
      <c r="G243" s="879" t="s">
        <v>92</v>
      </c>
      <c r="H243" s="879"/>
      <c r="I243" s="879"/>
      <c r="J243" s="879"/>
      <c r="K243" s="879"/>
      <c r="L243" s="879"/>
      <c r="M243" s="879"/>
      <c r="N243" s="879"/>
      <c r="O243" s="879"/>
      <c r="P243" s="879"/>
      <c r="Q243" s="879"/>
      <c r="R243" s="879"/>
      <c r="S243" s="879"/>
      <c r="T243" s="879"/>
      <c r="U243" s="881"/>
    </row>
    <row r="244" spans="1:21" s="883" customFormat="1" ht="6" customHeight="1">
      <c r="A244" s="890"/>
      <c r="B244" s="879"/>
      <c r="C244" s="879"/>
      <c r="D244" s="879"/>
      <c r="E244" s="879"/>
      <c r="F244" s="879"/>
      <c r="G244" s="879"/>
      <c r="H244" s="879"/>
      <c r="I244" s="879"/>
      <c r="J244" s="879"/>
      <c r="K244" s="879"/>
      <c r="L244" s="879"/>
      <c r="M244" s="879"/>
      <c r="N244" s="879"/>
      <c r="O244" s="879"/>
      <c r="P244" s="879"/>
      <c r="Q244" s="879"/>
      <c r="R244" s="879"/>
      <c r="S244" s="879"/>
      <c r="T244" s="879"/>
      <c r="U244" s="881"/>
    </row>
    <row r="245" spans="1:21" s="883" customFormat="1" ht="19.5" customHeight="1">
      <c r="A245" s="890" t="s">
        <v>631</v>
      </c>
      <c r="B245" s="879" t="s">
        <v>857</v>
      </c>
      <c r="C245" s="879"/>
      <c r="D245" s="879"/>
      <c r="E245" s="879"/>
      <c r="F245" s="3544"/>
      <c r="G245" s="3545"/>
      <c r="H245" s="879" t="s">
        <v>92</v>
      </c>
      <c r="I245" s="879" t="s">
        <v>858</v>
      </c>
      <c r="J245" s="879"/>
      <c r="K245" s="879"/>
      <c r="L245" s="879"/>
      <c r="M245" s="3548"/>
      <c r="N245" s="3549"/>
      <c r="O245" s="879" t="s">
        <v>640</v>
      </c>
      <c r="P245" s="879"/>
      <c r="Q245" s="879"/>
      <c r="R245" s="879"/>
      <c r="S245" s="879"/>
      <c r="T245" s="879"/>
      <c r="U245" s="881"/>
    </row>
    <row r="246" spans="1:21" s="883" customFormat="1" ht="6" customHeight="1">
      <c r="A246" s="890"/>
      <c r="B246" s="879"/>
      <c r="C246" s="879"/>
      <c r="D246" s="879"/>
      <c r="E246" s="879"/>
      <c r="F246" s="879"/>
      <c r="G246" s="879"/>
      <c r="H246" s="879"/>
      <c r="I246" s="879"/>
      <c r="J246" s="879"/>
      <c r="K246" s="879"/>
      <c r="L246" s="879"/>
      <c r="M246" s="879"/>
      <c r="N246" s="879"/>
      <c r="O246" s="879"/>
      <c r="P246" s="879"/>
      <c r="Q246" s="879"/>
      <c r="R246" s="879"/>
      <c r="S246" s="879"/>
      <c r="T246" s="879"/>
      <c r="U246" s="881"/>
    </row>
    <row r="247" spans="1:21" s="883" customFormat="1" ht="19.5" customHeight="1">
      <c r="A247" s="890"/>
      <c r="B247" s="879" t="s">
        <v>859</v>
      </c>
      <c r="C247" s="897"/>
      <c r="D247" s="897"/>
      <c r="E247" s="897"/>
      <c r="F247" s="897"/>
      <c r="G247" s="898"/>
      <c r="H247" s="898"/>
      <c r="I247" s="897"/>
      <c r="J247" s="897"/>
      <c r="K247" s="897"/>
      <c r="L247" s="879"/>
      <c r="M247" s="3541" t="str">
        <f>IF(ISBLANK(E243),"",F245)</f>
        <v/>
      </c>
      <c r="N247" s="3538"/>
      <c r="O247" s="888" t="s">
        <v>101</v>
      </c>
      <c r="P247" s="3544"/>
      <c r="Q247" s="3545"/>
      <c r="R247" s="888" t="s">
        <v>102</v>
      </c>
      <c r="S247" s="3541" t="str">
        <f>IF(ISBLANK(E189),"",M247*P247)</f>
        <v/>
      </c>
      <c r="T247" s="3538"/>
      <c r="U247" s="881" t="s">
        <v>827</v>
      </c>
    </row>
    <row r="248" spans="1:21" s="883" customFormat="1" ht="6" customHeight="1">
      <c r="A248" s="890"/>
      <c r="B248" s="879"/>
      <c r="C248" s="879"/>
      <c r="D248" s="879"/>
      <c r="E248" s="879"/>
      <c r="F248" s="879"/>
      <c r="G248" s="879"/>
      <c r="H248" s="879"/>
      <c r="I248" s="879"/>
      <c r="J248" s="879"/>
      <c r="K248" s="879"/>
      <c r="L248" s="879"/>
      <c r="M248" s="879"/>
      <c r="N248" s="879"/>
      <c r="O248" s="879"/>
      <c r="P248" s="879"/>
      <c r="Q248" s="879"/>
      <c r="R248" s="879"/>
      <c r="S248" s="879"/>
      <c r="T248" s="879"/>
      <c r="U248" s="881"/>
    </row>
    <row r="249" spans="1:21" s="883" customFormat="1" ht="19.5" customHeight="1">
      <c r="A249" s="890" t="s">
        <v>149</v>
      </c>
      <c r="B249" s="879" t="s">
        <v>860</v>
      </c>
      <c r="C249" s="879"/>
      <c r="D249" s="879"/>
      <c r="E249" s="879"/>
      <c r="F249" s="3544"/>
      <c r="G249" s="3545"/>
      <c r="H249" s="879" t="s">
        <v>92</v>
      </c>
      <c r="I249" s="879" t="s">
        <v>861</v>
      </c>
      <c r="J249" s="879"/>
      <c r="K249" s="879"/>
      <c r="L249" s="879"/>
      <c r="M249" s="3548"/>
      <c r="N249" s="3549"/>
      <c r="O249" s="879" t="s">
        <v>640</v>
      </c>
      <c r="P249" s="879"/>
      <c r="Q249" s="879"/>
      <c r="R249" s="879"/>
      <c r="S249" s="879"/>
      <c r="T249" s="879"/>
      <c r="U249" s="881"/>
    </row>
    <row r="250" spans="1:21" s="883" customFormat="1" ht="6" customHeight="1">
      <c r="A250" s="890"/>
      <c r="B250" s="879"/>
      <c r="C250" s="879"/>
      <c r="D250" s="879"/>
      <c r="E250" s="879"/>
      <c r="F250" s="879"/>
      <c r="G250" s="879"/>
      <c r="H250" s="879"/>
      <c r="I250" s="879"/>
      <c r="J250" s="879"/>
      <c r="K250" s="879"/>
      <c r="L250" s="879"/>
      <c r="M250" s="879"/>
      <c r="N250" s="879"/>
      <c r="O250" s="879"/>
      <c r="P250" s="879"/>
      <c r="Q250" s="879"/>
      <c r="R250" s="879"/>
      <c r="S250" s="879"/>
      <c r="T250" s="879"/>
      <c r="U250" s="881"/>
    </row>
    <row r="251" spans="1:21" s="883" customFormat="1" ht="19.5" customHeight="1">
      <c r="A251" s="890"/>
      <c r="B251" s="879" t="s">
        <v>862</v>
      </c>
      <c r="C251" s="897"/>
      <c r="D251" s="897"/>
      <c r="E251" s="897"/>
      <c r="F251" s="897"/>
      <c r="G251" s="898"/>
      <c r="H251" s="898"/>
      <c r="I251" s="897"/>
      <c r="J251" s="897"/>
      <c r="K251" s="897"/>
      <c r="L251" s="879"/>
      <c r="M251" s="3541" t="str">
        <f>IF(ISBLANK(E189),"",F249)</f>
        <v/>
      </c>
      <c r="N251" s="3538"/>
      <c r="O251" s="888" t="s">
        <v>101</v>
      </c>
      <c r="P251" s="3544"/>
      <c r="Q251" s="3545"/>
      <c r="R251" s="888" t="s">
        <v>102</v>
      </c>
      <c r="S251" s="3541" t="str">
        <f>IF(ISBLANK(E189),"",M251*P251)</f>
        <v/>
      </c>
      <c r="T251" s="3538"/>
      <c r="U251" s="881" t="s">
        <v>827</v>
      </c>
    </row>
    <row r="252" spans="1:21" s="883" customFormat="1" ht="6" customHeight="1">
      <c r="A252" s="890"/>
      <c r="B252" s="879"/>
      <c r="C252" s="879"/>
      <c r="D252" s="879"/>
      <c r="E252" s="879"/>
      <c r="F252" s="879"/>
      <c r="G252" s="879"/>
      <c r="H252" s="879"/>
      <c r="I252" s="879"/>
      <c r="J252" s="879"/>
      <c r="K252" s="879"/>
      <c r="L252" s="879"/>
      <c r="M252" s="879"/>
      <c r="N252" s="879"/>
      <c r="O252" s="879"/>
      <c r="P252" s="879"/>
      <c r="Q252" s="879"/>
      <c r="R252" s="879"/>
      <c r="S252" s="879"/>
      <c r="T252" s="879"/>
      <c r="U252" s="881"/>
    </row>
    <row r="253" spans="1:21" s="883" customFormat="1" ht="19.5" customHeight="1">
      <c r="A253" s="890" t="s">
        <v>588</v>
      </c>
      <c r="B253" s="879" t="s">
        <v>894</v>
      </c>
      <c r="C253" s="879"/>
      <c r="D253" s="879"/>
      <c r="E253" s="879"/>
      <c r="F253" s="879"/>
      <c r="G253" s="879"/>
      <c r="H253" s="879"/>
      <c r="I253" s="879"/>
      <c r="J253" s="879"/>
      <c r="K253" s="879"/>
      <c r="L253" s="3507" t="str">
        <f>S247</f>
        <v/>
      </c>
      <c r="M253" s="3506"/>
      <c r="N253" s="882" t="s">
        <v>311</v>
      </c>
      <c r="O253" s="3507" t="str">
        <f>S251</f>
        <v/>
      </c>
      <c r="P253" s="3506"/>
      <c r="Q253" s="882" t="s">
        <v>102</v>
      </c>
      <c r="R253" s="3507" t="str">
        <f>IF(ISBLANK(E189),"",L253+O253)</f>
        <v/>
      </c>
      <c r="S253" s="3506"/>
      <c r="T253" s="887" t="s">
        <v>827</v>
      </c>
      <c r="U253" s="881"/>
    </row>
    <row r="254" spans="1:21" s="883" customFormat="1" ht="6" customHeight="1">
      <c r="A254" s="890"/>
      <c r="B254" s="879"/>
      <c r="C254" s="879"/>
      <c r="D254" s="879"/>
      <c r="E254" s="879"/>
      <c r="F254" s="879"/>
      <c r="G254" s="879"/>
      <c r="H254" s="879"/>
      <c r="I254" s="879"/>
      <c r="J254" s="879"/>
      <c r="K254" s="879"/>
      <c r="L254" s="879"/>
      <c r="M254" s="879"/>
      <c r="N254" s="879"/>
      <c r="O254" s="879"/>
      <c r="P254" s="879"/>
      <c r="Q254" s="879"/>
      <c r="R254" s="879"/>
      <c r="S254" s="879"/>
      <c r="T254" s="879"/>
      <c r="U254" s="881"/>
    </row>
    <row r="255" spans="1:21" s="883" customFormat="1" ht="19.5" customHeight="1">
      <c r="A255" s="890" t="s">
        <v>589</v>
      </c>
      <c r="B255" s="879" t="s">
        <v>895</v>
      </c>
      <c r="C255" s="879"/>
      <c r="D255" s="879"/>
      <c r="E255" s="879"/>
      <c r="F255" s="879"/>
      <c r="G255" s="879"/>
      <c r="H255" s="879"/>
      <c r="I255" s="879"/>
      <c r="J255" s="879"/>
      <c r="K255" s="879"/>
      <c r="L255" s="879"/>
      <c r="M255" s="3541" t="str">
        <f>M45</f>
        <v/>
      </c>
      <c r="N255" s="3538"/>
      <c r="O255" s="888" t="s">
        <v>721</v>
      </c>
      <c r="P255" s="3541" t="str">
        <f>IF(ISBLANK(E189),"",E243)</f>
        <v/>
      </c>
      <c r="Q255" s="3538"/>
      <c r="R255" s="888" t="s">
        <v>102</v>
      </c>
      <c r="S255" s="3541" t="str">
        <f>IF(ISBLANK(E189),"",M255/P255)</f>
        <v/>
      </c>
      <c r="T255" s="3538"/>
      <c r="U255" s="881" t="s">
        <v>865</v>
      </c>
    </row>
    <row r="256" spans="1:21" s="883" customFormat="1" ht="6" customHeight="1">
      <c r="A256" s="890"/>
      <c r="B256" s="879"/>
      <c r="C256" s="879"/>
      <c r="D256" s="879"/>
      <c r="E256" s="879"/>
      <c r="F256" s="879"/>
      <c r="G256" s="879"/>
      <c r="H256" s="879"/>
      <c r="I256" s="879"/>
      <c r="J256" s="879"/>
      <c r="K256" s="879"/>
      <c r="L256" s="879"/>
      <c r="M256" s="879"/>
      <c r="N256" s="879"/>
      <c r="O256" s="879"/>
      <c r="P256" s="879"/>
      <c r="Q256" s="879"/>
      <c r="R256" s="879"/>
      <c r="S256" s="879"/>
      <c r="T256" s="879"/>
      <c r="U256" s="881"/>
    </row>
    <row r="257" spans="1:21" s="883" customFormat="1" ht="15" customHeight="1">
      <c r="A257" s="890" t="s">
        <v>641</v>
      </c>
      <c r="B257" s="879" t="s">
        <v>896</v>
      </c>
      <c r="C257" s="879"/>
      <c r="D257" s="879"/>
      <c r="E257" s="879"/>
      <c r="F257" s="879"/>
      <c r="G257" s="879"/>
      <c r="H257" s="879"/>
      <c r="I257" s="879"/>
      <c r="J257" s="879"/>
      <c r="K257" s="879"/>
      <c r="L257" s="879"/>
      <c r="M257" s="879"/>
      <c r="N257" s="879"/>
      <c r="O257" s="879"/>
      <c r="P257" s="879"/>
      <c r="Q257" s="879"/>
      <c r="R257" s="879"/>
      <c r="S257" s="879"/>
      <c r="T257" s="879"/>
      <c r="U257" s="881"/>
    </row>
    <row r="258" spans="1:21" s="883" customFormat="1" ht="6" customHeight="1">
      <c r="A258" s="890"/>
      <c r="B258" s="879"/>
      <c r="C258" s="879"/>
      <c r="D258" s="879"/>
      <c r="E258" s="879"/>
      <c r="F258" s="879"/>
      <c r="G258" s="879"/>
      <c r="H258" s="879"/>
      <c r="I258" s="879"/>
      <c r="J258" s="879"/>
      <c r="K258" s="879"/>
      <c r="L258" s="879"/>
      <c r="M258" s="879"/>
      <c r="N258" s="879"/>
      <c r="O258" s="879"/>
      <c r="P258" s="879"/>
      <c r="Q258" s="879"/>
      <c r="R258" s="879"/>
      <c r="S258" s="879"/>
      <c r="T258" s="879"/>
      <c r="U258" s="881"/>
    </row>
    <row r="259" spans="1:21" s="883" customFormat="1" ht="19.5" customHeight="1">
      <c r="A259" s="890"/>
      <c r="B259" s="891" t="s">
        <v>848</v>
      </c>
      <c r="C259" s="3507" t="str">
        <f>S255</f>
        <v/>
      </c>
      <c r="D259" s="3506"/>
      <c r="E259" s="888" t="s">
        <v>101</v>
      </c>
      <c r="F259" s="3507" t="str">
        <f>IF(ISBLANK(E189),"",E22)</f>
        <v/>
      </c>
      <c r="G259" s="3506"/>
      <c r="H259" s="887" t="s">
        <v>849</v>
      </c>
      <c r="I259" s="882" t="s">
        <v>721</v>
      </c>
      <c r="J259" s="892">
        <v>60</v>
      </c>
      <c r="K259" s="882" t="s">
        <v>102</v>
      </c>
      <c r="L259" s="3507" t="str">
        <f>IF(ISBLANK(E189),"",(C259*F259)/60)</f>
        <v/>
      </c>
      <c r="M259" s="3506"/>
      <c r="N259" s="887" t="s">
        <v>867</v>
      </c>
      <c r="O259" s="879"/>
      <c r="P259" s="879"/>
      <c r="Q259" s="879"/>
      <c r="R259" s="879"/>
      <c r="S259" s="879"/>
      <c r="T259" s="879"/>
      <c r="U259" s="881"/>
    </row>
    <row r="260" spans="1:21" s="883" customFormat="1" ht="6" customHeight="1">
      <c r="A260" s="890"/>
      <c r="B260" s="879"/>
      <c r="C260" s="879"/>
      <c r="D260" s="879"/>
      <c r="E260" s="879"/>
      <c r="F260" s="879"/>
      <c r="G260" s="879"/>
      <c r="H260" s="879"/>
      <c r="I260" s="879"/>
      <c r="J260" s="879"/>
      <c r="K260" s="879"/>
      <c r="L260" s="879"/>
      <c r="M260" s="879"/>
      <c r="N260" s="879"/>
      <c r="O260" s="879"/>
      <c r="P260" s="879"/>
      <c r="Q260" s="879"/>
      <c r="R260" s="879"/>
      <c r="S260" s="879"/>
      <c r="T260" s="879"/>
      <c r="U260" s="881"/>
    </row>
    <row r="261" spans="1:21" s="883" customFormat="1" ht="19.5" customHeight="1">
      <c r="A261" s="890" t="s">
        <v>642</v>
      </c>
      <c r="B261" s="879" t="s">
        <v>868</v>
      </c>
      <c r="C261" s="879"/>
      <c r="D261" s="879"/>
      <c r="E261" s="879"/>
      <c r="F261" s="879"/>
      <c r="G261" s="879"/>
      <c r="H261" s="879"/>
      <c r="I261" s="879"/>
      <c r="J261" s="879"/>
      <c r="K261" s="879"/>
      <c r="L261" s="879"/>
      <c r="M261" s="3507" t="str">
        <f>M45</f>
        <v/>
      </c>
      <c r="N261" s="3506"/>
      <c r="O261" s="882" t="s">
        <v>101</v>
      </c>
      <c r="P261" s="3507" t="str">
        <f>IF(ISBLANK(E189),"",L20)</f>
        <v/>
      </c>
      <c r="Q261" s="3506"/>
      <c r="R261" s="882" t="s">
        <v>102</v>
      </c>
      <c r="S261" s="3507" t="str">
        <f>IF(ISBLANK(E189),"",M261*P261)</f>
        <v/>
      </c>
      <c r="T261" s="3506"/>
      <c r="U261" s="881" t="s">
        <v>827</v>
      </c>
    </row>
    <row r="262" spans="1:21" s="883" customFormat="1" ht="6" customHeight="1">
      <c r="A262" s="899"/>
      <c r="B262" s="900"/>
      <c r="C262" s="900"/>
      <c r="D262" s="900"/>
      <c r="E262" s="900"/>
      <c r="F262" s="900"/>
      <c r="G262" s="900"/>
      <c r="H262" s="900"/>
      <c r="I262" s="900"/>
      <c r="J262" s="900"/>
      <c r="K262" s="900"/>
      <c r="L262" s="900"/>
      <c r="M262" s="900"/>
      <c r="N262" s="900"/>
      <c r="O262" s="900"/>
      <c r="P262" s="900"/>
      <c r="Q262" s="900"/>
      <c r="R262" s="900"/>
      <c r="S262" s="900"/>
      <c r="T262" s="900"/>
      <c r="U262" s="901"/>
    </row>
    <row r="263" spans="1:21" s="883" customFormat="1" ht="15" customHeight="1">
      <c r="A263" s="902" t="s">
        <v>643</v>
      </c>
      <c r="B263" s="903" t="s">
        <v>1371</v>
      </c>
      <c r="C263" s="903"/>
      <c r="D263" s="903"/>
      <c r="E263" s="903"/>
      <c r="F263" s="903"/>
      <c r="G263" s="903"/>
      <c r="H263" s="903"/>
      <c r="I263" s="903"/>
      <c r="J263" s="903"/>
      <c r="K263" s="903"/>
      <c r="L263" s="903"/>
      <c r="M263" s="903"/>
      <c r="N263" s="903"/>
      <c r="O263" s="903"/>
      <c r="P263" s="903"/>
      <c r="Q263" s="903"/>
      <c r="R263" s="903"/>
      <c r="S263" s="903"/>
      <c r="T263" s="903"/>
      <c r="U263" s="905"/>
    </row>
    <row r="264" spans="1:21" s="883" customFormat="1" ht="6" customHeight="1">
      <c r="A264" s="890"/>
      <c r="B264" s="879"/>
      <c r="C264" s="879"/>
      <c r="D264" s="879"/>
      <c r="E264" s="879"/>
      <c r="F264" s="879"/>
      <c r="G264" s="879"/>
      <c r="H264" s="879"/>
      <c r="I264" s="879"/>
      <c r="J264" s="879"/>
      <c r="K264" s="879"/>
      <c r="L264" s="879"/>
      <c r="M264" s="879"/>
      <c r="N264" s="879"/>
      <c r="O264" s="879"/>
      <c r="P264" s="879"/>
      <c r="Q264" s="879"/>
      <c r="R264" s="879"/>
      <c r="S264" s="879"/>
      <c r="T264" s="879"/>
      <c r="U264" s="881"/>
    </row>
    <row r="265" spans="1:21" s="883" customFormat="1" ht="19.5" customHeight="1">
      <c r="A265" s="890"/>
      <c r="B265" s="891" t="s">
        <v>848</v>
      </c>
      <c r="C265" s="3535">
        <v>4</v>
      </c>
      <c r="D265" s="3535"/>
      <c r="E265" s="882" t="s">
        <v>101</v>
      </c>
      <c r="F265" s="3507" t="str">
        <f>S261</f>
        <v/>
      </c>
      <c r="G265" s="3506"/>
      <c r="H265" s="887" t="s">
        <v>849</v>
      </c>
      <c r="I265" s="882" t="s">
        <v>311</v>
      </c>
      <c r="J265" s="3507" t="str">
        <f>R253</f>
        <v/>
      </c>
      <c r="K265" s="3506"/>
      <c r="L265" s="882" t="s">
        <v>102</v>
      </c>
      <c r="M265" s="3507" t="str">
        <f>IF(ISBLANK(E189),"",(4*S261)+R253)</f>
        <v/>
      </c>
      <c r="N265" s="3506"/>
      <c r="O265" s="879" t="s">
        <v>827</v>
      </c>
      <c r="P265" s="879"/>
      <c r="Q265" s="879"/>
      <c r="R265" s="879"/>
      <c r="S265" s="879"/>
      <c r="T265" s="879"/>
      <c r="U265" s="881"/>
    </row>
    <row r="266" spans="1:21" s="883" customFormat="1" ht="6" customHeight="1">
      <c r="A266" s="890"/>
      <c r="B266" s="879"/>
      <c r="C266" s="879"/>
      <c r="D266" s="879"/>
      <c r="E266" s="879"/>
      <c r="F266" s="879"/>
      <c r="G266" s="879"/>
      <c r="H266" s="879"/>
      <c r="I266" s="879"/>
      <c r="J266" s="879"/>
      <c r="K266" s="879"/>
      <c r="L266" s="879"/>
      <c r="M266" s="879"/>
      <c r="N266" s="879"/>
      <c r="O266" s="879"/>
      <c r="P266" s="879"/>
      <c r="Q266" s="879"/>
      <c r="R266" s="879"/>
      <c r="S266" s="879"/>
      <c r="T266" s="879"/>
      <c r="U266" s="881"/>
    </row>
    <row r="267" spans="1:21" s="883" customFormat="1" ht="15" customHeight="1">
      <c r="A267" s="890" t="s">
        <v>644</v>
      </c>
      <c r="B267" s="879" t="s">
        <v>870</v>
      </c>
      <c r="C267" s="879"/>
      <c r="D267" s="879"/>
      <c r="E267" s="879"/>
      <c r="F267" s="879"/>
      <c r="G267" s="879"/>
      <c r="H267" s="879"/>
      <c r="I267" s="879"/>
      <c r="J267" s="879"/>
      <c r="K267" s="879"/>
      <c r="L267" s="879"/>
      <c r="M267" s="879"/>
      <c r="N267" s="879"/>
      <c r="O267" s="879"/>
      <c r="P267" s="879"/>
      <c r="Q267" s="879"/>
      <c r="R267" s="879"/>
      <c r="S267" s="879"/>
      <c r="T267" s="879"/>
      <c r="U267" s="881"/>
    </row>
    <row r="268" spans="1:21" s="883" customFormat="1" ht="6" customHeight="1">
      <c r="A268" s="890"/>
      <c r="B268" s="879"/>
      <c r="C268" s="879"/>
      <c r="D268" s="879"/>
      <c r="E268" s="879"/>
      <c r="F268" s="879"/>
      <c r="G268" s="879"/>
      <c r="H268" s="879"/>
      <c r="I268" s="879"/>
      <c r="J268" s="879"/>
      <c r="K268" s="879"/>
      <c r="L268" s="879"/>
      <c r="M268" s="879"/>
      <c r="N268" s="879"/>
      <c r="O268" s="879"/>
      <c r="P268" s="879"/>
      <c r="Q268" s="879"/>
      <c r="R268" s="879"/>
      <c r="S268" s="879"/>
      <c r="T268" s="879"/>
      <c r="U268" s="881"/>
    </row>
    <row r="269" spans="1:21" s="883" customFormat="1" ht="19.5" customHeight="1">
      <c r="A269" s="890"/>
      <c r="B269" s="3507" t="str">
        <f>M45</f>
        <v/>
      </c>
      <c r="C269" s="3506"/>
      <c r="D269" s="882" t="s">
        <v>101</v>
      </c>
      <c r="E269" s="3507" t="str">
        <f>IF(ISBLANK(E189),"",E10/12)</f>
        <v/>
      </c>
      <c r="F269" s="3506"/>
      <c r="G269" s="882" t="s">
        <v>101</v>
      </c>
      <c r="H269" s="3532" t="str">
        <f>IF(ISBLANK(E189),"",E20/12)</f>
        <v/>
      </c>
      <c r="I269" s="3533"/>
      <c r="J269" s="882" t="s">
        <v>101</v>
      </c>
      <c r="K269" s="3534" t="str">
        <f>IF(ISBLANK(E189),"",E16)</f>
        <v/>
      </c>
      <c r="L269" s="3506"/>
      <c r="M269" s="882" t="s">
        <v>101</v>
      </c>
      <c r="N269" s="3535">
        <v>7.5</v>
      </c>
      <c r="O269" s="3535"/>
      <c r="P269" s="882" t="s">
        <v>102</v>
      </c>
      <c r="Q269" s="3541" t="str">
        <f>IF(ISBLANK(E189),"",B269*E269*H269*K269*N269)</f>
        <v/>
      </c>
      <c r="R269" s="3538"/>
      <c r="S269" s="879" t="s">
        <v>827</v>
      </c>
      <c r="T269" s="879"/>
      <c r="U269" s="881"/>
    </row>
    <row r="270" spans="1:21" s="883" customFormat="1" ht="6" customHeight="1">
      <c r="A270" s="890"/>
      <c r="B270" s="879"/>
      <c r="C270" s="879"/>
      <c r="D270" s="879"/>
      <c r="E270" s="879"/>
      <c r="F270" s="879"/>
      <c r="G270" s="879"/>
      <c r="H270" s="879"/>
      <c r="I270" s="879"/>
      <c r="J270" s="879"/>
      <c r="K270" s="879"/>
      <c r="L270" s="879"/>
      <c r="M270" s="879"/>
      <c r="N270" s="879"/>
      <c r="O270" s="879"/>
      <c r="P270" s="879"/>
      <c r="Q270" s="879"/>
      <c r="R270" s="879"/>
      <c r="S270" s="879"/>
      <c r="T270" s="879"/>
      <c r="U270" s="881"/>
    </row>
    <row r="271" spans="1:21" s="883" customFormat="1" ht="19.5" customHeight="1">
      <c r="A271" s="890" t="s">
        <v>710</v>
      </c>
      <c r="B271" s="879" t="s">
        <v>871</v>
      </c>
      <c r="C271" s="879"/>
      <c r="D271" s="879"/>
      <c r="E271" s="879"/>
      <c r="F271" s="879"/>
      <c r="G271" s="879"/>
      <c r="H271" s="879"/>
      <c r="I271" s="879"/>
      <c r="J271" s="879"/>
      <c r="K271" s="879"/>
      <c r="L271" s="879"/>
      <c r="M271" s="879"/>
      <c r="N271" s="879"/>
      <c r="O271" s="3544"/>
      <c r="P271" s="3545"/>
      <c r="Q271" s="879" t="s">
        <v>827</v>
      </c>
      <c r="R271" s="879"/>
      <c r="S271" s="879"/>
      <c r="T271" s="879"/>
      <c r="U271" s="881"/>
    </row>
    <row r="272" spans="1:21" s="883" customFormat="1" ht="6" customHeight="1">
      <c r="A272" s="890"/>
      <c r="B272" s="879"/>
      <c r="C272" s="879"/>
      <c r="D272" s="879"/>
      <c r="E272" s="879"/>
      <c r="F272" s="879"/>
      <c r="G272" s="879"/>
      <c r="H272" s="879"/>
      <c r="I272" s="879"/>
      <c r="J272" s="879"/>
      <c r="K272" s="879"/>
      <c r="L272" s="879"/>
      <c r="M272" s="879"/>
      <c r="N272" s="879"/>
      <c r="O272" s="879"/>
      <c r="P272" s="879"/>
      <c r="Q272" s="879"/>
      <c r="R272" s="879"/>
      <c r="S272" s="879"/>
      <c r="T272" s="879"/>
      <c r="U272" s="881"/>
    </row>
    <row r="273" spans="1:21" s="883" customFormat="1" ht="19.5" customHeight="1">
      <c r="A273" s="890" t="s">
        <v>711</v>
      </c>
      <c r="B273" s="879" t="s">
        <v>1372</v>
      </c>
      <c r="C273" s="879"/>
      <c r="D273" s="879"/>
      <c r="E273" s="879"/>
      <c r="F273" s="879"/>
      <c r="G273" s="879"/>
      <c r="H273" s="879"/>
      <c r="I273" s="879"/>
      <c r="J273" s="879"/>
      <c r="K273" s="879"/>
      <c r="L273" s="3541" t="str">
        <f>IF(ISBLANK(E189),"",O271)</f>
        <v/>
      </c>
      <c r="M273" s="3538"/>
      <c r="N273" s="888" t="s">
        <v>721</v>
      </c>
      <c r="O273" s="3541" t="str">
        <f>L259</f>
        <v/>
      </c>
      <c r="P273" s="3538"/>
      <c r="Q273" s="888" t="s">
        <v>102</v>
      </c>
      <c r="R273" s="3539" t="str">
        <f>IF(ISBLANK(E189),"",L273/O273)</f>
        <v/>
      </c>
      <c r="S273" s="3540"/>
      <c r="T273" s="879" t="s">
        <v>742</v>
      </c>
      <c r="U273" s="881"/>
    </row>
    <row r="274" spans="1:21" s="883" customFormat="1" ht="6" customHeight="1">
      <c r="A274" s="890"/>
      <c r="B274" s="879"/>
      <c r="C274" s="879"/>
      <c r="D274" s="879"/>
      <c r="E274" s="879"/>
      <c r="F274" s="879"/>
      <c r="G274" s="879"/>
      <c r="H274" s="879"/>
      <c r="I274" s="879"/>
      <c r="J274" s="879"/>
      <c r="K274" s="879"/>
      <c r="L274" s="879"/>
      <c r="M274" s="879"/>
      <c r="N274" s="879"/>
      <c r="O274" s="879"/>
      <c r="P274" s="879"/>
      <c r="Q274" s="879"/>
      <c r="R274" s="879"/>
      <c r="S274" s="879"/>
      <c r="T274" s="879"/>
      <c r="U274" s="881"/>
    </row>
    <row r="275" spans="1:21" s="883" customFormat="1" ht="15" customHeight="1">
      <c r="A275" s="902" t="s">
        <v>712</v>
      </c>
      <c r="B275" s="903" t="s">
        <v>1373</v>
      </c>
      <c r="C275" s="903"/>
      <c r="D275" s="903"/>
      <c r="E275" s="903"/>
      <c r="F275" s="903"/>
      <c r="G275" s="903"/>
      <c r="H275" s="903"/>
      <c r="I275" s="903"/>
      <c r="J275" s="903"/>
      <c r="K275" s="903"/>
      <c r="L275" s="903"/>
      <c r="M275" s="903"/>
      <c r="N275" s="903"/>
      <c r="O275" s="904" t="s">
        <v>899</v>
      </c>
      <c r="P275" s="903"/>
      <c r="Q275" s="903"/>
      <c r="R275" s="903"/>
      <c r="S275" s="903"/>
      <c r="T275" s="903"/>
      <c r="U275" s="905"/>
    </row>
    <row r="276" spans="1:21" s="883" customFormat="1" ht="6" customHeight="1">
      <c r="A276" s="890"/>
      <c r="B276" s="879"/>
      <c r="C276" s="879"/>
      <c r="D276" s="879"/>
      <c r="E276" s="879"/>
      <c r="F276" s="879"/>
      <c r="G276" s="879"/>
      <c r="H276" s="879"/>
      <c r="I276" s="879"/>
      <c r="J276" s="879"/>
      <c r="K276" s="879"/>
      <c r="L276" s="879"/>
      <c r="M276" s="879"/>
      <c r="N276" s="879"/>
      <c r="O276" s="879"/>
      <c r="P276" s="879"/>
      <c r="Q276" s="879"/>
      <c r="R276" s="879"/>
      <c r="S276" s="879"/>
      <c r="T276" s="879"/>
      <c r="U276" s="881"/>
    </row>
    <row r="277" spans="1:21" s="883" customFormat="1" ht="19.5" customHeight="1">
      <c r="A277" s="890"/>
      <c r="B277" s="3507" t="str">
        <f>E4</f>
        <v/>
      </c>
      <c r="C277" s="3506"/>
      <c r="D277" s="882" t="s">
        <v>721</v>
      </c>
      <c r="E277" s="3507" t="str">
        <f>IF(ISBLANK(E189),"",E41)</f>
        <v/>
      </c>
      <c r="F277" s="3506"/>
      <c r="G277" s="882" t="s">
        <v>721</v>
      </c>
      <c r="H277" s="3507" t="str">
        <f>IF(ISBLANK(E189),"",O271)</f>
        <v/>
      </c>
      <c r="I277" s="3506"/>
      <c r="J277" s="882" t="s">
        <v>102</v>
      </c>
      <c r="K277" s="3511" t="str">
        <f>IF(ISBLANK(E189),"",MAX(4,(B277/E277/H277)))</f>
        <v/>
      </c>
      <c r="L277" s="3512"/>
      <c r="M277" s="879" t="s">
        <v>874</v>
      </c>
      <c r="N277" s="879"/>
      <c r="O277" s="879"/>
      <c r="P277" s="879"/>
      <c r="Q277" s="879"/>
      <c r="R277" s="879"/>
      <c r="S277" s="879"/>
      <c r="T277" s="879"/>
      <c r="U277" s="881"/>
    </row>
    <row r="278" spans="1:21" s="883" customFormat="1" ht="6" customHeight="1">
      <c r="A278" s="890"/>
      <c r="B278" s="879"/>
      <c r="C278" s="879"/>
      <c r="D278" s="879"/>
      <c r="E278" s="879"/>
      <c r="F278" s="879"/>
      <c r="G278" s="879"/>
      <c r="H278" s="879"/>
      <c r="I278" s="879"/>
      <c r="J278" s="879"/>
      <c r="K278" s="879"/>
      <c r="L278" s="879"/>
      <c r="M278" s="879"/>
      <c r="N278" s="879"/>
      <c r="O278" s="879"/>
      <c r="P278" s="879"/>
      <c r="Q278" s="879"/>
      <c r="R278" s="879"/>
      <c r="S278" s="879"/>
      <c r="T278" s="879"/>
      <c r="U278" s="881"/>
    </row>
    <row r="279" spans="1:21" s="883" customFormat="1" ht="19.5" customHeight="1">
      <c r="A279" s="890" t="s">
        <v>7</v>
      </c>
      <c r="B279" s="879" t="s">
        <v>1374</v>
      </c>
      <c r="C279" s="879"/>
      <c r="D279" s="879"/>
      <c r="E279" s="879"/>
      <c r="F279" s="879"/>
      <c r="G279" s="879"/>
      <c r="H279" s="879"/>
      <c r="I279" s="3536">
        <v>1440</v>
      </c>
      <c r="J279" s="3536"/>
      <c r="K279" s="882" t="s">
        <v>721</v>
      </c>
      <c r="L279" s="3537" t="str">
        <f>K277</f>
        <v/>
      </c>
      <c r="M279" s="3538"/>
      <c r="N279" s="882" t="s">
        <v>102</v>
      </c>
      <c r="O279" s="3539" t="str">
        <f>IF(ISBLANK(E189),"",I279/L279)</f>
        <v/>
      </c>
      <c r="P279" s="3540"/>
      <c r="Q279" s="879" t="s">
        <v>742</v>
      </c>
      <c r="R279" s="879"/>
      <c r="S279" s="879"/>
      <c r="T279" s="879"/>
      <c r="U279" s="881"/>
    </row>
    <row r="280" spans="1:21" s="883" customFormat="1" ht="6" customHeight="1">
      <c r="A280" s="890"/>
      <c r="B280" s="879"/>
      <c r="C280" s="879"/>
      <c r="D280" s="879"/>
      <c r="E280" s="879"/>
      <c r="F280" s="879"/>
      <c r="G280" s="879"/>
      <c r="H280" s="879"/>
      <c r="I280" s="879"/>
      <c r="J280" s="879"/>
      <c r="K280" s="879"/>
      <c r="L280" s="879"/>
      <c r="M280" s="879"/>
      <c r="N280" s="879"/>
      <c r="O280" s="879"/>
      <c r="P280" s="879"/>
      <c r="Q280" s="879"/>
      <c r="R280" s="879"/>
      <c r="S280" s="879"/>
      <c r="T280" s="879"/>
      <c r="U280" s="881"/>
    </row>
    <row r="281" spans="1:21" s="883" customFormat="1" ht="19.5" customHeight="1">
      <c r="A281" s="890" t="s">
        <v>8</v>
      </c>
      <c r="B281" s="879" t="s">
        <v>1375</v>
      </c>
      <c r="C281" s="879"/>
      <c r="D281" s="879"/>
      <c r="E281" s="879"/>
      <c r="F281" s="879"/>
      <c r="G281" s="879"/>
      <c r="H281" s="879"/>
      <c r="I281" s="3505" t="str">
        <f>O279</f>
        <v/>
      </c>
      <c r="J281" s="3506"/>
      <c r="K281" s="882" t="s">
        <v>143</v>
      </c>
      <c r="L281" s="3505" t="str">
        <f>R273</f>
        <v/>
      </c>
      <c r="M281" s="3506"/>
      <c r="N281" s="882" t="s">
        <v>102</v>
      </c>
      <c r="O281" s="3505" t="str">
        <f>IF(ISBLANK(E189),"",I281-L281)</f>
        <v/>
      </c>
      <c r="P281" s="3506"/>
      <c r="Q281" s="879" t="s">
        <v>742</v>
      </c>
      <c r="R281" s="879"/>
      <c r="S281" s="879"/>
      <c r="T281" s="879"/>
      <c r="U281" s="881"/>
    </row>
    <row r="282" spans="1:21" s="883" customFormat="1" ht="6" customHeight="1">
      <c r="A282" s="890"/>
      <c r="B282" s="879"/>
      <c r="C282" s="879"/>
      <c r="D282" s="879"/>
      <c r="E282" s="879"/>
      <c r="F282" s="879"/>
      <c r="G282" s="879"/>
      <c r="H282" s="879"/>
      <c r="I282" s="879"/>
      <c r="J282" s="879"/>
      <c r="K282" s="879"/>
      <c r="L282" s="879"/>
      <c r="M282" s="879"/>
      <c r="N282" s="879"/>
      <c r="O282" s="879"/>
      <c r="P282" s="879"/>
      <c r="Q282" s="879"/>
      <c r="R282" s="879"/>
      <c r="S282" s="879"/>
      <c r="T282" s="879"/>
      <c r="U282" s="881"/>
    </row>
    <row r="283" spans="1:21" s="883" customFormat="1" ht="19.5" customHeight="1">
      <c r="A283" s="890" t="s">
        <v>831</v>
      </c>
      <c r="B283" s="879" t="s">
        <v>1376</v>
      </c>
      <c r="C283" s="879"/>
      <c r="D283" s="879"/>
      <c r="E283" s="879"/>
      <c r="F283" s="879"/>
      <c r="G283" s="879"/>
      <c r="H283" s="879"/>
      <c r="I283" s="879"/>
      <c r="J283" s="879"/>
      <c r="K283" s="879"/>
      <c r="L283" s="879"/>
      <c r="M283" s="3507" t="str">
        <f>Q47</f>
        <v/>
      </c>
      <c r="N283" s="3506"/>
      <c r="O283" s="892" t="s">
        <v>101</v>
      </c>
      <c r="P283" s="3535">
        <f>1.6</f>
        <v>1.6</v>
      </c>
      <c r="Q283" s="3535"/>
      <c r="R283" s="892" t="s">
        <v>102</v>
      </c>
      <c r="S283" s="3507" t="str">
        <f>IF(ISBLANK(E189),"",M283*P283)</f>
        <v/>
      </c>
      <c r="T283" s="3506"/>
      <c r="U283" s="894" t="s">
        <v>827</v>
      </c>
    </row>
    <row r="284" spans="1:21" s="883" customFormat="1" ht="6" customHeight="1">
      <c r="A284" s="890"/>
      <c r="B284" s="879"/>
      <c r="C284" s="879"/>
      <c r="D284" s="879"/>
      <c r="E284" s="879"/>
      <c r="F284" s="879"/>
      <c r="G284" s="879"/>
      <c r="H284" s="879"/>
      <c r="I284" s="879"/>
      <c r="J284" s="879"/>
      <c r="K284" s="879"/>
      <c r="L284" s="879"/>
      <c r="M284" s="879"/>
      <c r="N284" s="879"/>
      <c r="O284" s="879"/>
      <c r="P284" s="879"/>
      <c r="Q284" s="879"/>
      <c r="R284" s="879"/>
      <c r="S284" s="879"/>
      <c r="T284" s="879"/>
      <c r="U284" s="881"/>
    </row>
    <row r="285" spans="1:21" s="883" customFormat="1" ht="15" customHeight="1">
      <c r="A285" s="890" t="s">
        <v>832</v>
      </c>
      <c r="B285" s="879" t="s">
        <v>1377</v>
      </c>
      <c r="C285" s="879"/>
      <c r="D285" s="879"/>
      <c r="E285" s="879"/>
      <c r="F285" s="879"/>
      <c r="G285" s="879"/>
      <c r="H285" s="879"/>
      <c r="I285" s="879"/>
      <c r="J285" s="879"/>
      <c r="K285" s="879"/>
      <c r="L285" s="879"/>
      <c r="M285" s="879"/>
      <c r="N285" s="879"/>
      <c r="O285" s="879"/>
      <c r="P285" s="879"/>
      <c r="Q285" s="879"/>
      <c r="R285" s="879"/>
      <c r="S285" s="879"/>
      <c r="T285" s="879"/>
      <c r="U285" s="881"/>
    </row>
    <row r="286" spans="1:21" s="883" customFormat="1" ht="6" customHeight="1">
      <c r="A286" s="890"/>
      <c r="B286" s="879"/>
      <c r="C286" s="879"/>
      <c r="D286" s="879"/>
      <c r="E286" s="879"/>
      <c r="F286" s="879"/>
      <c r="G286" s="879"/>
      <c r="H286" s="879"/>
      <c r="I286" s="879"/>
      <c r="J286" s="879"/>
      <c r="K286" s="879"/>
      <c r="L286" s="879"/>
      <c r="M286" s="879"/>
      <c r="N286" s="879"/>
      <c r="O286" s="879"/>
      <c r="P286" s="879"/>
      <c r="Q286" s="879"/>
      <c r="R286" s="879"/>
      <c r="S286" s="879"/>
      <c r="T286" s="879"/>
      <c r="U286" s="881"/>
    </row>
    <row r="287" spans="1:21" s="883" customFormat="1" ht="19.5" customHeight="1">
      <c r="A287" s="890"/>
      <c r="B287" s="3541" t="str">
        <f>L259</f>
        <v/>
      </c>
      <c r="C287" s="3538"/>
      <c r="D287" s="882" t="s">
        <v>311</v>
      </c>
      <c r="E287" s="3507" t="str">
        <f>S283</f>
        <v/>
      </c>
      <c r="F287" s="3506"/>
      <c r="G287" s="882" t="s">
        <v>102</v>
      </c>
      <c r="H287" s="3541" t="str">
        <f>IF(ISBLANK(E189),"",B287+E287)</f>
        <v/>
      </c>
      <c r="I287" s="3538"/>
      <c r="J287" s="887" t="s">
        <v>867</v>
      </c>
      <c r="K287" s="879"/>
      <c r="L287" s="879"/>
      <c r="M287" s="879"/>
      <c r="N287" s="879"/>
      <c r="O287" s="879"/>
      <c r="P287" s="879"/>
      <c r="Q287" s="879"/>
      <c r="R287" s="879"/>
      <c r="S287" s="879"/>
      <c r="T287" s="879"/>
      <c r="U287" s="881"/>
    </row>
    <row r="288" spans="1:21" s="883" customFormat="1" ht="6" customHeight="1">
      <c r="A288" s="890"/>
      <c r="B288" s="879"/>
      <c r="C288" s="879"/>
      <c r="D288" s="879"/>
      <c r="E288" s="879"/>
      <c r="F288" s="879"/>
      <c r="G288" s="879"/>
      <c r="H288" s="879"/>
      <c r="I288" s="879"/>
      <c r="J288" s="879"/>
      <c r="K288" s="879"/>
      <c r="L288" s="879"/>
      <c r="M288" s="879"/>
      <c r="N288" s="879"/>
      <c r="O288" s="879"/>
      <c r="P288" s="879"/>
      <c r="Q288" s="879"/>
      <c r="R288" s="879"/>
      <c r="S288" s="879"/>
      <c r="T288" s="879"/>
      <c r="U288" s="881"/>
    </row>
    <row r="289" spans="1:22" s="883" customFormat="1" ht="19.5" customHeight="1">
      <c r="A289" s="890" t="s">
        <v>833</v>
      </c>
      <c r="B289" s="879" t="s">
        <v>1378</v>
      </c>
      <c r="C289" s="879"/>
      <c r="D289" s="879"/>
      <c r="E289" s="879"/>
      <c r="F289" s="879"/>
      <c r="G289" s="879"/>
      <c r="H289" s="879"/>
      <c r="I289" s="879"/>
      <c r="J289" s="879"/>
      <c r="K289" s="3507" t="str">
        <f>H287</f>
        <v/>
      </c>
      <c r="L289" s="3506"/>
      <c r="M289" s="882" t="s">
        <v>101</v>
      </c>
      <c r="N289" s="3505" t="str">
        <f>R273</f>
        <v/>
      </c>
      <c r="O289" s="3506"/>
      <c r="P289" s="882" t="s">
        <v>102</v>
      </c>
      <c r="Q289" s="3511" t="str">
        <f>IF(ISBLANK(E189),"",K289*N289)</f>
        <v/>
      </c>
      <c r="R289" s="3512"/>
      <c r="S289" s="879" t="s">
        <v>827</v>
      </c>
      <c r="T289" s="879"/>
      <c r="U289" s="881"/>
    </row>
    <row r="290" spans="1:22" s="883" customFormat="1" ht="6" customHeight="1">
      <c r="A290" s="890"/>
      <c r="B290" s="879"/>
      <c r="C290" s="879"/>
      <c r="D290" s="879"/>
      <c r="E290" s="879"/>
      <c r="F290" s="879"/>
      <c r="G290" s="879"/>
      <c r="H290" s="879"/>
      <c r="I290" s="879"/>
      <c r="J290" s="879"/>
      <c r="K290" s="879"/>
      <c r="L290" s="879"/>
      <c r="M290" s="879"/>
      <c r="N290" s="879"/>
      <c r="O290" s="879"/>
      <c r="P290" s="879"/>
      <c r="Q290" s="879"/>
      <c r="R290" s="879"/>
      <c r="S290" s="879"/>
      <c r="T290" s="879"/>
      <c r="U290" s="881"/>
    </row>
    <row r="291" spans="1:22" s="883" customFormat="1" ht="15" customHeight="1">
      <c r="A291" s="890"/>
      <c r="B291" s="879" t="s">
        <v>880</v>
      </c>
      <c r="C291" s="895"/>
      <c r="D291" s="895"/>
      <c r="E291" s="895"/>
      <c r="F291" s="895"/>
      <c r="G291" s="895"/>
      <c r="H291" s="895"/>
      <c r="I291" s="895"/>
      <c r="J291" s="895"/>
      <c r="K291" s="895"/>
      <c r="L291" s="896"/>
      <c r="M291" s="879"/>
      <c r="N291" s="879"/>
      <c r="O291" s="879"/>
      <c r="P291" s="879"/>
      <c r="Q291" s="879"/>
      <c r="R291" s="879"/>
      <c r="S291" s="879"/>
      <c r="T291" s="879"/>
      <c r="U291" s="881"/>
      <c r="V291" s="895"/>
    </row>
    <row r="292" spans="1:22" s="883" customFormat="1" ht="6" customHeight="1">
      <c r="A292" s="890"/>
      <c r="B292" s="879"/>
      <c r="C292" s="879"/>
      <c r="D292" s="879"/>
      <c r="E292" s="879"/>
      <c r="F292" s="879"/>
      <c r="G292" s="879"/>
      <c r="H292" s="879"/>
      <c r="I292" s="879"/>
      <c r="J292" s="879"/>
      <c r="K292" s="879"/>
      <c r="L292" s="879"/>
      <c r="M292" s="879"/>
      <c r="N292" s="879"/>
      <c r="O292" s="879"/>
      <c r="P292" s="879"/>
      <c r="Q292" s="879"/>
      <c r="R292" s="879"/>
      <c r="S292" s="879"/>
      <c r="T292" s="879"/>
      <c r="U292" s="881"/>
    </row>
    <row r="293" spans="1:22" s="883" customFormat="1" ht="19.5" customHeight="1">
      <c r="A293" s="890"/>
      <c r="B293" s="3505" t="str">
        <f>IF(ISBLANK(E189),"",E41)</f>
        <v/>
      </c>
      <c r="C293" s="3513"/>
      <c r="D293" s="896" t="s">
        <v>101</v>
      </c>
      <c r="E293" s="3505" t="str">
        <f>K277</f>
        <v/>
      </c>
      <c r="F293" s="3513"/>
      <c r="G293" s="896" t="s">
        <v>101</v>
      </c>
      <c r="H293" s="3505" t="str">
        <f>R273</f>
        <v/>
      </c>
      <c r="I293" s="3513"/>
      <c r="J293" s="896" t="s">
        <v>102</v>
      </c>
      <c r="K293" s="3505" t="str">
        <f>IF(ISBLANK(E189),"",B293*E293*H293)</f>
        <v/>
      </c>
      <c r="L293" s="3513"/>
      <c r="M293" s="895" t="s">
        <v>742</v>
      </c>
      <c r="N293" s="879"/>
      <c r="O293" s="879"/>
      <c r="P293" s="879"/>
      <c r="Q293" s="879"/>
      <c r="R293" s="879"/>
      <c r="S293" s="879"/>
      <c r="T293" s="879"/>
      <c r="U293" s="881"/>
    </row>
    <row r="294" spans="1:22" ht="6" customHeight="1">
      <c r="A294" s="671"/>
      <c r="B294" s="672"/>
      <c r="C294" s="672"/>
      <c r="D294" s="672"/>
      <c r="E294" s="672"/>
      <c r="F294" s="672"/>
      <c r="G294" s="672"/>
      <c r="H294" s="672"/>
      <c r="I294" s="672"/>
      <c r="J294" s="672"/>
      <c r="K294" s="672"/>
      <c r="L294" s="672"/>
      <c r="M294" s="672"/>
      <c r="N294" s="672"/>
      <c r="O294" s="672"/>
      <c r="P294" s="672"/>
      <c r="Q294" s="672"/>
      <c r="R294" s="672"/>
      <c r="S294" s="672"/>
      <c r="T294" s="672"/>
      <c r="U294" s="673"/>
    </row>
    <row r="295" spans="1:22">
      <c r="A295" s="657"/>
      <c r="B295" s="658" t="s">
        <v>31</v>
      </c>
      <c r="C295" s="658"/>
      <c r="D295" s="658"/>
      <c r="E295" s="658"/>
      <c r="F295" s="658"/>
      <c r="G295" s="658"/>
      <c r="H295" s="658"/>
      <c r="I295" s="658"/>
      <c r="J295" s="658"/>
      <c r="K295" s="658"/>
      <c r="L295" s="658"/>
      <c r="M295" s="658"/>
      <c r="N295" s="658"/>
      <c r="O295" s="658"/>
      <c r="P295" s="658"/>
      <c r="Q295" s="658"/>
      <c r="R295" s="658"/>
      <c r="S295" s="658"/>
      <c r="T295" s="658"/>
      <c r="U295" s="659"/>
    </row>
    <row r="296" spans="1:22">
      <c r="A296" s="657"/>
      <c r="B296" s="3519"/>
      <c r="C296" s="3520"/>
      <c r="D296" s="3520"/>
      <c r="E296" s="3520"/>
      <c r="F296" s="3520"/>
      <c r="G296" s="3520"/>
      <c r="H296" s="3520"/>
      <c r="I296" s="3520"/>
      <c r="J296" s="3520"/>
      <c r="K296" s="3520"/>
      <c r="L296" s="3520"/>
      <c r="M296" s="3520"/>
      <c r="N296" s="3520"/>
      <c r="O296" s="3520"/>
      <c r="P296" s="3520"/>
      <c r="Q296" s="3520"/>
      <c r="R296" s="3520"/>
      <c r="S296" s="3520"/>
      <c r="T296" s="3520"/>
      <c r="U296" s="3521"/>
    </row>
    <row r="297" spans="1:22">
      <c r="A297" s="657"/>
      <c r="B297" s="3522"/>
      <c r="C297" s="3523"/>
      <c r="D297" s="3523"/>
      <c r="E297" s="3523"/>
      <c r="F297" s="3523"/>
      <c r="G297" s="3523"/>
      <c r="H297" s="3523"/>
      <c r="I297" s="3523"/>
      <c r="J297" s="3523"/>
      <c r="K297" s="3523"/>
      <c r="L297" s="3523"/>
      <c r="M297" s="3523"/>
      <c r="N297" s="3523"/>
      <c r="O297" s="3523"/>
      <c r="P297" s="3523"/>
      <c r="Q297" s="3523"/>
      <c r="R297" s="3523"/>
      <c r="S297" s="3523"/>
      <c r="T297" s="3523"/>
      <c r="U297" s="3524"/>
    </row>
    <row r="298" spans="1:22">
      <c r="A298" s="657"/>
      <c r="B298" s="3522"/>
      <c r="C298" s="3523"/>
      <c r="D298" s="3523"/>
      <c r="E298" s="3523"/>
      <c r="F298" s="3523"/>
      <c r="G298" s="3523"/>
      <c r="H298" s="3523"/>
      <c r="I298" s="3523"/>
      <c r="J298" s="3523"/>
      <c r="K298" s="3523"/>
      <c r="L298" s="3523"/>
      <c r="M298" s="3523"/>
      <c r="N298" s="3523"/>
      <c r="O298" s="3523"/>
      <c r="P298" s="3523"/>
      <c r="Q298" s="3523"/>
      <c r="R298" s="3523"/>
      <c r="S298" s="3523"/>
      <c r="T298" s="3523"/>
      <c r="U298" s="3524"/>
    </row>
    <row r="299" spans="1:22">
      <c r="A299" s="657"/>
      <c r="B299" s="3522"/>
      <c r="C299" s="3523"/>
      <c r="D299" s="3523"/>
      <c r="E299" s="3523"/>
      <c r="F299" s="3523"/>
      <c r="G299" s="3523"/>
      <c r="H299" s="3523"/>
      <c r="I299" s="3523"/>
      <c r="J299" s="3523"/>
      <c r="K299" s="3523"/>
      <c r="L299" s="3523"/>
      <c r="M299" s="3523"/>
      <c r="N299" s="3523"/>
      <c r="O299" s="3523"/>
      <c r="P299" s="3523"/>
      <c r="Q299" s="3523"/>
      <c r="R299" s="3523"/>
      <c r="S299" s="3523"/>
      <c r="T299" s="3523"/>
      <c r="U299" s="3524"/>
    </row>
    <row r="300" spans="1:22">
      <c r="A300" s="657"/>
      <c r="B300" s="3522"/>
      <c r="C300" s="3523"/>
      <c r="D300" s="3523"/>
      <c r="E300" s="3523"/>
      <c r="F300" s="3523"/>
      <c r="G300" s="3523"/>
      <c r="H300" s="3523"/>
      <c r="I300" s="3523"/>
      <c r="J300" s="3523"/>
      <c r="K300" s="3523"/>
      <c r="L300" s="3523"/>
      <c r="M300" s="3523"/>
      <c r="N300" s="3523"/>
      <c r="O300" s="3523"/>
      <c r="P300" s="3523"/>
      <c r="Q300" s="3523"/>
      <c r="R300" s="3523"/>
      <c r="S300" s="3523"/>
      <c r="T300" s="3523"/>
      <c r="U300" s="3524"/>
    </row>
    <row r="301" spans="1:22">
      <c r="A301" s="657"/>
      <c r="B301" s="3522"/>
      <c r="C301" s="3523"/>
      <c r="D301" s="3523"/>
      <c r="E301" s="3523"/>
      <c r="F301" s="3523"/>
      <c r="G301" s="3523"/>
      <c r="H301" s="3523"/>
      <c r="I301" s="3523"/>
      <c r="J301" s="3523"/>
      <c r="K301" s="3523"/>
      <c r="L301" s="3523"/>
      <c r="M301" s="3523"/>
      <c r="N301" s="3523"/>
      <c r="O301" s="3523"/>
      <c r="P301" s="3523"/>
      <c r="Q301" s="3523"/>
      <c r="R301" s="3523"/>
      <c r="S301" s="3523"/>
      <c r="T301" s="3523"/>
      <c r="U301" s="3524"/>
    </row>
    <row r="302" spans="1:22">
      <c r="A302" s="657"/>
      <c r="B302" s="3522"/>
      <c r="C302" s="3523"/>
      <c r="D302" s="3523"/>
      <c r="E302" s="3523"/>
      <c r="F302" s="3523"/>
      <c r="G302" s="3523"/>
      <c r="H302" s="3523"/>
      <c r="I302" s="3523"/>
      <c r="J302" s="3523"/>
      <c r="K302" s="3523"/>
      <c r="L302" s="3523"/>
      <c r="M302" s="3523"/>
      <c r="N302" s="3523"/>
      <c r="O302" s="3523"/>
      <c r="P302" s="3523"/>
      <c r="Q302" s="3523"/>
      <c r="R302" s="3523"/>
      <c r="S302" s="3523"/>
      <c r="T302" s="3523"/>
      <c r="U302" s="3524"/>
    </row>
    <row r="303" spans="1:22">
      <c r="A303" s="657"/>
      <c r="B303" s="3525"/>
      <c r="C303" s="3526"/>
      <c r="D303" s="3526"/>
      <c r="E303" s="3526"/>
      <c r="F303" s="3526"/>
      <c r="G303" s="3526"/>
      <c r="H303" s="3526"/>
      <c r="I303" s="3526"/>
      <c r="J303" s="3526"/>
      <c r="K303" s="3526"/>
      <c r="L303" s="3526"/>
      <c r="M303" s="3526"/>
      <c r="N303" s="3526"/>
      <c r="O303" s="3526"/>
      <c r="P303" s="3526"/>
      <c r="Q303" s="3526"/>
      <c r="R303" s="3526"/>
      <c r="S303" s="3526"/>
      <c r="T303" s="3526"/>
      <c r="U303" s="3527"/>
    </row>
    <row r="304" spans="1:22">
      <c r="A304" s="671"/>
      <c r="B304" s="672"/>
      <c r="C304" s="672"/>
      <c r="D304" s="672"/>
      <c r="E304" s="672"/>
      <c r="F304" s="672"/>
      <c r="G304" s="672"/>
      <c r="H304" s="672"/>
      <c r="I304" s="672"/>
      <c r="J304" s="672"/>
      <c r="K304" s="672"/>
      <c r="L304" s="672"/>
      <c r="M304" s="672"/>
      <c r="N304" s="672"/>
      <c r="O304" s="672"/>
      <c r="P304" s="672"/>
      <c r="Q304" s="672"/>
      <c r="R304" s="672"/>
      <c r="S304" s="672"/>
      <c r="T304" s="672"/>
      <c r="U304" s="673"/>
    </row>
  </sheetData>
  <sheetProtection sheet="1" objects="1" scenarios="1"/>
  <customSheetViews>
    <customSheetView guid="{D1431318-1DB8-4C45-813B-5A8065DFC797}" showPageBreaks="1" zeroValues="0" printArea="1" view="pageBreakPreview">
      <selection activeCell="F10" sqref="F10:G10"/>
      <rowBreaks count="3" manualBreakCount="3">
        <brk id="78" max="16383" man="1"/>
        <brk id="166" max="16383" man="1"/>
        <brk id="262" max="16383" man="1"/>
      </rowBreaks>
      <pageMargins left="0.5" right="0.5" top="0.25" bottom="0.25" header="0.3" footer="0.3"/>
      <printOptions horizontalCentered="1"/>
      <pageSetup scale="65" orientation="portrait" blackAndWhite="1" r:id="rId1"/>
    </customSheetView>
  </customSheetViews>
  <mergeCells count="284">
    <mergeCell ref="B293:C293"/>
    <mergeCell ref="E293:F293"/>
    <mergeCell ref="H293:I293"/>
    <mergeCell ref="K293:L293"/>
    <mergeCell ref="F8:G8"/>
    <mergeCell ref="F10:G10"/>
    <mergeCell ref="G12:H12"/>
    <mergeCell ref="F16:G16"/>
    <mergeCell ref="N24:O24"/>
    <mergeCell ref="B287:C287"/>
    <mergeCell ref="F245:G245"/>
    <mergeCell ref="M245:N245"/>
    <mergeCell ref="M247:N247"/>
    <mergeCell ref="L253:M253"/>
    <mergeCell ref="O253:P253"/>
    <mergeCell ref="C259:D259"/>
    <mergeCell ref="F259:G259"/>
    <mergeCell ref="L259:M259"/>
    <mergeCell ref="A241:U241"/>
    <mergeCell ref="E243:F243"/>
    <mergeCell ref="I227:J227"/>
    <mergeCell ref="L227:M227"/>
    <mergeCell ref="O227:P227"/>
    <mergeCell ref="M229:N229"/>
    <mergeCell ref="K289:L289"/>
    <mergeCell ref="N289:O289"/>
    <mergeCell ref="Q289:R289"/>
    <mergeCell ref="M283:N283"/>
    <mergeCell ref="P283:Q283"/>
    <mergeCell ref="S283:T283"/>
    <mergeCell ref="E287:F287"/>
    <mergeCell ref="H287:I287"/>
    <mergeCell ref="R24:S24"/>
    <mergeCell ref="P30:Q30"/>
    <mergeCell ref="M74:T75"/>
    <mergeCell ref="E83:F83"/>
    <mergeCell ref="E87:F87"/>
    <mergeCell ref="I281:J281"/>
    <mergeCell ref="L281:M281"/>
    <mergeCell ref="O281:P281"/>
    <mergeCell ref="O271:P271"/>
    <mergeCell ref="L273:M273"/>
    <mergeCell ref="I279:J279"/>
    <mergeCell ref="L279:M279"/>
    <mergeCell ref="O279:P279"/>
    <mergeCell ref="P261:Q261"/>
    <mergeCell ref="S261:T261"/>
    <mergeCell ref="Q269:R269"/>
    <mergeCell ref="O273:P273"/>
    <mergeCell ref="R273:S273"/>
    <mergeCell ref="B277:C277"/>
    <mergeCell ref="E277:F277"/>
    <mergeCell ref="H277:I277"/>
    <mergeCell ref="K277:L277"/>
    <mergeCell ref="B269:C269"/>
    <mergeCell ref="C265:D265"/>
    <mergeCell ref="F265:G265"/>
    <mergeCell ref="J265:K265"/>
    <mergeCell ref="M265:N265"/>
    <mergeCell ref="M261:N261"/>
    <mergeCell ref="E269:F269"/>
    <mergeCell ref="H269:I269"/>
    <mergeCell ref="K269:L269"/>
    <mergeCell ref="N269:O269"/>
    <mergeCell ref="R253:S253"/>
    <mergeCell ref="M255:N255"/>
    <mergeCell ref="P255:Q255"/>
    <mergeCell ref="S255:T255"/>
    <mergeCell ref="P247:Q247"/>
    <mergeCell ref="S247:T247"/>
    <mergeCell ref="F249:G249"/>
    <mergeCell ref="M249:N249"/>
    <mergeCell ref="M251:N251"/>
    <mergeCell ref="P251:Q251"/>
    <mergeCell ref="S251:T251"/>
    <mergeCell ref="P229:Q229"/>
    <mergeCell ref="S229:T229"/>
    <mergeCell ref="B233:C233"/>
    <mergeCell ref="E233:F233"/>
    <mergeCell ref="K235:L235"/>
    <mergeCell ref="N235:O235"/>
    <mergeCell ref="Q235:R235"/>
    <mergeCell ref="B239:C239"/>
    <mergeCell ref="E239:F239"/>
    <mergeCell ref="H239:I239"/>
    <mergeCell ref="K239:L239"/>
    <mergeCell ref="H233:I233"/>
    <mergeCell ref="O217:P217"/>
    <mergeCell ref="L219:M219"/>
    <mergeCell ref="O219:P219"/>
    <mergeCell ref="R219:S219"/>
    <mergeCell ref="B223:C223"/>
    <mergeCell ref="E223:F223"/>
    <mergeCell ref="H223:I223"/>
    <mergeCell ref="K223:L223"/>
    <mergeCell ref="I225:J225"/>
    <mergeCell ref="L225:M225"/>
    <mergeCell ref="O225:P225"/>
    <mergeCell ref="C211:D211"/>
    <mergeCell ref="F211:G211"/>
    <mergeCell ref="J211:K211"/>
    <mergeCell ref="M211:N211"/>
    <mergeCell ref="B215:C215"/>
    <mergeCell ref="S201:T201"/>
    <mergeCell ref="C205:D205"/>
    <mergeCell ref="F205:G205"/>
    <mergeCell ref="L205:M205"/>
    <mergeCell ref="M201:N201"/>
    <mergeCell ref="P201:Q201"/>
    <mergeCell ref="E215:F215"/>
    <mergeCell ref="H215:I215"/>
    <mergeCell ref="K215:L215"/>
    <mergeCell ref="N215:O215"/>
    <mergeCell ref="Q215:R215"/>
    <mergeCell ref="L199:M199"/>
    <mergeCell ref="O199:P199"/>
    <mergeCell ref="R199:S199"/>
    <mergeCell ref="M207:N207"/>
    <mergeCell ref="P207:Q207"/>
    <mergeCell ref="S207:T207"/>
    <mergeCell ref="A187:U187"/>
    <mergeCell ref="E189:F189"/>
    <mergeCell ref="M195:N195"/>
    <mergeCell ref="F191:G191"/>
    <mergeCell ref="M191:N191"/>
    <mergeCell ref="M193:N193"/>
    <mergeCell ref="P193:Q193"/>
    <mergeCell ref="M197:N197"/>
    <mergeCell ref="P197:Q197"/>
    <mergeCell ref="S197:T197"/>
    <mergeCell ref="S193:T193"/>
    <mergeCell ref="F195:G195"/>
    <mergeCell ref="B185:C185"/>
    <mergeCell ref="E185:F185"/>
    <mergeCell ref="H185:I185"/>
    <mergeCell ref="K185:L185"/>
    <mergeCell ref="I181:J181"/>
    <mergeCell ref="L181:M181"/>
    <mergeCell ref="O181:P181"/>
    <mergeCell ref="B179:C179"/>
    <mergeCell ref="E179:F179"/>
    <mergeCell ref="O163:P163"/>
    <mergeCell ref="L165:M165"/>
    <mergeCell ref="O165:P165"/>
    <mergeCell ref="I173:J173"/>
    <mergeCell ref="L173:M173"/>
    <mergeCell ref="O173:P173"/>
    <mergeCell ref="K175:L175"/>
    <mergeCell ref="M175:N175"/>
    <mergeCell ref="O175:P175"/>
    <mergeCell ref="R165:S165"/>
    <mergeCell ref="B169:C169"/>
    <mergeCell ref="E169:F169"/>
    <mergeCell ref="H169:I169"/>
    <mergeCell ref="K169:L169"/>
    <mergeCell ref="I171:J171"/>
    <mergeCell ref="L171:M171"/>
    <mergeCell ref="O171:P171"/>
    <mergeCell ref="H179:I179"/>
    <mergeCell ref="M147:N147"/>
    <mergeCell ref="P147:Q147"/>
    <mergeCell ref="S147:T147"/>
    <mergeCell ref="C151:D151"/>
    <mergeCell ref="F151:G151"/>
    <mergeCell ref="L151:M151"/>
    <mergeCell ref="B161:C161"/>
    <mergeCell ref="E161:F161"/>
    <mergeCell ref="H161:I161"/>
    <mergeCell ref="K161:L161"/>
    <mergeCell ref="N161:O161"/>
    <mergeCell ref="Q161:R161"/>
    <mergeCell ref="M153:N153"/>
    <mergeCell ref="P153:Q153"/>
    <mergeCell ref="S153:T153"/>
    <mergeCell ref="C157:D157"/>
    <mergeCell ref="F157:G157"/>
    <mergeCell ref="J157:K157"/>
    <mergeCell ref="M157:N157"/>
    <mergeCell ref="A133:U133"/>
    <mergeCell ref="E135:F135"/>
    <mergeCell ref="S143:T143"/>
    <mergeCell ref="E137:F137"/>
    <mergeCell ref="E141:F141"/>
    <mergeCell ref="K127:L127"/>
    <mergeCell ref="N127:O127"/>
    <mergeCell ref="Q127:R127"/>
    <mergeCell ref="S145:T145"/>
    <mergeCell ref="P145:Q145"/>
    <mergeCell ref="M145:N145"/>
    <mergeCell ref="M137:N137"/>
    <mergeCell ref="M139:N139"/>
    <mergeCell ref="P139:Q139"/>
    <mergeCell ref="S139:T139"/>
    <mergeCell ref="M141:N141"/>
    <mergeCell ref="M143:N143"/>
    <mergeCell ref="P143:Q143"/>
    <mergeCell ref="I119:J119"/>
    <mergeCell ref="L119:M119"/>
    <mergeCell ref="O119:P119"/>
    <mergeCell ref="P121:Q121"/>
    <mergeCell ref="S121:T121"/>
    <mergeCell ref="B131:C131"/>
    <mergeCell ref="E131:F131"/>
    <mergeCell ref="H131:I131"/>
    <mergeCell ref="K131:L131"/>
    <mergeCell ref="B125:C125"/>
    <mergeCell ref="E125:F125"/>
    <mergeCell ref="H125:I125"/>
    <mergeCell ref="M121:N121"/>
    <mergeCell ref="R111:S111"/>
    <mergeCell ref="B115:C115"/>
    <mergeCell ref="E115:F115"/>
    <mergeCell ref="H115:I115"/>
    <mergeCell ref="K115:L115"/>
    <mergeCell ref="I117:J117"/>
    <mergeCell ref="L117:M117"/>
    <mergeCell ref="O117:P117"/>
    <mergeCell ref="O109:P109"/>
    <mergeCell ref="L111:M111"/>
    <mergeCell ref="O111:P111"/>
    <mergeCell ref="B107:C107"/>
    <mergeCell ref="E107:F107"/>
    <mergeCell ref="H107:I107"/>
    <mergeCell ref="K107:L107"/>
    <mergeCell ref="N107:O107"/>
    <mergeCell ref="Q107:R107"/>
    <mergeCell ref="M99:N99"/>
    <mergeCell ref="P99:Q99"/>
    <mergeCell ref="S99:T99"/>
    <mergeCell ref="C103:D103"/>
    <mergeCell ref="F103:G103"/>
    <mergeCell ref="J103:K103"/>
    <mergeCell ref="M103:N103"/>
    <mergeCell ref="M85:N85"/>
    <mergeCell ref="P85:Q85"/>
    <mergeCell ref="M89:N89"/>
    <mergeCell ref="P89:Q89"/>
    <mergeCell ref="S89:T89"/>
    <mergeCell ref="S91:T91"/>
    <mergeCell ref="M93:N93"/>
    <mergeCell ref="P93:Q93"/>
    <mergeCell ref="S93:T93"/>
    <mergeCell ref="B296:U303"/>
    <mergeCell ref="E4:F4"/>
    <mergeCell ref="A6:U6"/>
    <mergeCell ref="F14:G14"/>
    <mergeCell ref="A18:U18"/>
    <mergeCell ref="E20:F20"/>
    <mergeCell ref="L20:M20"/>
    <mergeCell ref="S85:T85"/>
    <mergeCell ref="M87:N87"/>
    <mergeCell ref="C45:D45"/>
    <mergeCell ref="F45:G45"/>
    <mergeCell ref="J45:K45"/>
    <mergeCell ref="M45:N45"/>
    <mergeCell ref="Q47:R47"/>
    <mergeCell ref="K47:L47"/>
    <mergeCell ref="N47:O47"/>
    <mergeCell ref="B74:K75"/>
    <mergeCell ref="C97:D97"/>
    <mergeCell ref="F97:G97"/>
    <mergeCell ref="L97:M97"/>
    <mergeCell ref="P91:Q91"/>
    <mergeCell ref="M91:N91"/>
    <mergeCell ref="E81:F81"/>
    <mergeCell ref="M83:N83"/>
    <mergeCell ref="E1:P1"/>
    <mergeCell ref="E35:F35"/>
    <mergeCell ref="B39:C39"/>
    <mergeCell ref="E39:F39"/>
    <mergeCell ref="H39:I39"/>
    <mergeCell ref="E41:F41"/>
    <mergeCell ref="A79:U79"/>
    <mergeCell ref="B28:C28"/>
    <mergeCell ref="E28:F28"/>
    <mergeCell ref="L33:M33"/>
    <mergeCell ref="O33:P33"/>
    <mergeCell ref="R33:S33"/>
    <mergeCell ref="I28:J28"/>
    <mergeCell ref="I2:J2"/>
    <mergeCell ref="K2:L2"/>
    <mergeCell ref="P24:Q24"/>
    <mergeCell ref="E22:F22"/>
    <mergeCell ref="J24:K24"/>
  </mergeCells>
  <printOptions horizontalCentered="1"/>
  <pageMargins left="0.5" right="0.5" top="0.25" bottom="0.25" header="0.3" footer="0.3"/>
  <pageSetup scale="65" orientation="portrait" blackAndWhite="1" r:id="rId2"/>
  <rowBreaks count="3" manualBreakCount="3">
    <brk id="78" max="16383" man="1"/>
    <brk id="166" max="16383" man="1"/>
    <brk id="262" max="16383" man="1"/>
  </rowBreaks>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55"/>
  </sheetPr>
  <dimension ref="A1:AN86"/>
  <sheetViews>
    <sheetView showGridLines="0" showZeros="0" view="pageBreakPreview" zoomScaleNormal="100" zoomScaleSheetLayoutView="100" workbookViewId="0">
      <selection activeCell="J4" sqref="J4:K4"/>
    </sheetView>
  </sheetViews>
  <sheetFormatPr defaultColWidth="5.44140625" defaultRowHeight="14.4"/>
  <cols>
    <col min="1" max="1" width="5.44140625" style="2" customWidth="1"/>
    <col min="2" max="20" width="5.44140625" style="1" customWidth="1"/>
    <col min="21" max="21" width="19.44140625" style="1" customWidth="1"/>
    <col min="22" max="31" width="5.44140625" style="1" customWidth="1"/>
    <col min="32" max="32" width="16" style="1" customWidth="1"/>
    <col min="33" max="33" width="5.44140625" style="1" customWidth="1"/>
    <col min="34" max="34" width="7.88671875" style="1" customWidth="1"/>
    <col min="35" max="35" width="5.44140625" style="1"/>
    <col min="36" max="36" width="7.44140625" style="1" bestFit="1" customWidth="1"/>
    <col min="37" max="16384" width="5.44140625" style="1"/>
  </cols>
  <sheetData>
    <row r="1" spans="1:40" s="2" customFormat="1" ht="54.9" customHeight="1">
      <c r="B1" s="468"/>
      <c r="C1" s="468"/>
      <c r="E1" s="3574" t="s">
        <v>1769</v>
      </c>
      <c r="F1" s="3574"/>
      <c r="G1" s="3574"/>
      <c r="H1" s="3574"/>
      <c r="I1" s="3574"/>
      <c r="J1" s="3574"/>
      <c r="K1" s="3574"/>
      <c r="L1" s="3574"/>
      <c r="M1" s="3574"/>
      <c r="N1" s="1750"/>
      <c r="O1" s="1167"/>
      <c r="P1" s="1167"/>
      <c r="Q1" s="1167"/>
      <c r="R1" s="1167"/>
      <c r="AH1" s="17"/>
      <c r="AI1" s="469"/>
      <c r="AJ1" s="85"/>
      <c r="AM1" s="469"/>
      <c r="AN1" s="94"/>
    </row>
    <row r="2" spans="1:40" s="653" customFormat="1" ht="15.6" customHeight="1">
      <c r="A2" s="1160"/>
      <c r="B2" s="1161"/>
      <c r="C2" s="1161"/>
      <c r="D2" s="1161"/>
      <c r="E2" s="1161"/>
      <c r="F2" s="1161"/>
      <c r="G2" s="1161"/>
      <c r="H2" s="1161"/>
      <c r="I2" s="3515" t="s">
        <v>1016</v>
      </c>
      <c r="J2" s="3515"/>
      <c r="K2" s="3516" t="str">
        <f>IF(ISBLANK(Summary!S3)," ",Summary!S3)</f>
        <v xml:space="preserve"> </v>
      </c>
      <c r="L2" s="3516"/>
      <c r="M2" s="1161"/>
      <c r="N2" s="1161"/>
      <c r="O2" s="1161"/>
      <c r="P2" s="1161"/>
      <c r="Q2" s="1161"/>
      <c r="R2" s="1162" t="str">
        <f>'Drop-Down Lists'!J40</f>
        <v>v 04.01.2021</v>
      </c>
    </row>
    <row r="3" spans="1:40" s="653" customFormat="1" ht="5.4" customHeight="1">
      <c r="A3" s="2151"/>
      <c r="B3" s="2152"/>
      <c r="C3" s="2152"/>
      <c r="D3" s="2152"/>
      <c r="E3" s="2152"/>
      <c r="F3" s="2152"/>
      <c r="G3" s="2152"/>
      <c r="H3" s="2152"/>
      <c r="I3" s="2153"/>
      <c r="J3" s="2153"/>
      <c r="K3" s="2154"/>
      <c r="L3" s="2154"/>
      <c r="M3" s="2152"/>
      <c r="N3" s="2152"/>
      <c r="O3" s="2152"/>
      <c r="P3" s="2152"/>
      <c r="Q3" s="2152"/>
      <c r="R3" s="2155"/>
    </row>
    <row r="4" spans="1:40" s="7" customFormat="1" ht="20.100000000000001" customHeight="1">
      <c r="A4" s="2133" t="s">
        <v>88</v>
      </c>
      <c r="B4" s="2137" t="s">
        <v>1059</v>
      </c>
      <c r="C4" s="801"/>
      <c r="D4" s="801"/>
      <c r="E4" s="801"/>
      <c r="F4" s="801"/>
      <c r="G4" s="801"/>
      <c r="H4" s="801"/>
      <c r="I4" s="802"/>
      <c r="J4" s="3098"/>
      <c r="K4" s="3099"/>
      <c r="L4" s="803" t="s">
        <v>92</v>
      </c>
      <c r="M4" s="5"/>
      <c r="N4" s="5"/>
      <c r="O4" s="5"/>
      <c r="P4" s="5"/>
      <c r="Q4" s="5"/>
      <c r="R4" s="44"/>
      <c r="AG4" s="1"/>
      <c r="AH4" s="17"/>
      <c r="AI4" s="41"/>
      <c r="AJ4" s="132"/>
      <c r="AK4" s="1"/>
      <c r="AL4" s="1"/>
      <c r="AM4" s="41"/>
    </row>
    <row r="5" spans="1:40" ht="20.100000000000001" customHeight="1">
      <c r="A5" s="2133" t="s">
        <v>89</v>
      </c>
      <c r="B5" s="1468" t="s">
        <v>1421</v>
      </c>
      <c r="C5" s="5"/>
      <c r="D5" s="1468"/>
      <c r="E5" s="1468"/>
      <c r="F5" s="1468"/>
      <c r="G5" s="1468"/>
      <c r="H5" s="5"/>
      <c r="I5" s="5"/>
      <c r="J5" s="807"/>
      <c r="K5" s="807"/>
      <c r="L5" s="5"/>
      <c r="M5" s="2"/>
      <c r="N5" s="2122"/>
      <c r="O5" s="2122"/>
      <c r="P5" s="5"/>
      <c r="Q5" s="5"/>
      <c r="R5" s="44"/>
      <c r="AN5" s="94"/>
    </row>
    <row r="6" spans="1:40" ht="6" customHeight="1">
      <c r="A6" s="2133"/>
      <c r="B6" s="8"/>
      <c r="C6" s="2"/>
      <c r="D6" s="1468"/>
      <c r="E6" s="1468"/>
      <c r="F6" s="1468"/>
      <c r="G6" s="1468"/>
      <c r="H6" s="2"/>
      <c r="I6" s="2"/>
      <c r="J6" s="1470"/>
      <c r="K6" s="1470"/>
      <c r="L6" s="2"/>
      <c r="M6" s="1232"/>
      <c r="N6" s="1232"/>
      <c r="O6" s="1232"/>
      <c r="P6" s="2"/>
      <c r="Q6" s="2"/>
      <c r="R6" s="67"/>
    </row>
    <row r="7" spans="1:40" ht="20.100000000000001" customHeight="1">
      <c r="A7" s="83"/>
      <c r="B7" s="2"/>
      <c r="C7" s="2"/>
      <c r="D7" s="808" t="s">
        <v>1433</v>
      </c>
      <c r="E7" s="3383" t="str">
        <f>IF(ISBLANK(J4)," ",J4)</f>
        <v xml:space="preserve"> </v>
      </c>
      <c r="F7" s="3384"/>
      <c r="G7" s="3558" t="s">
        <v>1434</v>
      </c>
      <c r="H7" s="3559"/>
      <c r="I7" s="3560"/>
      <c r="J7" s="3383" t="str">
        <f>IF(ISBLANK(J4)," ",(ROUNDUP(((J4 - 4)/3+1),0)))</f>
        <v xml:space="preserve"> </v>
      </c>
      <c r="K7" s="3384"/>
      <c r="L7" s="2" t="s">
        <v>740</v>
      </c>
      <c r="M7" s="508"/>
      <c r="N7" s="3577" t="s">
        <v>1399</v>
      </c>
      <c r="O7" s="3577"/>
      <c r="P7" s="3577"/>
      <c r="Q7" s="3577"/>
      <c r="R7" s="3578"/>
    </row>
    <row r="8" spans="1:40" ht="6" customHeight="1">
      <c r="A8" s="2133"/>
      <c r="B8" s="8"/>
      <c r="C8" s="2"/>
      <c r="D8" s="1468"/>
      <c r="E8" s="1468"/>
      <c r="F8" s="1468"/>
      <c r="G8" s="1468"/>
      <c r="H8" s="2"/>
      <c r="I8" s="2"/>
      <c r="J8" s="1470"/>
      <c r="K8" s="1470"/>
      <c r="L8" s="2"/>
      <c r="M8" s="1232"/>
      <c r="N8" s="1232"/>
      <c r="O8" s="1232"/>
      <c r="P8" s="2"/>
      <c r="Q8" s="2"/>
      <c r="R8" s="67"/>
    </row>
    <row r="9" spans="1:40" ht="20.100000000000001" customHeight="1">
      <c r="A9" s="2133" t="s">
        <v>141</v>
      </c>
      <c r="B9" s="1468" t="s">
        <v>1061</v>
      </c>
      <c r="C9" s="5"/>
      <c r="D9" s="1468"/>
      <c r="E9" s="1468"/>
      <c r="F9" s="1468"/>
      <c r="G9" s="1468"/>
      <c r="H9" s="5"/>
      <c r="I9" s="5"/>
      <c r="J9" s="3098"/>
      <c r="K9" s="3581"/>
      <c r="L9" s="5" t="s">
        <v>740</v>
      </c>
      <c r="M9" s="2122"/>
      <c r="N9" s="2122"/>
      <c r="O9" s="2122"/>
      <c r="P9" s="5"/>
      <c r="Q9" s="5"/>
      <c r="R9" s="44"/>
      <c r="AN9" s="94"/>
    </row>
    <row r="10" spans="1:40" ht="9.75" customHeight="1">
      <c r="A10" s="2133"/>
      <c r="B10" s="8" t="s">
        <v>1784</v>
      </c>
      <c r="C10" s="1468"/>
      <c r="D10" s="1468"/>
      <c r="E10" s="1468"/>
      <c r="F10" s="2"/>
      <c r="G10" s="2"/>
      <c r="H10" s="2"/>
      <c r="I10" s="2"/>
      <c r="J10" s="3582"/>
      <c r="K10" s="3582"/>
      <c r="L10" s="2137"/>
      <c r="M10" s="2"/>
      <c r="N10" s="1232"/>
      <c r="O10" s="1232"/>
      <c r="P10" s="2"/>
      <c r="Q10" s="2"/>
      <c r="R10" s="67"/>
      <c r="AN10" s="32"/>
    </row>
    <row r="11" spans="1:40" ht="20.100000000000001" customHeight="1">
      <c r="A11" s="2133" t="s">
        <v>142</v>
      </c>
      <c r="B11" s="1468" t="s">
        <v>104</v>
      </c>
      <c r="C11" s="1468"/>
      <c r="D11" s="1468"/>
      <c r="E11" s="1468"/>
      <c r="F11" s="2"/>
      <c r="G11" s="2"/>
      <c r="H11" s="2"/>
      <c r="I11" s="2"/>
      <c r="J11" s="3352"/>
      <c r="K11" s="3353"/>
      <c r="L11" s="2137" t="s">
        <v>92</v>
      </c>
      <c r="M11" s="2"/>
      <c r="N11" s="1232"/>
      <c r="O11" s="1232"/>
      <c r="P11" s="2"/>
      <c r="Q11" s="2"/>
      <c r="R11" s="67"/>
      <c r="AN11" s="32"/>
    </row>
    <row r="12" spans="1:40" ht="6" customHeight="1">
      <c r="A12" s="2133"/>
      <c r="B12" s="8"/>
      <c r="C12" s="2"/>
      <c r="D12" s="1468"/>
      <c r="E12" s="1468"/>
      <c r="F12" s="1468"/>
      <c r="G12" s="1468"/>
      <c r="H12" s="2"/>
      <c r="I12" s="2"/>
      <c r="J12" s="1470"/>
      <c r="K12" s="1470"/>
      <c r="L12" s="2"/>
      <c r="M12" s="1232"/>
      <c r="N12" s="1232"/>
      <c r="O12" s="1232"/>
      <c r="P12" s="2"/>
      <c r="Q12" s="2"/>
      <c r="R12" s="67"/>
    </row>
    <row r="13" spans="1:40" ht="18" customHeight="1">
      <c r="A13" s="506" t="s">
        <v>91</v>
      </c>
      <c r="B13" s="1468" t="s">
        <v>1060</v>
      </c>
      <c r="C13" s="1468"/>
      <c r="D13" s="1468"/>
      <c r="E13" s="1468"/>
      <c r="F13" s="2"/>
      <c r="G13" s="2"/>
      <c r="H13" s="2"/>
      <c r="I13" s="2"/>
      <c r="J13" s="3100"/>
      <c r="K13" s="3101"/>
      <c r="L13" s="2137" t="s">
        <v>94</v>
      </c>
      <c r="M13" s="2"/>
      <c r="N13" s="104">
        <f>IF(J13="1/4","0.25",IF(J13="3/16","0.1875",IF(J13="1/8","0.125",IF(J13="7/32","0.21875",))))</f>
        <v>0</v>
      </c>
      <c r="O13" s="1232"/>
      <c r="P13" s="2"/>
      <c r="Q13" s="2"/>
      <c r="R13" s="67"/>
    </row>
    <row r="14" spans="1:40" ht="20.100000000000001" customHeight="1">
      <c r="A14" s="2133" t="s">
        <v>93</v>
      </c>
      <c r="B14" s="10" t="s">
        <v>1017</v>
      </c>
      <c r="C14" s="2131"/>
      <c r="D14" s="2131"/>
      <c r="E14" s="2131"/>
      <c r="F14" s="2131"/>
      <c r="G14" s="2131"/>
      <c r="H14" s="2131"/>
      <c r="I14" s="2131"/>
      <c r="J14" s="2131"/>
      <c r="K14" s="2131"/>
      <c r="L14" s="2131"/>
      <c r="M14" s="1232"/>
      <c r="N14" s="1232"/>
      <c r="O14" s="1232"/>
      <c r="P14" s="2"/>
      <c r="Q14" s="2"/>
      <c r="R14" s="67"/>
    </row>
    <row r="15" spans="1:40" ht="6" customHeight="1">
      <c r="A15" s="83"/>
      <c r="B15" s="2131"/>
      <c r="C15" s="2131"/>
      <c r="D15" s="2131"/>
      <c r="E15" s="2131"/>
      <c r="F15" s="2131"/>
      <c r="G15" s="2131"/>
      <c r="H15" s="2131"/>
      <c r="I15" s="2131"/>
      <c r="J15" s="2131"/>
      <c r="K15" s="2131"/>
      <c r="L15" s="2131"/>
      <c r="M15" s="1232"/>
      <c r="N15" s="1232"/>
      <c r="O15" s="1232"/>
      <c r="P15" s="2"/>
      <c r="Q15" s="2"/>
      <c r="R15" s="67"/>
    </row>
    <row r="16" spans="1:40" ht="18" customHeight="1">
      <c r="A16" s="83"/>
      <c r="B16" s="3583"/>
      <c r="C16" s="3584"/>
      <c r="D16" s="2127" t="s">
        <v>143</v>
      </c>
      <c r="E16" s="2127" t="s">
        <v>283</v>
      </c>
      <c r="F16" s="2127" t="s">
        <v>102</v>
      </c>
      <c r="G16" s="3347" t="str">
        <f>IF(ISBLANK(J9)," ",B16-2)</f>
        <v xml:space="preserve"> </v>
      </c>
      <c r="H16" s="3348"/>
      <c r="I16" s="2140" t="s">
        <v>92</v>
      </c>
      <c r="J16" s="2124" t="s">
        <v>1018</v>
      </c>
      <c r="K16" s="2"/>
      <c r="L16" s="1232"/>
      <c r="M16" s="1232"/>
      <c r="N16" s="1232"/>
      <c r="O16" s="1232"/>
      <c r="P16" s="2"/>
      <c r="Q16" s="2"/>
      <c r="R16" s="67"/>
    </row>
    <row r="17" spans="1:34" ht="6" customHeight="1">
      <c r="A17" s="83"/>
      <c r="B17" s="2131"/>
      <c r="C17" s="2131"/>
      <c r="D17" s="2131"/>
      <c r="E17" s="2131"/>
      <c r="F17" s="2131"/>
      <c r="G17" s="2131"/>
      <c r="H17" s="2131"/>
      <c r="I17" s="2131"/>
      <c r="J17" s="2131"/>
      <c r="K17" s="2131"/>
      <c r="L17" s="2131"/>
      <c r="M17" s="1232"/>
      <c r="N17" s="1232"/>
      <c r="O17" s="1232"/>
      <c r="P17" s="2"/>
      <c r="Q17" s="2"/>
      <c r="R17" s="67"/>
    </row>
    <row r="18" spans="1:34" ht="20.100000000000001" customHeight="1">
      <c r="A18" s="806" t="s">
        <v>95</v>
      </c>
      <c r="B18" s="3562" t="s">
        <v>1345</v>
      </c>
      <c r="C18" s="3562"/>
      <c r="D18" s="3562"/>
      <c r="E18" s="3562"/>
      <c r="F18" s="3562"/>
      <c r="G18" s="3562"/>
      <c r="H18" s="3562"/>
      <c r="I18" s="3562"/>
      <c r="J18" s="3562"/>
      <c r="K18" s="3562"/>
      <c r="L18" s="3562"/>
      <c r="M18" s="3562"/>
      <c r="N18" s="3562"/>
      <c r="O18" s="3562"/>
      <c r="P18" s="3562"/>
      <c r="Q18" s="3562"/>
      <c r="R18" s="3563"/>
    </row>
    <row r="19" spans="1:34" ht="6" customHeight="1">
      <c r="A19" s="2133"/>
      <c r="B19" s="3562"/>
      <c r="C19" s="3562"/>
      <c r="D19" s="3562"/>
      <c r="E19" s="3562"/>
      <c r="F19" s="3562"/>
      <c r="G19" s="3562"/>
      <c r="H19" s="3562"/>
      <c r="I19" s="3562"/>
      <c r="J19" s="3562"/>
      <c r="K19" s="3562"/>
      <c r="L19" s="3562"/>
      <c r="M19" s="3562"/>
      <c r="N19" s="3562"/>
      <c r="O19" s="3562"/>
      <c r="P19" s="3562"/>
      <c r="Q19" s="3562"/>
      <c r="R19" s="3563"/>
    </row>
    <row r="20" spans="1:34" ht="6" customHeight="1">
      <c r="A20" s="2134"/>
      <c r="B20" s="1468"/>
      <c r="C20" s="1468"/>
      <c r="D20" s="1468"/>
      <c r="E20" s="1468"/>
      <c r="F20" s="1470"/>
      <c r="G20" s="1470"/>
      <c r="H20" s="2127"/>
      <c r="I20" s="1470"/>
      <c r="J20" s="1470"/>
      <c r="K20" s="2"/>
      <c r="L20" s="1232"/>
      <c r="M20" s="1232"/>
      <c r="N20" s="1232"/>
      <c r="O20" s="1232"/>
      <c r="P20" s="2"/>
      <c r="Q20" s="2"/>
      <c r="R20" s="67"/>
    </row>
    <row r="21" spans="1:34" ht="18" customHeight="1">
      <c r="A21" s="83"/>
      <c r="B21" s="10" t="s">
        <v>1785</v>
      </c>
      <c r="C21" s="1468"/>
      <c r="D21" s="2"/>
      <c r="E21" s="2"/>
      <c r="F21" s="2"/>
      <c r="G21" s="3347" t="str">
        <f>IF(ISBLANK(J9),"",G16)</f>
        <v/>
      </c>
      <c r="H21" s="3348"/>
      <c r="I21" s="2137" t="s">
        <v>92</v>
      </c>
      <c r="J21" s="2136" t="s">
        <v>721</v>
      </c>
      <c r="K21" s="3566" t="str">
        <f>IF(ISBLANK(J11)," ",J11)</f>
        <v xml:space="preserve"> </v>
      </c>
      <c r="L21" s="3567"/>
      <c r="M21" s="2137" t="s">
        <v>92</v>
      </c>
      <c r="N21" s="2127" t="s">
        <v>102</v>
      </c>
      <c r="O21" s="3385" t="str">
        <f>IF(ISERROR(ROUNDDOWN((G21/K21),0))," ",ROUNDDOWN((G21/K21),0))</f>
        <v xml:space="preserve"> </v>
      </c>
      <c r="P21" s="3351"/>
      <c r="Q21" s="1468" t="s">
        <v>108</v>
      </c>
      <c r="R21" s="67"/>
    </row>
    <row r="22" spans="1:34" ht="6" customHeight="1">
      <c r="A22" s="2134"/>
      <c r="B22" s="1468"/>
      <c r="C22" s="1468"/>
      <c r="D22" s="1468"/>
      <c r="E22" s="1468"/>
      <c r="F22" s="1470"/>
      <c r="G22" s="1470"/>
      <c r="H22" s="2127"/>
      <c r="I22" s="1470"/>
      <c r="J22" s="1470"/>
      <c r="K22" s="2"/>
      <c r="L22" s="1232"/>
      <c r="M22" s="1232"/>
      <c r="N22" s="1232"/>
      <c r="O22" s="1232"/>
      <c r="P22" s="2"/>
      <c r="Q22" s="2"/>
      <c r="R22" s="67"/>
    </row>
    <row r="23" spans="1:34" ht="40.5" customHeight="1">
      <c r="A23" s="806" t="s">
        <v>97</v>
      </c>
      <c r="B23" s="3571" t="s">
        <v>1348</v>
      </c>
      <c r="C23" s="3572"/>
      <c r="D23" s="3572"/>
      <c r="E23" s="3572"/>
      <c r="F23" s="3572"/>
      <c r="G23" s="3572"/>
      <c r="H23" s="3572"/>
      <c r="I23" s="3572"/>
      <c r="J23" s="3572"/>
      <c r="K23" s="3572"/>
      <c r="L23" s="3572"/>
      <c r="M23" s="3572"/>
      <c r="N23" s="3572"/>
      <c r="O23" s="3572"/>
      <c r="P23" s="3572"/>
      <c r="Q23" s="3572"/>
      <c r="R23" s="3573"/>
      <c r="AF23" s="2"/>
      <c r="AH23" s="51"/>
    </row>
    <row r="24" spans="1:34" ht="6" customHeight="1">
      <c r="A24" s="2134"/>
      <c r="B24" s="1468"/>
      <c r="C24" s="1468"/>
      <c r="D24" s="1468"/>
      <c r="E24" s="1468"/>
      <c r="F24" s="1470"/>
      <c r="G24" s="1470"/>
      <c r="H24" s="2127"/>
      <c r="I24" s="1470"/>
      <c r="J24" s="1470"/>
      <c r="K24" s="2"/>
      <c r="L24" s="1232"/>
      <c r="M24" s="1232"/>
      <c r="N24" s="1232"/>
      <c r="O24" s="1232"/>
      <c r="P24" s="2"/>
      <c r="Q24" s="2"/>
      <c r="R24" s="67"/>
    </row>
    <row r="25" spans="1:34" ht="18" customHeight="1">
      <c r="A25" s="2134"/>
      <c r="B25" s="3579" t="s">
        <v>111</v>
      </c>
      <c r="C25" s="3579"/>
      <c r="D25" s="3579"/>
      <c r="E25" s="3579"/>
      <c r="F25" s="3579"/>
      <c r="G25" s="3580"/>
      <c r="H25" s="3385" t="str">
        <f>O21</f>
        <v xml:space="preserve"> </v>
      </c>
      <c r="I25" s="3351"/>
      <c r="J25" s="86" t="s">
        <v>1346</v>
      </c>
      <c r="K25" s="1468"/>
      <c r="L25" s="2127"/>
      <c r="M25" s="3385" t="str">
        <f>IF(ISERROR(H25+1)," ",H25+1)</f>
        <v xml:space="preserve"> </v>
      </c>
      <c r="N25" s="3351"/>
      <c r="O25" s="2" t="s">
        <v>660</v>
      </c>
      <c r="P25" s="2"/>
      <c r="Q25" s="2"/>
      <c r="R25" s="67"/>
      <c r="V25" s="12"/>
      <c r="X25" s="2"/>
      <c r="Y25" s="4"/>
      <c r="Z25" s="4"/>
      <c r="AA25" s="4"/>
      <c r="AB25" s="4"/>
      <c r="AC25" s="4"/>
      <c r="AD25" s="4"/>
      <c r="AE25" s="4"/>
      <c r="AF25" s="2"/>
      <c r="AH25" s="51"/>
    </row>
    <row r="26" spans="1:34" ht="34.5" customHeight="1">
      <c r="A26" s="2134"/>
      <c r="B26" s="3568"/>
      <c r="C26" s="3569"/>
      <c r="D26" s="3569"/>
      <c r="E26" s="3569"/>
      <c r="F26" s="3569"/>
      <c r="G26" s="3569"/>
      <c r="H26" s="3569"/>
      <c r="I26" s="3569"/>
      <c r="J26" s="3569"/>
      <c r="K26" s="3569"/>
      <c r="L26" s="3569"/>
      <c r="M26" s="3569"/>
      <c r="N26" s="3569"/>
      <c r="O26" s="3569"/>
      <c r="P26" s="3569"/>
      <c r="Q26" s="3569"/>
      <c r="R26" s="3570"/>
      <c r="V26" s="12"/>
      <c r="X26" s="2"/>
      <c r="Y26" s="4"/>
      <c r="Z26" s="4"/>
      <c r="AA26" s="4"/>
      <c r="AB26" s="4"/>
      <c r="AC26" s="4"/>
      <c r="AD26" s="4"/>
      <c r="AE26" s="4"/>
      <c r="AF26" s="2"/>
      <c r="AH26" s="51"/>
    </row>
    <row r="27" spans="1:34" ht="34.5" customHeight="1">
      <c r="A27" s="2134"/>
      <c r="B27" s="86"/>
      <c r="C27" s="1468"/>
      <c r="D27" s="1468"/>
      <c r="E27" s="1468"/>
      <c r="F27" s="1468"/>
      <c r="G27" s="1468"/>
      <c r="H27" s="1468"/>
      <c r="I27" s="1468"/>
      <c r="J27" s="1468"/>
      <c r="K27" s="2"/>
      <c r="L27" s="2"/>
      <c r="M27" s="2"/>
      <c r="N27" s="2"/>
      <c r="O27" s="2"/>
      <c r="P27" s="2"/>
      <c r="Q27" s="2"/>
      <c r="R27" s="67"/>
      <c r="V27" s="12"/>
      <c r="X27" s="2"/>
      <c r="Y27" s="4"/>
      <c r="Z27" s="4"/>
      <c r="AA27" s="4"/>
      <c r="AB27" s="4"/>
      <c r="AC27" s="4"/>
      <c r="AD27" s="4"/>
      <c r="AE27" s="4"/>
      <c r="AF27" s="2"/>
      <c r="AH27" s="51"/>
    </row>
    <row r="28" spans="1:34" ht="34.5" customHeight="1">
      <c r="A28" s="2134"/>
      <c r="B28" s="86"/>
      <c r="C28" s="1468"/>
      <c r="D28" s="1468"/>
      <c r="E28" s="1468"/>
      <c r="F28" s="1468"/>
      <c r="G28" s="1468"/>
      <c r="H28" s="1468"/>
      <c r="I28" s="1468"/>
      <c r="J28" s="1468"/>
      <c r="K28" s="2"/>
      <c r="L28" s="2"/>
      <c r="M28" s="2"/>
      <c r="N28" s="2"/>
      <c r="O28" s="2"/>
      <c r="P28" s="2"/>
      <c r="Q28" s="2"/>
      <c r="R28" s="67"/>
      <c r="V28" s="12"/>
      <c r="X28" s="2"/>
      <c r="Y28" s="4"/>
      <c r="Z28" s="4"/>
      <c r="AA28" s="4"/>
      <c r="AB28" s="4"/>
      <c r="AC28" s="4"/>
      <c r="AD28" s="4"/>
      <c r="AE28" s="4"/>
      <c r="AF28" s="2"/>
      <c r="AH28" s="51"/>
    </row>
    <row r="29" spans="1:34" ht="34.5" customHeight="1">
      <c r="A29" s="2134"/>
      <c r="B29" s="86"/>
      <c r="C29" s="1468"/>
      <c r="D29" s="1468"/>
      <c r="E29" s="1468"/>
      <c r="F29" s="1468"/>
      <c r="G29" s="1468"/>
      <c r="H29" s="1468"/>
      <c r="I29" s="1468"/>
      <c r="J29" s="1468"/>
      <c r="K29" s="2"/>
      <c r="L29" s="2"/>
      <c r="M29" s="2"/>
      <c r="N29" s="2"/>
      <c r="O29" s="2"/>
      <c r="P29" s="2"/>
      <c r="Q29" s="2"/>
      <c r="R29" s="67"/>
      <c r="V29" s="12"/>
      <c r="X29" s="2"/>
      <c r="Y29" s="4"/>
      <c r="Z29" s="4"/>
      <c r="AA29" s="4"/>
      <c r="AB29" s="4"/>
      <c r="AC29" s="4"/>
      <c r="AD29" s="4"/>
      <c r="AE29" s="4"/>
      <c r="AF29" s="2"/>
      <c r="AH29" s="51"/>
    </row>
    <row r="30" spans="1:34" ht="34.5" customHeight="1">
      <c r="A30" s="2134"/>
      <c r="B30" s="86"/>
      <c r="C30" s="1468"/>
      <c r="D30" s="1468"/>
      <c r="E30" s="1468"/>
      <c r="F30" s="1468"/>
      <c r="G30" s="1468"/>
      <c r="H30" s="1468"/>
      <c r="I30" s="1468"/>
      <c r="J30" s="1468"/>
      <c r="K30" s="2"/>
      <c r="L30" s="2"/>
      <c r="M30" s="2"/>
      <c r="N30" s="2"/>
      <c r="O30" s="2"/>
      <c r="P30" s="2"/>
      <c r="Q30" s="2"/>
      <c r="R30" s="67"/>
      <c r="V30" s="12"/>
      <c r="X30" s="2"/>
      <c r="Y30" s="4"/>
      <c r="Z30" s="4"/>
      <c r="AA30" s="4"/>
      <c r="AB30" s="4"/>
      <c r="AC30" s="4"/>
      <c r="AD30" s="4"/>
      <c r="AE30" s="4"/>
      <c r="AF30" s="2"/>
      <c r="AH30" s="51"/>
    </row>
    <row r="31" spans="1:34" ht="34.5" customHeight="1">
      <c r="A31" s="2134"/>
      <c r="B31" s="86"/>
      <c r="C31" s="1468"/>
      <c r="D31" s="1468"/>
      <c r="E31" s="1468"/>
      <c r="F31" s="1468"/>
      <c r="G31" s="1468"/>
      <c r="H31" s="1468"/>
      <c r="I31" s="1468"/>
      <c r="J31" s="1468"/>
      <c r="K31" s="2"/>
      <c r="L31" s="2"/>
      <c r="M31" s="2"/>
      <c r="N31" s="2"/>
      <c r="O31" s="2"/>
      <c r="P31" s="2"/>
      <c r="Q31" s="2"/>
      <c r="R31" s="67"/>
      <c r="V31" s="12"/>
      <c r="X31" s="2"/>
      <c r="Y31" s="4"/>
      <c r="Z31" s="4"/>
      <c r="AA31" s="4"/>
      <c r="AB31" s="4"/>
      <c r="AC31" s="4"/>
      <c r="AD31" s="4"/>
      <c r="AE31" s="4"/>
      <c r="AF31" s="2"/>
      <c r="AH31" s="51"/>
    </row>
    <row r="32" spans="1:34" ht="6" customHeight="1">
      <c r="A32" s="86"/>
      <c r="B32" s="1156"/>
      <c r="C32" s="496"/>
      <c r="D32" s="2137"/>
      <c r="E32" s="2127"/>
      <c r="F32" s="2127"/>
      <c r="G32" s="497"/>
      <c r="H32" s="497"/>
      <c r="I32" s="2137"/>
      <c r="J32" s="2"/>
      <c r="K32" s="2"/>
      <c r="L32" s="2127"/>
      <c r="M32" s="496"/>
      <c r="N32" s="496"/>
      <c r="O32" s="2127"/>
      <c r="P32" s="5"/>
      <c r="Q32" s="5"/>
      <c r="R32" s="44"/>
      <c r="T32" s="2"/>
      <c r="U32" s="2"/>
      <c r="V32" s="2"/>
      <c r="W32" s="2"/>
      <c r="X32" s="2"/>
      <c r="Y32" s="2"/>
    </row>
    <row r="33" spans="1:26" s="5" customFormat="1" ht="132.9" customHeight="1">
      <c r="A33" s="2138"/>
      <c r="B33" s="1437"/>
      <c r="C33" s="1437"/>
      <c r="D33" s="142"/>
      <c r="E33" s="2148"/>
      <c r="F33" s="127"/>
      <c r="G33" s="127"/>
      <c r="H33" s="1439"/>
      <c r="I33" s="1439"/>
      <c r="J33" s="1437"/>
      <c r="K33" s="1437"/>
      <c r="L33" s="2139"/>
      <c r="M33" s="43"/>
      <c r="N33" s="43"/>
      <c r="O33" s="43"/>
      <c r="P33" s="2149"/>
      <c r="Q33" s="2149"/>
      <c r="R33" s="2150"/>
      <c r="S33" s="2142"/>
    </row>
    <row r="34" spans="1:26" ht="18" customHeight="1">
      <c r="A34" s="2147" t="s">
        <v>99</v>
      </c>
      <c r="B34" s="3585" t="s">
        <v>1347</v>
      </c>
      <c r="C34" s="3585"/>
      <c r="D34" s="3585"/>
      <c r="E34" s="3585"/>
      <c r="F34" s="3585"/>
      <c r="G34" s="3585"/>
      <c r="H34" s="3585"/>
      <c r="I34" s="3585"/>
      <c r="J34" s="3585"/>
      <c r="K34" s="3585"/>
      <c r="L34" s="3585"/>
      <c r="M34" s="3585"/>
      <c r="N34" s="3585"/>
      <c r="O34" s="3585"/>
      <c r="P34" s="3585"/>
      <c r="Q34" s="3585"/>
      <c r="R34" s="3586"/>
    </row>
    <row r="35" spans="1:26" ht="15" customHeight="1">
      <c r="A35" s="2134"/>
      <c r="B35" s="3587"/>
      <c r="C35" s="3587"/>
      <c r="D35" s="3587"/>
      <c r="E35" s="3587"/>
      <c r="F35" s="3587"/>
      <c r="G35" s="3587"/>
      <c r="H35" s="3587"/>
      <c r="I35" s="3587"/>
      <c r="J35" s="3587"/>
      <c r="K35" s="3587"/>
      <c r="L35" s="3587"/>
      <c r="M35" s="3587"/>
      <c r="N35" s="3587"/>
      <c r="O35" s="3587"/>
      <c r="P35" s="3587"/>
      <c r="Q35" s="3587"/>
      <c r="R35" s="3588"/>
    </row>
    <row r="36" spans="1:26" ht="6" customHeight="1">
      <c r="A36" s="86"/>
      <c r="B36" s="496"/>
      <c r="C36" s="496"/>
      <c r="D36" s="2137"/>
      <c r="E36" s="2127"/>
      <c r="F36" s="2127"/>
      <c r="G36" s="497"/>
      <c r="H36" s="497"/>
      <c r="I36" s="2137"/>
      <c r="J36" s="2"/>
      <c r="K36" s="2"/>
      <c r="L36" s="2127"/>
      <c r="M36" s="496"/>
      <c r="N36" s="496"/>
      <c r="O36" s="2127"/>
      <c r="P36" s="5"/>
      <c r="Q36" s="5"/>
      <c r="R36" s="44"/>
      <c r="T36" s="2"/>
      <c r="U36" s="2"/>
      <c r="V36" s="2"/>
      <c r="W36" s="2"/>
      <c r="X36" s="2"/>
      <c r="Y36" s="2"/>
    </row>
    <row r="37" spans="1:26" ht="20.100000000000001" customHeight="1">
      <c r="A37" s="2134"/>
      <c r="B37" s="3385" t="str">
        <f>M25</f>
        <v xml:space="preserve"> </v>
      </c>
      <c r="C37" s="3351"/>
      <c r="D37" s="2137" t="s">
        <v>1349</v>
      </c>
      <c r="E37" s="2137"/>
      <c r="F37" s="2137"/>
      <c r="G37" s="3385" t="str">
        <f>IF(ISBLANK(J9)," ",J9)</f>
        <v xml:space="preserve"> </v>
      </c>
      <c r="H37" s="3351"/>
      <c r="I37" s="2137" t="s">
        <v>1350</v>
      </c>
      <c r="J37" s="2"/>
      <c r="K37" s="2"/>
      <c r="L37" s="2127"/>
      <c r="M37" s="3385" t="str">
        <f>IF(ISERROR(B37*G37)," ",B37*G37)</f>
        <v xml:space="preserve"> </v>
      </c>
      <c r="N37" s="3351"/>
      <c r="O37" s="2137" t="s">
        <v>699</v>
      </c>
      <c r="P37" s="2"/>
      <c r="Q37" s="2"/>
      <c r="R37" s="67"/>
    </row>
    <row r="38" spans="1:26" s="5" customFormat="1" ht="6" customHeight="1">
      <c r="A38" s="2134"/>
      <c r="B38" s="1470"/>
      <c r="C38" s="1470"/>
      <c r="D38" s="2140"/>
      <c r="E38" s="2123"/>
      <c r="F38" s="54"/>
      <c r="G38" s="54"/>
      <c r="H38" s="2122"/>
      <c r="I38" s="2122"/>
      <c r="J38" s="1470"/>
      <c r="K38" s="1470"/>
      <c r="L38" s="2127"/>
      <c r="P38" s="2128"/>
      <c r="Q38" s="2128"/>
      <c r="R38" s="2129"/>
      <c r="S38" s="59"/>
    </row>
    <row r="39" spans="1:26" s="5" customFormat="1" ht="18" customHeight="1">
      <c r="A39" s="2133" t="s">
        <v>103</v>
      </c>
      <c r="B39" s="3339" t="s">
        <v>1815</v>
      </c>
      <c r="C39" s="3339"/>
      <c r="D39" s="3339"/>
      <c r="E39" s="3339"/>
      <c r="F39" s="3339"/>
      <c r="G39" s="3339"/>
      <c r="H39" s="3339"/>
      <c r="I39" s="3339"/>
      <c r="J39" s="3339"/>
      <c r="K39" s="3339"/>
      <c r="L39" s="3339"/>
      <c r="M39" s="3339"/>
      <c r="O39" s="3575"/>
      <c r="P39" s="3576"/>
      <c r="Q39" s="79" t="s">
        <v>92</v>
      </c>
      <c r="R39" s="2129"/>
      <c r="S39" s="1894"/>
    </row>
    <row r="40" spans="1:26" s="5" customFormat="1" ht="6" customHeight="1">
      <c r="A40" s="2134"/>
      <c r="B40" s="1470"/>
      <c r="C40" s="1470"/>
      <c r="D40" s="2140"/>
      <c r="E40" s="2123"/>
      <c r="F40" s="54"/>
      <c r="G40" s="54"/>
      <c r="H40" s="2122"/>
      <c r="I40" s="2122"/>
      <c r="J40" s="1470"/>
      <c r="K40" s="1470"/>
      <c r="L40" s="2127"/>
      <c r="P40" s="2128"/>
      <c r="Q40" s="2128"/>
      <c r="R40" s="2129"/>
      <c r="S40" s="1894"/>
    </row>
    <row r="41" spans="1:26" ht="18" customHeight="1">
      <c r="A41" s="2133" t="s">
        <v>105</v>
      </c>
      <c r="B41" s="1468" t="s">
        <v>90</v>
      </c>
      <c r="C41" s="2"/>
      <c r="D41" s="1468"/>
      <c r="E41" s="1468"/>
      <c r="F41" s="1468"/>
      <c r="G41" s="1468"/>
      <c r="H41" s="2"/>
      <c r="I41" s="2"/>
      <c r="J41" s="496"/>
      <c r="K41" s="3352"/>
      <c r="L41" s="3353"/>
      <c r="M41" s="496"/>
      <c r="N41" s="2"/>
      <c r="O41" s="2"/>
      <c r="P41" s="2137"/>
      <c r="Q41" s="5"/>
      <c r="R41" s="44"/>
      <c r="T41" s="2"/>
      <c r="U41" s="2"/>
      <c r="V41" s="2"/>
      <c r="W41" s="2"/>
      <c r="X41" s="2"/>
      <c r="Y41" s="2"/>
    </row>
    <row r="42" spans="1:26" ht="6" customHeight="1">
      <c r="A42" s="86"/>
      <c r="B42" s="1468"/>
      <c r="C42" s="1470"/>
      <c r="D42" s="1470"/>
      <c r="E42" s="2122"/>
      <c r="F42" s="2122"/>
      <c r="G42" s="2122"/>
      <c r="H42" s="57"/>
      <c r="I42" s="57"/>
      <c r="J42" s="2"/>
      <c r="K42" s="2127"/>
      <c r="L42" s="2127"/>
      <c r="M42" s="2"/>
      <c r="N42" s="2"/>
      <c r="O42" s="2"/>
      <c r="P42" s="2"/>
      <c r="Q42" s="2"/>
      <c r="R42" s="67"/>
      <c r="T42" s="2"/>
      <c r="U42" s="2"/>
      <c r="V42" s="2"/>
      <c r="W42" s="2"/>
      <c r="X42" s="2"/>
      <c r="Y42" s="2"/>
      <c r="Z42" s="2"/>
    </row>
    <row r="43" spans="1:26" ht="20.100000000000001" customHeight="1">
      <c r="A43" s="2133" t="s">
        <v>109</v>
      </c>
      <c r="B43" s="8" t="s">
        <v>1078</v>
      </c>
      <c r="C43" s="2"/>
      <c r="D43" s="2"/>
      <c r="E43" s="2"/>
      <c r="F43" s="2"/>
      <c r="G43" s="2"/>
      <c r="H43" s="2"/>
      <c r="I43" s="2"/>
      <c r="J43" s="2"/>
      <c r="K43" s="3352"/>
      <c r="L43" s="3353"/>
      <c r="M43" s="2137" t="s">
        <v>94</v>
      </c>
      <c r="N43" s="2144"/>
      <c r="O43" s="2144"/>
      <c r="P43" s="2144"/>
      <c r="Q43" s="2"/>
      <c r="R43" s="67"/>
    </row>
    <row r="44" spans="1:26" ht="6" customHeight="1">
      <c r="A44" s="86"/>
      <c r="B44" s="496"/>
      <c r="C44" s="496"/>
      <c r="D44" s="2137"/>
      <c r="E44" s="2127"/>
      <c r="F44" s="2127"/>
      <c r="G44" s="497"/>
      <c r="H44" s="497"/>
      <c r="I44" s="2137"/>
      <c r="J44" s="2"/>
      <c r="K44" s="2"/>
      <c r="L44" s="2127"/>
      <c r="M44" s="496"/>
      <c r="N44" s="496"/>
      <c r="O44" s="2127"/>
      <c r="P44" s="5"/>
      <c r="Q44" s="5"/>
      <c r="R44" s="44"/>
      <c r="T44" s="2"/>
      <c r="U44" s="2"/>
      <c r="V44" s="2"/>
      <c r="W44" s="2"/>
      <c r="X44" s="2"/>
      <c r="Y44" s="2"/>
    </row>
    <row r="45" spans="1:26" ht="18" customHeight="1">
      <c r="A45" s="126" t="s">
        <v>110</v>
      </c>
      <c r="B45" s="2137" t="s">
        <v>1904</v>
      </c>
      <c r="C45" s="2"/>
      <c r="D45" s="1468"/>
      <c r="E45" s="1468"/>
      <c r="F45" s="1468"/>
      <c r="G45" s="1468"/>
      <c r="H45" s="1468"/>
      <c r="I45" s="1468"/>
      <c r="J45" s="1468"/>
      <c r="K45" s="2"/>
      <c r="L45" s="2"/>
      <c r="M45" s="2"/>
      <c r="N45" s="2"/>
      <c r="O45" s="2"/>
      <c r="P45" s="2"/>
      <c r="Q45" s="2"/>
      <c r="R45" s="67"/>
    </row>
    <row r="46" spans="1:26" s="5" customFormat="1" ht="18" customHeight="1">
      <c r="A46" s="2134"/>
      <c r="B46" s="2156" t="s">
        <v>1905</v>
      </c>
      <c r="C46" s="1470"/>
      <c r="D46" s="2140"/>
      <c r="E46" s="2123"/>
      <c r="F46" s="54"/>
      <c r="G46" s="54"/>
      <c r="H46" s="2122"/>
      <c r="I46" s="2122"/>
      <c r="J46" s="1470"/>
      <c r="K46" s="1470"/>
      <c r="L46" s="2127"/>
      <c r="P46" s="2128"/>
      <c r="Q46" s="2128"/>
      <c r="R46" s="2129"/>
      <c r="S46" s="59"/>
    </row>
    <row r="47" spans="1:26" ht="18" customHeight="1">
      <c r="A47" s="73" t="s">
        <v>1057</v>
      </c>
      <c r="B47" s="52" t="s">
        <v>609</v>
      </c>
      <c r="C47" s="2"/>
      <c r="D47" s="1468"/>
      <c r="E47" s="1468"/>
      <c r="F47" s="1468"/>
      <c r="G47" s="1468"/>
      <c r="H47" s="1468"/>
      <c r="I47" s="1468"/>
      <c r="J47" s="1468"/>
      <c r="K47" s="2"/>
      <c r="L47" s="2"/>
      <c r="M47" s="2"/>
      <c r="N47" s="2"/>
      <c r="O47" s="2"/>
      <c r="P47" s="3589"/>
      <c r="Q47" s="3589"/>
      <c r="R47" s="3561"/>
    </row>
    <row r="48" spans="1:26" ht="6" customHeight="1">
      <c r="A48" s="2134"/>
      <c r="B48" s="1468"/>
      <c r="C48" s="1468"/>
      <c r="D48" s="1468"/>
      <c r="E48" s="1468"/>
      <c r="F48" s="1468"/>
      <c r="G48" s="1468"/>
      <c r="H48" s="1468"/>
      <c r="I48" s="1468"/>
      <c r="J48" s="1468"/>
      <c r="K48" s="2"/>
      <c r="L48" s="2"/>
      <c r="M48" s="2"/>
      <c r="N48" s="2"/>
      <c r="O48" s="2"/>
      <c r="P48" s="3589"/>
      <c r="Q48" s="3589"/>
      <c r="R48" s="3561"/>
    </row>
    <row r="49" spans="1:26" s="5" customFormat="1" ht="20.100000000000001" customHeight="1">
      <c r="A49" s="2134"/>
      <c r="B49" s="3564" t="str">
        <f>IF(ISBLANK(J4)," ",J4)</f>
        <v xml:space="preserve"> </v>
      </c>
      <c r="C49" s="3565"/>
      <c r="D49" s="2137" t="s">
        <v>123</v>
      </c>
      <c r="E49" s="3383" t="str">
        <f>IF(ISBLANK(B16),"",B16)</f>
        <v/>
      </c>
      <c r="F49" s="3384"/>
      <c r="G49" s="2127" t="s">
        <v>107</v>
      </c>
      <c r="H49" s="2118" t="str">
        <f>IF(ISBLANK(J9)," ",(B49*E49))</f>
        <v xml:space="preserve"> </v>
      </c>
      <c r="I49" s="2119"/>
      <c r="J49" s="2137" t="s">
        <v>22</v>
      </c>
      <c r="P49" s="3589"/>
      <c r="Q49" s="3589"/>
      <c r="R49" s="3561"/>
      <c r="S49" s="59"/>
    </row>
    <row r="50" spans="1:26" s="5" customFormat="1" ht="6" customHeight="1">
      <c r="A50" s="2134"/>
      <c r="B50" s="1470"/>
      <c r="C50" s="1470"/>
      <c r="D50" s="2140"/>
      <c r="E50" s="2123"/>
      <c r="F50" s="54"/>
      <c r="G50" s="54"/>
      <c r="H50" s="2122"/>
      <c r="I50" s="2122"/>
      <c r="J50" s="1470"/>
      <c r="K50" s="1470"/>
      <c r="L50" s="2127"/>
      <c r="P50" s="2128"/>
      <c r="Q50" s="2128"/>
      <c r="R50" s="2129"/>
      <c r="S50" s="59"/>
    </row>
    <row r="51" spans="1:26" ht="18" customHeight="1">
      <c r="A51" s="73" t="s">
        <v>201</v>
      </c>
      <c r="B51" s="8" t="s">
        <v>1906</v>
      </c>
      <c r="C51" s="2"/>
      <c r="D51" s="1468"/>
      <c r="E51" s="1468"/>
      <c r="F51" s="1468"/>
      <c r="G51" s="1468"/>
      <c r="H51" s="1468"/>
      <c r="I51" s="1468"/>
      <c r="J51" s="1468"/>
      <c r="K51" s="2"/>
      <c r="L51" s="2"/>
      <c r="M51" s="2"/>
      <c r="N51" s="2"/>
      <c r="O51" s="2"/>
      <c r="P51" s="2123"/>
      <c r="Q51" s="2123"/>
      <c r="R51" s="3590"/>
    </row>
    <row r="52" spans="1:26" ht="6" customHeight="1">
      <c r="A52" s="86"/>
      <c r="B52" s="1468"/>
      <c r="C52" s="1468"/>
      <c r="D52" s="1468"/>
      <c r="E52" s="1468"/>
      <c r="F52" s="1468"/>
      <c r="G52" s="1468"/>
      <c r="H52" s="1468"/>
      <c r="I52" s="1468"/>
      <c r="J52" s="1468"/>
      <c r="K52" s="2"/>
      <c r="L52" s="2"/>
      <c r="M52" s="2"/>
      <c r="N52" s="2"/>
      <c r="O52" s="2"/>
      <c r="P52" s="2123"/>
      <c r="Q52" s="2123"/>
      <c r="R52" s="3590"/>
    </row>
    <row r="53" spans="1:26" ht="20.100000000000001" customHeight="1">
      <c r="A53" s="86"/>
      <c r="B53" s="3385" t="str">
        <f>H49</f>
        <v xml:space="preserve"> </v>
      </c>
      <c r="C53" s="3351"/>
      <c r="D53" s="2137" t="s">
        <v>1902</v>
      </c>
      <c r="E53" s="3385" t="str">
        <f>M37</f>
        <v xml:space="preserve"> </v>
      </c>
      <c r="F53" s="3351"/>
      <c r="G53" s="40" t="s">
        <v>1903</v>
      </c>
      <c r="H53" s="3347" t="str">
        <f>IF(ISERROR(B53/E53),"",B53/E53)</f>
        <v/>
      </c>
      <c r="I53" s="3348"/>
      <c r="J53" s="2137" t="s">
        <v>1910</v>
      </c>
      <c r="N53" s="2"/>
      <c r="O53" s="2"/>
      <c r="P53" s="3358"/>
      <c r="Q53" s="3358"/>
      <c r="R53" s="2126"/>
      <c r="S53" s="2"/>
    </row>
    <row r="54" spans="1:26" ht="6" customHeight="1">
      <c r="A54" s="86"/>
      <c r="B54" s="1468"/>
      <c r="C54" s="1470"/>
      <c r="D54" s="1470"/>
      <c r="E54" s="2122"/>
      <c r="F54" s="2122"/>
      <c r="G54" s="2122"/>
      <c r="H54" s="57"/>
      <c r="I54" s="57"/>
      <c r="J54" s="2"/>
      <c r="K54" s="2127"/>
      <c r="L54" s="2127"/>
      <c r="M54" s="2"/>
      <c r="N54" s="2"/>
      <c r="O54" s="2"/>
      <c r="P54" s="2"/>
      <c r="Q54" s="2"/>
      <c r="R54" s="67"/>
      <c r="T54" s="2"/>
      <c r="U54" s="2"/>
      <c r="V54" s="2"/>
      <c r="W54" s="2"/>
      <c r="X54" s="2"/>
      <c r="Y54" s="2"/>
      <c r="Z54" s="2"/>
    </row>
    <row r="55" spans="1:26" ht="20.100000000000001" customHeight="1">
      <c r="A55" s="2133" t="s">
        <v>116</v>
      </c>
      <c r="B55" s="1468" t="s">
        <v>130</v>
      </c>
      <c r="C55" s="1468"/>
      <c r="D55" s="1468"/>
      <c r="E55" s="1468"/>
      <c r="F55" s="2"/>
      <c r="J55" s="2"/>
      <c r="K55" s="3583"/>
      <c r="L55" s="3584"/>
      <c r="M55" s="1468" t="s">
        <v>92</v>
      </c>
      <c r="N55" s="2"/>
      <c r="O55" s="2"/>
      <c r="P55" s="3358"/>
      <c r="Q55" s="3358"/>
      <c r="R55" s="2126"/>
    </row>
    <row r="56" spans="1:26" ht="6" customHeight="1">
      <c r="A56" s="2134"/>
      <c r="B56" s="1468"/>
      <c r="C56" s="1468"/>
      <c r="D56" s="1468"/>
      <c r="E56" s="1468"/>
      <c r="F56" s="1468"/>
      <c r="G56" s="1468"/>
      <c r="H56" s="1468"/>
      <c r="I56" s="2"/>
      <c r="J56" s="2"/>
      <c r="K56" s="2"/>
      <c r="L56" s="18"/>
      <c r="M56" s="2"/>
      <c r="N56" s="2"/>
      <c r="O56" s="2"/>
      <c r="P56" s="3358"/>
      <c r="Q56" s="3358"/>
      <c r="R56" s="2126"/>
    </row>
    <row r="57" spans="1:26" ht="20.100000000000001" customHeight="1">
      <c r="A57" s="2133" t="s">
        <v>125</v>
      </c>
      <c r="B57" s="1468" t="s">
        <v>1909</v>
      </c>
      <c r="C57" s="1468"/>
      <c r="D57" s="1468"/>
      <c r="E57" s="1468"/>
      <c r="F57" s="1468"/>
      <c r="G57" s="2"/>
      <c r="H57" s="1468"/>
      <c r="I57" s="2"/>
      <c r="J57" s="3345" t="str">
        <f>IF(ISBLANK(K55)," ",(19.65*0.6*N13^2*K55^0.5))</f>
        <v xml:space="preserve"> </v>
      </c>
      <c r="K57" s="3346"/>
      <c r="L57" s="2137" t="s">
        <v>1907</v>
      </c>
      <c r="O57" s="2"/>
      <c r="P57" s="2"/>
      <c r="Q57" s="2123"/>
      <c r="R57" s="2126"/>
    </row>
    <row r="58" spans="1:26" ht="6" customHeight="1">
      <c r="A58" s="2134"/>
      <c r="B58" s="1468"/>
      <c r="C58" s="1468"/>
      <c r="D58" s="1468"/>
      <c r="E58" s="1468"/>
      <c r="F58" s="1468"/>
      <c r="G58" s="1468"/>
      <c r="H58" s="1468"/>
      <c r="I58" s="1468"/>
      <c r="J58" s="1468"/>
      <c r="K58" s="2"/>
      <c r="L58" s="2"/>
      <c r="M58" s="2"/>
      <c r="N58" s="2"/>
      <c r="O58" s="2"/>
      <c r="P58" s="5"/>
      <c r="Q58" s="5"/>
      <c r="R58" s="44"/>
    </row>
    <row r="59" spans="1:26" ht="18" customHeight="1">
      <c r="A59" s="806" t="s">
        <v>127</v>
      </c>
      <c r="B59" s="3562" t="s">
        <v>1908</v>
      </c>
      <c r="C59" s="3562"/>
      <c r="D59" s="3562"/>
      <c r="E59" s="3562"/>
      <c r="F59" s="3562"/>
      <c r="G59" s="3562"/>
      <c r="H59" s="3562"/>
      <c r="I59" s="3562"/>
      <c r="J59" s="3562"/>
      <c r="K59" s="3562"/>
      <c r="L59" s="3562"/>
      <c r="M59" s="3562"/>
      <c r="N59" s="3562"/>
      <c r="O59" s="3562"/>
      <c r="P59" s="3562"/>
      <c r="Q59" s="3562"/>
      <c r="R59" s="3563"/>
    </row>
    <row r="60" spans="1:26" ht="6" customHeight="1">
      <c r="A60" s="83"/>
      <c r="B60" s="2130"/>
      <c r="C60" s="2130"/>
      <c r="D60" s="2130"/>
      <c r="E60" s="2130"/>
      <c r="F60" s="2130"/>
      <c r="G60" s="2130"/>
      <c r="H60" s="2130"/>
      <c r="I60" s="2130"/>
      <c r="J60" s="2130"/>
      <c r="K60" s="2130"/>
      <c r="L60" s="2130"/>
      <c r="M60" s="2"/>
      <c r="N60" s="2"/>
      <c r="O60" s="2"/>
      <c r="P60" s="5"/>
      <c r="Q60" s="5"/>
      <c r="R60" s="44"/>
    </row>
    <row r="61" spans="1:26" ht="20.100000000000001" customHeight="1">
      <c r="A61" s="86"/>
      <c r="B61" s="3385" t="str">
        <f>M37</f>
        <v xml:space="preserve"> </v>
      </c>
      <c r="C61" s="3351"/>
      <c r="D61" s="2137" t="s">
        <v>1073</v>
      </c>
      <c r="E61" s="2127"/>
      <c r="F61" s="3345" t="str">
        <f>J57</f>
        <v xml:space="preserve"> </v>
      </c>
      <c r="G61" s="3346"/>
      <c r="H61" s="2137" t="s">
        <v>1074</v>
      </c>
      <c r="I61" s="2"/>
      <c r="J61" s="2"/>
      <c r="K61" s="2"/>
      <c r="L61" s="3385" t="str">
        <f>IF(ISERROR(ROUNDUP((B61*F61),0))," ",ROUNDUP((B61*F61),0))</f>
        <v xml:space="preserve"> </v>
      </c>
      <c r="M61" s="3351"/>
      <c r="N61" s="2127" t="s">
        <v>134</v>
      </c>
      <c r="O61" s="2"/>
      <c r="P61" s="5"/>
      <c r="Q61" s="5"/>
      <c r="R61" s="44"/>
      <c r="T61" s="2"/>
      <c r="U61" s="2"/>
      <c r="V61" s="2"/>
      <c r="W61" s="2"/>
      <c r="X61" s="2"/>
      <c r="Y61" s="2"/>
    </row>
    <row r="62" spans="1:26" ht="6" customHeight="1">
      <c r="A62" s="83"/>
      <c r="B62" s="2"/>
      <c r="C62" s="2"/>
      <c r="D62" s="2"/>
      <c r="E62" s="2"/>
      <c r="F62" s="2"/>
      <c r="G62" s="2"/>
      <c r="H62" s="2"/>
      <c r="I62" s="2"/>
      <c r="J62" s="2"/>
      <c r="K62" s="2"/>
      <c r="L62" s="5"/>
      <c r="M62" s="57"/>
      <c r="N62" s="2"/>
      <c r="O62" s="2"/>
      <c r="P62" s="2"/>
      <c r="Q62" s="2"/>
      <c r="R62" s="67"/>
    </row>
    <row r="63" spans="1:26" ht="20.100000000000001" customHeight="1">
      <c r="A63" s="2133" t="s">
        <v>128</v>
      </c>
      <c r="B63" s="8" t="s">
        <v>1072</v>
      </c>
      <c r="C63" s="2"/>
      <c r="D63" s="1468"/>
      <c r="E63" s="1468"/>
      <c r="F63" s="1468"/>
      <c r="G63" s="2"/>
      <c r="H63" s="2"/>
      <c r="I63" s="2"/>
      <c r="J63" s="2"/>
      <c r="K63" s="2"/>
      <c r="L63" s="3596" t="str">
        <f>IF(ISBLANK(K43)," ",IF(K43=1,"0.045",IF(K43=1.25,"0.078",IF(K43=1.5,"0.110",IF(K43=2,"0.170",IF(K43=3,"0.380"))))))</f>
        <v xml:space="preserve"> </v>
      </c>
      <c r="M63" s="3597"/>
      <c r="N63" s="1468" t="s">
        <v>661</v>
      </c>
      <c r="O63" s="2"/>
      <c r="P63" s="2"/>
      <c r="Q63" s="2"/>
      <c r="R63" s="67"/>
    </row>
    <row r="64" spans="1:26" ht="6" customHeight="1">
      <c r="A64" s="83"/>
      <c r="B64" s="2"/>
      <c r="C64" s="2"/>
      <c r="D64" s="2"/>
      <c r="E64" s="2"/>
      <c r="F64" s="2"/>
      <c r="G64" s="2"/>
      <c r="H64" s="2"/>
      <c r="I64" s="2"/>
      <c r="J64" s="2"/>
      <c r="K64" s="2"/>
      <c r="L64" s="2"/>
      <c r="M64" s="57"/>
      <c r="N64" s="2"/>
      <c r="O64" s="2"/>
      <c r="P64" s="2"/>
      <c r="Q64" s="2"/>
      <c r="R64" s="67"/>
    </row>
    <row r="65" spans="1:19" ht="18" customHeight="1">
      <c r="A65" s="126" t="s">
        <v>131</v>
      </c>
      <c r="B65" s="28" t="s">
        <v>100</v>
      </c>
      <c r="C65" s="2"/>
      <c r="D65" s="2130"/>
      <c r="E65" s="2130"/>
      <c r="F65" s="2"/>
      <c r="G65" s="2"/>
      <c r="H65" s="2"/>
      <c r="I65" s="2"/>
      <c r="J65" s="2"/>
      <c r="K65" s="2"/>
      <c r="L65" s="2"/>
      <c r="M65" s="2"/>
      <c r="N65" s="2"/>
      <c r="O65" s="2"/>
      <c r="P65" s="2"/>
      <c r="Q65" s="2"/>
      <c r="R65" s="67"/>
    </row>
    <row r="66" spans="1:19" ht="18" customHeight="1">
      <c r="A66" s="83"/>
      <c r="B66" s="3594" t="s">
        <v>1351</v>
      </c>
      <c r="C66" s="3594"/>
      <c r="D66" s="3594"/>
      <c r="E66" s="3594"/>
      <c r="F66" s="3594"/>
      <c r="G66" s="3594"/>
      <c r="H66" s="3594"/>
      <c r="I66" s="3594"/>
      <c r="J66" s="3594"/>
      <c r="K66" s="3594"/>
      <c r="L66" s="3594"/>
      <c r="M66" s="57"/>
      <c r="N66" s="2"/>
      <c r="O66" s="2"/>
      <c r="P66" s="2"/>
      <c r="Q66" s="2"/>
      <c r="R66" s="67"/>
    </row>
    <row r="67" spans="1:19" ht="18" customHeight="1">
      <c r="A67" s="83"/>
      <c r="B67" s="3594"/>
      <c r="C67" s="3594"/>
      <c r="D67" s="3594"/>
      <c r="E67" s="3594"/>
      <c r="F67" s="3594"/>
      <c r="G67" s="3594"/>
      <c r="H67" s="3594"/>
      <c r="I67" s="3594"/>
      <c r="J67" s="3594"/>
      <c r="K67" s="3594"/>
      <c r="L67" s="3594"/>
      <c r="M67" s="2"/>
      <c r="N67" s="2"/>
      <c r="O67" s="2"/>
      <c r="P67" s="2"/>
      <c r="Q67" s="2"/>
      <c r="R67" s="67"/>
      <c r="S67" s="16"/>
    </row>
    <row r="68" spans="1:19" ht="6" customHeight="1">
      <c r="A68" s="83"/>
      <c r="B68" s="2"/>
      <c r="C68" s="2"/>
      <c r="D68" s="2"/>
      <c r="E68" s="2"/>
      <c r="F68" s="2"/>
      <c r="G68" s="2"/>
      <c r="H68" s="2"/>
      <c r="I68" s="2"/>
      <c r="J68" s="2"/>
      <c r="K68" s="2"/>
      <c r="L68" s="2"/>
      <c r="M68" s="2"/>
      <c r="N68" s="2"/>
      <c r="O68" s="2"/>
      <c r="P68" s="2"/>
      <c r="Q68" s="2"/>
      <c r="R68" s="67"/>
      <c r="S68" s="16"/>
    </row>
    <row r="69" spans="1:19" ht="20.100000000000001" customHeight="1">
      <c r="A69" s="83"/>
      <c r="B69" s="3383" t="str">
        <f>IF(ISBLANK(J9)," ",J9)</f>
        <v xml:space="preserve"> </v>
      </c>
      <c r="C69" s="3384"/>
      <c r="D69" s="2127" t="s">
        <v>101</v>
      </c>
      <c r="E69" s="3383" t="str">
        <f>G16</f>
        <v xml:space="preserve"> </v>
      </c>
      <c r="F69" s="3384"/>
      <c r="G69" s="2127" t="s">
        <v>123</v>
      </c>
      <c r="H69" s="3596" t="str">
        <f>IF(ISBLANK(L63)," ",L63)</f>
        <v xml:space="preserve"> </v>
      </c>
      <c r="I69" s="3597"/>
      <c r="J69" s="2137" t="s">
        <v>1352</v>
      </c>
      <c r="K69" s="2"/>
      <c r="L69" s="3347" t="str">
        <f>IF(ISBLANK(J9)," ",((B69*E69*H69)))</f>
        <v xml:space="preserve"> </v>
      </c>
      <c r="M69" s="3595"/>
      <c r="N69" s="1468" t="s">
        <v>96</v>
      </c>
      <c r="O69" s="2"/>
      <c r="P69" s="2"/>
      <c r="Q69" s="2"/>
      <c r="R69" s="67"/>
      <c r="S69" s="16"/>
    </row>
    <row r="70" spans="1:19" ht="6" customHeight="1">
      <c r="A70" s="83"/>
      <c r="B70" s="2"/>
      <c r="C70" s="2"/>
      <c r="D70" s="2"/>
      <c r="E70" s="2"/>
      <c r="F70" s="2"/>
      <c r="G70" s="2"/>
      <c r="H70" s="2"/>
      <c r="I70" s="2"/>
      <c r="J70" s="2"/>
      <c r="K70" s="2"/>
      <c r="L70" s="2"/>
      <c r="M70" s="2"/>
      <c r="N70" s="2"/>
      <c r="O70" s="2"/>
      <c r="P70" s="2"/>
      <c r="Q70" s="2"/>
      <c r="R70" s="67"/>
      <c r="S70" s="16"/>
    </row>
    <row r="71" spans="1:19" ht="18" customHeight="1">
      <c r="A71" s="126" t="s">
        <v>1888</v>
      </c>
      <c r="B71" s="46" t="s">
        <v>1353</v>
      </c>
      <c r="C71" s="2"/>
      <c r="D71" s="2"/>
      <c r="E71" s="2"/>
      <c r="F71" s="2"/>
      <c r="G71" s="2"/>
      <c r="H71" s="2"/>
      <c r="I71" s="2"/>
      <c r="J71" s="2"/>
      <c r="K71" s="2"/>
      <c r="L71" s="2"/>
      <c r="M71" s="2"/>
      <c r="N71" s="2"/>
      <c r="O71" s="2"/>
      <c r="P71" s="2"/>
      <c r="Q71" s="2"/>
      <c r="R71" s="67"/>
      <c r="S71" s="16"/>
    </row>
    <row r="72" spans="1:19" ht="6" customHeight="1">
      <c r="A72" s="83"/>
      <c r="B72" s="2"/>
      <c r="C72" s="2"/>
      <c r="D72" s="2"/>
      <c r="E72" s="2"/>
      <c r="F72" s="2"/>
      <c r="G72" s="2"/>
      <c r="H72" s="2"/>
      <c r="I72" s="2"/>
      <c r="J72" s="2"/>
      <c r="K72" s="2"/>
      <c r="L72" s="2"/>
      <c r="M72" s="2"/>
      <c r="N72" s="2"/>
      <c r="O72" s="2"/>
      <c r="P72" s="2"/>
      <c r="Q72" s="2"/>
      <c r="R72" s="67"/>
      <c r="S72" s="16"/>
    </row>
    <row r="73" spans="1:19" ht="20.100000000000001" customHeight="1">
      <c r="A73" s="83"/>
      <c r="B73" s="3347" t="str">
        <f>L69</f>
        <v xml:space="preserve"> </v>
      </c>
      <c r="C73" s="3348"/>
      <c r="D73" s="3368" t="s">
        <v>900</v>
      </c>
      <c r="E73" s="3350"/>
      <c r="F73" s="3350"/>
      <c r="G73" s="3347" t="str">
        <f>IF(ISBLANK(K43),"",B73*4)</f>
        <v/>
      </c>
      <c r="H73" s="3595"/>
      <c r="I73" s="1468" t="s">
        <v>96</v>
      </c>
      <c r="J73" s="2"/>
      <c r="K73" s="2"/>
      <c r="L73" s="2"/>
      <c r="M73" s="2"/>
      <c r="N73" s="2"/>
      <c r="O73" s="2"/>
      <c r="P73" s="2"/>
      <c r="Q73" s="2"/>
      <c r="R73" s="67"/>
      <c r="S73" s="16"/>
    </row>
    <row r="74" spans="1:19" ht="6" customHeight="1">
      <c r="A74" s="83"/>
      <c r="B74" s="2"/>
      <c r="C74" s="2"/>
      <c r="D74" s="2"/>
      <c r="E74" s="2"/>
      <c r="F74" s="2"/>
      <c r="G74" s="2"/>
      <c r="H74" s="2"/>
      <c r="I74" s="2"/>
      <c r="J74" s="2"/>
      <c r="K74" s="2"/>
      <c r="L74" s="2"/>
      <c r="M74" s="2"/>
      <c r="N74" s="2"/>
      <c r="O74" s="2"/>
      <c r="P74" s="2"/>
      <c r="Q74" s="2"/>
      <c r="R74" s="67"/>
      <c r="S74" s="16"/>
    </row>
    <row r="75" spans="1:19" ht="31.5" customHeight="1">
      <c r="A75" s="83"/>
      <c r="B75" s="54"/>
      <c r="C75" s="54"/>
      <c r="D75" s="1470"/>
      <c r="E75" s="54"/>
      <c r="F75" s="54"/>
      <c r="G75" s="1470"/>
      <c r="H75" s="87"/>
      <c r="I75" s="87"/>
      <c r="J75" s="1470"/>
      <c r="K75" s="57"/>
      <c r="L75" s="57"/>
      <c r="M75" s="1468"/>
      <c r="N75" s="2"/>
      <c r="O75" s="2"/>
      <c r="P75" s="2"/>
      <c r="Q75" s="2"/>
      <c r="R75" s="67"/>
    </row>
    <row r="76" spans="1:19" ht="6" customHeight="1">
      <c r="A76" s="83"/>
      <c r="B76" s="54"/>
      <c r="C76" s="54"/>
      <c r="D76" s="1470"/>
      <c r="E76" s="54"/>
      <c r="F76" s="54"/>
      <c r="G76" s="1470"/>
      <c r="H76" s="87"/>
      <c r="I76" s="87"/>
      <c r="J76" s="1470"/>
      <c r="K76" s="57"/>
      <c r="L76" s="57"/>
      <c r="M76" s="1468"/>
      <c r="N76" s="2"/>
      <c r="O76" s="2"/>
      <c r="P76" s="2"/>
      <c r="Q76" s="2"/>
      <c r="R76" s="67"/>
    </row>
    <row r="77" spans="1:19" ht="6" customHeight="1">
      <c r="A77" s="70"/>
      <c r="B77" s="64"/>
      <c r="C77" s="64"/>
      <c r="D77" s="64"/>
      <c r="E77" s="64"/>
      <c r="F77" s="64"/>
      <c r="G77" s="64"/>
      <c r="H77" s="64"/>
      <c r="I77" s="64"/>
      <c r="J77" s="64"/>
      <c r="K77" s="64"/>
      <c r="L77" s="64"/>
      <c r="M77" s="64"/>
      <c r="N77" s="64"/>
      <c r="O77" s="64"/>
      <c r="P77" s="64"/>
      <c r="Q77" s="64"/>
      <c r="R77" s="68"/>
    </row>
    <row r="78" spans="1:19" ht="18" customHeight="1">
      <c r="A78" s="714" t="s">
        <v>291</v>
      </c>
      <c r="B78" s="715"/>
      <c r="C78" s="715"/>
      <c r="D78" s="715"/>
      <c r="E78" s="715"/>
      <c r="F78" s="715"/>
      <c r="G78" s="715"/>
      <c r="H78" s="715"/>
      <c r="I78" s="715"/>
      <c r="J78" s="715"/>
      <c r="K78" s="715"/>
      <c r="L78" s="715"/>
      <c r="M78" s="715"/>
      <c r="N78" s="715"/>
      <c r="O78" s="715"/>
      <c r="P78" s="715"/>
      <c r="Q78" s="715"/>
      <c r="R78" s="716"/>
    </row>
    <row r="79" spans="1:19">
      <c r="A79" s="3137"/>
      <c r="B79" s="3138"/>
      <c r="C79" s="3138"/>
      <c r="D79" s="3138"/>
      <c r="E79" s="3138"/>
      <c r="F79" s="3138"/>
      <c r="G79" s="3138"/>
      <c r="H79" s="3138"/>
      <c r="I79" s="3138"/>
      <c r="J79" s="3138"/>
      <c r="K79" s="3138"/>
      <c r="L79" s="3138"/>
      <c r="M79" s="3138"/>
      <c r="N79" s="3138"/>
      <c r="O79" s="3138"/>
      <c r="P79" s="3138"/>
      <c r="Q79" s="3138"/>
      <c r="R79" s="3139"/>
    </row>
    <row r="80" spans="1:19">
      <c r="A80" s="3591"/>
      <c r="B80" s="3592"/>
      <c r="C80" s="3592"/>
      <c r="D80" s="3592"/>
      <c r="E80" s="3592"/>
      <c r="F80" s="3592"/>
      <c r="G80" s="3592"/>
      <c r="H80" s="3592"/>
      <c r="I80" s="3592"/>
      <c r="J80" s="3592"/>
      <c r="K80" s="3592"/>
      <c r="L80" s="3592"/>
      <c r="M80" s="3592"/>
      <c r="N80" s="3592"/>
      <c r="O80" s="3592"/>
      <c r="P80" s="3592"/>
      <c r="Q80" s="3592"/>
      <c r="R80" s="3593"/>
    </row>
    <row r="81" spans="1:18">
      <c r="A81" s="3591"/>
      <c r="B81" s="3592"/>
      <c r="C81" s="3592"/>
      <c r="D81" s="3592"/>
      <c r="E81" s="3592"/>
      <c r="F81" s="3592"/>
      <c r="G81" s="3592"/>
      <c r="H81" s="3592"/>
      <c r="I81" s="3592"/>
      <c r="J81" s="3592"/>
      <c r="K81" s="3592"/>
      <c r="L81" s="3592"/>
      <c r="M81" s="3592"/>
      <c r="N81" s="3592"/>
      <c r="O81" s="3592"/>
      <c r="P81" s="3592"/>
      <c r="Q81" s="3592"/>
      <c r="R81" s="3593"/>
    </row>
    <row r="82" spans="1:18">
      <c r="A82" s="3591"/>
      <c r="B82" s="3592"/>
      <c r="C82" s="3592"/>
      <c r="D82" s="3592"/>
      <c r="E82" s="3592"/>
      <c r="F82" s="3592"/>
      <c r="G82" s="3592"/>
      <c r="H82" s="3592"/>
      <c r="I82" s="3592"/>
      <c r="J82" s="3592"/>
      <c r="K82" s="3592"/>
      <c r="L82" s="3592"/>
      <c r="M82" s="3592"/>
      <c r="N82" s="3592"/>
      <c r="O82" s="3592"/>
      <c r="P82" s="3592"/>
      <c r="Q82" s="3592"/>
      <c r="R82" s="3593"/>
    </row>
    <row r="83" spans="1:18">
      <c r="A83" s="3140"/>
      <c r="B83" s="3141"/>
      <c r="C83" s="3141"/>
      <c r="D83" s="3141"/>
      <c r="E83" s="3141"/>
      <c r="F83" s="3141"/>
      <c r="G83" s="3141"/>
      <c r="H83" s="3141"/>
      <c r="I83" s="3141"/>
      <c r="J83" s="3141"/>
      <c r="K83" s="3141"/>
      <c r="L83" s="3141"/>
      <c r="M83" s="3141"/>
      <c r="N83" s="3141"/>
      <c r="O83" s="3141"/>
      <c r="P83" s="3141"/>
      <c r="Q83" s="3141"/>
      <c r="R83" s="3142"/>
    </row>
    <row r="84" spans="1:18">
      <c r="A84" s="485"/>
      <c r="B84" s="485"/>
      <c r="C84" s="485"/>
      <c r="D84" s="485"/>
      <c r="E84" s="485"/>
      <c r="F84" s="485"/>
      <c r="G84" s="485"/>
      <c r="H84" s="485"/>
      <c r="I84" s="485"/>
      <c r="J84" s="485"/>
      <c r="K84" s="485"/>
      <c r="L84" s="485"/>
      <c r="M84" s="485"/>
      <c r="N84" s="485"/>
      <c r="O84" s="485"/>
      <c r="P84" s="485"/>
      <c r="Q84" s="485"/>
      <c r="R84" s="485"/>
    </row>
    <row r="85" spans="1:18">
      <c r="A85" s="485"/>
      <c r="B85" s="485"/>
      <c r="C85" s="485"/>
      <c r="D85" s="485"/>
      <c r="E85" s="485"/>
      <c r="F85" s="485"/>
      <c r="G85" s="485"/>
      <c r="H85" s="485"/>
      <c r="I85" s="485"/>
      <c r="J85" s="485"/>
      <c r="K85" s="485"/>
      <c r="L85" s="485"/>
      <c r="M85" s="485"/>
      <c r="N85" s="485"/>
      <c r="O85" s="485"/>
      <c r="P85" s="485"/>
      <c r="Q85" s="485"/>
      <c r="R85" s="485"/>
    </row>
    <row r="86" spans="1:18">
      <c r="A86" s="485"/>
      <c r="B86" s="485"/>
      <c r="C86" s="485"/>
      <c r="D86" s="485"/>
      <c r="E86" s="485"/>
      <c r="F86" s="485"/>
      <c r="G86" s="485"/>
      <c r="H86" s="485"/>
      <c r="I86" s="485"/>
      <c r="J86" s="485"/>
      <c r="K86" s="485"/>
      <c r="L86" s="485"/>
      <c r="M86" s="485"/>
      <c r="N86" s="485"/>
      <c r="O86" s="485"/>
      <c r="P86" s="485"/>
      <c r="Q86" s="485"/>
      <c r="R86" s="485"/>
    </row>
  </sheetData>
  <sheetProtection sheet="1" objects="1" scenarios="1"/>
  <customSheetViews>
    <customSheetView guid="{3320ADAB-1745-4CE0-B739-BF2E8269138B}" showGridLines="0" fitToPage="1" showRuler="0" topLeftCell="A4">
      <selection activeCell="J73" sqref="J73:K73"/>
      <pageMargins left="0.4" right="0.4" top="0.4" bottom="0.4" header="0.5" footer="0.5"/>
      <printOptions horizontalCentered="1"/>
      <pageSetup scale="59" orientation="portrait" r:id="rId1"/>
      <headerFooter alignWithMargins="0"/>
    </customSheetView>
    <customSheetView guid="{D1431318-1DB8-4C45-813B-5A8065DFC797}" showPageBreaks="1" showGridLines="0" zeroValues="0" printArea="1" view="pageBreakPreview">
      <selection activeCell="J4" sqref="J4:K4"/>
      <rowBreaks count="1" manualBreakCount="1">
        <brk id="44" max="16383" man="1"/>
      </rowBreaks>
      <pageMargins left="0.4" right="0.4" top="0.4" bottom="0.4" header="0.5" footer="0.5"/>
      <printOptions horizontalCentered="1"/>
      <pageSetup fitToHeight="2" orientation="portrait" blackAndWhite="1" r:id="rId2"/>
      <headerFooter alignWithMargins="0"/>
    </customSheetView>
  </customSheetViews>
  <mergeCells count="58">
    <mergeCell ref="L63:M63"/>
    <mergeCell ref="B53:C53"/>
    <mergeCell ref="B61:C61"/>
    <mergeCell ref="F61:G61"/>
    <mergeCell ref="L61:M61"/>
    <mergeCell ref="A79:R83"/>
    <mergeCell ref="D73:F73"/>
    <mergeCell ref="B66:L67"/>
    <mergeCell ref="B73:C73"/>
    <mergeCell ref="B69:C69"/>
    <mergeCell ref="G73:H73"/>
    <mergeCell ref="E69:F69"/>
    <mergeCell ref="H69:I69"/>
    <mergeCell ref="L69:M69"/>
    <mergeCell ref="G37:H37"/>
    <mergeCell ref="P47:Q49"/>
    <mergeCell ref="B59:R59"/>
    <mergeCell ref="P53:Q53"/>
    <mergeCell ref="P55:Q55"/>
    <mergeCell ref="J57:K57"/>
    <mergeCell ref="P56:Q56"/>
    <mergeCell ref="K55:L55"/>
    <mergeCell ref="H53:I53"/>
    <mergeCell ref="E53:F53"/>
    <mergeCell ref="R51:R52"/>
    <mergeCell ref="K43:L43"/>
    <mergeCell ref="E1:M1"/>
    <mergeCell ref="E7:F7"/>
    <mergeCell ref="O39:P39"/>
    <mergeCell ref="N7:R7"/>
    <mergeCell ref="B25:G25"/>
    <mergeCell ref="J11:K11"/>
    <mergeCell ref="I2:J2"/>
    <mergeCell ref="K2:L2"/>
    <mergeCell ref="J9:K9"/>
    <mergeCell ref="J10:K10"/>
    <mergeCell ref="J13:K13"/>
    <mergeCell ref="J4:K4"/>
    <mergeCell ref="B16:C16"/>
    <mergeCell ref="G16:H16"/>
    <mergeCell ref="B37:C37"/>
    <mergeCell ref="B34:R35"/>
    <mergeCell ref="J7:K7"/>
    <mergeCell ref="G7:I7"/>
    <mergeCell ref="R47:R49"/>
    <mergeCell ref="B18:R19"/>
    <mergeCell ref="H25:I25"/>
    <mergeCell ref="M25:N25"/>
    <mergeCell ref="B49:C49"/>
    <mergeCell ref="M37:N37"/>
    <mergeCell ref="O21:P21"/>
    <mergeCell ref="K21:L21"/>
    <mergeCell ref="B26:R26"/>
    <mergeCell ref="E49:F49"/>
    <mergeCell ref="K41:L41"/>
    <mergeCell ref="G21:H21"/>
    <mergeCell ref="B23:R23"/>
    <mergeCell ref="B39:M39"/>
  </mergeCells>
  <phoneticPr fontId="22" type="noConversion"/>
  <dataValidations xWindow="432" yWindow="433" count="6">
    <dataValidation type="list" allowBlank="1" showInputMessage="1" showErrorMessage="1" sqref="K43:L43">
      <formula1>PipeDia</formula1>
    </dataValidation>
    <dataValidation type="list" allowBlank="1" showInputMessage="1" showErrorMessage="1" prompt="1.0 for dwellings using 1/4&quot;, 7/32&quot;,or 3/16&quot; holes_x000a__x000a_2.0 for dwellings using 1/8&quot; holes or Other Establishments using 1/4&quot;, 7/32&quot;or 3/16&quot; holes_x000a__x000a_5.0 for Other Establishments using 1/8&quot; holes" sqref="K55:L55">
      <formula1>MinHead</formula1>
    </dataValidation>
    <dataValidation operator="greaterThanOrEqual" allowBlank="1" showInputMessage="1" showErrorMessage="1" error="Value is less than allowed by rule" prompt="Laterals must be within 24 inches of the edge of the bed and spaced no further apart than 36 inches." sqref="J9:K9"/>
    <dataValidation type="list" allowBlank="1" showInputMessage="1" showErrorMessage="1" prompt="Min 2.0 ft_x000a_Max 3.0 ft" sqref="J10:K10">
      <formula1>PerfSpace</formula1>
    </dataValidation>
    <dataValidation type="list" allowBlank="1" showInputMessage="1" showErrorMessage="1" prompt="Min 1/8&quot;_x000a_Max 1/4&quot;" sqref="J13:K13">
      <formula1>PerfDia</formula1>
    </dataValidation>
    <dataValidation type="list" errorStyle="information" allowBlank="1" showInputMessage="1" showErrorMessage="1" errorTitle="Check Value" error="Spacing must be between 2ft and 3ft." prompt="Min 2.0 ft_x000a_Max 3.0 ft" sqref="J11:K11">
      <formula1>PerfSpace</formula1>
    </dataValidation>
  </dataValidations>
  <printOptions horizontalCentered="1"/>
  <pageMargins left="0.4" right="0.4" top="0.4" bottom="0.4" header="0.5" footer="0.5"/>
  <pageSetup scale="79" fitToHeight="2" orientation="portrait" blackAndWhite="1" r:id="rId3"/>
  <headerFooter alignWithMargins="0"/>
  <rowBreaks count="1" manualBreakCount="1">
    <brk id="43" max="17" man="1"/>
  </rowBreaks>
  <drawing r:id="rId4"/>
  <extLst>
    <ext xmlns:x14="http://schemas.microsoft.com/office/spreadsheetml/2009/9/main" uri="{CCE6A557-97BC-4b89-ADB6-D9C93CAAB3DF}">
      <x14:dataValidations xmlns:xm="http://schemas.microsoft.com/office/excel/2006/main" xWindow="432" yWindow="433" count="1">
        <x14:dataValidation type="list" allowBlank="1">
          <x14:formula1>
            <xm:f>'Drop-Down Lists'!$F$52:$F$53</xm:f>
          </x14:formula1>
          <xm:sqref>K41:L41</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indexed="55"/>
  </sheetPr>
  <dimension ref="A1:AL196"/>
  <sheetViews>
    <sheetView showGridLines="0" showZeros="0" view="pageBreakPreview" zoomScaleNormal="100" zoomScaleSheetLayoutView="100" workbookViewId="0">
      <selection activeCell="F6" sqref="F6:G6"/>
    </sheetView>
  </sheetViews>
  <sheetFormatPr defaultColWidth="9.109375" defaultRowHeight="24" customHeight="1"/>
  <cols>
    <col min="1" max="20" width="6.109375" style="1" customWidth="1"/>
    <col min="21" max="21" width="9.109375" style="83"/>
    <col min="22" max="16384" width="9.109375" style="1"/>
  </cols>
  <sheetData>
    <row r="1" spans="1:38" s="75" customFormat="1" ht="54.9" customHeight="1" thickBot="1">
      <c r="B1" s="468"/>
      <c r="C1" s="468"/>
      <c r="E1" s="3598" t="s">
        <v>1745</v>
      </c>
      <c r="F1" s="3598"/>
      <c r="G1" s="3598"/>
      <c r="H1" s="3598"/>
      <c r="I1" s="3598"/>
      <c r="J1" s="3598"/>
      <c r="K1" s="3598"/>
      <c r="L1" s="3598"/>
      <c r="M1" s="3598"/>
      <c r="N1" s="3598"/>
      <c r="O1" s="3598"/>
      <c r="P1" s="97"/>
      <c r="Q1" s="97"/>
      <c r="R1" s="97"/>
      <c r="S1" s="97"/>
    </row>
    <row r="2" spans="1:38" s="653" customFormat="1" ht="15.6" customHeight="1">
      <c r="A2" s="2487"/>
      <c r="B2" s="2488"/>
      <c r="C2" s="2488"/>
      <c r="D2" s="2488"/>
      <c r="E2" s="2488"/>
      <c r="F2" s="2488"/>
      <c r="G2" s="2488"/>
      <c r="H2" s="2488"/>
      <c r="I2" s="3614" t="s">
        <v>1016</v>
      </c>
      <c r="J2" s="3614"/>
      <c r="K2" s="3608" t="str">
        <f>IF(ISBLANK(Summary!S3)," ",Summary!S3)</f>
        <v xml:space="preserve"> </v>
      </c>
      <c r="L2" s="3608"/>
      <c r="M2" s="2488"/>
      <c r="N2" s="2488"/>
      <c r="O2" s="2488"/>
      <c r="P2" s="2488"/>
      <c r="Q2" s="2488"/>
      <c r="R2" s="3660" t="str">
        <f>'Drop-Down Lists'!J40</f>
        <v>v 04.01.2021</v>
      </c>
      <c r="S2" s="3660"/>
      <c r="T2" s="3661"/>
    </row>
    <row r="3" spans="1:38" s="76" customFormat="1" ht="6" customHeight="1">
      <c r="A3" s="2489"/>
      <c r="B3" s="125"/>
      <c r="C3" s="125"/>
      <c r="D3" s="125"/>
      <c r="E3" s="125"/>
      <c r="F3" s="125"/>
      <c r="G3" s="125"/>
      <c r="H3" s="125"/>
      <c r="I3" s="125"/>
      <c r="J3" s="125"/>
      <c r="K3" s="125"/>
      <c r="L3" s="125"/>
      <c r="M3" s="125"/>
      <c r="N3" s="125"/>
      <c r="O3" s="125"/>
      <c r="P3" s="133"/>
      <c r="Q3" s="133"/>
      <c r="R3" s="133"/>
      <c r="S3" s="3662"/>
      <c r="T3" s="3663"/>
      <c r="U3" s="75"/>
    </row>
    <row r="4" spans="1:38" ht="18" customHeight="1">
      <c r="A4" s="2490" t="s">
        <v>88</v>
      </c>
      <c r="B4" s="2" t="s">
        <v>228</v>
      </c>
      <c r="C4" s="2"/>
      <c r="D4" s="2"/>
      <c r="E4" s="2"/>
      <c r="F4" s="2"/>
      <c r="G4" s="2"/>
      <c r="H4" s="2"/>
      <c r="I4" s="2"/>
      <c r="J4" s="2"/>
      <c r="K4" s="2"/>
      <c r="L4" s="2"/>
      <c r="M4" s="2"/>
      <c r="N4" s="2"/>
      <c r="O4" s="2"/>
      <c r="P4" s="2"/>
      <c r="Q4" s="2"/>
      <c r="R4" s="2"/>
      <c r="S4" s="3664"/>
      <c r="T4" s="3665"/>
      <c r="U4" s="2"/>
    </row>
    <row r="5" spans="1:38" ht="6" customHeight="1">
      <c r="A5" s="2491"/>
      <c r="B5" s="2"/>
      <c r="C5" s="2"/>
      <c r="D5" s="2"/>
      <c r="E5" s="2"/>
      <c r="F5" s="2"/>
      <c r="G5" s="2"/>
      <c r="H5" s="2"/>
      <c r="I5" s="2"/>
      <c r="J5" s="2"/>
      <c r="K5" s="2"/>
      <c r="L5" s="2"/>
      <c r="M5" s="2"/>
      <c r="N5" s="2"/>
      <c r="O5" s="2"/>
      <c r="P5" s="2"/>
      <c r="Q5" s="2"/>
      <c r="R5" s="2"/>
      <c r="S5" s="2"/>
      <c r="T5" s="3"/>
      <c r="U5" s="2"/>
    </row>
    <row r="6" spans="1:38" ht="20.100000000000001" customHeight="1">
      <c r="A6" s="2492"/>
      <c r="B6" s="2" t="s">
        <v>315</v>
      </c>
      <c r="C6" s="2"/>
      <c r="D6" s="2430" t="s">
        <v>191</v>
      </c>
      <c r="E6" s="2"/>
      <c r="F6" s="3583"/>
      <c r="G6" s="3584"/>
      <c r="H6" s="2" t="s">
        <v>92</v>
      </c>
      <c r="I6" s="3609" t="s">
        <v>263</v>
      </c>
      <c r="J6" s="3610"/>
      <c r="K6" s="3610"/>
      <c r="L6" s="3611"/>
      <c r="M6" s="3100"/>
      <c r="N6" s="3101"/>
      <c r="O6" s="2" t="s">
        <v>92</v>
      </c>
      <c r="P6" s="2" t="s">
        <v>281</v>
      </c>
      <c r="Q6" s="2"/>
      <c r="R6" s="2"/>
      <c r="S6" s="2"/>
      <c r="T6" s="3"/>
      <c r="U6" s="2"/>
      <c r="AI6" s="49"/>
      <c r="AL6" s="85"/>
    </row>
    <row r="7" spans="1:38" s="5" customFormat="1" ht="6" customHeight="1">
      <c r="A7" s="791"/>
      <c r="F7" s="154"/>
      <c r="G7" s="154"/>
      <c r="H7" s="155"/>
      <c r="M7" s="62"/>
      <c r="N7" s="62"/>
      <c r="T7" s="1219"/>
      <c r="AI7" s="49"/>
      <c r="AJ7" s="1"/>
      <c r="AK7" s="1"/>
      <c r="AL7" s="96"/>
    </row>
    <row r="8" spans="1:38" ht="20.100000000000001" customHeight="1">
      <c r="A8" s="2492"/>
      <c r="B8" s="2" t="s">
        <v>316</v>
      </c>
      <c r="C8" s="2"/>
      <c r="D8" s="2430" t="s">
        <v>191</v>
      </c>
      <c r="E8" s="2"/>
      <c r="F8" s="3583"/>
      <c r="G8" s="3584"/>
      <c r="H8" s="2" t="s">
        <v>92</v>
      </c>
      <c r="I8" s="2"/>
      <c r="J8" s="2" t="s">
        <v>192</v>
      </c>
      <c r="K8" s="2"/>
      <c r="L8" s="2"/>
      <c r="M8" s="3100"/>
      <c r="N8" s="3101"/>
      <c r="O8" s="2" t="s">
        <v>92</v>
      </c>
      <c r="P8" s="2"/>
      <c r="Q8" s="2"/>
      <c r="R8" s="2"/>
      <c r="S8" s="2"/>
      <c r="T8" s="3"/>
      <c r="U8" s="2"/>
      <c r="AI8" s="49"/>
      <c r="AL8" s="132"/>
    </row>
    <row r="9" spans="1:38" s="5" customFormat="1" ht="6" customHeight="1">
      <c r="A9" s="791"/>
      <c r="F9" s="154"/>
      <c r="G9" s="154"/>
      <c r="H9" s="155"/>
      <c r="M9" s="62"/>
      <c r="N9" s="62"/>
      <c r="T9" s="1219"/>
      <c r="AI9" s="49"/>
      <c r="AJ9" s="1"/>
      <c r="AK9" s="1"/>
      <c r="AL9" s="84"/>
    </row>
    <row r="10" spans="1:38" ht="20.100000000000001" customHeight="1">
      <c r="A10" s="2492"/>
      <c r="B10" s="2" t="s">
        <v>317</v>
      </c>
      <c r="C10" s="2"/>
      <c r="D10" s="2430" t="s">
        <v>191</v>
      </c>
      <c r="E10" s="2"/>
      <c r="F10" s="3583"/>
      <c r="G10" s="3584"/>
      <c r="H10" s="2" t="s">
        <v>92</v>
      </c>
      <c r="I10" s="2"/>
      <c r="J10" s="2" t="s">
        <v>192</v>
      </c>
      <c r="K10" s="2"/>
      <c r="L10" s="2"/>
      <c r="M10" s="3100"/>
      <c r="N10" s="3101"/>
      <c r="O10" s="2" t="s">
        <v>92</v>
      </c>
      <c r="P10" s="2"/>
      <c r="Q10" s="2"/>
      <c r="R10" s="2"/>
      <c r="S10" s="2"/>
      <c r="T10" s="3"/>
      <c r="U10" s="2"/>
      <c r="AI10" s="49"/>
    </row>
    <row r="11" spans="1:38" s="5" customFormat="1" ht="6" customHeight="1">
      <c r="A11" s="791"/>
      <c r="F11" s="154"/>
      <c r="G11" s="154"/>
      <c r="H11" s="155"/>
      <c r="M11" s="62"/>
      <c r="N11" s="62"/>
      <c r="T11" s="1219"/>
      <c r="AI11" s="1"/>
      <c r="AJ11" s="1"/>
      <c r="AK11" s="1"/>
      <c r="AL11" s="1"/>
    </row>
    <row r="12" spans="1:38" ht="20.100000000000001" customHeight="1">
      <c r="A12" s="2492"/>
      <c r="B12" s="2" t="s">
        <v>318</v>
      </c>
      <c r="C12" s="2"/>
      <c r="D12" s="2430" t="s">
        <v>191</v>
      </c>
      <c r="E12" s="2"/>
      <c r="F12" s="3583"/>
      <c r="G12" s="3584"/>
      <c r="H12" s="2" t="s">
        <v>92</v>
      </c>
      <c r="I12" s="2"/>
      <c r="J12" s="2" t="s">
        <v>192</v>
      </c>
      <c r="K12" s="2"/>
      <c r="L12" s="2"/>
      <c r="M12" s="3100"/>
      <c r="N12" s="3101"/>
      <c r="O12" s="2" t="s">
        <v>92</v>
      </c>
      <c r="P12" s="2"/>
      <c r="Q12" s="2"/>
      <c r="R12" s="2"/>
      <c r="S12" s="2"/>
      <c r="T12" s="3"/>
      <c r="U12" s="2"/>
    </row>
    <row r="13" spans="1:38" s="5" customFormat="1" ht="6" customHeight="1">
      <c r="A13" s="791"/>
      <c r="F13" s="154"/>
      <c r="G13" s="154"/>
      <c r="H13" s="155"/>
      <c r="M13" s="62"/>
      <c r="N13" s="62"/>
      <c r="T13" s="1219"/>
      <c r="AI13" s="1"/>
      <c r="AJ13" s="1"/>
      <c r="AK13" s="1"/>
      <c r="AL13" s="1"/>
    </row>
    <row r="14" spans="1:38" ht="20.100000000000001" customHeight="1">
      <c r="A14" s="2492"/>
      <c r="B14" s="2" t="s">
        <v>319</v>
      </c>
      <c r="C14" s="2"/>
      <c r="D14" s="2430" t="s">
        <v>191</v>
      </c>
      <c r="E14" s="2"/>
      <c r="F14" s="3583"/>
      <c r="G14" s="3584"/>
      <c r="H14" s="2" t="s">
        <v>92</v>
      </c>
      <c r="I14" s="2"/>
      <c r="J14" s="2" t="s">
        <v>192</v>
      </c>
      <c r="K14" s="2"/>
      <c r="L14" s="2"/>
      <c r="M14" s="3100"/>
      <c r="N14" s="3101"/>
      <c r="O14" s="2" t="s">
        <v>92</v>
      </c>
      <c r="P14" s="2"/>
      <c r="Q14" s="2"/>
      <c r="R14" s="2"/>
      <c r="S14" s="2"/>
      <c r="T14" s="3"/>
      <c r="U14" s="2"/>
    </row>
    <row r="15" spans="1:38" s="5" customFormat="1" ht="6" customHeight="1">
      <c r="A15" s="791"/>
      <c r="F15" s="154"/>
      <c r="G15" s="154"/>
      <c r="H15" s="155"/>
      <c r="M15" s="62"/>
      <c r="N15" s="62"/>
      <c r="T15" s="1219"/>
      <c r="AI15" s="1"/>
      <c r="AJ15" s="1"/>
      <c r="AK15" s="1"/>
      <c r="AL15" s="1"/>
    </row>
    <row r="16" spans="1:38" ht="20.100000000000001" customHeight="1">
      <c r="A16" s="2492"/>
      <c r="B16" s="2" t="s">
        <v>794</v>
      </c>
      <c r="C16" s="2"/>
      <c r="D16" s="2430" t="s">
        <v>191</v>
      </c>
      <c r="E16" s="2"/>
      <c r="F16" s="3583"/>
      <c r="G16" s="3584"/>
      <c r="H16" s="2" t="s">
        <v>92</v>
      </c>
      <c r="I16" s="2"/>
      <c r="J16" s="2" t="s">
        <v>192</v>
      </c>
      <c r="K16" s="2"/>
      <c r="L16" s="2"/>
      <c r="M16" s="3100"/>
      <c r="N16" s="3101"/>
      <c r="O16" s="2" t="s">
        <v>92</v>
      </c>
      <c r="P16" s="2" t="s">
        <v>282</v>
      </c>
      <c r="Q16" s="2"/>
      <c r="R16" s="2"/>
      <c r="S16" s="2"/>
      <c r="T16" s="3"/>
      <c r="U16" s="2"/>
    </row>
    <row r="17" spans="1:21" ht="6" customHeight="1">
      <c r="A17" s="2492"/>
      <c r="B17" s="2"/>
      <c r="C17" s="2"/>
      <c r="D17" s="2"/>
      <c r="E17" s="2"/>
      <c r="F17" s="2"/>
      <c r="G17" s="2"/>
      <c r="H17" s="2"/>
      <c r="I17" s="2"/>
      <c r="J17" s="2"/>
      <c r="K17" s="2"/>
      <c r="L17" s="2"/>
      <c r="M17" s="2"/>
      <c r="N17" s="2"/>
      <c r="O17" s="2"/>
      <c r="P17" s="2"/>
      <c r="Q17" s="2"/>
      <c r="R17" s="2"/>
      <c r="S17" s="2"/>
      <c r="T17" s="3"/>
      <c r="U17" s="2"/>
    </row>
    <row r="18" spans="1:21" ht="18" customHeight="1">
      <c r="A18" s="2490" t="s">
        <v>89</v>
      </c>
      <c r="B18" s="1468" t="s">
        <v>158</v>
      </c>
      <c r="C18" s="2"/>
      <c r="D18" s="2"/>
      <c r="E18" s="2"/>
      <c r="F18" s="2"/>
      <c r="G18" s="2"/>
      <c r="H18" s="2"/>
      <c r="I18" s="2"/>
      <c r="J18" s="2"/>
      <c r="K18" s="2"/>
      <c r="L18" s="2"/>
      <c r="M18" s="2"/>
      <c r="N18" s="2"/>
      <c r="O18" s="2"/>
      <c r="P18" s="2"/>
      <c r="Q18" s="2"/>
      <c r="R18" s="2"/>
      <c r="S18" s="2"/>
      <c r="T18" s="3"/>
      <c r="U18" s="2"/>
    </row>
    <row r="19" spans="1:21" ht="20.100000000000001" customHeight="1">
      <c r="A19" s="2492"/>
      <c r="B19" s="161" t="s">
        <v>320</v>
      </c>
      <c r="C19" s="2"/>
      <c r="D19" s="2"/>
      <c r="E19" s="2"/>
      <c r="F19" s="2"/>
      <c r="G19" s="2"/>
      <c r="H19" s="2"/>
      <c r="I19" s="2"/>
      <c r="J19" s="2"/>
      <c r="K19" s="2"/>
      <c r="L19" s="3347" t="str">
        <f>IF(ISBLANK(F6)," ",F6)</f>
        <v xml:space="preserve"> </v>
      </c>
      <c r="M19" s="3348"/>
      <c r="N19" s="27" t="s">
        <v>647</v>
      </c>
      <c r="O19" s="3347" t="str">
        <f>IF(ISBLANK(F8)," ",IF(ISBLANK(F10),F8,IF(ISBLANK(F12),F10,IF(ISBLANK(F14),F12,IF(ISBLANK(F16),F14,F16)))))</f>
        <v xml:space="preserve"> </v>
      </c>
      <c r="P19" s="3348"/>
      <c r="Q19" s="27" t="s">
        <v>61</v>
      </c>
      <c r="R19" s="3347" t="str">
        <f>IF(ISBLANK(F6)," ",L19-O19)</f>
        <v xml:space="preserve"> </v>
      </c>
      <c r="S19" s="3348"/>
      <c r="T19" s="3" t="s">
        <v>92</v>
      </c>
      <c r="U19" s="2"/>
    </row>
    <row r="20" spans="1:21" ht="6" customHeight="1">
      <c r="A20" s="2492"/>
      <c r="B20" s="2"/>
      <c r="C20" s="2"/>
      <c r="D20" s="2"/>
      <c r="E20" s="2"/>
      <c r="F20" s="2"/>
      <c r="G20" s="2"/>
      <c r="H20" s="2"/>
      <c r="I20" s="2"/>
      <c r="J20" s="2"/>
      <c r="K20" s="2"/>
      <c r="L20" s="2"/>
      <c r="M20" s="2"/>
      <c r="N20" s="2"/>
      <c r="O20" s="2"/>
      <c r="P20" s="2"/>
      <c r="Q20" s="2"/>
      <c r="R20" s="2"/>
      <c r="S20" s="2"/>
      <c r="T20" s="3"/>
      <c r="U20" s="2"/>
    </row>
    <row r="21" spans="1:21" ht="20.100000000000001" customHeight="1">
      <c r="A21" s="1456" t="s">
        <v>141</v>
      </c>
      <c r="B21" s="1468" t="s">
        <v>130</v>
      </c>
      <c r="C21" s="1468"/>
      <c r="D21" s="1468"/>
      <c r="E21" s="1468"/>
      <c r="F21" s="2"/>
      <c r="G21" s="3583"/>
      <c r="H21" s="3584"/>
      <c r="I21" s="2" t="s">
        <v>92</v>
      </c>
      <c r="J21" s="46"/>
      <c r="K21" s="46"/>
      <c r="L21" s="46"/>
      <c r="M21" s="46"/>
      <c r="N21" s="46"/>
      <c r="O21" s="46"/>
      <c r="P21" s="46"/>
      <c r="Q21" s="27"/>
      <c r="R21" s="27"/>
      <c r="S21" s="27"/>
      <c r="T21" s="2493"/>
      <c r="U21" s="18"/>
    </row>
    <row r="22" spans="1:21" ht="18" customHeight="1">
      <c r="A22" s="2492"/>
      <c r="B22" s="27" t="s">
        <v>921</v>
      </c>
      <c r="C22" s="2"/>
      <c r="D22" s="2"/>
      <c r="E22" s="2"/>
      <c r="F22" s="2"/>
      <c r="G22" s="2"/>
      <c r="H22" s="2"/>
      <c r="I22" s="2"/>
      <c r="J22" s="2"/>
      <c r="K22" s="2"/>
      <c r="L22" s="2"/>
      <c r="M22" s="2"/>
      <c r="N22" s="2"/>
      <c r="O22" s="2"/>
      <c r="P22" s="2"/>
      <c r="Q22" s="2427"/>
      <c r="R22" s="2427"/>
      <c r="S22" s="2427"/>
      <c r="T22" s="146"/>
      <c r="U22" s="13"/>
    </row>
    <row r="23" spans="1:21" ht="18" customHeight="1">
      <c r="A23" s="2492"/>
      <c r="B23" s="2436" t="s">
        <v>922</v>
      </c>
      <c r="C23" s="2"/>
      <c r="D23" s="2"/>
      <c r="E23" s="2"/>
      <c r="F23" s="2"/>
      <c r="G23" s="2"/>
      <c r="H23" s="2"/>
      <c r="I23" s="2436"/>
      <c r="J23" s="2"/>
      <c r="K23" s="2"/>
      <c r="L23" s="2"/>
      <c r="M23" s="2"/>
      <c r="N23" s="2"/>
      <c r="O23" s="2"/>
      <c r="P23" s="2"/>
      <c r="Q23" s="2427"/>
      <c r="R23" s="2427"/>
      <c r="S23" s="2427"/>
      <c r="T23" s="146"/>
      <c r="U23" s="13"/>
    </row>
    <row r="24" spans="1:21" ht="18" customHeight="1">
      <c r="A24" s="2492"/>
      <c r="B24" s="3562" t="s">
        <v>321</v>
      </c>
      <c r="C24" s="3562"/>
      <c r="D24" s="3562"/>
      <c r="E24" s="3562"/>
      <c r="F24" s="3562"/>
      <c r="G24" s="3562"/>
      <c r="H24" s="3562"/>
      <c r="I24" s="3562"/>
      <c r="J24" s="3562"/>
      <c r="K24" s="3562"/>
      <c r="L24" s="3562"/>
      <c r="M24" s="3562"/>
      <c r="N24" s="3562"/>
      <c r="O24" s="3562"/>
      <c r="P24" s="3562"/>
      <c r="Q24" s="3562"/>
      <c r="R24" s="3562"/>
      <c r="S24" s="2427"/>
      <c r="T24" s="146"/>
      <c r="U24" s="13"/>
    </row>
    <row r="25" spans="1:21" ht="18" customHeight="1">
      <c r="A25" s="2492"/>
      <c r="B25" s="3562"/>
      <c r="C25" s="3562"/>
      <c r="D25" s="3562"/>
      <c r="E25" s="3562"/>
      <c r="F25" s="3562"/>
      <c r="G25" s="3562"/>
      <c r="H25" s="3562"/>
      <c r="I25" s="3562"/>
      <c r="J25" s="3562"/>
      <c r="K25" s="3562"/>
      <c r="L25" s="3562"/>
      <c r="M25" s="3562"/>
      <c r="N25" s="3562"/>
      <c r="O25" s="3562"/>
      <c r="P25" s="3562"/>
      <c r="Q25" s="3562"/>
      <c r="R25" s="3562"/>
      <c r="S25" s="2427"/>
      <c r="T25" s="146"/>
      <c r="U25" s="13"/>
    </row>
    <row r="26" spans="1:21" ht="18" customHeight="1">
      <c r="A26" s="2490" t="s">
        <v>142</v>
      </c>
      <c r="B26" s="2" t="s">
        <v>159</v>
      </c>
      <c r="C26" s="2"/>
      <c r="D26" s="2"/>
      <c r="E26" s="2"/>
      <c r="F26" s="2"/>
      <c r="G26" s="2"/>
      <c r="H26" s="2"/>
      <c r="I26" s="2"/>
      <c r="J26" s="2"/>
      <c r="K26" s="2"/>
      <c r="L26" s="2"/>
      <c r="M26" s="2"/>
      <c r="N26" s="2"/>
      <c r="O26" s="2"/>
      <c r="P26" s="2427"/>
      <c r="Q26" s="2427"/>
      <c r="R26" s="2427"/>
      <c r="S26" s="2427"/>
      <c r="T26" s="146"/>
      <c r="U26" s="13"/>
    </row>
    <row r="27" spans="1:21" ht="6" customHeight="1">
      <c r="A27" s="2492"/>
      <c r="B27" s="2"/>
      <c r="C27" s="2"/>
      <c r="D27" s="2"/>
      <c r="E27" s="2"/>
      <c r="F27" s="2"/>
      <c r="G27" s="2"/>
      <c r="H27" s="2"/>
      <c r="I27" s="2"/>
      <c r="J27" s="2"/>
      <c r="K27" s="2"/>
      <c r="L27" s="2"/>
      <c r="M27" s="2"/>
      <c r="N27" s="2"/>
      <c r="O27" s="2"/>
      <c r="P27" s="2"/>
      <c r="Q27" s="2"/>
      <c r="R27" s="2"/>
      <c r="S27" s="2"/>
      <c r="T27" s="3"/>
      <c r="U27" s="2"/>
    </row>
    <row r="28" spans="1:21" ht="20.100000000000001" customHeight="1">
      <c r="A28" s="2492"/>
      <c r="B28" s="3347" t="str">
        <f>IF(ISBLANK(G21)," ",G21)</f>
        <v xml:space="preserve"> </v>
      </c>
      <c r="C28" s="3351"/>
      <c r="D28" s="2436" t="s">
        <v>715</v>
      </c>
      <c r="E28" s="3347" t="str">
        <f>IF(ISBLANK(R19)," ",R19)</f>
        <v xml:space="preserve"> </v>
      </c>
      <c r="F28" s="3348"/>
      <c r="G28" s="2429" t="s">
        <v>648</v>
      </c>
      <c r="H28" s="3347" t="str">
        <f>IF(ISBLANK(G21)," ",B28+E28)</f>
        <v xml:space="preserve"> </v>
      </c>
      <c r="I28" s="3351"/>
      <c r="J28" s="2" t="s">
        <v>92</v>
      </c>
      <c r="K28" s="2"/>
      <c r="L28" s="2"/>
      <c r="M28" s="2"/>
      <c r="N28" s="2"/>
      <c r="O28" s="2"/>
      <c r="P28" s="2"/>
      <c r="Q28" s="2"/>
      <c r="R28" s="2"/>
      <c r="S28" s="2"/>
      <c r="T28" s="3"/>
      <c r="U28" s="2"/>
    </row>
    <row r="29" spans="1:21" ht="6" customHeight="1">
      <c r="A29" s="2492"/>
      <c r="B29" s="2"/>
      <c r="C29" s="2"/>
      <c r="D29" s="2"/>
      <c r="E29" s="2"/>
      <c r="F29" s="2"/>
      <c r="G29" s="2"/>
      <c r="H29" s="2"/>
      <c r="I29" s="2"/>
      <c r="J29" s="2"/>
      <c r="K29" s="2"/>
      <c r="L29" s="2"/>
      <c r="M29" s="2"/>
      <c r="N29" s="2"/>
      <c r="O29" s="2"/>
      <c r="P29" s="2427"/>
      <c r="Q29" s="2427"/>
      <c r="R29" s="2427"/>
      <c r="S29" s="2427"/>
      <c r="T29" s="146"/>
      <c r="U29" s="2"/>
    </row>
    <row r="30" spans="1:21" ht="18" customHeight="1">
      <c r="A30" s="2490" t="s">
        <v>91</v>
      </c>
      <c r="B30" s="2" t="s">
        <v>160</v>
      </c>
      <c r="C30" s="2"/>
      <c r="D30" s="2"/>
      <c r="E30" s="2"/>
      <c r="F30" s="2"/>
      <c r="G30" s="2"/>
      <c r="H30" s="2"/>
      <c r="I30" s="2"/>
      <c r="J30" s="2"/>
      <c r="K30" s="2"/>
      <c r="L30" s="2"/>
      <c r="M30" s="2"/>
      <c r="N30" s="2"/>
      <c r="O30" s="2"/>
      <c r="P30" s="2427"/>
      <c r="Q30" s="2427"/>
      <c r="R30" s="2427"/>
      <c r="S30" s="2427"/>
      <c r="T30" s="146"/>
      <c r="U30" s="2"/>
    </row>
    <row r="31" spans="1:21" ht="18" customHeight="1">
      <c r="A31" s="2491"/>
      <c r="B31" s="2" t="s">
        <v>193</v>
      </c>
      <c r="C31" s="2"/>
      <c r="D31" s="2"/>
      <c r="E31" s="2"/>
      <c r="F31" s="2"/>
      <c r="G31" s="2"/>
      <c r="H31" s="2"/>
      <c r="I31" s="2"/>
      <c r="J31" s="2"/>
      <c r="K31" s="2"/>
      <c r="L31" s="2"/>
      <c r="M31" s="2"/>
      <c r="N31" s="2"/>
      <c r="O31" s="2"/>
      <c r="P31" s="2427"/>
      <c r="Q31" s="2427"/>
      <c r="R31" s="2427"/>
      <c r="S31" s="2427"/>
      <c r="T31" s="146"/>
      <c r="U31" s="2"/>
    </row>
    <row r="32" spans="1:21" ht="18" customHeight="1">
      <c r="A32" s="2491"/>
      <c r="B32" s="2" t="s">
        <v>52</v>
      </c>
      <c r="C32" s="2"/>
      <c r="D32" s="2"/>
      <c r="E32" s="2"/>
      <c r="F32" s="2"/>
      <c r="G32" s="2"/>
      <c r="H32" s="2"/>
      <c r="I32" s="2"/>
      <c r="J32" s="2"/>
      <c r="K32" s="2"/>
      <c r="L32" s="2"/>
      <c r="M32" s="2"/>
      <c r="N32" s="2"/>
      <c r="O32" s="2"/>
      <c r="P32" s="2427"/>
      <c r="Q32" s="2427"/>
      <c r="R32" s="2427"/>
      <c r="S32" s="2427"/>
      <c r="T32" s="146"/>
      <c r="U32" s="2"/>
    </row>
    <row r="33" spans="1:38" ht="6" customHeight="1">
      <c r="A33" s="2491"/>
      <c r="B33" s="2"/>
      <c r="C33" s="2"/>
      <c r="D33" s="2"/>
      <c r="E33" s="2"/>
      <c r="F33" s="2"/>
      <c r="G33" s="2"/>
      <c r="H33" s="2"/>
      <c r="I33" s="2"/>
      <c r="J33" s="2"/>
      <c r="K33" s="2"/>
      <c r="L33" s="2"/>
      <c r="M33" s="2"/>
      <c r="N33" s="2"/>
      <c r="O33" s="2"/>
      <c r="P33" s="2427"/>
      <c r="Q33" s="2427"/>
      <c r="R33" s="2427"/>
      <c r="S33" s="2427"/>
      <c r="T33" s="146"/>
      <c r="U33" s="2"/>
    </row>
    <row r="34" spans="1:38" ht="29.4" customHeight="1">
      <c r="A34" s="2491"/>
      <c r="B34" s="2"/>
      <c r="C34" s="3607" t="s">
        <v>534</v>
      </c>
      <c r="D34" s="3607"/>
      <c r="E34" s="3607"/>
      <c r="F34" s="3607"/>
      <c r="G34" s="3615" t="s">
        <v>626</v>
      </c>
      <c r="H34" s="3615"/>
      <c r="I34" s="2"/>
      <c r="J34" s="3615" t="s">
        <v>625</v>
      </c>
      <c r="K34" s="3615"/>
      <c r="L34" s="2"/>
      <c r="M34" s="3559" t="s">
        <v>322</v>
      </c>
      <c r="N34" s="3559"/>
      <c r="O34" s="3559"/>
      <c r="P34" s="3559"/>
      <c r="Q34" s="2427"/>
      <c r="R34" s="2427"/>
      <c r="S34" s="2427"/>
      <c r="T34" s="146"/>
      <c r="U34" s="2"/>
    </row>
    <row r="35" spans="1:38" ht="6" customHeight="1">
      <c r="A35" s="2491"/>
      <c r="B35" s="2"/>
      <c r="C35" s="2440"/>
      <c r="D35" s="2440"/>
      <c r="E35" s="2440"/>
      <c r="F35" s="2440"/>
      <c r="G35" s="495"/>
      <c r="H35" s="495"/>
      <c r="I35" s="2"/>
      <c r="J35" s="2439"/>
      <c r="K35" s="2439"/>
      <c r="L35" s="2"/>
      <c r="M35" s="2429"/>
      <c r="N35" s="2429"/>
      <c r="O35" s="2429"/>
      <c r="P35" s="2429"/>
      <c r="Q35" s="2427"/>
      <c r="R35" s="2427"/>
      <c r="S35" s="2427"/>
      <c r="T35" s="146"/>
      <c r="U35" s="2"/>
    </row>
    <row r="36" spans="1:38" ht="20.100000000000001" customHeight="1">
      <c r="A36" s="2492"/>
      <c r="B36" s="2429" t="s">
        <v>151</v>
      </c>
      <c r="C36" s="2"/>
      <c r="D36" s="3347" t="str">
        <f>IF(ISBLANK(F6),"",G21)</f>
        <v/>
      </c>
      <c r="E36" s="3348"/>
      <c r="F36" s="2422" t="s">
        <v>649</v>
      </c>
      <c r="G36" s="3347" t="str">
        <f>IF(ISBLANK(F6),"",F6)</f>
        <v/>
      </c>
      <c r="H36" s="3348"/>
      <c r="I36" s="2439" t="s">
        <v>650</v>
      </c>
      <c r="J36" s="3347" t="str">
        <f>IF(ISBLANK(F6),"",F6)</f>
        <v/>
      </c>
      <c r="K36" s="3348"/>
      <c r="L36" s="2427" t="s">
        <v>651</v>
      </c>
      <c r="M36" s="2"/>
      <c r="N36" s="3612" t="str">
        <f>IF(ISBLANK(G21)," ",G21)</f>
        <v xml:space="preserve"> </v>
      </c>
      <c r="O36" s="3613"/>
      <c r="P36" s="2" t="s">
        <v>92</v>
      </c>
      <c r="Q36" s="2"/>
      <c r="R36" s="2"/>
      <c r="S36" s="2"/>
      <c r="T36" s="1450"/>
      <c r="U36" s="2"/>
    </row>
    <row r="37" spans="1:38" ht="6" customHeight="1">
      <c r="A37" s="791"/>
      <c r="B37" s="2429"/>
      <c r="C37" s="2429"/>
      <c r="D37" s="55"/>
      <c r="E37" s="2"/>
      <c r="F37" s="2"/>
      <c r="G37" s="2"/>
      <c r="H37" s="2"/>
      <c r="I37" s="18" t="s">
        <v>226</v>
      </c>
      <c r="J37" s="18"/>
      <c r="K37" s="18"/>
      <c r="L37" s="18"/>
      <c r="M37" s="2"/>
      <c r="N37" s="81"/>
      <c r="O37" s="2"/>
      <c r="P37" s="2"/>
      <c r="Q37" s="2"/>
      <c r="R37" s="2"/>
      <c r="S37" s="2"/>
      <c r="T37" s="1450"/>
      <c r="U37" s="2"/>
    </row>
    <row r="38" spans="1:38" ht="20.100000000000001" customHeight="1">
      <c r="A38" s="2492"/>
      <c r="B38" s="2429" t="s">
        <v>152</v>
      </c>
      <c r="C38" s="2429"/>
      <c r="D38" s="3347" t="str">
        <f>IF(ISBLANK(F8),"",G21)</f>
        <v/>
      </c>
      <c r="E38" s="3348"/>
      <c r="F38" s="2422" t="s">
        <v>649</v>
      </c>
      <c r="G38" s="3612" t="str">
        <f>IF(ISBLANK(F6)," ",F6)</f>
        <v xml:space="preserve"> </v>
      </c>
      <c r="H38" s="3613"/>
      <c r="I38" s="2439" t="s">
        <v>650</v>
      </c>
      <c r="J38" s="3612" t="str">
        <f>IF(ISBLANK(F8)," ",F8)</f>
        <v xml:space="preserve"> </v>
      </c>
      <c r="K38" s="3613"/>
      <c r="L38" s="2427" t="s">
        <v>651</v>
      </c>
      <c r="M38" s="2"/>
      <c r="N38" s="3347" t="str">
        <f>IF(ISBLANK(F6)," ",G21+(F6-F8))</f>
        <v xml:space="preserve"> </v>
      </c>
      <c r="O38" s="3348"/>
      <c r="P38" s="2" t="s">
        <v>92</v>
      </c>
      <c r="Q38" s="2"/>
      <c r="R38" s="2"/>
      <c r="S38" s="2"/>
      <c r="T38" s="1450"/>
      <c r="U38" s="2"/>
    </row>
    <row r="39" spans="1:38" ht="6" customHeight="1">
      <c r="A39" s="791"/>
      <c r="B39" s="2429"/>
      <c r="C39" s="2429"/>
      <c r="D39" s="55"/>
      <c r="E39" s="54"/>
      <c r="F39" s="134"/>
      <c r="G39" s="81"/>
      <c r="H39" s="81"/>
      <c r="I39" s="1232"/>
      <c r="J39" s="81"/>
      <c r="K39" s="81"/>
      <c r="L39" s="2431"/>
      <c r="M39" s="2"/>
      <c r="N39" s="55"/>
      <c r="O39" s="2"/>
      <c r="P39" s="2"/>
      <c r="Q39" s="2"/>
      <c r="R39" s="2"/>
      <c r="S39" s="2"/>
      <c r="T39" s="1450"/>
      <c r="U39" s="2"/>
    </row>
    <row r="40" spans="1:38" ht="20.100000000000001" customHeight="1">
      <c r="A40" s="2492"/>
      <c r="B40" s="2429" t="s">
        <v>153</v>
      </c>
      <c r="C40" s="2429"/>
      <c r="D40" s="3347" t="str">
        <f>IF(ISBLANK(F10),"",G21)</f>
        <v/>
      </c>
      <c r="E40" s="3348"/>
      <c r="F40" s="2422" t="s">
        <v>649</v>
      </c>
      <c r="G40" s="3612" t="str">
        <f>IF(ISBLANK(F10)," ",F6)</f>
        <v xml:space="preserve"> </v>
      </c>
      <c r="H40" s="3613"/>
      <c r="I40" s="2439" t="s">
        <v>650</v>
      </c>
      <c r="J40" s="3612" t="str">
        <f>IF(ISBLANK(F10)," ",F10)</f>
        <v xml:space="preserve"> </v>
      </c>
      <c r="K40" s="3613"/>
      <c r="L40" s="2427" t="s">
        <v>651</v>
      </c>
      <c r="M40" s="2"/>
      <c r="N40" s="3347" t="str">
        <f>IF(ISBLANK(F10)," ",(G21+(F6-F10)))</f>
        <v xml:space="preserve"> </v>
      </c>
      <c r="O40" s="3348"/>
      <c r="P40" s="2" t="s">
        <v>92</v>
      </c>
      <c r="Q40" s="2"/>
      <c r="R40" s="2"/>
      <c r="S40" s="2"/>
      <c r="T40" s="1450"/>
      <c r="U40" s="2"/>
    </row>
    <row r="41" spans="1:38" ht="6" customHeight="1">
      <c r="A41" s="791"/>
      <c r="B41" s="2429"/>
      <c r="C41" s="2429"/>
      <c r="D41" s="55"/>
      <c r="E41" s="54"/>
      <c r="F41" s="134"/>
      <c r="G41" s="81"/>
      <c r="H41" s="81"/>
      <c r="I41" s="2423"/>
      <c r="J41" s="81"/>
      <c r="K41" s="81"/>
      <c r="L41" s="2431"/>
      <c r="M41" s="2"/>
      <c r="N41" s="55"/>
      <c r="O41" s="2"/>
      <c r="P41" s="2"/>
      <c r="Q41" s="2"/>
      <c r="R41" s="2"/>
      <c r="S41" s="2"/>
      <c r="T41" s="1450"/>
      <c r="U41" s="2"/>
      <c r="AI41" s="7"/>
      <c r="AJ41" s="7"/>
      <c r="AK41" s="7"/>
      <c r="AL41" s="7"/>
    </row>
    <row r="42" spans="1:38" ht="20.100000000000001" customHeight="1">
      <c r="A42" s="2492"/>
      <c r="B42" s="2429" t="s">
        <v>154</v>
      </c>
      <c r="C42" s="2429"/>
      <c r="D42" s="3347" t="str">
        <f>IF(ISBLANK(F12),"",G21)</f>
        <v/>
      </c>
      <c r="E42" s="3348"/>
      <c r="F42" s="2422" t="s">
        <v>649</v>
      </c>
      <c r="G42" s="3612" t="str">
        <f>IF(ISBLANK(F12)," ",F6)</f>
        <v xml:space="preserve"> </v>
      </c>
      <c r="H42" s="3613"/>
      <c r="I42" s="2439" t="s">
        <v>650</v>
      </c>
      <c r="J42" s="3612" t="str">
        <f>IF(ISBLANK(F12)," ",F12)</f>
        <v xml:space="preserve"> </v>
      </c>
      <c r="K42" s="3613"/>
      <c r="L42" s="2427" t="s">
        <v>651</v>
      </c>
      <c r="M42" s="2"/>
      <c r="N42" s="3347" t="str">
        <f>IF(ISBLANK(F12)," ",(G21+(F6-F12)))</f>
        <v xml:space="preserve"> </v>
      </c>
      <c r="O42" s="3348"/>
      <c r="P42" s="2" t="s">
        <v>92</v>
      </c>
      <c r="Q42" s="2"/>
      <c r="R42" s="2"/>
      <c r="S42" s="2"/>
      <c r="T42" s="1450"/>
      <c r="U42" s="2"/>
      <c r="AI42" s="7"/>
      <c r="AJ42" s="7"/>
      <c r="AK42" s="7"/>
      <c r="AL42" s="7"/>
    </row>
    <row r="43" spans="1:38" ht="6" customHeight="1">
      <c r="A43" s="791"/>
      <c r="B43" s="2429"/>
      <c r="C43" s="2429"/>
      <c r="D43" s="55"/>
      <c r="E43" s="54"/>
      <c r="F43" s="134"/>
      <c r="G43" s="81"/>
      <c r="H43" s="81"/>
      <c r="I43" s="2423"/>
      <c r="J43" s="81"/>
      <c r="K43" s="81"/>
      <c r="L43" s="2431"/>
      <c r="M43" s="2"/>
      <c r="N43" s="55"/>
      <c r="O43" s="2"/>
      <c r="P43" s="2"/>
      <c r="Q43" s="2"/>
      <c r="R43" s="2"/>
      <c r="S43" s="2"/>
      <c r="T43" s="1450"/>
      <c r="U43" s="2"/>
      <c r="AI43" s="7"/>
      <c r="AJ43" s="7"/>
      <c r="AK43" s="7"/>
      <c r="AL43" s="7"/>
    </row>
    <row r="44" spans="1:38" ht="20.100000000000001" customHeight="1">
      <c r="A44" s="2492"/>
      <c r="B44" s="2429" t="s">
        <v>155</v>
      </c>
      <c r="C44" s="2429"/>
      <c r="D44" s="3347" t="str">
        <f>IF(ISBLANK(F14),"",G21)</f>
        <v/>
      </c>
      <c r="E44" s="3348"/>
      <c r="F44" s="2422" t="s">
        <v>649</v>
      </c>
      <c r="G44" s="3612" t="str">
        <f>IF(ISBLANK(F14)," ",F6)</f>
        <v xml:space="preserve"> </v>
      </c>
      <c r="H44" s="3613"/>
      <c r="I44" s="2439" t="s">
        <v>650</v>
      </c>
      <c r="J44" s="3612" t="str">
        <f>IF(ISBLANK(F14)," ",F14)</f>
        <v xml:space="preserve"> </v>
      </c>
      <c r="K44" s="3613"/>
      <c r="L44" s="2427" t="s">
        <v>651</v>
      </c>
      <c r="M44" s="2"/>
      <c r="N44" s="3347" t="str">
        <f>IF(ISBLANK(F14)," ",(G21+(F6-F14)))</f>
        <v xml:space="preserve"> </v>
      </c>
      <c r="O44" s="3348"/>
      <c r="P44" s="2" t="s">
        <v>92</v>
      </c>
      <c r="Q44" s="2"/>
      <c r="R44" s="2"/>
      <c r="S44" s="2"/>
      <c r="T44" s="1450"/>
      <c r="U44" s="2"/>
      <c r="AI44" s="7"/>
      <c r="AJ44" s="7"/>
      <c r="AK44" s="7"/>
      <c r="AL44" s="7"/>
    </row>
    <row r="45" spans="1:38" ht="6" customHeight="1">
      <c r="A45" s="2491"/>
      <c r="B45" s="2"/>
      <c r="C45" s="2440"/>
      <c r="D45" s="2440"/>
      <c r="E45" s="2440"/>
      <c r="F45" s="2440"/>
      <c r="G45" s="495"/>
      <c r="H45" s="495"/>
      <c r="I45" s="2"/>
      <c r="J45" s="2439"/>
      <c r="K45" s="2439"/>
      <c r="L45" s="2"/>
      <c r="M45" s="2429"/>
      <c r="N45" s="2429"/>
      <c r="O45" s="2429"/>
      <c r="P45" s="2429"/>
      <c r="Q45" s="2427"/>
      <c r="R45" s="2427"/>
      <c r="S45" s="2427"/>
      <c r="T45" s="146"/>
      <c r="U45" s="2"/>
    </row>
    <row r="46" spans="1:38" ht="20.100000000000001" customHeight="1">
      <c r="A46" s="2492"/>
      <c r="B46" s="2429" t="s">
        <v>795</v>
      </c>
      <c r="C46" s="2429"/>
      <c r="D46" s="3347" t="str">
        <f>IF(ISBLANK(F16),"",G21)</f>
        <v/>
      </c>
      <c r="E46" s="3348"/>
      <c r="F46" s="2422" t="s">
        <v>649</v>
      </c>
      <c r="G46" s="3612" t="str">
        <f>IF(ISBLANK(F16)," ",F6)</f>
        <v xml:space="preserve"> </v>
      </c>
      <c r="H46" s="3613"/>
      <c r="I46" s="2439" t="s">
        <v>650</v>
      </c>
      <c r="J46" s="3612" t="str">
        <f>IF(ISBLANK(F16)," ",F16)</f>
        <v xml:space="preserve"> </v>
      </c>
      <c r="K46" s="3613"/>
      <c r="L46" s="2427" t="s">
        <v>651</v>
      </c>
      <c r="M46" s="2"/>
      <c r="N46" s="3347" t="str">
        <f>IF(ISBLANK(F16)," ",(G21+(F6-F16)))</f>
        <v xml:space="preserve"> </v>
      </c>
      <c r="O46" s="3348"/>
      <c r="P46" s="2" t="s">
        <v>92</v>
      </c>
      <c r="Q46" s="2"/>
      <c r="R46" s="2"/>
      <c r="S46" s="2"/>
      <c r="T46" s="1450"/>
      <c r="U46" s="2"/>
      <c r="AI46" s="7"/>
      <c r="AJ46" s="7"/>
      <c r="AK46" s="7"/>
      <c r="AL46" s="7"/>
    </row>
    <row r="47" spans="1:38" s="7" customFormat="1" ht="6" customHeight="1">
      <c r="A47" s="2494"/>
      <c r="B47" s="1439"/>
      <c r="C47" s="157"/>
      <c r="D47" s="157"/>
      <c r="E47" s="157"/>
      <c r="F47" s="157"/>
      <c r="G47" s="143"/>
      <c r="H47" s="143"/>
      <c r="I47" s="1439"/>
      <c r="J47" s="127"/>
      <c r="K47" s="1439"/>
      <c r="L47" s="1437"/>
      <c r="M47" s="1437"/>
      <c r="N47" s="127"/>
      <c r="O47" s="158"/>
      <c r="P47" s="159"/>
      <c r="Q47" s="1437"/>
      <c r="R47" s="159"/>
      <c r="S47" s="160"/>
      <c r="T47" s="2495"/>
      <c r="U47" s="5"/>
    </row>
    <row r="48" spans="1:38" s="7" customFormat="1" ht="18" customHeight="1">
      <c r="A48" s="2490" t="s">
        <v>93</v>
      </c>
      <c r="B48" s="2" t="s">
        <v>161</v>
      </c>
      <c r="C48" s="2425"/>
      <c r="D48" s="2425"/>
      <c r="E48" s="2425"/>
      <c r="F48" s="2425"/>
      <c r="G48" s="55"/>
      <c r="H48" s="55"/>
      <c r="I48" s="2423"/>
      <c r="J48" s="54"/>
      <c r="K48" s="2423"/>
      <c r="L48" s="1470"/>
      <c r="M48" s="1470"/>
      <c r="N48" s="54"/>
      <c r="O48" s="134"/>
      <c r="P48" s="81"/>
      <c r="Q48" s="1470"/>
      <c r="R48" s="2433"/>
      <c r="S48" s="2433"/>
      <c r="T48" s="2496"/>
      <c r="U48" s="5"/>
    </row>
    <row r="49" spans="1:38" s="7" customFormat="1" ht="18" customHeight="1">
      <c r="A49" s="2491"/>
      <c r="B49" s="3562" t="s">
        <v>788</v>
      </c>
      <c r="C49" s="3562"/>
      <c r="D49" s="3562"/>
      <c r="E49" s="3562"/>
      <c r="F49" s="3562"/>
      <c r="G49" s="3562"/>
      <c r="H49" s="3562"/>
      <c r="I49" s="3562"/>
      <c r="J49" s="3562"/>
      <c r="K49" s="3562"/>
      <c r="L49" s="3350"/>
      <c r="M49" s="1470"/>
      <c r="N49" s="54"/>
      <c r="O49" s="134"/>
      <c r="P49" s="5"/>
      <c r="Q49" s="5"/>
      <c r="R49" s="5"/>
      <c r="S49" s="5"/>
      <c r="T49" s="2496"/>
      <c r="U49" s="5"/>
      <c r="AI49" s="1"/>
      <c r="AJ49" s="1"/>
      <c r="AK49" s="1"/>
      <c r="AL49" s="1"/>
    </row>
    <row r="50" spans="1:38" s="7" customFormat="1" ht="17.100000000000001" customHeight="1">
      <c r="A50" s="2491"/>
      <c r="B50" s="3562"/>
      <c r="C50" s="3562"/>
      <c r="D50" s="3562"/>
      <c r="E50" s="3562"/>
      <c r="F50" s="3562"/>
      <c r="G50" s="3562"/>
      <c r="H50" s="3562"/>
      <c r="I50" s="3562"/>
      <c r="J50" s="3562"/>
      <c r="K50" s="3562"/>
      <c r="L50" s="3350"/>
      <c r="M50" s="3650" t="s">
        <v>323</v>
      </c>
      <c r="N50" s="3650"/>
      <c r="O50" s="3650"/>
      <c r="P50" s="3650"/>
      <c r="Q50" s="3650"/>
      <c r="R50" s="3650"/>
      <c r="S50" s="3650"/>
      <c r="T50" s="2496"/>
      <c r="U50" s="5"/>
      <c r="AI50" s="1"/>
      <c r="AJ50" s="1"/>
      <c r="AK50" s="1"/>
      <c r="AL50" s="1"/>
    </row>
    <row r="51" spans="1:38" s="7" customFormat="1" ht="15.6" customHeight="1">
      <c r="A51" s="2491"/>
      <c r="B51" s="1468" t="s">
        <v>585</v>
      </c>
      <c r="C51" s="2425"/>
      <c r="D51" s="2425"/>
      <c r="E51" s="2425"/>
      <c r="F51" s="5"/>
      <c r="G51" s="5"/>
      <c r="H51" s="55"/>
      <c r="I51" s="2423"/>
      <c r="J51" s="58"/>
      <c r="K51" s="2423"/>
      <c r="L51" s="5"/>
      <c r="M51" s="3650"/>
      <c r="N51" s="3650"/>
      <c r="O51" s="3650"/>
      <c r="P51" s="3650"/>
      <c r="Q51" s="3650"/>
      <c r="R51" s="3650"/>
      <c r="S51" s="3650"/>
      <c r="T51" s="2497"/>
      <c r="U51" s="5"/>
      <c r="AI51" s="1"/>
      <c r="AJ51" s="1"/>
      <c r="AK51" s="1"/>
      <c r="AL51" s="1"/>
    </row>
    <row r="52" spans="1:38" ht="6" customHeight="1">
      <c r="A52" s="2492"/>
      <c r="B52" s="58"/>
      <c r="C52" s="2"/>
      <c r="D52" s="2"/>
      <c r="E52" s="2"/>
      <c r="F52" s="2"/>
      <c r="G52" s="2"/>
      <c r="H52" s="2"/>
      <c r="I52" s="2"/>
      <c r="J52" s="2"/>
      <c r="K52" s="2"/>
      <c r="L52" s="2"/>
      <c r="M52" s="2"/>
      <c r="N52" s="2"/>
      <c r="O52" s="2"/>
      <c r="P52" s="2"/>
      <c r="Q52" s="2"/>
      <c r="R52" s="2440"/>
      <c r="S52" s="2424"/>
      <c r="T52" s="2081"/>
      <c r="U52" s="2"/>
      <c r="AI52" s="5"/>
      <c r="AJ52" s="5"/>
      <c r="AK52" s="5"/>
      <c r="AL52" s="5"/>
    </row>
    <row r="53" spans="1:38" ht="20.100000000000001" customHeight="1">
      <c r="A53" s="2441"/>
      <c r="B53" s="2429" t="s">
        <v>151</v>
      </c>
      <c r="C53" s="1468" t="s">
        <v>322</v>
      </c>
      <c r="D53" s="2"/>
      <c r="E53" s="2"/>
      <c r="F53" s="3347" t="str">
        <f>N36</f>
        <v xml:space="preserve"> </v>
      </c>
      <c r="G53" s="3348"/>
      <c r="H53" s="3603" t="s">
        <v>652</v>
      </c>
      <c r="I53" s="3604"/>
      <c r="J53" s="3604"/>
      <c r="K53" s="3605"/>
      <c r="L53" s="3100"/>
      <c r="M53" s="3101"/>
      <c r="N53" s="129" t="s">
        <v>102</v>
      </c>
      <c r="O53" s="3599" t="str">
        <f>IF(ISBLANK(L53)," ",19.65*0.6*(R53^2)*(F53^0.5))</f>
        <v xml:space="preserve"> </v>
      </c>
      <c r="P53" s="3600"/>
      <c r="Q53" s="2429" t="s">
        <v>134</v>
      </c>
      <c r="R53" s="713" t="str">
        <f>IF(ISBLANK(F8),"",IF(L53="1/4","0.25",IF(L53="7/32","0.21875",IF(L53="3/16","0.1875",IF(L53="1/8","0.125")))))</f>
        <v/>
      </c>
      <c r="S53" s="2" t="s">
        <v>281</v>
      </c>
      <c r="T53" s="2081"/>
      <c r="U53" s="2"/>
    </row>
    <row r="54" spans="1:38" s="5" customFormat="1" ht="6" customHeight="1">
      <c r="A54" s="1453"/>
      <c r="B54" s="2429"/>
      <c r="C54" s="77"/>
      <c r="F54" s="55"/>
      <c r="G54" s="55"/>
      <c r="H54" s="65"/>
      <c r="I54" s="65"/>
      <c r="J54" s="65"/>
      <c r="L54" s="1470"/>
      <c r="M54" s="1470"/>
      <c r="N54" s="156"/>
      <c r="O54" s="57"/>
      <c r="Q54" s="2423"/>
      <c r="R54" s="652"/>
      <c r="T54" s="2081"/>
    </row>
    <row r="55" spans="1:38" ht="20.100000000000001" customHeight="1">
      <c r="A55" s="2441"/>
      <c r="B55" s="2429" t="s">
        <v>152</v>
      </c>
      <c r="C55" s="1468" t="s">
        <v>322</v>
      </c>
      <c r="D55" s="2"/>
      <c r="E55" s="2"/>
      <c r="F55" s="3347" t="str">
        <f>N38</f>
        <v xml:space="preserve"> </v>
      </c>
      <c r="G55" s="3348"/>
      <c r="H55" s="3603" t="s">
        <v>652</v>
      </c>
      <c r="I55" s="3604"/>
      <c r="J55" s="3604"/>
      <c r="K55" s="3605"/>
      <c r="L55" s="3100"/>
      <c r="M55" s="3101"/>
      <c r="N55" s="129" t="s">
        <v>102</v>
      </c>
      <c r="O55" s="3599" t="str">
        <f>IF(ISBLANK(L55)," ",19.65*0.6*(R55^2)*(F55^0.5))</f>
        <v xml:space="preserve"> </v>
      </c>
      <c r="P55" s="3600"/>
      <c r="Q55" s="2429" t="s">
        <v>134</v>
      </c>
      <c r="R55" s="713" t="str">
        <f>IF(ISBLANK(F8),"",IF(L55="1/4","0.25",IF(L55="7/32","0.21875",IF(L55="3/16","0.1875",IF(L55="1/8","0.125")))))</f>
        <v/>
      </c>
      <c r="S55" s="2"/>
      <c r="T55" s="2081"/>
      <c r="U55" s="2"/>
    </row>
    <row r="56" spans="1:38" s="5" customFormat="1" ht="6" customHeight="1">
      <c r="A56" s="1453"/>
      <c r="B56" s="2429"/>
      <c r="C56" s="77"/>
      <c r="F56" s="55"/>
      <c r="G56" s="55"/>
      <c r="H56" s="65"/>
      <c r="I56" s="65"/>
      <c r="J56" s="65"/>
      <c r="L56" s="1470"/>
      <c r="M56" s="1470"/>
      <c r="N56" s="156"/>
      <c r="O56" s="57"/>
      <c r="Q56" s="2423"/>
      <c r="R56" s="652"/>
      <c r="T56" s="2081"/>
    </row>
    <row r="57" spans="1:38" ht="20.100000000000001" customHeight="1">
      <c r="A57" s="2441"/>
      <c r="B57" s="2429" t="s">
        <v>153</v>
      </c>
      <c r="C57" s="1468" t="s">
        <v>322</v>
      </c>
      <c r="D57" s="2"/>
      <c r="E57" s="2"/>
      <c r="F57" s="3347" t="str">
        <f>N40</f>
        <v xml:space="preserve"> </v>
      </c>
      <c r="G57" s="3348"/>
      <c r="H57" s="3603" t="s">
        <v>652</v>
      </c>
      <c r="I57" s="3604"/>
      <c r="J57" s="3604"/>
      <c r="K57" s="3605"/>
      <c r="L57" s="3100"/>
      <c r="M57" s="3101"/>
      <c r="N57" s="129" t="s">
        <v>102</v>
      </c>
      <c r="O57" s="3599" t="str">
        <f>IF(ISBLANK(L57)," ",19.65*0.6*(R57^2)*(F57^0.5))</f>
        <v xml:space="preserve"> </v>
      </c>
      <c r="P57" s="3600"/>
      <c r="Q57" s="2429" t="s">
        <v>134</v>
      </c>
      <c r="R57" s="713" t="str">
        <f>IF(ISBLANK(F10),"",IF(L57="1/4","0.25",IF(L57="7/32","0.21875",IF(L57="3/16","0.1875",IF(L57="1/8","0.125")))))</f>
        <v/>
      </c>
      <c r="S57" s="2"/>
      <c r="T57" s="2081"/>
      <c r="U57" s="2"/>
    </row>
    <row r="58" spans="1:38" s="5" customFormat="1" ht="6" customHeight="1">
      <c r="A58" s="1453"/>
      <c r="B58" s="2429"/>
      <c r="C58" s="77"/>
      <c r="F58" s="55"/>
      <c r="G58" s="55"/>
      <c r="H58" s="65"/>
      <c r="I58" s="65"/>
      <c r="J58" s="65"/>
      <c r="L58" s="1470"/>
      <c r="M58" s="1470"/>
      <c r="N58" s="156"/>
      <c r="O58" s="57"/>
      <c r="Q58" s="2423"/>
      <c r="R58" s="652"/>
      <c r="T58" s="2081"/>
      <c r="AI58" s="1"/>
      <c r="AJ58" s="1"/>
      <c r="AK58" s="1"/>
      <c r="AL58" s="1"/>
    </row>
    <row r="59" spans="1:38" ht="20.100000000000001" customHeight="1">
      <c r="A59" s="2441"/>
      <c r="B59" s="2429" t="s">
        <v>154</v>
      </c>
      <c r="C59" s="1468" t="s">
        <v>322</v>
      </c>
      <c r="D59" s="2"/>
      <c r="E59" s="2"/>
      <c r="F59" s="3347" t="str">
        <f>N42</f>
        <v xml:space="preserve"> </v>
      </c>
      <c r="G59" s="3348"/>
      <c r="H59" s="3603" t="s">
        <v>652</v>
      </c>
      <c r="I59" s="3604"/>
      <c r="J59" s="3604"/>
      <c r="K59" s="3605"/>
      <c r="L59" s="3100"/>
      <c r="M59" s="3101"/>
      <c r="N59" s="129" t="s">
        <v>102</v>
      </c>
      <c r="O59" s="3599" t="str">
        <f>IF(ISBLANK(L59)," ",19.65*0.6*(R59^2)*(F59^0.5))</f>
        <v xml:space="preserve"> </v>
      </c>
      <c r="P59" s="3600"/>
      <c r="Q59" s="2429" t="s">
        <v>134</v>
      </c>
      <c r="R59" s="713" t="str">
        <f>IF(ISBLANK(F12),"",IF(L59="1/4","0.25",IF(L59="7/32","0.21875",IF(L59="3/16","0.1875",IF(L59="1/8","0.125")))))</f>
        <v/>
      </c>
      <c r="S59" s="2"/>
      <c r="T59" s="2081"/>
      <c r="U59" s="2"/>
    </row>
    <row r="60" spans="1:38" s="5" customFormat="1" ht="6" customHeight="1">
      <c r="A60" s="1453"/>
      <c r="B60" s="2429"/>
      <c r="C60" s="77"/>
      <c r="F60" s="55"/>
      <c r="G60" s="55"/>
      <c r="H60" s="65"/>
      <c r="I60" s="65"/>
      <c r="J60" s="65"/>
      <c r="L60" s="1470"/>
      <c r="M60" s="1470"/>
      <c r="N60" s="156"/>
      <c r="O60" s="57"/>
      <c r="Q60" s="2423"/>
      <c r="R60" s="652"/>
      <c r="T60" s="2081"/>
      <c r="AI60" s="1"/>
      <c r="AJ60" s="1"/>
      <c r="AK60" s="1"/>
      <c r="AL60" s="1"/>
    </row>
    <row r="61" spans="1:38" ht="20.100000000000001" customHeight="1">
      <c r="A61" s="2441"/>
      <c r="B61" s="2429" t="s">
        <v>155</v>
      </c>
      <c r="C61" s="1468" t="s">
        <v>322</v>
      </c>
      <c r="D61" s="2"/>
      <c r="E61" s="2"/>
      <c r="F61" s="3347" t="str">
        <f>N44</f>
        <v xml:space="preserve"> </v>
      </c>
      <c r="G61" s="3348"/>
      <c r="H61" s="3603" t="s">
        <v>652</v>
      </c>
      <c r="I61" s="3604"/>
      <c r="J61" s="3604"/>
      <c r="K61" s="3605"/>
      <c r="L61" s="3100"/>
      <c r="M61" s="3101"/>
      <c r="N61" s="129" t="s">
        <v>102</v>
      </c>
      <c r="O61" s="3599" t="str">
        <f>IF(ISBLANK(L61)," ",19.65*0.6*(R61^2)*(F61^0.5))</f>
        <v xml:space="preserve"> </v>
      </c>
      <c r="P61" s="3600"/>
      <c r="Q61" s="2429" t="s">
        <v>134</v>
      </c>
      <c r="R61" s="713" t="str">
        <f>IF(ISBLANK(F14),"",IF(L61="1/4","0.25",IF(L61="7/32","0.21875",IF(L61="3/16","0.1875",IF(L61="1/8","0.125")))))</f>
        <v/>
      </c>
      <c r="S61" s="2"/>
      <c r="T61" s="2081"/>
      <c r="U61" s="2"/>
    </row>
    <row r="62" spans="1:38" s="5" customFormat="1" ht="6" customHeight="1">
      <c r="A62" s="1453"/>
      <c r="B62" s="2429"/>
      <c r="C62" s="77"/>
      <c r="F62" s="55"/>
      <c r="G62" s="55"/>
      <c r="H62" s="65"/>
      <c r="I62" s="65"/>
      <c r="J62" s="65"/>
      <c r="L62" s="1470"/>
      <c r="M62" s="1470"/>
      <c r="N62" s="156"/>
      <c r="O62" s="57"/>
      <c r="Q62" s="2423"/>
      <c r="R62" s="652"/>
      <c r="T62" s="2081"/>
      <c r="AI62" s="1"/>
      <c r="AJ62" s="1"/>
      <c r="AK62" s="1"/>
      <c r="AL62" s="1"/>
    </row>
    <row r="63" spans="1:38" ht="20.100000000000001" customHeight="1">
      <c r="A63" s="2441"/>
      <c r="B63" s="2429" t="s">
        <v>795</v>
      </c>
      <c r="C63" s="1468" t="s">
        <v>322</v>
      </c>
      <c r="D63" s="2"/>
      <c r="E63" s="2"/>
      <c r="F63" s="3347" t="str">
        <f>N46</f>
        <v xml:space="preserve"> </v>
      </c>
      <c r="G63" s="3348"/>
      <c r="H63" s="3603" t="s">
        <v>652</v>
      </c>
      <c r="I63" s="3604"/>
      <c r="J63" s="3604"/>
      <c r="K63" s="3605"/>
      <c r="L63" s="3100"/>
      <c r="M63" s="3101"/>
      <c r="N63" s="129" t="s">
        <v>102</v>
      </c>
      <c r="O63" s="3599" t="str">
        <f>IF(ISBLANK(L63)," ",19.65*0.6*(R63^2)*(F63^0.5))</f>
        <v xml:space="preserve"> </v>
      </c>
      <c r="P63" s="3600"/>
      <c r="Q63" s="2429" t="s">
        <v>134</v>
      </c>
      <c r="R63" s="713" t="str">
        <f>IF(ISBLANK(F16),"",IF(L63="1/4","0.25",IF(L63="7/32","0.21875",IF(L63="3/16","0.1875",IF(L63="1/8","0.125")))))</f>
        <v/>
      </c>
      <c r="S63" s="2" t="s">
        <v>282</v>
      </c>
      <c r="T63" s="2081"/>
      <c r="U63" s="2"/>
    </row>
    <row r="64" spans="1:38" ht="10.35" customHeight="1">
      <c r="A64" s="2498"/>
      <c r="B64" s="64"/>
      <c r="C64" s="64"/>
      <c r="D64" s="64"/>
      <c r="E64" s="64"/>
      <c r="F64" s="43"/>
      <c r="G64" s="43"/>
      <c r="H64" s="64"/>
      <c r="I64" s="128"/>
      <c r="J64" s="64"/>
      <c r="K64" s="64"/>
      <c r="L64" s="64"/>
      <c r="M64" s="64"/>
      <c r="N64" s="64"/>
      <c r="O64" s="64"/>
      <c r="P64" s="64"/>
      <c r="Q64" s="64"/>
      <c r="R64" s="521"/>
      <c r="S64" s="522"/>
      <c r="T64" s="2090"/>
      <c r="U64" s="2"/>
    </row>
    <row r="65" spans="1:21" ht="18" customHeight="1">
      <c r="A65" s="2499" t="s">
        <v>95</v>
      </c>
      <c r="B65" s="66" t="s">
        <v>586</v>
      </c>
      <c r="C65" s="66"/>
      <c r="D65" s="66"/>
      <c r="E65" s="66"/>
      <c r="F65" s="66"/>
      <c r="G65" s="66"/>
      <c r="H65" s="66"/>
      <c r="I65" s="66"/>
      <c r="J65" s="66"/>
      <c r="K65" s="66"/>
      <c r="L65" s="66"/>
      <c r="M65" s="66"/>
      <c r="N65" s="66"/>
      <c r="O65" s="66"/>
      <c r="P65" s="66"/>
      <c r="Q65" s="66"/>
      <c r="R65" s="66"/>
      <c r="S65" s="66"/>
      <c r="T65" s="2500"/>
      <c r="U65" s="2"/>
    </row>
    <row r="66" spans="1:21" ht="6" customHeight="1">
      <c r="A66" s="2501"/>
      <c r="B66" s="2"/>
      <c r="C66" s="2"/>
      <c r="D66" s="2"/>
      <c r="E66" s="2"/>
      <c r="F66" s="2"/>
      <c r="G66" s="2"/>
      <c r="H66" s="2"/>
      <c r="I66" s="2"/>
      <c r="J66" s="2"/>
      <c r="K66" s="2"/>
      <c r="L66" s="2"/>
      <c r="M66" s="2"/>
      <c r="N66" s="2"/>
      <c r="O66" s="2"/>
      <c r="P66" s="2"/>
      <c r="Q66" s="2"/>
      <c r="R66" s="2"/>
      <c r="S66" s="2"/>
      <c r="T66" s="3"/>
      <c r="U66" s="2"/>
    </row>
    <row r="67" spans="1:21" ht="20.100000000000001" customHeight="1">
      <c r="A67" s="1462" t="s">
        <v>147</v>
      </c>
      <c r="B67" s="1468" t="s">
        <v>104</v>
      </c>
      <c r="C67" s="1468"/>
      <c r="D67" s="1468"/>
      <c r="E67" s="1468"/>
      <c r="F67" s="3583"/>
      <c r="G67" s="3584"/>
      <c r="H67" s="2429" t="s">
        <v>629</v>
      </c>
      <c r="I67" s="2429" t="s">
        <v>102</v>
      </c>
      <c r="J67" s="3347" t="str">
        <f>IF(ISBLANK(F67),"",F67*12)</f>
        <v/>
      </c>
      <c r="K67" s="3348"/>
      <c r="L67" s="2" t="s">
        <v>640</v>
      </c>
      <c r="M67" s="2"/>
      <c r="N67" s="2"/>
      <c r="O67" s="2"/>
      <c r="P67" s="2"/>
      <c r="Q67" s="2"/>
      <c r="R67" s="2"/>
      <c r="S67" s="2"/>
      <c r="T67" s="3"/>
      <c r="U67" s="2"/>
    </row>
    <row r="68" spans="1:21" ht="6" customHeight="1">
      <c r="A68" s="1462"/>
      <c r="B68" s="1468"/>
      <c r="C68" s="1468"/>
      <c r="D68" s="1468"/>
      <c r="E68" s="1468"/>
      <c r="F68" s="1470"/>
      <c r="G68" s="1470"/>
      <c r="H68" s="2429"/>
      <c r="I68" s="2"/>
      <c r="J68" s="2"/>
      <c r="K68" s="2"/>
      <c r="L68" s="2"/>
      <c r="M68" s="2"/>
      <c r="N68" s="2"/>
      <c r="O68" s="2"/>
      <c r="P68" s="2"/>
      <c r="Q68" s="2"/>
      <c r="R68" s="2"/>
      <c r="S68" s="2"/>
      <c r="T68" s="3"/>
      <c r="U68" s="2"/>
    </row>
    <row r="69" spans="1:21" ht="18" customHeight="1">
      <c r="A69" s="1462" t="s">
        <v>631</v>
      </c>
      <c r="B69" s="10" t="s">
        <v>623</v>
      </c>
      <c r="C69" s="2436"/>
      <c r="D69" s="2436"/>
      <c r="E69" s="2436"/>
      <c r="F69" s="2436"/>
      <c r="G69" s="2436"/>
      <c r="H69" s="2"/>
      <c r="I69" s="2"/>
      <c r="J69" s="2"/>
      <c r="K69" s="2"/>
      <c r="L69" s="2"/>
      <c r="M69" s="2"/>
      <c r="N69" s="2"/>
      <c r="O69" s="2"/>
      <c r="P69" s="2"/>
      <c r="Q69" s="2"/>
      <c r="R69" s="2"/>
      <c r="S69" s="2"/>
      <c r="T69" s="3"/>
      <c r="U69" s="2"/>
    </row>
    <row r="70" spans="1:21" ht="6" customHeight="1">
      <c r="A70" s="1462"/>
      <c r="B70" s="10"/>
      <c r="C70" s="2436"/>
      <c r="D70" s="2436"/>
      <c r="E70" s="2436"/>
      <c r="F70" s="2436"/>
      <c r="G70" s="2436"/>
      <c r="H70" s="2"/>
      <c r="I70" s="2"/>
      <c r="J70" s="2"/>
      <c r="K70" s="2"/>
      <c r="L70" s="2"/>
      <c r="M70" s="2"/>
      <c r="N70" s="2"/>
      <c r="O70" s="2"/>
      <c r="P70" s="2"/>
      <c r="Q70" s="2"/>
      <c r="R70" s="2"/>
      <c r="S70" s="2"/>
      <c r="T70" s="3"/>
      <c r="U70" s="2"/>
    </row>
    <row r="71" spans="1:21" s="7" customFormat="1" ht="20.100000000000001" customHeight="1">
      <c r="A71" s="2089"/>
      <c r="B71" s="3385" t="str">
        <f>IF(ISBLANK(M6)," ",M6)</f>
        <v xml:space="preserve"> </v>
      </c>
      <c r="C71" s="3351"/>
      <c r="D71" s="3558" t="s">
        <v>98</v>
      </c>
      <c r="E71" s="3606"/>
      <c r="F71" s="3385" t="str">
        <f>IF(ISBLANK(M6)," ",B71-2)</f>
        <v xml:space="preserve"> </v>
      </c>
      <c r="G71" s="3351"/>
      <c r="H71" s="5"/>
      <c r="I71" s="438"/>
      <c r="J71" s="2442"/>
      <c r="K71" s="2442"/>
      <c r="L71" s="438"/>
      <c r="M71" s="5"/>
      <c r="N71" s="5"/>
      <c r="O71" s="5"/>
      <c r="P71" s="5"/>
      <c r="Q71" s="5"/>
      <c r="R71" s="5"/>
      <c r="S71" s="5"/>
      <c r="T71" s="1219"/>
      <c r="U71" s="5"/>
    </row>
    <row r="72" spans="1:21" ht="6" customHeight="1">
      <c r="A72" s="1462"/>
      <c r="B72" s="1468"/>
      <c r="C72" s="1468"/>
      <c r="D72" s="1468"/>
      <c r="E72" s="1468"/>
      <c r="F72" s="1470"/>
      <c r="G72" s="1470"/>
      <c r="H72" s="2429"/>
      <c r="I72" s="2"/>
      <c r="J72" s="2"/>
      <c r="K72" s="2"/>
      <c r="L72" s="2"/>
      <c r="M72" s="2"/>
      <c r="N72" s="2"/>
      <c r="O72" s="2"/>
      <c r="P72" s="2"/>
      <c r="Q72" s="2"/>
      <c r="R72" s="2"/>
      <c r="S72" s="2"/>
      <c r="T72" s="3"/>
      <c r="U72" s="2"/>
    </row>
    <row r="73" spans="1:21" ht="18" customHeight="1">
      <c r="A73" s="1462" t="s">
        <v>149</v>
      </c>
      <c r="B73" s="3587" t="s">
        <v>1012</v>
      </c>
      <c r="C73" s="3587"/>
      <c r="D73" s="3587"/>
      <c r="E73" s="3587"/>
      <c r="F73" s="3587"/>
      <c r="G73" s="3587"/>
      <c r="H73" s="3587"/>
      <c r="I73" s="3587"/>
      <c r="J73" s="3587"/>
      <c r="K73" s="3587"/>
      <c r="L73" s="3587"/>
      <c r="M73" s="2428"/>
      <c r="N73" s="2428"/>
      <c r="O73" s="2428"/>
      <c r="P73" s="2428"/>
      <c r="Q73" s="2428"/>
      <c r="R73" s="2"/>
      <c r="S73" s="2"/>
      <c r="T73" s="3"/>
      <c r="U73" s="2"/>
    </row>
    <row r="74" spans="1:21" ht="18" customHeight="1">
      <c r="A74" s="1462"/>
      <c r="B74" s="3587"/>
      <c r="C74" s="3587"/>
      <c r="D74" s="3587"/>
      <c r="E74" s="3587"/>
      <c r="F74" s="3587"/>
      <c r="G74" s="3587"/>
      <c r="H74" s="3587"/>
      <c r="I74" s="3587"/>
      <c r="J74" s="3587"/>
      <c r="K74" s="3587"/>
      <c r="L74" s="3587"/>
      <c r="M74" s="2428"/>
      <c r="N74" s="2428"/>
      <c r="O74" s="2428"/>
      <c r="P74" s="2428"/>
      <c r="Q74" s="2428"/>
      <c r="R74" s="2"/>
      <c r="S74" s="2"/>
      <c r="T74" s="3"/>
      <c r="U74" s="2"/>
    </row>
    <row r="75" spans="1:21" ht="18" customHeight="1">
      <c r="A75" s="1462"/>
      <c r="B75" s="3587"/>
      <c r="C75" s="3587"/>
      <c r="D75" s="3587"/>
      <c r="E75" s="3587"/>
      <c r="F75" s="3587"/>
      <c r="G75" s="3587"/>
      <c r="H75" s="3587"/>
      <c r="I75" s="3587"/>
      <c r="J75" s="3587"/>
      <c r="K75" s="3587"/>
      <c r="L75" s="3587"/>
      <c r="M75" s="2428"/>
      <c r="N75" s="2428"/>
      <c r="O75" s="2428"/>
      <c r="P75" s="2428"/>
      <c r="Q75" s="2428"/>
      <c r="R75" s="2"/>
      <c r="S75" s="2"/>
      <c r="T75" s="3"/>
      <c r="U75" s="2"/>
    </row>
    <row r="76" spans="1:21" ht="20.100000000000001" customHeight="1">
      <c r="A76" s="1462"/>
      <c r="B76" s="3385" t="str">
        <f>F71</f>
        <v xml:space="preserve"> </v>
      </c>
      <c r="C76" s="3351"/>
      <c r="D76" s="2429" t="s">
        <v>106</v>
      </c>
      <c r="E76" s="3347" t="str">
        <f>IF(ISBLANK(F67)," ",F67)</f>
        <v xml:space="preserve"> </v>
      </c>
      <c r="F76" s="3348"/>
      <c r="G76" s="2429" t="s">
        <v>107</v>
      </c>
      <c r="H76" s="3385" t="str">
        <f>IF(ISERROR(ROUNDDOWN((B76/E76),0))," ",ROUNDDOWN((B76/E76),0))</f>
        <v xml:space="preserve"> </v>
      </c>
      <c r="I76" s="3351"/>
      <c r="J76" s="1468" t="s">
        <v>108</v>
      </c>
      <c r="K76" s="2432"/>
      <c r="L76" s="2426"/>
      <c r="M76" s="1470"/>
      <c r="N76" s="2"/>
      <c r="O76" s="2"/>
      <c r="P76" s="2"/>
      <c r="Q76" s="2"/>
      <c r="R76" s="2"/>
      <c r="S76" s="2"/>
      <c r="T76" s="3"/>
      <c r="U76" s="2"/>
    </row>
    <row r="77" spans="1:21" ht="6" customHeight="1">
      <c r="A77" s="2502"/>
      <c r="B77" s="10"/>
      <c r="C77" s="1468"/>
      <c r="D77" s="2"/>
      <c r="E77" s="2"/>
      <c r="F77" s="1470"/>
      <c r="G77" s="1470"/>
      <c r="H77" s="2423"/>
      <c r="I77" s="1470"/>
      <c r="J77" s="1470"/>
      <c r="K77" s="2423"/>
      <c r="L77" s="1470"/>
      <c r="M77" s="1470"/>
      <c r="N77" s="2425"/>
      <c r="O77" s="2"/>
      <c r="P77" s="2"/>
      <c r="Q77" s="2"/>
      <c r="R77" s="2"/>
      <c r="S77" s="2"/>
      <c r="T77" s="3"/>
      <c r="U77" s="2"/>
    </row>
    <row r="78" spans="1:21" ht="18" customHeight="1">
      <c r="A78" s="1462" t="s">
        <v>588</v>
      </c>
      <c r="B78" s="1468" t="s">
        <v>90</v>
      </c>
      <c r="C78" s="2"/>
      <c r="D78" s="1468"/>
      <c r="E78" s="1468"/>
      <c r="F78" s="1468"/>
      <c r="G78" s="1468"/>
      <c r="H78" s="2"/>
      <c r="I78" s="2"/>
      <c r="J78" s="496"/>
      <c r="K78" s="496"/>
      <c r="L78" s="2"/>
      <c r="M78" s="496"/>
      <c r="N78" s="496"/>
      <c r="O78" s="2"/>
      <c r="P78" s="2"/>
      <c r="Q78" s="2"/>
      <c r="R78" s="2"/>
      <c r="S78" s="2"/>
      <c r="T78" s="3"/>
      <c r="U78" s="2"/>
    </row>
    <row r="79" spans="1:21" ht="6" customHeight="1">
      <c r="A79" s="2502"/>
      <c r="B79" s="10"/>
      <c r="C79" s="1468"/>
      <c r="D79" s="2"/>
      <c r="E79" s="2"/>
      <c r="F79" s="1470"/>
      <c r="G79" s="1470"/>
      <c r="H79" s="2423"/>
      <c r="I79" s="1470"/>
      <c r="J79" s="1470"/>
      <c r="K79" s="2423"/>
      <c r="L79" s="1470"/>
      <c r="M79" s="1470"/>
      <c r="N79" s="2425"/>
      <c r="O79" s="2"/>
      <c r="P79" s="2"/>
      <c r="Q79" s="2"/>
      <c r="R79" s="2"/>
      <c r="S79" s="2"/>
      <c r="T79" s="3"/>
      <c r="U79" s="2"/>
    </row>
    <row r="80" spans="1:21" ht="18" customHeight="1">
      <c r="A80" s="2502" t="s">
        <v>589</v>
      </c>
      <c r="B80" s="10" t="s">
        <v>587</v>
      </c>
      <c r="C80" s="1468"/>
      <c r="D80" s="2"/>
      <c r="E80" s="2"/>
      <c r="F80" s="2"/>
      <c r="G80" s="2"/>
      <c r="H80" s="2"/>
      <c r="I80" s="2"/>
      <c r="J80" s="2"/>
      <c r="K80" s="2"/>
      <c r="L80" s="2"/>
      <c r="M80" s="2"/>
      <c r="N80" s="2"/>
      <c r="O80" s="2"/>
      <c r="P80" s="2"/>
      <c r="Q80" s="2"/>
      <c r="R80" s="2"/>
      <c r="S80" s="2"/>
      <c r="T80" s="3"/>
      <c r="U80" s="2"/>
    </row>
    <row r="81" spans="1:21" ht="20.100000000000001" customHeight="1">
      <c r="A81" s="1462"/>
      <c r="B81" s="3385" t="str">
        <f>H76</f>
        <v xml:space="preserve"> </v>
      </c>
      <c r="C81" s="3351"/>
      <c r="D81" s="3602" t="s">
        <v>526</v>
      </c>
      <c r="E81" s="3559"/>
      <c r="F81" s="3559"/>
      <c r="G81" s="3385" t="str">
        <f>IF(ISERROR(B81+1)," ",B81+1)</f>
        <v xml:space="preserve"> </v>
      </c>
      <c r="H81" s="3351"/>
      <c r="I81" s="2"/>
      <c r="J81" s="2"/>
      <c r="K81" s="2"/>
      <c r="L81" s="1470"/>
      <c r="M81" s="1470"/>
      <c r="N81" s="156"/>
      <c r="O81" s="156"/>
      <c r="P81" s="156"/>
      <c r="Q81" s="1470"/>
      <c r="R81" s="1470"/>
      <c r="S81" s="2"/>
      <c r="T81" s="3"/>
      <c r="U81" s="2"/>
    </row>
    <row r="82" spans="1:21" ht="6" customHeight="1">
      <c r="A82" s="2502"/>
      <c r="B82" s="2"/>
      <c r="C82" s="2"/>
      <c r="D82" s="2"/>
      <c r="E82" s="2"/>
      <c r="F82" s="2"/>
      <c r="G82" s="2"/>
      <c r="H82" s="2"/>
      <c r="I82" s="2"/>
      <c r="J82" s="2"/>
      <c r="K82" s="2"/>
      <c r="L82" s="2"/>
      <c r="M82" s="2"/>
      <c r="N82" s="2"/>
      <c r="O82" s="2"/>
      <c r="P82" s="2"/>
      <c r="Q82" s="2"/>
      <c r="R82" s="2"/>
      <c r="S82" s="2"/>
      <c r="T82" s="3"/>
      <c r="U82" s="2"/>
    </row>
    <row r="83" spans="1:21" ht="18" customHeight="1">
      <c r="A83" s="2502" t="s">
        <v>641</v>
      </c>
      <c r="B83" s="10" t="s">
        <v>162</v>
      </c>
      <c r="C83" s="2428"/>
      <c r="D83" s="2428"/>
      <c r="E83" s="2428"/>
      <c r="F83" s="2428"/>
      <c r="G83" s="2428"/>
      <c r="H83" s="2428"/>
      <c r="I83" s="2428"/>
      <c r="J83" s="2428"/>
      <c r="K83" s="2428"/>
      <c r="L83" s="2"/>
      <c r="M83" s="2"/>
      <c r="N83" s="2"/>
      <c r="O83" s="2"/>
      <c r="P83" s="2"/>
      <c r="Q83" s="2"/>
      <c r="R83" s="2"/>
      <c r="S83" s="2"/>
      <c r="T83" s="3"/>
      <c r="U83" s="2"/>
    </row>
    <row r="84" spans="1:21" ht="6" customHeight="1">
      <c r="A84" s="2503"/>
      <c r="B84" s="2428"/>
      <c r="C84" s="2428"/>
      <c r="D84" s="2428"/>
      <c r="E84" s="2428"/>
      <c r="F84" s="2428"/>
      <c r="G84" s="2428"/>
      <c r="H84" s="2428"/>
      <c r="I84" s="2428"/>
      <c r="J84" s="2428"/>
      <c r="K84" s="2428"/>
      <c r="L84" s="2"/>
      <c r="M84" s="2"/>
      <c r="N84" s="2"/>
      <c r="O84" s="2"/>
      <c r="P84" s="2"/>
      <c r="Q84" s="2"/>
      <c r="R84" s="2"/>
      <c r="S84" s="2"/>
      <c r="T84" s="3"/>
      <c r="U84" s="2"/>
    </row>
    <row r="85" spans="1:21" ht="20.100000000000001" customHeight="1">
      <c r="A85" s="2492"/>
      <c r="B85" s="3385" t="str">
        <f>G81</f>
        <v xml:space="preserve"> </v>
      </c>
      <c r="C85" s="3351"/>
      <c r="D85" s="2429" t="s">
        <v>101</v>
      </c>
      <c r="E85" s="3345" t="str">
        <f>O53</f>
        <v xml:space="preserve"> </v>
      </c>
      <c r="F85" s="3346"/>
      <c r="G85" s="2429" t="s">
        <v>102</v>
      </c>
      <c r="H85" s="3347" t="str">
        <f>IF(ISBLANK(F67)," ",B85*E85)</f>
        <v xml:space="preserve"> </v>
      </c>
      <c r="I85" s="3348"/>
      <c r="J85" s="2436" t="s">
        <v>591</v>
      </c>
      <c r="K85" s="2"/>
      <c r="L85" s="2"/>
      <c r="M85" s="2"/>
      <c r="N85" s="2"/>
      <c r="O85" s="2"/>
      <c r="P85" s="2"/>
      <c r="Q85" s="2"/>
      <c r="R85" s="2"/>
      <c r="S85" s="2"/>
      <c r="T85" s="3"/>
      <c r="U85" s="1"/>
    </row>
    <row r="86" spans="1:21" ht="6" customHeight="1">
      <c r="A86" s="2498"/>
      <c r="B86" s="64"/>
      <c r="C86" s="64"/>
      <c r="D86" s="64"/>
      <c r="E86" s="64"/>
      <c r="F86" s="64"/>
      <c r="G86" s="64"/>
      <c r="H86" s="64"/>
      <c r="I86" s="64"/>
      <c r="J86" s="64"/>
      <c r="K86" s="64"/>
      <c r="L86" s="64"/>
      <c r="M86" s="64"/>
      <c r="N86" s="64"/>
      <c r="O86" s="64"/>
      <c r="P86" s="64"/>
      <c r="Q86" s="64"/>
      <c r="R86" s="64"/>
      <c r="S86" s="64"/>
      <c r="T86" s="2504"/>
      <c r="U86" s="2"/>
    </row>
    <row r="87" spans="1:21" ht="18" customHeight="1">
      <c r="A87" s="2499" t="s">
        <v>97</v>
      </c>
      <c r="B87" s="3666" t="s">
        <v>156</v>
      </c>
      <c r="C87" s="3666"/>
      <c r="D87" s="3666"/>
      <c r="E87" s="3666"/>
      <c r="F87" s="3666"/>
      <c r="G87" s="3666"/>
      <c r="H87" s="3666"/>
      <c r="I87" s="3666"/>
      <c r="J87" s="3666"/>
      <c r="K87" s="3666"/>
      <c r="L87" s="3666"/>
      <c r="M87" s="3666"/>
      <c r="N87" s="3666"/>
      <c r="O87" s="66"/>
      <c r="P87" s="66"/>
      <c r="Q87" s="66"/>
      <c r="R87" s="66"/>
      <c r="S87" s="66"/>
      <c r="T87" s="2500"/>
      <c r="U87" s="2"/>
    </row>
    <row r="88" spans="1:21" ht="18" customHeight="1">
      <c r="A88" s="2492"/>
      <c r="B88" s="3562"/>
      <c r="C88" s="3562"/>
      <c r="D88" s="3562"/>
      <c r="E88" s="3562"/>
      <c r="F88" s="3562"/>
      <c r="G88" s="3562"/>
      <c r="H88" s="3562"/>
      <c r="I88" s="3562"/>
      <c r="J88" s="3562"/>
      <c r="K88" s="3562"/>
      <c r="L88" s="3562"/>
      <c r="M88" s="3562"/>
      <c r="N88" s="3562"/>
      <c r="O88" s="2"/>
      <c r="P88" s="2"/>
      <c r="Q88" s="2"/>
      <c r="R88" s="2"/>
      <c r="S88" s="2"/>
      <c r="T88" s="3"/>
      <c r="U88" s="2"/>
    </row>
    <row r="89" spans="1:21" ht="18" customHeight="1">
      <c r="A89" s="2492"/>
      <c r="B89" s="2" t="s">
        <v>592</v>
      </c>
      <c r="C89" s="2"/>
      <c r="D89" s="2"/>
      <c r="E89" s="2" t="s">
        <v>593</v>
      </c>
      <c r="F89" s="2"/>
      <c r="G89" s="2"/>
      <c r="H89" s="2"/>
      <c r="I89" s="2"/>
      <c r="J89" s="2"/>
      <c r="K89" s="2"/>
      <c r="L89" s="2"/>
      <c r="M89" s="2"/>
      <c r="N89" s="2"/>
      <c r="O89" s="2"/>
      <c r="P89" s="2"/>
      <c r="Q89" s="2"/>
      <c r="R89" s="2"/>
      <c r="S89" s="2"/>
      <c r="T89" s="3"/>
      <c r="U89" s="2"/>
    </row>
    <row r="90" spans="1:21" ht="6" customHeight="1">
      <c r="A90" s="2492"/>
      <c r="B90" s="2"/>
      <c r="C90" s="2"/>
      <c r="D90" s="2"/>
      <c r="E90" s="2"/>
      <c r="F90" s="2"/>
      <c r="G90" s="2"/>
      <c r="H90" s="2"/>
      <c r="I90" s="2"/>
      <c r="J90" s="2"/>
      <c r="K90" s="2"/>
      <c r="L90" s="2"/>
      <c r="M90" s="2"/>
      <c r="N90" s="2"/>
      <c r="O90" s="2"/>
      <c r="P90" s="2"/>
      <c r="Q90" s="2"/>
      <c r="R90" s="2"/>
      <c r="S90" s="2"/>
      <c r="T90" s="3"/>
      <c r="U90" s="2"/>
    </row>
    <row r="91" spans="1:21" ht="20.100000000000001" customHeight="1">
      <c r="A91" s="2072"/>
      <c r="B91" s="3347" t="str">
        <f>H85</f>
        <v xml:space="preserve"> </v>
      </c>
      <c r="C91" s="3348"/>
      <c r="D91" s="2432" t="s">
        <v>721</v>
      </c>
      <c r="E91" s="865" t="str">
        <f>F71</f>
        <v xml:space="preserve"> </v>
      </c>
      <c r="F91" s="2429" t="s">
        <v>102</v>
      </c>
      <c r="G91" s="3345" t="str">
        <f>IF(ISBLANK(F67)," ",B91/E91)</f>
        <v xml:space="preserve"> </v>
      </c>
      <c r="H91" s="3346"/>
      <c r="I91" s="2" t="s">
        <v>594</v>
      </c>
      <c r="J91" s="2"/>
      <c r="K91" s="1470"/>
      <c r="L91" s="1470"/>
      <c r="M91" s="1470"/>
      <c r="N91" s="1470"/>
      <c r="O91" s="1470"/>
      <c r="P91" s="1470"/>
      <c r="Q91" s="1470"/>
      <c r="R91" s="1470"/>
      <c r="S91" s="1470"/>
      <c r="T91" s="2070"/>
      <c r="U91" s="2"/>
    </row>
    <row r="92" spans="1:21" ht="18" customHeight="1">
      <c r="A92" s="2505"/>
      <c r="B92" s="153"/>
      <c r="C92" s="153"/>
      <c r="D92" s="153"/>
      <c r="E92" s="153"/>
      <c r="F92" s="153"/>
      <c r="G92" s="153"/>
      <c r="H92" s="153"/>
      <c r="I92" s="153"/>
      <c r="J92" s="153"/>
      <c r="K92" s="153"/>
      <c r="L92" s="153"/>
      <c r="M92" s="153"/>
      <c r="N92" s="153"/>
      <c r="O92" s="153"/>
      <c r="P92" s="153"/>
      <c r="Q92" s="153"/>
      <c r="R92" s="153"/>
      <c r="S92" s="153"/>
      <c r="T92" s="2506"/>
      <c r="U92" s="2"/>
    </row>
    <row r="93" spans="1:21" ht="21" customHeight="1">
      <c r="A93" s="2505"/>
      <c r="B93" s="153"/>
      <c r="C93" s="153"/>
      <c r="D93" s="153"/>
      <c r="E93" s="153"/>
      <c r="F93" s="153"/>
      <c r="G93" s="153"/>
      <c r="H93" s="153"/>
      <c r="I93" s="153"/>
      <c r="J93" s="153"/>
      <c r="K93" s="153"/>
      <c r="L93" s="153"/>
      <c r="M93" s="153"/>
      <c r="N93" s="153"/>
      <c r="O93" s="153"/>
      <c r="P93" s="153"/>
      <c r="Q93" s="153"/>
      <c r="R93" s="153"/>
      <c r="S93" s="153"/>
      <c r="T93" s="2506"/>
      <c r="U93" s="2"/>
    </row>
    <row r="94" spans="1:21" ht="21" customHeight="1">
      <c r="A94" s="2505"/>
      <c r="B94" s="153"/>
      <c r="C94" s="153"/>
      <c r="D94" s="153"/>
      <c r="E94" s="153"/>
      <c r="F94" s="153"/>
      <c r="G94" s="153"/>
      <c r="H94" s="153"/>
      <c r="I94" s="153"/>
      <c r="J94" s="153"/>
      <c r="K94" s="153"/>
      <c r="L94" s="153"/>
      <c r="M94" s="153"/>
      <c r="N94" s="153"/>
      <c r="O94" s="153"/>
      <c r="P94" s="153"/>
      <c r="Q94" s="153"/>
      <c r="R94" s="153"/>
      <c r="S94" s="153"/>
      <c r="T94" s="2506"/>
      <c r="U94" s="2"/>
    </row>
    <row r="95" spans="1:21" ht="21" customHeight="1">
      <c r="A95" s="2505"/>
      <c r="B95" s="153"/>
      <c r="C95" s="153"/>
      <c r="D95" s="153"/>
      <c r="E95" s="153"/>
      <c r="F95" s="153"/>
      <c r="G95" s="153"/>
      <c r="H95" s="153"/>
      <c r="I95" s="153"/>
      <c r="J95" s="153"/>
      <c r="K95" s="153"/>
      <c r="L95" s="153"/>
      <c r="M95" s="153"/>
      <c r="N95" s="153"/>
      <c r="O95" s="153"/>
      <c r="P95" s="153"/>
      <c r="Q95" s="153"/>
      <c r="R95" s="153"/>
      <c r="S95" s="153"/>
      <c r="T95" s="2506"/>
      <c r="U95" s="2"/>
    </row>
    <row r="96" spans="1:21" ht="21" customHeight="1">
      <c r="A96" s="2505"/>
      <c r="B96" s="153"/>
      <c r="C96" s="153"/>
      <c r="D96" s="153"/>
      <c r="E96" s="153"/>
      <c r="F96" s="153"/>
      <c r="G96" s="153"/>
      <c r="H96" s="153"/>
      <c r="I96" s="153"/>
      <c r="J96" s="153"/>
      <c r="K96" s="153"/>
      <c r="L96" s="153"/>
      <c r="M96" s="153"/>
      <c r="N96" s="153"/>
      <c r="O96" s="153"/>
      <c r="P96" s="153"/>
      <c r="Q96" s="153"/>
      <c r="R96" s="153"/>
      <c r="S96" s="153"/>
      <c r="T96" s="2506"/>
      <c r="U96" s="2"/>
    </row>
    <row r="97" spans="1:38" ht="21" customHeight="1">
      <c r="A97" s="2507"/>
      <c r="B97" s="2433"/>
      <c r="C97" s="2433"/>
      <c r="D97" s="2433"/>
      <c r="E97" s="2433"/>
      <c r="F97" s="2433"/>
      <c r="G97" s="2433"/>
      <c r="H97" s="2433"/>
      <c r="I97" s="2433"/>
      <c r="J97" s="2433"/>
      <c r="K97" s="2433"/>
      <c r="L97" s="2433"/>
      <c r="M97" s="2433"/>
      <c r="N97" s="2433"/>
      <c r="O97" s="2433"/>
      <c r="P97" s="2433"/>
      <c r="Q97" s="2433"/>
      <c r="R97" s="2433"/>
      <c r="S97" s="2433"/>
      <c r="T97" s="2496"/>
      <c r="U97" s="2"/>
    </row>
    <row r="98" spans="1:38" ht="21" customHeight="1">
      <c r="A98" s="2507"/>
      <c r="B98" s="2433"/>
      <c r="C98" s="62"/>
      <c r="D98" s="62"/>
      <c r="E98" s="62"/>
      <c r="F98" s="62"/>
      <c r="G98" s="62"/>
      <c r="H98" s="2433"/>
      <c r="I98" s="2433"/>
      <c r="J98" s="62"/>
      <c r="K98" s="62"/>
      <c r="L98" s="62"/>
      <c r="M98" s="62"/>
      <c r="N98" s="62"/>
      <c r="O98" s="2433"/>
      <c r="P98" s="2433"/>
      <c r="Q98" s="2433"/>
      <c r="R98" s="62"/>
      <c r="S98" s="62"/>
      <c r="T98" s="2508"/>
      <c r="U98" s="2"/>
    </row>
    <row r="99" spans="1:38" ht="21" customHeight="1">
      <c r="A99" s="2507"/>
      <c r="B99" s="2433"/>
      <c r="C99" s="2433"/>
      <c r="D99" s="2433"/>
      <c r="E99" s="2433"/>
      <c r="F99" s="2433"/>
      <c r="G99" s="2433"/>
      <c r="H99" s="2433"/>
      <c r="I99" s="2433"/>
      <c r="J99" s="2433"/>
      <c r="K99" s="2433"/>
      <c r="L99" s="2433"/>
      <c r="M99" s="2433"/>
      <c r="N99" s="2433"/>
      <c r="O99" s="2433"/>
      <c r="P99" s="2433"/>
      <c r="Q99" s="2433"/>
      <c r="R99" s="2433"/>
      <c r="S99" s="2433"/>
      <c r="T99" s="2496"/>
      <c r="U99" s="2"/>
    </row>
    <row r="100" spans="1:38" ht="21" customHeight="1">
      <c r="A100" s="2507"/>
      <c r="B100" s="2433"/>
      <c r="C100" s="2433"/>
      <c r="D100" s="2433"/>
      <c r="E100" s="2433"/>
      <c r="F100" s="2433"/>
      <c r="G100" s="2433"/>
      <c r="H100" s="2433"/>
      <c r="I100" s="2433"/>
      <c r="J100" s="2433"/>
      <c r="K100" s="2433"/>
      <c r="L100" s="2433"/>
      <c r="M100" s="2433"/>
      <c r="N100" s="2433"/>
      <c r="O100" s="2433"/>
      <c r="P100" s="2433"/>
      <c r="Q100" s="2433"/>
      <c r="R100" s="2433"/>
      <c r="S100" s="2433"/>
      <c r="T100" s="2496"/>
      <c r="U100" s="2"/>
    </row>
    <row r="101" spans="1:38" ht="21" customHeight="1">
      <c r="A101" s="2507"/>
      <c r="B101" s="2433"/>
      <c r="C101" s="2433"/>
      <c r="D101" s="2433"/>
      <c r="E101" s="2433"/>
      <c r="F101" s="2433"/>
      <c r="G101" s="2433"/>
      <c r="H101" s="3659"/>
      <c r="I101" s="3659"/>
      <c r="J101" s="2433"/>
      <c r="K101" s="2433"/>
      <c r="L101" s="2433"/>
      <c r="M101" s="2433"/>
      <c r="N101" s="2433"/>
      <c r="O101" s="2433"/>
      <c r="P101" s="2433"/>
      <c r="Q101" s="2433"/>
      <c r="R101" s="2433"/>
      <c r="S101" s="2433"/>
      <c r="T101" s="2496"/>
      <c r="U101" s="2"/>
    </row>
    <row r="102" spans="1:38" ht="21" customHeight="1">
      <c r="A102" s="2507"/>
      <c r="B102" s="2433"/>
      <c r="C102" s="2433"/>
      <c r="D102" s="2433"/>
      <c r="E102" s="2433"/>
      <c r="F102" s="2433"/>
      <c r="G102" s="2433"/>
      <c r="H102" s="2433"/>
      <c r="I102" s="2433"/>
      <c r="J102" s="2433"/>
      <c r="K102" s="2433"/>
      <c r="L102" s="2433"/>
      <c r="M102" s="2433"/>
      <c r="N102" s="2433"/>
      <c r="O102" s="2433"/>
      <c r="P102" s="2433"/>
      <c r="Q102" s="2433"/>
      <c r="R102" s="2433"/>
      <c r="S102" s="2433"/>
      <c r="T102" s="2496"/>
      <c r="U102" s="2"/>
      <c r="AI102" s="40"/>
      <c r="AJ102" s="40"/>
      <c r="AK102" s="40"/>
      <c r="AL102" s="40"/>
    </row>
    <row r="103" spans="1:38" ht="21" customHeight="1">
      <c r="A103" s="2509"/>
      <c r="B103" s="135"/>
      <c r="C103" s="135"/>
      <c r="D103" s="135"/>
      <c r="E103" s="135"/>
      <c r="F103" s="135"/>
      <c r="G103" s="135"/>
      <c r="H103" s="135"/>
      <c r="I103" s="135"/>
      <c r="J103" s="135"/>
      <c r="K103" s="135"/>
      <c r="L103" s="135"/>
      <c r="M103" s="135"/>
      <c r="N103" s="135"/>
      <c r="O103" s="135"/>
      <c r="P103" s="135"/>
      <c r="Q103" s="135"/>
      <c r="R103" s="135"/>
      <c r="S103" s="135"/>
      <c r="T103" s="2510"/>
      <c r="U103" s="2"/>
    </row>
    <row r="104" spans="1:38" ht="18" customHeight="1">
      <c r="A104" s="2511" t="s">
        <v>99</v>
      </c>
      <c r="B104" s="136" t="s">
        <v>595</v>
      </c>
      <c r="C104" s="66"/>
      <c r="D104" s="66"/>
      <c r="E104" s="66"/>
      <c r="F104" s="66"/>
      <c r="G104" s="66"/>
      <c r="H104" s="66"/>
      <c r="I104" s="66"/>
      <c r="J104" s="66"/>
      <c r="K104" s="66"/>
      <c r="L104" s="66"/>
      <c r="M104" s="66"/>
      <c r="N104" s="66"/>
      <c r="O104" s="66"/>
      <c r="P104" s="66"/>
      <c r="Q104" s="66"/>
      <c r="R104" s="66"/>
      <c r="S104" s="66"/>
      <c r="T104" s="2500"/>
      <c r="U104" s="2"/>
      <c r="AI104" s="40"/>
      <c r="AJ104" s="40"/>
      <c r="AK104" s="40"/>
      <c r="AL104" s="40"/>
    </row>
    <row r="105" spans="1:38" ht="18" customHeight="1">
      <c r="A105" s="2512"/>
      <c r="B105" s="1468" t="s">
        <v>599</v>
      </c>
      <c r="C105" s="2"/>
      <c r="D105" s="2"/>
      <c r="E105" s="2"/>
      <c r="F105" s="2"/>
      <c r="G105" s="2"/>
      <c r="H105" s="2"/>
      <c r="I105" s="2"/>
      <c r="J105" s="2"/>
      <c r="K105" s="2"/>
      <c r="L105" s="2"/>
      <c r="M105" s="2"/>
      <c r="N105" s="2"/>
      <c r="O105" s="2"/>
      <c r="P105" s="2"/>
      <c r="Q105" s="2"/>
      <c r="R105" s="2"/>
      <c r="S105" s="2"/>
      <c r="T105" s="3"/>
      <c r="U105" s="2"/>
    </row>
    <row r="106" spans="1:38" ht="6" customHeight="1">
      <c r="A106" s="2512"/>
      <c r="B106" s="1468"/>
      <c r="C106" s="2"/>
      <c r="D106" s="2"/>
      <c r="E106" s="2"/>
      <c r="F106" s="2"/>
      <c r="G106" s="2"/>
      <c r="H106" s="2"/>
      <c r="I106" s="2"/>
      <c r="J106" s="2"/>
      <c r="K106" s="2"/>
      <c r="L106" s="2"/>
      <c r="M106" s="2"/>
      <c r="N106" s="2"/>
      <c r="O106" s="2"/>
      <c r="P106" s="2"/>
      <c r="Q106" s="2"/>
      <c r="R106" s="2"/>
      <c r="S106" s="2"/>
      <c r="T106" s="3"/>
      <c r="U106" s="2"/>
    </row>
    <row r="107" spans="1:38" s="40" customFormat="1" ht="18" customHeight="1">
      <c r="A107" s="2513"/>
      <c r="B107" s="1468" t="s">
        <v>1341</v>
      </c>
      <c r="C107" s="1468"/>
      <c r="D107" s="1468"/>
      <c r="E107" s="1468"/>
      <c r="F107" s="1468"/>
      <c r="G107" s="1468"/>
      <c r="H107" s="1468"/>
      <c r="I107" s="1468"/>
      <c r="J107" s="1468"/>
      <c r="K107" s="1468"/>
      <c r="L107" s="1468"/>
      <c r="M107" s="1468"/>
      <c r="N107" s="1468"/>
      <c r="O107" s="1468"/>
      <c r="P107" s="1468"/>
      <c r="Q107" s="1468"/>
      <c r="R107" s="1468"/>
      <c r="S107" s="1468"/>
      <c r="T107" s="1087"/>
      <c r="U107" s="4"/>
    </row>
    <row r="108" spans="1:38" s="40" customFormat="1" ht="6" customHeight="1">
      <c r="A108" s="2513"/>
      <c r="B108" s="1468"/>
      <c r="C108" s="1468"/>
      <c r="D108" s="1468"/>
      <c r="E108" s="1468"/>
      <c r="F108" s="1468"/>
      <c r="G108" s="1468"/>
      <c r="H108" s="1468"/>
      <c r="I108" s="1468"/>
      <c r="J108" s="1468"/>
      <c r="K108" s="1468"/>
      <c r="L108" s="1468"/>
      <c r="M108" s="1468"/>
      <c r="N108" s="1468"/>
      <c r="O108" s="1468"/>
      <c r="P108" s="1468"/>
      <c r="Q108" s="1468"/>
      <c r="R108" s="1468"/>
      <c r="S108" s="1468"/>
      <c r="T108" s="1087"/>
      <c r="U108" s="4"/>
    </row>
    <row r="109" spans="1:38" ht="20.100000000000001" customHeight="1">
      <c r="A109" s="2492"/>
      <c r="B109" s="3385" t="str">
        <f>IF(ISBLANK(M8)," ",M8-2)</f>
        <v xml:space="preserve"> </v>
      </c>
      <c r="C109" s="3351"/>
      <c r="D109" s="2429" t="s">
        <v>126</v>
      </c>
      <c r="E109" s="3345" t="str">
        <f>IF(ISBLANK(F8),"",G91)</f>
        <v/>
      </c>
      <c r="F109" s="3346"/>
      <c r="G109" s="3602" t="s">
        <v>716</v>
      </c>
      <c r="H109" s="3560"/>
      <c r="I109" s="3347" t="str">
        <f>IF(ISBLANK(M8)," ",B109*E109)</f>
        <v xml:space="preserve"> </v>
      </c>
      <c r="J109" s="3348"/>
      <c r="K109" s="1468" t="s">
        <v>134</v>
      </c>
      <c r="L109" s="2"/>
      <c r="M109" s="1468"/>
      <c r="N109" s="2"/>
      <c r="O109" s="2"/>
      <c r="P109" s="2"/>
      <c r="Q109" s="2"/>
      <c r="R109" s="2"/>
      <c r="S109" s="2"/>
      <c r="T109" s="3"/>
      <c r="U109" s="2"/>
    </row>
    <row r="110" spans="1:38" s="7" customFormat="1" ht="6" customHeight="1">
      <c r="A110" s="791"/>
      <c r="B110" s="5"/>
      <c r="C110" s="1470"/>
      <c r="D110" s="1470"/>
      <c r="E110" s="130"/>
      <c r="F110" s="57"/>
      <c r="G110" s="57"/>
      <c r="H110" s="130"/>
      <c r="I110" s="130"/>
      <c r="J110" s="55"/>
      <c r="K110" s="55"/>
      <c r="L110" s="163"/>
      <c r="M110" s="2425"/>
      <c r="N110" s="5"/>
      <c r="O110" s="5"/>
      <c r="P110" s="5"/>
      <c r="Q110" s="5"/>
      <c r="R110" s="5"/>
      <c r="S110" s="5"/>
      <c r="T110" s="1219"/>
      <c r="U110" s="5"/>
    </row>
    <row r="111" spans="1:38" s="40" customFormat="1" ht="18" customHeight="1">
      <c r="A111" s="2513"/>
      <c r="B111" s="1468" t="s">
        <v>597</v>
      </c>
      <c r="C111" s="1468"/>
      <c r="D111" s="1468"/>
      <c r="E111" s="1468"/>
      <c r="F111" s="1468"/>
      <c r="G111" s="1468"/>
      <c r="H111" s="1468"/>
      <c r="I111" s="1468"/>
      <c r="J111" s="1468"/>
      <c r="K111" s="1468"/>
      <c r="L111" s="3601" t="s">
        <v>700</v>
      </c>
      <c r="M111" s="3350"/>
      <c r="N111" s="3350"/>
      <c r="O111" s="3350"/>
      <c r="P111" s="3350"/>
      <c r="Q111" s="3350"/>
      <c r="R111" s="3350"/>
      <c r="S111" s="3350"/>
      <c r="T111" s="3419"/>
      <c r="U111" s="4"/>
    </row>
    <row r="112" spans="1:38" s="40" customFormat="1" ht="11.25" customHeight="1">
      <c r="A112" s="2513"/>
      <c r="B112" s="1468"/>
      <c r="C112" s="1468"/>
      <c r="D112" s="1468"/>
      <c r="E112" s="1468"/>
      <c r="F112" s="1468"/>
      <c r="G112" s="1468"/>
      <c r="H112" s="1468"/>
      <c r="I112" s="1468"/>
      <c r="J112" s="1468"/>
      <c r="K112" s="1468"/>
      <c r="L112" s="3350"/>
      <c r="M112" s="3350"/>
      <c r="N112" s="3350"/>
      <c r="O112" s="3350"/>
      <c r="P112" s="3350"/>
      <c r="Q112" s="3350"/>
      <c r="R112" s="3350"/>
      <c r="S112" s="3350"/>
      <c r="T112" s="3419"/>
      <c r="U112" s="4"/>
    </row>
    <row r="113" spans="1:24" ht="20.100000000000001" customHeight="1">
      <c r="A113" s="2492"/>
      <c r="B113" s="3347" t="str">
        <f>I109</f>
        <v xml:space="preserve"> </v>
      </c>
      <c r="C113" s="3348"/>
      <c r="D113" s="2432" t="s">
        <v>721</v>
      </c>
      <c r="E113" s="3345" t="str">
        <f>O55</f>
        <v xml:space="preserve"> </v>
      </c>
      <c r="F113" s="3346"/>
      <c r="G113" s="2429" t="s">
        <v>102</v>
      </c>
      <c r="H113" s="3383" t="str">
        <f>IF(ISBLANK(M8)," ",B113/E113)</f>
        <v xml:space="preserve"> </v>
      </c>
      <c r="I113" s="3384"/>
      <c r="J113" s="2436" t="s">
        <v>133</v>
      </c>
      <c r="K113" s="2"/>
      <c r="L113" s="2" t="s">
        <v>701</v>
      </c>
      <c r="M113" s="2443"/>
      <c r="N113" s="2443"/>
      <c r="O113" s="2443"/>
      <c r="P113" s="2443"/>
      <c r="Q113" s="2443"/>
      <c r="R113" s="2443"/>
      <c r="S113" s="2443"/>
      <c r="T113" s="3"/>
      <c r="U113" s="2"/>
    </row>
    <row r="114" spans="1:24" s="7" customFormat="1" ht="6" customHeight="1">
      <c r="A114" s="791"/>
      <c r="B114" s="55"/>
      <c r="C114" s="55"/>
      <c r="D114" s="162"/>
      <c r="E114" s="57"/>
      <c r="F114" s="57"/>
      <c r="G114" s="130"/>
      <c r="H114" s="54"/>
      <c r="I114" s="54"/>
      <c r="J114" s="2426"/>
      <c r="K114" s="5"/>
      <c r="L114" s="5"/>
      <c r="M114" s="2"/>
      <c r="N114" s="496"/>
      <c r="O114" s="496"/>
      <c r="P114" s="2"/>
      <c r="Q114" s="5"/>
      <c r="R114" s="5"/>
      <c r="S114" s="5"/>
      <c r="T114" s="1219"/>
      <c r="U114" s="5"/>
    </row>
    <row r="115" spans="1:24" s="40" customFormat="1" ht="18" customHeight="1">
      <c r="A115" s="2513"/>
      <c r="B115" s="1468" t="s">
        <v>624</v>
      </c>
      <c r="C115" s="1468"/>
      <c r="D115" s="1468"/>
      <c r="E115" s="1468"/>
      <c r="F115" s="1468"/>
      <c r="G115" s="1468"/>
      <c r="H115" s="1468"/>
      <c r="I115" s="1468"/>
      <c r="J115" s="1468"/>
      <c r="K115" s="1468"/>
      <c r="L115" s="2"/>
      <c r="M115" s="1468"/>
      <c r="N115" s="1468"/>
      <c r="O115" s="1468"/>
      <c r="P115" s="1468"/>
      <c r="Q115" s="2"/>
      <c r="R115" s="1468"/>
      <c r="S115" s="1468"/>
      <c r="T115" s="1087"/>
      <c r="W115" s="496"/>
      <c r="X115" s="496"/>
    </row>
    <row r="116" spans="1:24" s="40" customFormat="1" ht="6" customHeight="1">
      <c r="A116" s="2513"/>
      <c r="B116" s="1468"/>
      <c r="C116" s="1468"/>
      <c r="D116" s="1468"/>
      <c r="E116" s="1468"/>
      <c r="F116" s="1468"/>
      <c r="G116" s="1468"/>
      <c r="H116" s="1468"/>
      <c r="I116" s="1468"/>
      <c r="J116" s="1468"/>
      <c r="K116" s="1468"/>
      <c r="L116" s="1468"/>
      <c r="M116" s="1468"/>
      <c r="N116" s="1468"/>
      <c r="O116" s="1468"/>
      <c r="P116" s="1468"/>
      <c r="Q116" s="1468"/>
      <c r="R116" s="1468"/>
      <c r="S116" s="1468"/>
      <c r="T116" s="1087"/>
      <c r="U116" s="4"/>
    </row>
    <row r="117" spans="1:24" ht="20.100000000000001" customHeight="1">
      <c r="A117" s="1462" t="s">
        <v>310</v>
      </c>
      <c r="B117" s="3385" t="str">
        <f>IF(ISBLANK(M8),"",B109)</f>
        <v/>
      </c>
      <c r="C117" s="3351"/>
      <c r="D117" s="3602" t="s">
        <v>622</v>
      </c>
      <c r="E117" s="3559"/>
      <c r="F117" s="3560"/>
      <c r="G117" s="907" t="str">
        <f>H113</f>
        <v xml:space="preserve"> </v>
      </c>
      <c r="H117" s="3558" t="s">
        <v>598</v>
      </c>
      <c r="I117" s="3622"/>
      <c r="J117" s="3622"/>
      <c r="K117" s="3622"/>
      <c r="L117" s="2429" t="s">
        <v>102</v>
      </c>
      <c r="M117" s="866" t="str">
        <f>IF(ISBLANK(M8)," ",(B117)/(G117-1))</f>
        <v xml:space="preserve"> </v>
      </c>
      <c r="N117" s="1468" t="s">
        <v>92</v>
      </c>
      <c r="O117" s="2429" t="s">
        <v>102</v>
      </c>
      <c r="P117" s="3347" t="str">
        <f>IF(ISBLANK(F8),"",M117*12)</f>
        <v/>
      </c>
      <c r="Q117" s="3348"/>
      <c r="R117" s="2" t="s">
        <v>640</v>
      </c>
      <c r="S117" s="2"/>
      <c r="T117" s="3"/>
      <c r="U117" s="2"/>
    </row>
    <row r="118" spans="1:24" s="7" customFormat="1" ht="6" customHeight="1">
      <c r="A118" s="2494"/>
      <c r="B118" s="164"/>
      <c r="C118" s="1437"/>
      <c r="D118" s="1437"/>
      <c r="E118" s="165"/>
      <c r="F118" s="165"/>
      <c r="G118" s="127"/>
      <c r="H118" s="165"/>
      <c r="I118" s="165"/>
      <c r="J118" s="165"/>
      <c r="K118" s="166"/>
      <c r="L118" s="143"/>
      <c r="M118" s="167"/>
      <c r="N118" s="43"/>
      <c r="O118" s="43"/>
      <c r="P118" s="43"/>
      <c r="Q118" s="43"/>
      <c r="R118" s="43"/>
      <c r="S118" s="43"/>
      <c r="T118" s="2514"/>
      <c r="U118" s="5"/>
    </row>
    <row r="119" spans="1:24" s="40" customFormat="1" ht="18" customHeight="1">
      <c r="A119" s="2515"/>
      <c r="B119" s="136" t="s">
        <v>1342</v>
      </c>
      <c r="C119" s="136"/>
      <c r="D119" s="136"/>
      <c r="E119" s="136"/>
      <c r="F119" s="136"/>
      <c r="G119" s="136"/>
      <c r="H119" s="136"/>
      <c r="I119" s="136"/>
      <c r="J119" s="136"/>
      <c r="K119" s="136"/>
      <c r="L119" s="136"/>
      <c r="M119" s="136"/>
      <c r="N119" s="136"/>
      <c r="O119" s="136"/>
      <c r="P119" s="136"/>
      <c r="Q119" s="136"/>
      <c r="R119" s="136"/>
      <c r="S119" s="136"/>
      <c r="T119" s="2516"/>
      <c r="U119" s="4"/>
    </row>
    <row r="120" spans="1:24" s="40" customFormat="1" ht="6" customHeight="1">
      <c r="A120" s="2513"/>
      <c r="B120" s="1468"/>
      <c r="C120" s="1468"/>
      <c r="D120" s="1468"/>
      <c r="E120" s="1468"/>
      <c r="F120" s="1468"/>
      <c r="G120" s="1468"/>
      <c r="H120" s="1468"/>
      <c r="I120" s="1468"/>
      <c r="J120" s="1468"/>
      <c r="K120" s="1468"/>
      <c r="L120" s="1468"/>
      <c r="M120" s="1468"/>
      <c r="N120" s="1468"/>
      <c r="O120" s="1468"/>
      <c r="P120" s="1468"/>
      <c r="Q120" s="1468"/>
      <c r="R120" s="1468"/>
      <c r="S120" s="1468"/>
      <c r="T120" s="1087"/>
      <c r="U120" s="4"/>
    </row>
    <row r="121" spans="1:24" ht="20.100000000000001" customHeight="1">
      <c r="A121" s="2492"/>
      <c r="B121" s="3385" t="str">
        <f>IF(ISBLANK(M10)," ",M10-2)</f>
        <v xml:space="preserve"> </v>
      </c>
      <c r="C121" s="3351"/>
      <c r="D121" s="2429" t="s">
        <v>126</v>
      </c>
      <c r="E121" s="3345" t="str">
        <f>IF(ISBLANK(F10),"",G91)</f>
        <v/>
      </c>
      <c r="F121" s="3346"/>
      <c r="G121" s="3602" t="s">
        <v>596</v>
      </c>
      <c r="H121" s="3560"/>
      <c r="I121" s="3347" t="str">
        <f>IF(ISBLANK(M10)," ",B121*E121)</f>
        <v xml:space="preserve"> </v>
      </c>
      <c r="J121" s="3348"/>
      <c r="K121" s="1468" t="s">
        <v>134</v>
      </c>
      <c r="L121" s="1468"/>
      <c r="M121" s="2"/>
      <c r="N121" s="2"/>
      <c r="O121" s="2"/>
      <c r="P121" s="2"/>
      <c r="Q121" s="2"/>
      <c r="R121" s="2"/>
      <c r="S121" s="2"/>
      <c r="T121" s="3"/>
      <c r="U121" s="2"/>
    </row>
    <row r="122" spans="1:24" s="7" customFormat="1" ht="6" customHeight="1">
      <c r="A122" s="791"/>
      <c r="B122" s="1470"/>
      <c r="C122" s="1470"/>
      <c r="D122" s="130"/>
      <c r="E122" s="57"/>
      <c r="F122" s="57"/>
      <c r="G122" s="130"/>
      <c r="H122" s="130"/>
      <c r="I122" s="55"/>
      <c r="J122" s="55"/>
      <c r="K122" s="163"/>
      <c r="L122" s="2425"/>
      <c r="M122" s="5"/>
      <c r="N122" s="5"/>
      <c r="O122" s="5"/>
      <c r="P122" s="5"/>
      <c r="Q122" s="5"/>
      <c r="R122" s="5"/>
      <c r="S122" s="5"/>
      <c r="T122" s="1219"/>
      <c r="U122" s="5"/>
    </row>
    <row r="123" spans="1:24" s="40" customFormat="1" ht="18" customHeight="1">
      <c r="A123" s="2513"/>
      <c r="B123" s="1468" t="s">
        <v>797</v>
      </c>
      <c r="C123" s="1468"/>
      <c r="D123" s="1468"/>
      <c r="E123" s="1468"/>
      <c r="F123" s="1468"/>
      <c r="G123" s="1468"/>
      <c r="H123" s="1468"/>
      <c r="I123" s="1468"/>
      <c r="J123" s="1468"/>
      <c r="K123" s="1468"/>
      <c r="L123" s="3601" t="s">
        <v>700</v>
      </c>
      <c r="M123" s="3350"/>
      <c r="N123" s="3350"/>
      <c r="O123" s="3350"/>
      <c r="P123" s="3350"/>
      <c r="Q123" s="3350"/>
      <c r="R123" s="3350"/>
      <c r="S123" s="3350"/>
      <c r="T123" s="3419"/>
      <c r="U123" s="4"/>
    </row>
    <row r="124" spans="1:24" s="40" customFormat="1" ht="11.25" customHeight="1">
      <c r="A124" s="2513"/>
      <c r="B124" s="1468"/>
      <c r="C124" s="1468"/>
      <c r="D124" s="1468"/>
      <c r="E124" s="1468"/>
      <c r="F124" s="1468"/>
      <c r="G124" s="1468"/>
      <c r="H124" s="1468"/>
      <c r="I124" s="1468"/>
      <c r="J124" s="1468"/>
      <c r="K124" s="1468"/>
      <c r="L124" s="3350"/>
      <c r="M124" s="3350"/>
      <c r="N124" s="3350"/>
      <c r="O124" s="3350"/>
      <c r="P124" s="3350"/>
      <c r="Q124" s="3350"/>
      <c r="R124" s="3350"/>
      <c r="S124" s="3350"/>
      <c r="T124" s="3419"/>
      <c r="U124" s="4"/>
    </row>
    <row r="125" spans="1:24" ht="20.100000000000001" customHeight="1">
      <c r="A125" s="2492"/>
      <c r="B125" s="3347" t="str">
        <f>I121</f>
        <v xml:space="preserve"> </v>
      </c>
      <c r="C125" s="3348"/>
      <c r="D125" s="2432" t="s">
        <v>721</v>
      </c>
      <c r="E125" s="3345" t="str">
        <f>O57</f>
        <v xml:space="preserve"> </v>
      </c>
      <c r="F125" s="3346"/>
      <c r="G125" s="2429" t="s">
        <v>102</v>
      </c>
      <c r="H125" s="3383" t="str">
        <f>IF(ISBLANK(M10)," ",B125/E125)</f>
        <v xml:space="preserve"> </v>
      </c>
      <c r="I125" s="3384"/>
      <c r="J125" s="2436" t="s">
        <v>133</v>
      </c>
      <c r="K125" s="2"/>
      <c r="L125" s="2" t="s">
        <v>701</v>
      </c>
      <c r="M125" s="2443"/>
      <c r="N125" s="2443"/>
      <c r="O125" s="2443"/>
      <c r="P125" s="2443"/>
      <c r="Q125" s="2443"/>
      <c r="R125" s="2443"/>
      <c r="S125" s="2443"/>
      <c r="T125" s="3"/>
      <c r="U125" s="2"/>
    </row>
    <row r="126" spans="1:24" s="7" customFormat="1" ht="6" customHeight="1">
      <c r="A126" s="791"/>
      <c r="B126" s="55"/>
      <c r="C126" s="55"/>
      <c r="D126" s="162"/>
      <c r="E126" s="57"/>
      <c r="F126" s="57"/>
      <c r="G126" s="130"/>
      <c r="H126" s="54"/>
      <c r="I126" s="54"/>
      <c r="J126" s="2426"/>
      <c r="K126" s="5"/>
      <c r="L126" s="5"/>
      <c r="M126" s="2"/>
      <c r="N126" s="496"/>
      <c r="O126" s="496"/>
      <c r="P126" s="2"/>
      <c r="Q126" s="5"/>
      <c r="R126" s="5"/>
      <c r="S126" s="5"/>
      <c r="T126" s="1219"/>
      <c r="U126" s="5"/>
    </row>
    <row r="127" spans="1:24" s="40" customFormat="1" ht="18" customHeight="1">
      <c r="A127" s="2513"/>
      <c r="B127" s="1468" t="s">
        <v>624</v>
      </c>
      <c r="C127" s="1468"/>
      <c r="D127" s="1468"/>
      <c r="E127" s="1468"/>
      <c r="F127" s="1468"/>
      <c r="G127" s="1468"/>
      <c r="H127" s="1468"/>
      <c r="I127" s="1468"/>
      <c r="J127" s="1468"/>
      <c r="K127" s="1468"/>
      <c r="L127" s="2"/>
      <c r="M127" s="1468"/>
      <c r="N127" s="1468"/>
      <c r="O127" s="1468"/>
      <c r="P127" s="1468"/>
      <c r="Q127" s="2"/>
      <c r="R127" s="1468"/>
      <c r="S127" s="1468"/>
      <c r="T127" s="1087"/>
      <c r="U127" s="4"/>
    </row>
    <row r="128" spans="1:24" s="40" customFormat="1" ht="6" customHeight="1">
      <c r="A128" s="2513"/>
      <c r="B128" s="1468"/>
      <c r="C128" s="1468"/>
      <c r="D128" s="1468"/>
      <c r="E128" s="1468"/>
      <c r="F128" s="1468"/>
      <c r="G128" s="1468"/>
      <c r="H128" s="1468"/>
      <c r="I128" s="1468"/>
      <c r="J128" s="1468"/>
      <c r="K128" s="1468"/>
      <c r="L128" s="1468"/>
      <c r="M128" s="1468"/>
      <c r="N128" s="1468"/>
      <c r="O128" s="1468"/>
      <c r="P128" s="1468"/>
      <c r="Q128" s="1468"/>
      <c r="R128" s="1468"/>
      <c r="S128" s="1468"/>
      <c r="T128" s="1087"/>
      <c r="U128" s="4"/>
    </row>
    <row r="129" spans="1:21" ht="20.100000000000001" customHeight="1">
      <c r="A129" s="1462" t="s">
        <v>310</v>
      </c>
      <c r="B129" s="3385" t="str">
        <f>IF(ISBLANK(M10),"",B121)</f>
        <v/>
      </c>
      <c r="C129" s="3351"/>
      <c r="D129" s="3602" t="s">
        <v>622</v>
      </c>
      <c r="E129" s="3559"/>
      <c r="F129" s="3560"/>
      <c r="G129" s="907" t="str">
        <f>H125</f>
        <v xml:space="preserve"> </v>
      </c>
      <c r="H129" s="3558" t="s">
        <v>598</v>
      </c>
      <c r="I129" s="3622"/>
      <c r="J129" s="3622"/>
      <c r="K129" s="3622"/>
      <c r="L129" s="2429" t="s">
        <v>102</v>
      </c>
      <c r="M129" s="866" t="str">
        <f>IF(ISBLANK(M10)," ",(B129)/(G129-1))</f>
        <v xml:space="preserve"> </v>
      </c>
      <c r="N129" s="1468" t="s">
        <v>92</v>
      </c>
      <c r="O129" s="2429" t="s">
        <v>102</v>
      </c>
      <c r="P129" s="3347" t="str">
        <f>IF(ISBLANK(F10),"",M129*12)</f>
        <v/>
      </c>
      <c r="Q129" s="3348"/>
      <c r="R129" s="2" t="s">
        <v>640</v>
      </c>
      <c r="S129" s="2"/>
      <c r="T129" s="3"/>
      <c r="U129" s="2"/>
    </row>
    <row r="130" spans="1:21" s="7" customFormat="1" ht="6" customHeight="1">
      <c r="A130" s="2494"/>
      <c r="B130" s="164"/>
      <c r="C130" s="1437"/>
      <c r="D130" s="1437"/>
      <c r="E130" s="165"/>
      <c r="F130" s="165"/>
      <c r="G130" s="127"/>
      <c r="H130" s="165"/>
      <c r="I130" s="165"/>
      <c r="J130" s="165"/>
      <c r="K130" s="166"/>
      <c r="L130" s="143"/>
      <c r="M130" s="167"/>
      <c r="N130" s="43"/>
      <c r="O130" s="43"/>
      <c r="P130" s="43"/>
      <c r="Q130" s="43"/>
      <c r="R130" s="43"/>
      <c r="S130" s="43"/>
      <c r="T130" s="2514"/>
      <c r="U130" s="5"/>
    </row>
    <row r="131" spans="1:21" s="40" customFormat="1" ht="18" customHeight="1">
      <c r="A131" s="2515"/>
      <c r="B131" s="136" t="s">
        <v>1343</v>
      </c>
      <c r="C131" s="136"/>
      <c r="D131" s="136"/>
      <c r="E131" s="136"/>
      <c r="F131" s="136"/>
      <c r="G131" s="136"/>
      <c r="H131" s="136"/>
      <c r="I131" s="136"/>
      <c r="J131" s="136"/>
      <c r="K131" s="136"/>
      <c r="L131" s="136"/>
      <c r="M131" s="136"/>
      <c r="N131" s="136"/>
      <c r="O131" s="136"/>
      <c r="P131" s="136"/>
      <c r="Q131" s="136"/>
      <c r="R131" s="136"/>
      <c r="S131" s="136"/>
      <c r="T131" s="2516"/>
      <c r="U131" s="4"/>
    </row>
    <row r="132" spans="1:21" s="40" customFormat="1" ht="6" customHeight="1">
      <c r="A132" s="2513"/>
      <c r="B132" s="1468"/>
      <c r="C132" s="1468"/>
      <c r="D132" s="1468"/>
      <c r="E132" s="1468"/>
      <c r="F132" s="1468"/>
      <c r="G132" s="1468"/>
      <c r="H132" s="1468"/>
      <c r="I132" s="1468"/>
      <c r="J132" s="1468"/>
      <c r="K132" s="1468"/>
      <c r="L132" s="1468"/>
      <c r="M132" s="1468"/>
      <c r="N132" s="1468"/>
      <c r="O132" s="1468"/>
      <c r="P132" s="1468"/>
      <c r="Q132" s="1468"/>
      <c r="R132" s="1468"/>
      <c r="S132" s="1468"/>
      <c r="T132" s="1087"/>
      <c r="U132" s="4"/>
    </row>
    <row r="133" spans="1:21" ht="20.100000000000001" customHeight="1">
      <c r="A133" s="2492"/>
      <c r="B133" s="3385" t="str">
        <f>IF(ISBLANK(M12)," ",M12-2)</f>
        <v xml:space="preserve"> </v>
      </c>
      <c r="C133" s="3351"/>
      <c r="D133" s="2429" t="s">
        <v>126</v>
      </c>
      <c r="E133" s="3345" t="str">
        <f>IF(ISBLANK(F12),"",G91)</f>
        <v/>
      </c>
      <c r="F133" s="3346"/>
      <c r="G133" s="3602" t="s">
        <v>596</v>
      </c>
      <c r="H133" s="3560"/>
      <c r="I133" s="3347" t="str">
        <f>IF(ISBLANK(M12)," ",B133*E133)</f>
        <v xml:space="preserve"> </v>
      </c>
      <c r="J133" s="3348"/>
      <c r="K133" s="1468" t="s">
        <v>134</v>
      </c>
      <c r="L133" s="1468"/>
      <c r="M133" s="2"/>
      <c r="N133" s="2"/>
      <c r="O133" s="2"/>
      <c r="P133" s="2"/>
      <c r="Q133" s="2"/>
      <c r="R133" s="2"/>
      <c r="S133" s="2"/>
      <c r="T133" s="3"/>
      <c r="U133" s="2"/>
    </row>
    <row r="134" spans="1:21" s="7" customFormat="1" ht="6" customHeight="1">
      <c r="A134" s="791"/>
      <c r="B134" s="1470"/>
      <c r="C134" s="1470"/>
      <c r="D134" s="130"/>
      <c r="E134" s="57"/>
      <c r="F134" s="57"/>
      <c r="G134" s="130"/>
      <c r="H134" s="130"/>
      <c r="I134" s="55"/>
      <c r="J134" s="55"/>
      <c r="K134" s="163"/>
      <c r="L134" s="2425"/>
      <c r="M134" s="5"/>
      <c r="N134" s="5"/>
      <c r="O134" s="5"/>
      <c r="P134" s="5"/>
      <c r="Q134" s="5"/>
      <c r="R134" s="5"/>
      <c r="S134" s="5"/>
      <c r="T134" s="1219"/>
      <c r="U134" s="5"/>
    </row>
    <row r="135" spans="1:21" s="40" customFormat="1" ht="18" customHeight="1">
      <c r="A135" s="2513"/>
      <c r="B135" s="1468" t="s">
        <v>798</v>
      </c>
      <c r="C135" s="1468"/>
      <c r="D135" s="1468"/>
      <c r="E135" s="1468"/>
      <c r="F135" s="1468"/>
      <c r="G135" s="1468"/>
      <c r="H135" s="1468"/>
      <c r="I135" s="1468"/>
      <c r="J135" s="1468"/>
      <c r="K135" s="1468"/>
      <c r="L135" s="3601" t="s">
        <v>700</v>
      </c>
      <c r="M135" s="3350"/>
      <c r="N135" s="3350"/>
      <c r="O135" s="3350"/>
      <c r="P135" s="3350"/>
      <c r="Q135" s="3350"/>
      <c r="R135" s="3350"/>
      <c r="S135" s="3350"/>
      <c r="T135" s="3419"/>
      <c r="U135" s="4"/>
    </row>
    <row r="136" spans="1:21" s="40" customFormat="1" ht="11.25" customHeight="1">
      <c r="A136" s="2513"/>
      <c r="B136" s="1468"/>
      <c r="C136" s="1468"/>
      <c r="D136" s="1468"/>
      <c r="E136" s="1468"/>
      <c r="F136" s="1468"/>
      <c r="G136" s="1468"/>
      <c r="H136" s="1468"/>
      <c r="I136" s="1468"/>
      <c r="J136" s="1468"/>
      <c r="K136" s="1468"/>
      <c r="L136" s="3350"/>
      <c r="M136" s="3350"/>
      <c r="N136" s="3350"/>
      <c r="O136" s="3350"/>
      <c r="P136" s="3350"/>
      <c r="Q136" s="3350"/>
      <c r="R136" s="3350"/>
      <c r="S136" s="3350"/>
      <c r="T136" s="3419"/>
      <c r="U136" s="4"/>
    </row>
    <row r="137" spans="1:21" ht="20.100000000000001" customHeight="1">
      <c r="A137" s="2492"/>
      <c r="B137" s="3347" t="str">
        <f>I133</f>
        <v xml:space="preserve"> </v>
      </c>
      <c r="C137" s="3348"/>
      <c r="D137" s="2432" t="s">
        <v>721</v>
      </c>
      <c r="E137" s="3345" t="str">
        <f>O59</f>
        <v xml:space="preserve"> </v>
      </c>
      <c r="F137" s="3346"/>
      <c r="G137" s="2429" t="s">
        <v>102</v>
      </c>
      <c r="H137" s="3383" t="str">
        <f>IF(ISBLANK(M12)," ",B137/E137)</f>
        <v xml:space="preserve"> </v>
      </c>
      <c r="I137" s="3384"/>
      <c r="J137" s="2436" t="s">
        <v>133</v>
      </c>
      <c r="K137" s="2"/>
      <c r="L137" s="2" t="s">
        <v>701</v>
      </c>
      <c r="M137" s="2443"/>
      <c r="N137" s="2443"/>
      <c r="O137" s="2443"/>
      <c r="P137" s="2443"/>
      <c r="Q137" s="2443"/>
      <c r="R137" s="2443"/>
      <c r="S137" s="2443"/>
      <c r="T137" s="3"/>
      <c r="U137" s="2"/>
    </row>
    <row r="138" spans="1:21" s="7" customFormat="1" ht="6" customHeight="1">
      <c r="A138" s="791"/>
      <c r="B138" s="55"/>
      <c r="C138" s="55"/>
      <c r="D138" s="162"/>
      <c r="E138" s="57"/>
      <c r="F138" s="57"/>
      <c r="G138" s="130"/>
      <c r="H138" s="54"/>
      <c r="I138" s="54"/>
      <c r="J138" s="2426"/>
      <c r="K138" s="5"/>
      <c r="L138" s="5"/>
      <c r="M138" s="2"/>
      <c r="N138" s="496"/>
      <c r="O138" s="496"/>
      <c r="P138" s="2"/>
      <c r="Q138" s="5"/>
      <c r="R138" s="5"/>
      <c r="S138" s="5"/>
      <c r="T138" s="1219"/>
      <c r="U138" s="5"/>
    </row>
    <row r="139" spans="1:21" s="40" customFormat="1" ht="18" customHeight="1">
      <c r="A139" s="2513"/>
      <c r="B139" s="1468" t="s">
        <v>624</v>
      </c>
      <c r="C139" s="1468"/>
      <c r="D139" s="1468"/>
      <c r="E139" s="1468"/>
      <c r="F139" s="1468"/>
      <c r="G139" s="1468"/>
      <c r="H139" s="1468"/>
      <c r="I139" s="1468"/>
      <c r="J139" s="1468"/>
      <c r="K139" s="1468"/>
      <c r="L139" s="2"/>
      <c r="M139" s="1468"/>
      <c r="N139" s="1468"/>
      <c r="O139" s="1468"/>
      <c r="P139" s="1468"/>
      <c r="Q139" s="2"/>
      <c r="R139" s="1468"/>
      <c r="S139" s="1468"/>
      <c r="T139" s="1087"/>
      <c r="U139" s="4"/>
    </row>
    <row r="140" spans="1:21" s="40" customFormat="1" ht="6" customHeight="1">
      <c r="A140" s="2513"/>
      <c r="B140" s="1468"/>
      <c r="C140" s="1468"/>
      <c r="D140" s="1468"/>
      <c r="E140" s="1468"/>
      <c r="F140" s="1468"/>
      <c r="G140" s="1468"/>
      <c r="H140" s="1468"/>
      <c r="I140" s="1468"/>
      <c r="J140" s="1468"/>
      <c r="K140" s="1468"/>
      <c r="L140" s="1468"/>
      <c r="M140" s="1468"/>
      <c r="N140" s="1468"/>
      <c r="O140" s="1468"/>
      <c r="P140" s="1468"/>
      <c r="Q140" s="1468"/>
      <c r="R140" s="1468"/>
      <c r="S140" s="1468"/>
      <c r="T140" s="1087"/>
      <c r="U140" s="4"/>
    </row>
    <row r="141" spans="1:21" ht="20.100000000000001" customHeight="1">
      <c r="A141" s="1462" t="s">
        <v>310</v>
      </c>
      <c r="B141" s="3385" t="str">
        <f>IF(ISBLANK(M12),"",B133)</f>
        <v/>
      </c>
      <c r="C141" s="3351"/>
      <c r="D141" s="3602" t="s">
        <v>622</v>
      </c>
      <c r="E141" s="3559"/>
      <c r="F141" s="3560"/>
      <c r="G141" s="907" t="str">
        <f>H137</f>
        <v xml:space="preserve"> </v>
      </c>
      <c r="H141" s="3558" t="s">
        <v>598</v>
      </c>
      <c r="I141" s="3622"/>
      <c r="J141" s="3622"/>
      <c r="K141" s="3622"/>
      <c r="L141" s="2429" t="s">
        <v>102</v>
      </c>
      <c r="M141" s="866" t="str">
        <f>IF(ISBLANK(M12)," ",(B141)/(G141-1))</f>
        <v xml:space="preserve"> </v>
      </c>
      <c r="N141" s="1468" t="s">
        <v>92</v>
      </c>
      <c r="O141" s="2429" t="s">
        <v>102</v>
      </c>
      <c r="P141" s="3347" t="str">
        <f>IF(ISBLANK(F12),"",M141*12)</f>
        <v/>
      </c>
      <c r="Q141" s="3348"/>
      <c r="R141" s="2" t="s">
        <v>640</v>
      </c>
      <c r="S141" s="2"/>
      <c r="T141" s="3"/>
      <c r="U141" s="2"/>
    </row>
    <row r="142" spans="1:21" s="7" customFormat="1" ht="6" customHeight="1">
      <c r="A142" s="2494"/>
      <c r="B142" s="164"/>
      <c r="C142" s="1437"/>
      <c r="D142" s="1437"/>
      <c r="E142" s="165"/>
      <c r="F142" s="165"/>
      <c r="G142" s="127"/>
      <c r="H142" s="165"/>
      <c r="I142" s="165"/>
      <c r="J142" s="165"/>
      <c r="K142" s="166"/>
      <c r="L142" s="143"/>
      <c r="M142" s="167"/>
      <c r="N142" s="43"/>
      <c r="O142" s="43"/>
      <c r="P142" s="43"/>
      <c r="Q142" s="43"/>
      <c r="R142" s="43"/>
      <c r="S142" s="43"/>
      <c r="T142" s="2514"/>
      <c r="U142" s="5"/>
    </row>
    <row r="143" spans="1:21" s="40" customFormat="1" ht="18" customHeight="1">
      <c r="A143" s="2515"/>
      <c r="B143" s="136" t="s">
        <v>1344</v>
      </c>
      <c r="C143" s="136"/>
      <c r="D143" s="136"/>
      <c r="E143" s="136"/>
      <c r="F143" s="136"/>
      <c r="G143" s="136"/>
      <c r="H143" s="136"/>
      <c r="I143" s="136"/>
      <c r="J143" s="136"/>
      <c r="K143" s="136"/>
      <c r="L143" s="136"/>
      <c r="M143" s="136"/>
      <c r="N143" s="136"/>
      <c r="O143" s="136"/>
      <c r="P143" s="136"/>
      <c r="Q143" s="136"/>
      <c r="R143" s="136"/>
      <c r="S143" s="136"/>
      <c r="T143" s="2516"/>
      <c r="U143" s="4"/>
    </row>
    <row r="144" spans="1:21" s="40" customFormat="1" ht="6" customHeight="1">
      <c r="A144" s="2513"/>
      <c r="B144" s="1468"/>
      <c r="C144" s="1468"/>
      <c r="D144" s="1468"/>
      <c r="E144" s="1468"/>
      <c r="F144" s="1468"/>
      <c r="G144" s="1468"/>
      <c r="H144" s="1468"/>
      <c r="I144" s="1468"/>
      <c r="J144" s="1468"/>
      <c r="K144" s="1468"/>
      <c r="L144" s="1468"/>
      <c r="M144" s="1468"/>
      <c r="N144" s="1468"/>
      <c r="O144" s="1468"/>
      <c r="P144" s="1468"/>
      <c r="Q144" s="1468"/>
      <c r="R144" s="1468"/>
      <c r="S144" s="1468"/>
      <c r="T144" s="1087"/>
      <c r="U144" s="4"/>
    </row>
    <row r="145" spans="1:38" ht="20.100000000000001" customHeight="1">
      <c r="A145" s="2492"/>
      <c r="B145" s="3385" t="str">
        <f>IF(ISBLANK(M14)," ",M14-2)</f>
        <v xml:space="preserve"> </v>
      </c>
      <c r="C145" s="3351"/>
      <c r="D145" s="2429" t="s">
        <v>126</v>
      </c>
      <c r="E145" s="3345" t="str">
        <f>IF(ISBLANK(F14),"",G91)</f>
        <v/>
      </c>
      <c r="F145" s="3346"/>
      <c r="G145" s="3602" t="s">
        <v>596</v>
      </c>
      <c r="H145" s="3560"/>
      <c r="I145" s="3347" t="str">
        <f>IF(ISBLANK(M14)," ",B145*E145)</f>
        <v xml:space="preserve"> </v>
      </c>
      <c r="J145" s="3348"/>
      <c r="K145" s="1468" t="s">
        <v>134</v>
      </c>
      <c r="L145" s="1468"/>
      <c r="M145" s="2"/>
      <c r="N145" s="2"/>
      <c r="O145" s="2"/>
      <c r="P145" s="2"/>
      <c r="Q145" s="2"/>
      <c r="R145" s="2"/>
      <c r="S145" s="2"/>
      <c r="T145" s="3"/>
      <c r="U145" s="2"/>
    </row>
    <row r="146" spans="1:38" s="7" customFormat="1" ht="6" customHeight="1">
      <c r="A146" s="791"/>
      <c r="B146" s="1470"/>
      <c r="C146" s="1470"/>
      <c r="D146" s="130"/>
      <c r="E146" s="57"/>
      <c r="F146" s="57"/>
      <c r="G146" s="130"/>
      <c r="H146" s="130"/>
      <c r="I146" s="55"/>
      <c r="J146" s="55"/>
      <c r="K146" s="163"/>
      <c r="L146" s="3601" t="s">
        <v>700</v>
      </c>
      <c r="M146" s="3601"/>
      <c r="N146" s="3601"/>
      <c r="O146" s="3601"/>
      <c r="P146" s="3601"/>
      <c r="Q146" s="3601"/>
      <c r="R146" s="3601"/>
      <c r="S146" s="3601"/>
      <c r="T146" s="3651"/>
      <c r="U146" s="5"/>
    </row>
    <row r="147" spans="1:38" s="40" customFormat="1" ht="18" customHeight="1">
      <c r="A147" s="2513"/>
      <c r="B147" s="1468" t="s">
        <v>799</v>
      </c>
      <c r="C147" s="1468"/>
      <c r="D147" s="1468"/>
      <c r="E147" s="1468"/>
      <c r="F147" s="1468"/>
      <c r="G147" s="1468"/>
      <c r="H147" s="1468"/>
      <c r="I147" s="1468"/>
      <c r="J147" s="1468"/>
      <c r="K147" s="1468"/>
      <c r="L147" s="3601"/>
      <c r="M147" s="3601"/>
      <c r="N147" s="3601"/>
      <c r="O147" s="3601"/>
      <c r="P147" s="3601"/>
      <c r="Q147" s="3601"/>
      <c r="R147" s="3601"/>
      <c r="S147" s="3601"/>
      <c r="T147" s="3651"/>
      <c r="U147" s="4"/>
      <c r="AI147" s="1"/>
      <c r="AJ147" s="1"/>
      <c r="AK147" s="1"/>
      <c r="AL147" s="1"/>
    </row>
    <row r="148" spans="1:38" s="40" customFormat="1" ht="5.0999999999999996" customHeight="1">
      <c r="A148" s="2513"/>
      <c r="B148" s="1468"/>
      <c r="C148" s="1468"/>
      <c r="D148" s="1468"/>
      <c r="E148" s="1468"/>
      <c r="F148" s="1468"/>
      <c r="G148" s="1468"/>
      <c r="H148" s="1468"/>
      <c r="I148" s="1468"/>
      <c r="J148" s="1468"/>
      <c r="K148" s="1468"/>
      <c r="L148" s="3601"/>
      <c r="M148" s="3601"/>
      <c r="N148" s="3601"/>
      <c r="O148" s="3601"/>
      <c r="P148" s="3601"/>
      <c r="Q148" s="3601"/>
      <c r="R148" s="3601"/>
      <c r="S148" s="3601"/>
      <c r="T148" s="3651"/>
      <c r="U148" s="4"/>
      <c r="AI148" s="1"/>
      <c r="AJ148" s="1"/>
      <c r="AK148" s="1"/>
      <c r="AL148" s="1"/>
    </row>
    <row r="149" spans="1:38" ht="20.100000000000001" customHeight="1">
      <c r="A149" s="2492"/>
      <c r="B149" s="3347" t="str">
        <f>I145</f>
        <v xml:space="preserve"> </v>
      </c>
      <c r="C149" s="3348"/>
      <c r="D149" s="2432" t="s">
        <v>721</v>
      </c>
      <c r="E149" s="3345" t="str">
        <f>O61</f>
        <v xml:space="preserve"> </v>
      </c>
      <c r="F149" s="3346"/>
      <c r="G149" s="2429" t="s">
        <v>102</v>
      </c>
      <c r="H149" s="3383" t="str">
        <f>IF(ISBLANK(M14)," ",B149/E149)</f>
        <v xml:space="preserve"> </v>
      </c>
      <c r="I149" s="3384"/>
      <c r="J149" s="2436" t="s">
        <v>133</v>
      </c>
      <c r="K149" s="2"/>
      <c r="L149" s="2" t="s">
        <v>701</v>
      </c>
      <c r="M149" s="2443"/>
      <c r="N149" s="2443"/>
      <c r="O149" s="2443"/>
      <c r="P149" s="2443"/>
      <c r="Q149" s="2443"/>
      <c r="R149" s="2443"/>
      <c r="S149" s="2443"/>
      <c r="T149" s="3"/>
      <c r="U149" s="2"/>
    </row>
    <row r="150" spans="1:38" s="7" customFormat="1" ht="6" customHeight="1">
      <c r="A150" s="791"/>
      <c r="B150" s="55"/>
      <c r="C150" s="55"/>
      <c r="D150" s="162"/>
      <c r="E150" s="57"/>
      <c r="F150" s="57"/>
      <c r="G150" s="130"/>
      <c r="H150" s="54"/>
      <c r="I150" s="54"/>
      <c r="J150" s="2426"/>
      <c r="K150" s="5"/>
      <c r="L150" s="5"/>
      <c r="M150" s="2"/>
      <c r="N150" s="496"/>
      <c r="O150" s="496"/>
      <c r="P150" s="2"/>
      <c r="Q150" s="5"/>
      <c r="R150" s="5"/>
      <c r="S150" s="5"/>
      <c r="T150" s="1219"/>
      <c r="U150" s="5"/>
    </row>
    <row r="151" spans="1:38" s="40" customFormat="1" ht="18" customHeight="1">
      <c r="A151" s="2513"/>
      <c r="B151" s="1468" t="s">
        <v>624</v>
      </c>
      <c r="C151" s="1468"/>
      <c r="D151" s="1468"/>
      <c r="E151" s="1468"/>
      <c r="F151" s="1468"/>
      <c r="G151" s="1468"/>
      <c r="H151" s="1468"/>
      <c r="I151" s="1468"/>
      <c r="J151" s="1468"/>
      <c r="K151" s="1468"/>
      <c r="L151" s="2"/>
      <c r="M151" s="1468"/>
      <c r="N151" s="1468"/>
      <c r="O151" s="1468"/>
      <c r="P151" s="1468"/>
      <c r="Q151" s="2"/>
      <c r="R151" s="1468"/>
      <c r="S151" s="1468"/>
      <c r="T151" s="1087"/>
      <c r="U151" s="4"/>
      <c r="AI151" s="1"/>
      <c r="AJ151" s="1"/>
      <c r="AK151" s="1"/>
      <c r="AL151" s="1"/>
    </row>
    <row r="152" spans="1:38" s="40" customFormat="1" ht="6" customHeight="1">
      <c r="A152" s="2513"/>
      <c r="B152" s="1468"/>
      <c r="C152" s="1468"/>
      <c r="D152" s="1468"/>
      <c r="E152" s="1468"/>
      <c r="F152" s="1468"/>
      <c r="G152" s="1468"/>
      <c r="H152" s="1468"/>
      <c r="I152" s="1468"/>
      <c r="J152" s="1468"/>
      <c r="K152" s="1468"/>
      <c r="L152" s="1468"/>
      <c r="M152" s="1468"/>
      <c r="N152" s="1468"/>
      <c r="O152" s="1468"/>
      <c r="P152" s="1468"/>
      <c r="Q152" s="1468"/>
      <c r="R152" s="1468"/>
      <c r="S152" s="1468"/>
      <c r="T152" s="1087"/>
      <c r="U152" s="4"/>
      <c r="AI152" s="1"/>
      <c r="AJ152" s="1"/>
      <c r="AK152" s="1"/>
      <c r="AL152" s="1"/>
    </row>
    <row r="153" spans="1:38" ht="20.100000000000001" customHeight="1">
      <c r="A153" s="1462" t="s">
        <v>310</v>
      </c>
      <c r="B153" s="3385" t="str">
        <f>IF(ISBLANK(M14),"",B145)</f>
        <v/>
      </c>
      <c r="C153" s="3351"/>
      <c r="D153" s="3602" t="s">
        <v>622</v>
      </c>
      <c r="E153" s="3559"/>
      <c r="F153" s="3560"/>
      <c r="G153" s="907" t="str">
        <f>H149</f>
        <v xml:space="preserve"> </v>
      </c>
      <c r="H153" s="3558" t="s">
        <v>598</v>
      </c>
      <c r="I153" s="3622"/>
      <c r="J153" s="3622"/>
      <c r="K153" s="3622"/>
      <c r="L153" s="2429" t="s">
        <v>102</v>
      </c>
      <c r="M153" s="866" t="str">
        <f>IF(ISBLANK(M14)," ",(B153)/(G153-1))</f>
        <v xml:space="preserve"> </v>
      </c>
      <c r="N153" s="1468" t="s">
        <v>92</v>
      </c>
      <c r="O153" s="2429" t="s">
        <v>102</v>
      </c>
      <c r="P153" s="3347" t="str">
        <f>IF(ISBLANK(F14),"",M153*12)</f>
        <v/>
      </c>
      <c r="Q153" s="3348"/>
      <c r="R153" s="2" t="s">
        <v>640</v>
      </c>
      <c r="S153" s="1232"/>
      <c r="T153" s="3"/>
      <c r="U153" s="2"/>
    </row>
    <row r="154" spans="1:38" ht="6" customHeight="1">
      <c r="A154" s="2492"/>
      <c r="B154" s="2"/>
      <c r="C154" s="2"/>
      <c r="D154" s="2"/>
      <c r="E154" s="2"/>
      <c r="F154" s="2"/>
      <c r="G154" s="2"/>
      <c r="H154" s="2"/>
      <c r="I154" s="2"/>
      <c r="J154" s="2"/>
      <c r="K154" s="2"/>
      <c r="L154" s="2"/>
      <c r="M154" s="2"/>
      <c r="N154" s="2"/>
      <c r="O154" s="2"/>
      <c r="P154" s="1232"/>
      <c r="Q154" s="1232"/>
      <c r="R154" s="1232"/>
      <c r="S154" s="1232"/>
      <c r="T154" s="3"/>
      <c r="U154" s="2"/>
    </row>
    <row r="155" spans="1:38" s="40" customFormat="1" ht="18" customHeight="1">
      <c r="A155" s="2515"/>
      <c r="B155" s="136" t="s">
        <v>796</v>
      </c>
      <c r="C155" s="136"/>
      <c r="D155" s="136"/>
      <c r="E155" s="136"/>
      <c r="F155" s="136"/>
      <c r="G155" s="136"/>
      <c r="H155" s="136"/>
      <c r="I155" s="136"/>
      <c r="J155" s="136"/>
      <c r="K155" s="136"/>
      <c r="L155" s="136"/>
      <c r="M155" s="136"/>
      <c r="N155" s="136"/>
      <c r="O155" s="136"/>
      <c r="P155" s="136"/>
      <c r="Q155" s="136"/>
      <c r="R155" s="136"/>
      <c r="S155" s="136"/>
      <c r="T155" s="2516"/>
      <c r="U155" s="4"/>
    </row>
    <row r="156" spans="1:38" s="40" customFormat="1" ht="6" customHeight="1">
      <c r="A156" s="2513"/>
      <c r="B156" s="1468"/>
      <c r="C156" s="1468"/>
      <c r="D156" s="1468"/>
      <c r="E156" s="1468"/>
      <c r="F156" s="1468"/>
      <c r="G156" s="1468"/>
      <c r="H156" s="1468"/>
      <c r="I156" s="1468"/>
      <c r="J156" s="1468"/>
      <c r="K156" s="1468"/>
      <c r="L156" s="1468"/>
      <c r="M156" s="1468"/>
      <c r="N156" s="1468"/>
      <c r="O156" s="1468"/>
      <c r="P156" s="1468"/>
      <c r="Q156" s="1468"/>
      <c r="R156" s="1468"/>
      <c r="S156" s="1468"/>
      <c r="T156" s="1087"/>
      <c r="U156" s="4"/>
    </row>
    <row r="157" spans="1:38" ht="20.100000000000001" customHeight="1">
      <c r="A157" s="2492"/>
      <c r="B157" s="3385" t="str">
        <f>IF(ISBLANK(M16)," ",M16-2)</f>
        <v xml:space="preserve"> </v>
      </c>
      <c r="C157" s="3351"/>
      <c r="D157" s="2429" t="s">
        <v>126</v>
      </c>
      <c r="E157" s="3345" t="str">
        <f>IF(ISBLANK(F16),"",G91)</f>
        <v/>
      </c>
      <c r="F157" s="3346"/>
      <c r="G157" s="3602" t="s">
        <v>596</v>
      </c>
      <c r="H157" s="3560"/>
      <c r="I157" s="3347" t="str">
        <f>IF(ISBLANK(M16)," ",B157*E157)</f>
        <v xml:space="preserve"> </v>
      </c>
      <c r="J157" s="3348"/>
      <c r="K157" s="1468" t="s">
        <v>134</v>
      </c>
      <c r="L157" s="1468"/>
      <c r="M157" s="2"/>
      <c r="N157" s="2"/>
      <c r="O157" s="2"/>
      <c r="P157" s="2"/>
      <c r="Q157" s="2"/>
      <c r="R157" s="2"/>
      <c r="S157" s="2"/>
      <c r="T157" s="3"/>
      <c r="U157" s="2"/>
    </row>
    <row r="158" spans="1:38" s="7" customFormat="1" ht="6" customHeight="1">
      <c r="A158" s="791"/>
      <c r="B158" s="1470"/>
      <c r="C158" s="1470"/>
      <c r="D158" s="130"/>
      <c r="E158" s="57"/>
      <c r="F158" s="57"/>
      <c r="G158" s="130"/>
      <c r="H158" s="130"/>
      <c r="I158" s="55"/>
      <c r="J158" s="55"/>
      <c r="K158" s="163"/>
      <c r="L158" s="3601" t="s">
        <v>700</v>
      </c>
      <c r="M158" s="3601"/>
      <c r="N158" s="3601"/>
      <c r="O158" s="3601"/>
      <c r="P158" s="3601"/>
      <c r="Q158" s="3601"/>
      <c r="R158" s="3601"/>
      <c r="S158" s="3601"/>
      <c r="T158" s="3651"/>
      <c r="U158" s="5"/>
    </row>
    <row r="159" spans="1:38" s="40" customFormat="1" ht="18" customHeight="1">
      <c r="A159" s="2513"/>
      <c r="B159" s="1468" t="s">
        <v>800</v>
      </c>
      <c r="C159" s="1468"/>
      <c r="D159" s="1468"/>
      <c r="E159" s="1468"/>
      <c r="F159" s="1468"/>
      <c r="G159" s="1468"/>
      <c r="H159" s="1468"/>
      <c r="I159" s="1468"/>
      <c r="J159" s="1468"/>
      <c r="K159" s="1468"/>
      <c r="L159" s="3601"/>
      <c r="M159" s="3601"/>
      <c r="N159" s="3601"/>
      <c r="O159" s="3601"/>
      <c r="P159" s="3601"/>
      <c r="Q159" s="3601"/>
      <c r="R159" s="3601"/>
      <c r="S159" s="3601"/>
      <c r="T159" s="3651"/>
      <c r="U159" s="4"/>
      <c r="AI159" s="1"/>
      <c r="AJ159" s="1"/>
      <c r="AK159" s="1"/>
      <c r="AL159" s="1"/>
    </row>
    <row r="160" spans="1:38" s="40" customFormat="1" ht="5.0999999999999996" customHeight="1">
      <c r="A160" s="2513"/>
      <c r="B160" s="1468"/>
      <c r="C160" s="1468"/>
      <c r="D160" s="1468"/>
      <c r="E160" s="1468"/>
      <c r="F160" s="1468"/>
      <c r="G160" s="1468"/>
      <c r="H160" s="1468"/>
      <c r="I160" s="1468"/>
      <c r="J160" s="1468"/>
      <c r="K160" s="1468"/>
      <c r="L160" s="3601"/>
      <c r="M160" s="3601"/>
      <c r="N160" s="3601"/>
      <c r="O160" s="3601"/>
      <c r="P160" s="3601"/>
      <c r="Q160" s="3601"/>
      <c r="R160" s="3601"/>
      <c r="S160" s="3601"/>
      <c r="T160" s="3651"/>
      <c r="U160" s="4"/>
      <c r="AI160" s="1"/>
      <c r="AJ160" s="1"/>
      <c r="AK160" s="1"/>
      <c r="AL160" s="1"/>
    </row>
    <row r="161" spans="1:38" ht="20.100000000000001" customHeight="1">
      <c r="A161" s="2492"/>
      <c r="B161" s="3347" t="str">
        <f>I157</f>
        <v xml:space="preserve"> </v>
      </c>
      <c r="C161" s="3348"/>
      <c r="D161" s="2432" t="s">
        <v>721</v>
      </c>
      <c r="E161" s="3345" t="str">
        <f>O63</f>
        <v xml:space="preserve"> </v>
      </c>
      <c r="F161" s="3346"/>
      <c r="G161" s="2429" t="s">
        <v>102</v>
      </c>
      <c r="H161" s="3383" t="str">
        <f>IF(ISBLANK(M16)," ",B161/E161)</f>
        <v xml:space="preserve"> </v>
      </c>
      <c r="I161" s="3384"/>
      <c r="J161" s="2436" t="s">
        <v>133</v>
      </c>
      <c r="K161" s="2"/>
      <c r="L161" s="2" t="s">
        <v>701</v>
      </c>
      <c r="M161" s="2443"/>
      <c r="N161" s="2443"/>
      <c r="O161" s="2443"/>
      <c r="P161" s="2443"/>
      <c r="Q161" s="2443"/>
      <c r="R161" s="2443"/>
      <c r="S161" s="2443"/>
      <c r="T161" s="3"/>
      <c r="U161" s="2"/>
    </row>
    <row r="162" spans="1:38" s="7" customFormat="1" ht="6" customHeight="1">
      <c r="A162" s="791"/>
      <c r="B162" s="55"/>
      <c r="C162" s="55"/>
      <c r="D162" s="162"/>
      <c r="E162" s="57"/>
      <c r="F162" s="57"/>
      <c r="G162" s="130"/>
      <c r="H162" s="54"/>
      <c r="I162" s="54"/>
      <c r="J162" s="2426"/>
      <c r="K162" s="5"/>
      <c r="L162" s="5"/>
      <c r="M162" s="2"/>
      <c r="N162" s="496"/>
      <c r="O162" s="496"/>
      <c r="P162" s="2"/>
      <c r="Q162" s="5"/>
      <c r="R162" s="5"/>
      <c r="S162" s="5"/>
      <c r="T162" s="1219"/>
      <c r="U162" s="5"/>
    </row>
    <row r="163" spans="1:38" s="40" customFormat="1" ht="18" customHeight="1">
      <c r="A163" s="2513"/>
      <c r="B163" s="1468" t="s">
        <v>624</v>
      </c>
      <c r="C163" s="1468"/>
      <c r="D163" s="1468"/>
      <c r="E163" s="1468"/>
      <c r="F163" s="1468"/>
      <c r="G163" s="1468"/>
      <c r="H163" s="1468"/>
      <c r="I163" s="1468"/>
      <c r="J163" s="1468"/>
      <c r="K163" s="1468"/>
      <c r="L163" s="2"/>
      <c r="M163" s="1468"/>
      <c r="N163" s="1468"/>
      <c r="O163" s="1468"/>
      <c r="P163" s="1468"/>
      <c r="Q163" s="2"/>
      <c r="R163" s="1468"/>
      <c r="S163" s="1468"/>
      <c r="T163" s="1087"/>
      <c r="U163" s="4"/>
      <c r="AI163" s="1"/>
      <c r="AJ163" s="1"/>
      <c r="AK163" s="1"/>
      <c r="AL163" s="1"/>
    </row>
    <row r="164" spans="1:38" s="40" customFormat="1" ht="6" customHeight="1">
      <c r="A164" s="2513"/>
      <c r="B164" s="1468"/>
      <c r="C164" s="1468"/>
      <c r="D164" s="1468"/>
      <c r="E164" s="1468"/>
      <c r="F164" s="1468"/>
      <c r="G164" s="1468"/>
      <c r="H164" s="1468"/>
      <c r="I164" s="1468"/>
      <c r="J164" s="1468"/>
      <c r="K164" s="1468"/>
      <c r="L164" s="1468"/>
      <c r="M164" s="1468"/>
      <c r="N164" s="1468"/>
      <c r="O164" s="1468"/>
      <c r="P164" s="1468"/>
      <c r="Q164" s="1468"/>
      <c r="R164" s="1468"/>
      <c r="S164" s="1468"/>
      <c r="T164" s="1087"/>
      <c r="U164" s="4"/>
      <c r="AI164" s="1"/>
      <c r="AJ164" s="1"/>
      <c r="AK164" s="1"/>
      <c r="AL164" s="1"/>
    </row>
    <row r="165" spans="1:38" ht="20.100000000000001" customHeight="1">
      <c r="A165" s="1462" t="s">
        <v>310</v>
      </c>
      <c r="B165" s="3385" t="str">
        <f>IF(ISBLANK(M16),"",B157)</f>
        <v/>
      </c>
      <c r="C165" s="3351"/>
      <c r="D165" s="3602" t="s">
        <v>622</v>
      </c>
      <c r="E165" s="3559"/>
      <c r="F165" s="3560"/>
      <c r="G165" s="907" t="str">
        <f>H161</f>
        <v xml:space="preserve"> </v>
      </c>
      <c r="H165" s="3558" t="s">
        <v>598</v>
      </c>
      <c r="I165" s="3622"/>
      <c r="J165" s="3622"/>
      <c r="K165" s="3622"/>
      <c r="L165" s="2429" t="s">
        <v>102</v>
      </c>
      <c r="M165" s="866" t="str">
        <f>IF(ISBLANK(M16)," ",(B165)/(G165-1))</f>
        <v xml:space="preserve"> </v>
      </c>
      <c r="N165" s="1468" t="s">
        <v>92</v>
      </c>
      <c r="O165" s="2429" t="s">
        <v>102</v>
      </c>
      <c r="P165" s="3347" t="str">
        <f>IF(ISBLANK(F16),"",M165*12)</f>
        <v/>
      </c>
      <c r="Q165" s="3348"/>
      <c r="R165" s="2" t="s">
        <v>640</v>
      </c>
      <c r="S165" s="1232"/>
      <c r="T165" s="3"/>
      <c r="U165" s="2"/>
    </row>
    <row r="166" spans="1:38" ht="6" customHeight="1">
      <c r="A166" s="2492"/>
      <c r="B166" s="2"/>
      <c r="C166" s="2"/>
      <c r="D166" s="2"/>
      <c r="E166" s="2"/>
      <c r="F166" s="2"/>
      <c r="G166" s="2"/>
      <c r="H166" s="2"/>
      <c r="I166" s="2"/>
      <c r="J166" s="2"/>
      <c r="K166" s="2"/>
      <c r="L166" s="2"/>
      <c r="M166" s="2"/>
      <c r="N166" s="2"/>
      <c r="O166" s="2"/>
      <c r="P166" s="1232"/>
      <c r="Q166" s="1232"/>
      <c r="R166" s="1232"/>
      <c r="S166" s="1232"/>
      <c r="T166" s="3"/>
      <c r="U166" s="2"/>
    </row>
    <row r="167" spans="1:38" ht="6" customHeight="1">
      <c r="A167" s="2517"/>
      <c r="B167" s="66"/>
      <c r="C167" s="66"/>
      <c r="D167" s="66"/>
      <c r="E167" s="66"/>
      <c r="F167" s="66"/>
      <c r="G167" s="66"/>
      <c r="H167" s="66"/>
      <c r="I167" s="66"/>
      <c r="J167" s="66"/>
      <c r="K167" s="66"/>
      <c r="L167" s="66"/>
      <c r="M167" s="66"/>
      <c r="N167" s="66"/>
      <c r="O167" s="66"/>
      <c r="P167" s="148"/>
      <c r="Q167" s="148"/>
      <c r="R167" s="148"/>
      <c r="S167" s="148"/>
      <c r="T167" s="2500"/>
      <c r="U167" s="2"/>
    </row>
    <row r="168" spans="1:38" ht="18" customHeight="1">
      <c r="A168" s="1449" t="s">
        <v>103</v>
      </c>
      <c r="B168" s="2436" t="s">
        <v>600</v>
      </c>
      <c r="C168" s="2"/>
      <c r="D168" s="2"/>
      <c r="E168" s="2"/>
      <c r="F168" s="2"/>
      <c r="G168" s="2"/>
      <c r="H168" s="2"/>
      <c r="I168" s="2"/>
      <c r="J168" s="2"/>
      <c r="K168" s="2"/>
      <c r="L168" s="2"/>
      <c r="M168" s="2"/>
      <c r="N168" s="2"/>
      <c r="O168" s="2"/>
      <c r="P168" s="1232"/>
      <c r="Q168" s="1232"/>
      <c r="R168" s="1232"/>
      <c r="S168" s="1232"/>
      <c r="T168" s="3"/>
      <c r="U168" s="2"/>
      <c r="W168" s="2"/>
      <c r="X168" s="2"/>
    </row>
    <row r="169" spans="1:38" ht="6" customHeight="1">
      <c r="A169" s="1449"/>
      <c r="B169" s="2436"/>
      <c r="C169" s="2"/>
      <c r="D169" s="2"/>
      <c r="E169" s="2"/>
      <c r="F169" s="2"/>
      <c r="G169" s="2"/>
      <c r="H169" s="2"/>
      <c r="I169" s="2"/>
      <c r="J169" s="2"/>
      <c r="K169" s="2"/>
      <c r="L169" s="2"/>
      <c r="M169" s="2"/>
      <c r="N169" s="2"/>
      <c r="O169" s="2"/>
      <c r="P169" s="1232"/>
      <c r="Q169" s="1232"/>
      <c r="R169" s="1232"/>
      <c r="S169" s="1232"/>
      <c r="T169" s="3"/>
      <c r="U169" s="2"/>
    </row>
    <row r="170" spans="1:38" ht="20.100000000000001" customHeight="1">
      <c r="A170" s="2492"/>
      <c r="B170" s="3652" t="s">
        <v>801</v>
      </c>
      <c r="C170" s="3350"/>
      <c r="D170" s="3350"/>
      <c r="E170" s="3350"/>
      <c r="F170" s="3350"/>
      <c r="G170" s="3350"/>
      <c r="H170" s="3350"/>
      <c r="I170" s="3350"/>
      <c r="J170" s="3350"/>
      <c r="K170" s="3350"/>
      <c r="L170" s="3350"/>
      <c r="M170" s="3350"/>
      <c r="N170" s="3350"/>
      <c r="O170" s="3350"/>
      <c r="P170" s="524"/>
      <c r="Q170" s="2436"/>
      <c r="R170" s="2431"/>
      <c r="S170" s="1232"/>
      <c r="T170" s="3"/>
      <c r="U170" s="2"/>
    </row>
    <row r="171" spans="1:38" s="5" customFormat="1" ht="6" customHeight="1">
      <c r="A171" s="791"/>
      <c r="B171" s="2423"/>
      <c r="C171" s="2425"/>
      <c r="F171" s="55"/>
      <c r="G171" s="55"/>
      <c r="P171" s="1232"/>
      <c r="Q171" s="1232"/>
      <c r="R171" s="1232"/>
      <c r="S171" s="1232"/>
      <c r="T171" s="1219"/>
    </row>
    <row r="172" spans="1:38" ht="20.100000000000001" customHeight="1">
      <c r="A172" s="2492"/>
      <c r="B172" s="866" t="str">
        <f>H85</f>
        <v xml:space="preserve"> </v>
      </c>
      <c r="C172" s="523" t="s">
        <v>311</v>
      </c>
      <c r="D172" s="866" t="str">
        <f>I109</f>
        <v xml:space="preserve"> </v>
      </c>
      <c r="E172" s="523" t="s">
        <v>311</v>
      </c>
      <c r="F172" s="866" t="str">
        <f>I121</f>
        <v xml:space="preserve"> </v>
      </c>
      <c r="G172" s="523" t="s">
        <v>311</v>
      </c>
      <c r="H172" s="866" t="str">
        <f>I133</f>
        <v xml:space="preserve"> </v>
      </c>
      <c r="I172" s="523" t="s">
        <v>311</v>
      </c>
      <c r="J172" s="866" t="str">
        <f>I145</f>
        <v xml:space="preserve"> </v>
      </c>
      <c r="K172" s="523" t="s">
        <v>311</v>
      </c>
      <c r="L172" s="866" t="str">
        <f>I157</f>
        <v xml:space="preserve"> </v>
      </c>
      <c r="M172" s="523" t="s">
        <v>102</v>
      </c>
      <c r="N172" s="3347" t="str">
        <f>IF(ISBLANK(F67)," ",SUM(B172:L172))</f>
        <v xml:space="preserve"> </v>
      </c>
      <c r="O172" s="3348"/>
      <c r="P172" s="2" t="s">
        <v>802</v>
      </c>
      <c r="Q172" s="2"/>
      <c r="R172" s="2"/>
      <c r="S172" s="2"/>
      <c r="T172" s="3"/>
      <c r="U172" s="2"/>
      <c r="W172" s="2"/>
      <c r="X172" s="2"/>
    </row>
    <row r="173" spans="1:38" s="5" customFormat="1" ht="6" customHeight="1">
      <c r="A173" s="791"/>
      <c r="B173" s="2423"/>
      <c r="C173" s="2425"/>
      <c r="F173" s="55"/>
      <c r="G173" s="55"/>
      <c r="P173" s="57"/>
      <c r="Q173" s="57"/>
      <c r="R173" s="87"/>
      <c r="S173" s="87"/>
      <c r="T173" s="1219"/>
      <c r="V173" s="33"/>
      <c r="Y173" s="55"/>
      <c r="Z173" s="55"/>
    </row>
    <row r="174" spans="1:38" ht="15.75" customHeight="1">
      <c r="A174" s="2518" t="s">
        <v>105</v>
      </c>
      <c r="B174" s="66" t="s">
        <v>601</v>
      </c>
      <c r="C174" s="66"/>
      <c r="D174" s="66"/>
      <c r="E174" s="66"/>
      <c r="F174" s="66"/>
      <c r="G174" s="66"/>
      <c r="H174" s="66"/>
      <c r="I174" s="66"/>
      <c r="J174" s="66"/>
      <c r="K174" s="66"/>
      <c r="L174" s="66"/>
      <c r="M174" s="66"/>
      <c r="N174" s="66"/>
      <c r="O174" s="66"/>
      <c r="P174" s="66"/>
      <c r="Q174" s="66"/>
      <c r="R174" s="66"/>
      <c r="S174" s="66"/>
      <c r="T174" s="2500"/>
      <c r="U174" s="2"/>
    </row>
    <row r="175" spans="1:38" ht="6" customHeight="1">
      <c r="A175" s="2491"/>
      <c r="B175" s="2"/>
      <c r="C175" s="2"/>
      <c r="D175" s="2"/>
      <c r="E175" s="2"/>
      <c r="F175" s="2"/>
      <c r="G175" s="2"/>
      <c r="H175" s="2"/>
      <c r="I175" s="2"/>
      <c r="J175" s="2"/>
      <c r="K175" s="2"/>
      <c r="L175" s="2"/>
      <c r="M175" s="2"/>
      <c r="N175" s="2"/>
      <c r="O175" s="2"/>
      <c r="P175" s="2"/>
      <c r="Q175" s="2"/>
      <c r="R175" s="2"/>
      <c r="S175" s="2"/>
      <c r="T175" s="3"/>
      <c r="U175" s="2"/>
    </row>
    <row r="176" spans="1:38" ht="15.75" customHeight="1">
      <c r="A176" s="2492"/>
      <c r="B176" s="3616" t="s">
        <v>265</v>
      </c>
      <c r="C176" s="3653"/>
      <c r="D176" s="3653"/>
      <c r="E176" s="3653"/>
      <c r="F176" s="3653"/>
      <c r="G176" s="3653"/>
      <c r="H176" s="3653"/>
      <c r="I176" s="3653"/>
      <c r="J176" s="3653"/>
      <c r="K176" s="3653"/>
      <c r="L176" s="3653"/>
      <c r="M176" s="3653"/>
      <c r="N176" s="3653"/>
      <c r="O176" s="3617"/>
      <c r="P176" s="2"/>
      <c r="Q176" s="2"/>
      <c r="R176" s="2"/>
      <c r="S176" s="2"/>
      <c r="T176" s="3"/>
      <c r="U176" s="1"/>
    </row>
    <row r="177" spans="1:21" ht="15.75" customHeight="1">
      <c r="A177" s="2492"/>
      <c r="B177" s="3620"/>
      <c r="C177" s="3654"/>
      <c r="D177" s="3654"/>
      <c r="E177" s="3654"/>
      <c r="F177" s="3654"/>
      <c r="G177" s="3654"/>
      <c r="H177" s="3654"/>
      <c r="I177" s="3654"/>
      <c r="J177" s="3654"/>
      <c r="K177" s="3654"/>
      <c r="L177" s="3654"/>
      <c r="M177" s="3654"/>
      <c r="N177" s="3654"/>
      <c r="O177" s="3621"/>
      <c r="P177" s="2"/>
      <c r="Q177" s="2"/>
      <c r="R177" s="2"/>
      <c r="S177" s="2"/>
      <c r="T177" s="3"/>
      <c r="U177" s="1"/>
    </row>
    <row r="178" spans="1:21" ht="15.75" customHeight="1">
      <c r="A178" s="2492"/>
      <c r="B178" s="3655"/>
      <c r="C178" s="3656"/>
      <c r="D178" s="3616" t="s">
        <v>602</v>
      </c>
      <c r="E178" s="3617"/>
      <c r="F178" s="3616" t="s">
        <v>603</v>
      </c>
      <c r="G178" s="3617"/>
      <c r="H178" s="3616" t="s">
        <v>604</v>
      </c>
      <c r="I178" s="3617"/>
      <c r="J178" s="3616" t="s">
        <v>605</v>
      </c>
      <c r="K178" s="3617"/>
      <c r="L178" s="3616" t="s">
        <v>606</v>
      </c>
      <c r="M178" s="3617"/>
      <c r="N178" s="3616" t="s">
        <v>607</v>
      </c>
      <c r="O178" s="3617"/>
      <c r="P178" s="2"/>
      <c r="Q178" s="2"/>
      <c r="R178" s="2"/>
      <c r="S178" s="2"/>
      <c r="T178" s="3"/>
      <c r="U178" s="1"/>
    </row>
    <row r="179" spans="1:21" ht="15.75" customHeight="1">
      <c r="A179" s="2492"/>
      <c r="B179" s="3603"/>
      <c r="C179" s="3605"/>
      <c r="D179" s="3618"/>
      <c r="E179" s="3619"/>
      <c r="F179" s="3618"/>
      <c r="G179" s="3619"/>
      <c r="H179" s="3618"/>
      <c r="I179" s="3619"/>
      <c r="J179" s="3618"/>
      <c r="K179" s="3619"/>
      <c r="L179" s="3618"/>
      <c r="M179" s="3619"/>
      <c r="N179" s="3618"/>
      <c r="O179" s="3619"/>
      <c r="P179" s="2430"/>
      <c r="Q179" s="2"/>
      <c r="R179" s="2"/>
      <c r="S179" s="2"/>
      <c r="T179" s="3"/>
      <c r="U179" s="1"/>
    </row>
    <row r="180" spans="1:21" ht="15.75" customHeight="1">
      <c r="A180" s="2492"/>
      <c r="B180" s="3657"/>
      <c r="C180" s="3658"/>
      <c r="D180" s="3620"/>
      <c r="E180" s="3621"/>
      <c r="F180" s="3620"/>
      <c r="G180" s="3621"/>
      <c r="H180" s="3620"/>
      <c r="I180" s="3621"/>
      <c r="J180" s="3620"/>
      <c r="K180" s="3621"/>
      <c r="L180" s="3620"/>
      <c r="M180" s="3621"/>
      <c r="N180" s="3620"/>
      <c r="O180" s="3621"/>
      <c r="P180" s="2430"/>
      <c r="Q180" s="2"/>
      <c r="R180" s="2"/>
      <c r="S180" s="2"/>
      <c r="T180" s="3"/>
      <c r="U180" s="1"/>
    </row>
    <row r="181" spans="1:21" ht="15.75" customHeight="1">
      <c r="A181" s="2492"/>
      <c r="B181" s="2437"/>
      <c r="C181" s="2438"/>
      <c r="D181" s="2434"/>
      <c r="E181" s="2435"/>
      <c r="F181" s="2434"/>
      <c r="G181" s="2435"/>
      <c r="H181" s="2434"/>
      <c r="I181" s="2435"/>
      <c r="J181" s="2434"/>
      <c r="K181" s="2435"/>
      <c r="L181" s="2434"/>
      <c r="M181" s="2435"/>
      <c r="N181" s="2434" t="s">
        <v>92</v>
      </c>
      <c r="O181" s="2435" t="s">
        <v>94</v>
      </c>
      <c r="P181" s="2430"/>
      <c r="Q181" s="2"/>
      <c r="R181" s="2"/>
      <c r="S181" s="2"/>
      <c r="T181" s="3"/>
      <c r="U181" s="1"/>
    </row>
    <row r="182" spans="1:21" ht="20.100000000000001" customHeight="1">
      <c r="A182" s="2492"/>
      <c r="B182" s="3628" t="s">
        <v>315</v>
      </c>
      <c r="C182" s="3628"/>
      <c r="D182" s="3627"/>
      <c r="E182" s="3627"/>
      <c r="F182" s="3631" t="str">
        <f t="shared" ref="F182:F187" si="0">IF(ISBLANK(D182)," ",IF(D182=1,"0.045",IF(D182=1.25,"0.078",IF(D182=1.5,"0.110",IF(D182=2,"0.170",IF(D182=3,"0.380",IF(D182=4,"0.661")))))))</f>
        <v xml:space="preserve"> </v>
      </c>
      <c r="G182" s="3631"/>
      <c r="H182" s="3629" t="str">
        <f>IF(ISBLANK(M6)," ",M6-2)</f>
        <v xml:space="preserve"> </v>
      </c>
      <c r="I182" s="3630"/>
      <c r="J182" s="3632" t="str">
        <f t="shared" ref="J182:J187" si="1">IF(ISBLANK(D182)," ",F182*H182)</f>
        <v xml:space="preserve"> </v>
      </c>
      <c r="K182" s="3633"/>
      <c r="L182" s="3631" t="str">
        <f>IF(ISBLANK(L53)," ",L53)</f>
        <v xml:space="preserve"> </v>
      </c>
      <c r="M182" s="3631"/>
      <c r="N182" s="1230" t="str">
        <f>IF(ISBLANK(F67)," ",F67)</f>
        <v xml:space="preserve"> </v>
      </c>
      <c r="O182" s="1230" t="str">
        <f t="shared" ref="O182:O187" si="2">IF(ISBLANK(D182), "", N182*12)</f>
        <v/>
      </c>
      <c r="P182" s="2" t="s">
        <v>281</v>
      </c>
      <c r="Q182" s="2"/>
      <c r="R182" s="2"/>
      <c r="S182" s="2"/>
      <c r="T182" s="3"/>
      <c r="U182" s="1"/>
    </row>
    <row r="183" spans="1:21" ht="20.100000000000001" customHeight="1">
      <c r="A183" s="2492"/>
      <c r="B183" s="3628" t="s">
        <v>316</v>
      </c>
      <c r="C183" s="3628"/>
      <c r="D183" s="3627"/>
      <c r="E183" s="3627"/>
      <c r="F183" s="3631" t="str">
        <f t="shared" si="0"/>
        <v xml:space="preserve"> </v>
      </c>
      <c r="G183" s="3631"/>
      <c r="H183" s="3629" t="str">
        <f>IF(ISBLANK(M8)," ",M8-2)</f>
        <v xml:space="preserve"> </v>
      </c>
      <c r="I183" s="3630"/>
      <c r="J183" s="3632" t="str">
        <f t="shared" si="1"/>
        <v xml:space="preserve"> </v>
      </c>
      <c r="K183" s="3633"/>
      <c r="L183" s="3631" t="str">
        <f>IF(ISBLANK(L55)," ",L55)</f>
        <v xml:space="preserve"> </v>
      </c>
      <c r="M183" s="3631"/>
      <c r="N183" s="1230" t="str">
        <f>IF(ISBLANK(M117)," ",M117)</f>
        <v xml:space="preserve"> </v>
      </c>
      <c r="O183" s="1230" t="str">
        <f t="shared" si="2"/>
        <v/>
      </c>
      <c r="P183" s="2"/>
      <c r="Q183" s="2"/>
      <c r="R183" s="2"/>
      <c r="S183" s="2"/>
      <c r="T183" s="3"/>
      <c r="U183" s="1"/>
    </row>
    <row r="184" spans="1:21" ht="20.100000000000001" customHeight="1">
      <c r="A184" s="2492"/>
      <c r="B184" s="3628" t="s">
        <v>317</v>
      </c>
      <c r="C184" s="3628"/>
      <c r="D184" s="3627"/>
      <c r="E184" s="3627"/>
      <c r="F184" s="3631" t="str">
        <f t="shared" si="0"/>
        <v xml:space="preserve"> </v>
      </c>
      <c r="G184" s="3631"/>
      <c r="H184" s="3629" t="str">
        <f>IF(ISBLANK(M10)," ",M10-2)</f>
        <v xml:space="preserve"> </v>
      </c>
      <c r="I184" s="3630"/>
      <c r="J184" s="3632" t="str">
        <f t="shared" si="1"/>
        <v xml:space="preserve"> </v>
      </c>
      <c r="K184" s="3633"/>
      <c r="L184" s="3631" t="str">
        <f>IF(ISBLANK(L57)," ",L57)</f>
        <v xml:space="preserve"> </v>
      </c>
      <c r="M184" s="3631"/>
      <c r="N184" s="1230" t="str">
        <f>IF(ISBLANK(M129)," ",M129)</f>
        <v xml:space="preserve"> </v>
      </c>
      <c r="O184" s="1230" t="str">
        <f t="shared" si="2"/>
        <v/>
      </c>
      <c r="P184" s="2"/>
      <c r="Q184" s="1232"/>
      <c r="R184" s="1232"/>
      <c r="S184" s="2"/>
      <c r="T184" s="3"/>
      <c r="U184" s="1"/>
    </row>
    <row r="185" spans="1:21" ht="20.100000000000001" customHeight="1">
      <c r="A185" s="2492"/>
      <c r="B185" s="3628" t="s">
        <v>318</v>
      </c>
      <c r="C185" s="3628"/>
      <c r="D185" s="3627"/>
      <c r="E185" s="3627"/>
      <c r="F185" s="3631" t="str">
        <f t="shared" si="0"/>
        <v xml:space="preserve"> </v>
      </c>
      <c r="G185" s="3631"/>
      <c r="H185" s="3629" t="str">
        <f>IF(ISBLANK(M12)," ",M12-2)</f>
        <v xml:space="preserve"> </v>
      </c>
      <c r="I185" s="3630"/>
      <c r="J185" s="3632" t="str">
        <f t="shared" si="1"/>
        <v xml:space="preserve"> </v>
      </c>
      <c r="K185" s="3633"/>
      <c r="L185" s="3631" t="str">
        <f>IF(ISBLANK(L59)," ",L59)</f>
        <v xml:space="preserve"> </v>
      </c>
      <c r="M185" s="3631"/>
      <c r="N185" s="1230" t="str">
        <f>IF(ISBLANK(M141)," ",M141)</f>
        <v xml:space="preserve"> </v>
      </c>
      <c r="O185" s="1230" t="str">
        <f t="shared" si="2"/>
        <v/>
      </c>
      <c r="P185" s="2"/>
      <c r="Q185" s="1232"/>
      <c r="R185" s="1232"/>
      <c r="S185" s="2"/>
      <c r="T185" s="3"/>
      <c r="U185" s="1"/>
    </row>
    <row r="186" spans="1:21" ht="20.100000000000001" customHeight="1">
      <c r="A186" s="2492"/>
      <c r="B186" s="3628" t="s">
        <v>319</v>
      </c>
      <c r="C186" s="3628"/>
      <c r="D186" s="3627"/>
      <c r="E186" s="3627"/>
      <c r="F186" s="3631" t="str">
        <f t="shared" si="0"/>
        <v xml:space="preserve"> </v>
      </c>
      <c r="G186" s="3631"/>
      <c r="H186" s="3629" t="str">
        <f>IF(ISBLANK(M14)," ",M14-2)</f>
        <v xml:space="preserve"> </v>
      </c>
      <c r="I186" s="3630"/>
      <c r="J186" s="3632" t="str">
        <f t="shared" si="1"/>
        <v xml:space="preserve"> </v>
      </c>
      <c r="K186" s="3633"/>
      <c r="L186" s="3631" t="str">
        <f>IF(ISBLANK(L61)," ",L61)</f>
        <v xml:space="preserve"> </v>
      </c>
      <c r="M186" s="3631"/>
      <c r="N186" s="1230" t="str">
        <f>IF(ISBLANK(M153)," ",M153)</f>
        <v xml:space="preserve"> </v>
      </c>
      <c r="O186" s="1230" t="str">
        <f t="shared" si="2"/>
        <v/>
      </c>
      <c r="P186" s="2"/>
      <c r="Q186" s="5"/>
      <c r="R186" s="5"/>
      <c r="S186" s="2"/>
      <c r="T186" s="3"/>
      <c r="U186" s="1"/>
    </row>
    <row r="187" spans="1:21" ht="20.100000000000001" customHeight="1">
      <c r="A187" s="2492"/>
      <c r="B187" s="3628" t="s">
        <v>794</v>
      </c>
      <c r="C187" s="3628"/>
      <c r="D187" s="3627"/>
      <c r="E187" s="3627"/>
      <c r="F187" s="3631" t="str">
        <f t="shared" si="0"/>
        <v xml:space="preserve"> </v>
      </c>
      <c r="G187" s="3631"/>
      <c r="H187" s="3629" t="str">
        <f>IF(ISBLANK(M16)," ",M16-2)</f>
        <v xml:space="preserve"> </v>
      </c>
      <c r="I187" s="3630"/>
      <c r="J187" s="3632" t="str">
        <f t="shared" si="1"/>
        <v xml:space="preserve"> </v>
      </c>
      <c r="K187" s="3633"/>
      <c r="L187" s="3631" t="str">
        <f>IF(ISBLANK(L63)," ",L63)</f>
        <v xml:space="preserve"> </v>
      </c>
      <c r="M187" s="3631"/>
      <c r="N187" s="1230" t="str">
        <f>IF(ISBLANK(M165)," ",M165)</f>
        <v xml:space="preserve"> </v>
      </c>
      <c r="O187" s="1230" t="str">
        <f t="shared" si="2"/>
        <v/>
      </c>
      <c r="P187" s="2" t="s">
        <v>282</v>
      </c>
      <c r="Q187" s="5"/>
      <c r="R187" s="5"/>
      <c r="S187" s="2"/>
      <c r="T187" s="3"/>
      <c r="U187" s="1"/>
    </row>
    <row r="188" spans="1:21" ht="20.100000000000001" customHeight="1">
      <c r="A188" s="2492"/>
      <c r="B188" s="2"/>
      <c r="C188" s="2"/>
      <c r="D188" s="2"/>
      <c r="E188" s="3647" t="s">
        <v>608</v>
      </c>
      <c r="F188" s="3648"/>
      <c r="G188" s="3648"/>
      <c r="H188" s="3648"/>
      <c r="I188" s="3648"/>
      <c r="J188" s="3649"/>
      <c r="K188" s="3644" t="str">
        <f>IF(ISBLANK(D182)," ",SUM(J182:K187))</f>
        <v xml:space="preserve"> </v>
      </c>
      <c r="L188" s="3645"/>
      <c r="M188" s="3646"/>
      <c r="N188" s="2"/>
      <c r="O188" s="2"/>
      <c r="P188" s="2"/>
      <c r="Q188" s="2"/>
      <c r="R188" s="2"/>
      <c r="S188" s="57"/>
      <c r="T188" s="2519"/>
      <c r="U188" s="2"/>
    </row>
    <row r="189" spans="1:21" ht="20.100000000000001" customHeight="1">
      <c r="A189" s="3623" t="s">
        <v>901</v>
      </c>
      <c r="B189" s="3624"/>
      <c r="C189" s="3624"/>
      <c r="D189" s="3624"/>
      <c r="E189" s="3624"/>
      <c r="F189" s="3624"/>
      <c r="G189" s="3624"/>
      <c r="H189" s="3624"/>
      <c r="I189" s="3624"/>
      <c r="J189" s="3625"/>
      <c r="K189" s="3641" t="str">
        <f>IF(ISBLANK(D182)," ",K188*4)</f>
        <v xml:space="preserve"> </v>
      </c>
      <c r="L189" s="3642"/>
      <c r="M189" s="3643"/>
      <c r="N189" s="5"/>
      <c r="O189" s="2"/>
      <c r="P189" s="2"/>
      <c r="Q189" s="2"/>
      <c r="R189" s="2"/>
      <c r="S189" s="57"/>
      <c r="T189" s="2519"/>
      <c r="U189" s="2"/>
    </row>
    <row r="190" spans="1:21" ht="20.100000000000001" customHeight="1">
      <c r="A190" s="3623" t="s">
        <v>1471</v>
      </c>
      <c r="B190" s="3624"/>
      <c r="C190" s="3624"/>
      <c r="D190" s="3624"/>
      <c r="E190" s="3624"/>
      <c r="F190" s="3624"/>
      <c r="G190" s="3624"/>
      <c r="H190" s="3624"/>
      <c r="I190" s="3624"/>
      <c r="J190" s="3625"/>
      <c r="K190" s="3626" t="str">
        <f>IF(ISBLANK(D182)," ",Summary!I11*0.25)</f>
        <v xml:space="preserve"> </v>
      </c>
      <c r="L190" s="3626"/>
      <c r="M190" s="3626"/>
      <c r="N190" s="5"/>
      <c r="O190" s="2"/>
      <c r="P190" s="2"/>
      <c r="Q190" s="2"/>
      <c r="R190" s="2"/>
      <c r="S190" s="57"/>
      <c r="T190" s="2519"/>
      <c r="U190" s="2"/>
    </row>
    <row r="191" spans="1:21" ht="24" customHeight="1">
      <c r="A191" s="2520" t="s">
        <v>291</v>
      </c>
      <c r="B191" s="715"/>
      <c r="C191" s="715"/>
      <c r="D191" s="715"/>
      <c r="E191" s="715"/>
      <c r="F191" s="715"/>
      <c r="G191" s="715"/>
      <c r="H191" s="715"/>
      <c r="I191" s="715"/>
      <c r="J191" s="715"/>
      <c r="K191" s="715"/>
      <c r="L191" s="715"/>
      <c r="M191" s="715"/>
      <c r="N191" s="64"/>
      <c r="O191" s="64"/>
      <c r="P191" s="64"/>
      <c r="Q191" s="64"/>
      <c r="R191" s="64"/>
      <c r="S191" s="64"/>
      <c r="T191" s="2504"/>
      <c r="U191" s="2"/>
    </row>
    <row r="192" spans="1:21" ht="24" customHeight="1">
      <c r="A192" s="3634"/>
      <c r="B192" s="3138"/>
      <c r="C192" s="3138"/>
      <c r="D192" s="3138"/>
      <c r="E192" s="3138"/>
      <c r="F192" s="3138"/>
      <c r="G192" s="3138"/>
      <c r="H192" s="3138"/>
      <c r="I192" s="3138"/>
      <c r="J192" s="3138"/>
      <c r="K192" s="3138"/>
      <c r="L192" s="3138"/>
      <c r="M192" s="3138"/>
      <c r="N192" s="3138"/>
      <c r="O192" s="3138"/>
      <c r="P192" s="3138"/>
      <c r="Q192" s="3138"/>
      <c r="R192" s="3138"/>
      <c r="S192" s="3138"/>
      <c r="T192" s="3635"/>
      <c r="U192" s="2"/>
    </row>
    <row r="193" spans="1:21" ht="24" customHeight="1">
      <c r="A193" s="3636"/>
      <c r="B193" s="3592"/>
      <c r="C193" s="3592"/>
      <c r="D193" s="3592"/>
      <c r="E193" s="3592"/>
      <c r="F193" s="3592"/>
      <c r="G193" s="3592"/>
      <c r="H193" s="3592"/>
      <c r="I193" s="3592"/>
      <c r="J193" s="3592"/>
      <c r="K193" s="3592"/>
      <c r="L193" s="3592"/>
      <c r="M193" s="3592"/>
      <c r="N193" s="3592"/>
      <c r="O193" s="3592"/>
      <c r="P193" s="3592"/>
      <c r="Q193" s="3592"/>
      <c r="R193" s="3592"/>
      <c r="S193" s="3592"/>
      <c r="T193" s="3637"/>
      <c r="U193" s="2"/>
    </row>
    <row r="194" spans="1:21" ht="24" customHeight="1">
      <c r="A194" s="3636"/>
      <c r="B194" s="3592"/>
      <c r="C194" s="3592"/>
      <c r="D194" s="3592"/>
      <c r="E194" s="3592"/>
      <c r="F194" s="3592"/>
      <c r="G194" s="3592"/>
      <c r="H194" s="3592"/>
      <c r="I194" s="3592"/>
      <c r="J194" s="3592"/>
      <c r="K194" s="3592"/>
      <c r="L194" s="3592"/>
      <c r="M194" s="3592"/>
      <c r="N194" s="3592"/>
      <c r="O194" s="3592"/>
      <c r="P194" s="3592"/>
      <c r="Q194" s="3592"/>
      <c r="R194" s="3592"/>
      <c r="S194" s="3592"/>
      <c r="T194" s="3637"/>
      <c r="U194" s="2"/>
    </row>
    <row r="195" spans="1:21" ht="24" customHeight="1">
      <c r="A195" s="3636"/>
      <c r="B195" s="3592"/>
      <c r="C195" s="3592"/>
      <c r="D195" s="3592"/>
      <c r="E195" s="3592"/>
      <c r="F195" s="3592"/>
      <c r="G195" s="3592"/>
      <c r="H195" s="3592"/>
      <c r="I195" s="3592"/>
      <c r="J195" s="3592"/>
      <c r="K195" s="3592"/>
      <c r="L195" s="3592"/>
      <c r="M195" s="3592"/>
      <c r="N195" s="3592"/>
      <c r="O195" s="3592"/>
      <c r="P195" s="3592"/>
      <c r="Q195" s="3592"/>
      <c r="R195" s="3592"/>
      <c r="S195" s="3592"/>
      <c r="T195" s="3637"/>
      <c r="U195" s="2"/>
    </row>
    <row r="196" spans="1:21" ht="24" customHeight="1" thickBot="1">
      <c r="A196" s="3638"/>
      <c r="B196" s="3639"/>
      <c r="C196" s="3639"/>
      <c r="D196" s="3639"/>
      <c r="E196" s="3639"/>
      <c r="F196" s="3639"/>
      <c r="G196" s="3639"/>
      <c r="H196" s="3639"/>
      <c r="I196" s="3639"/>
      <c r="J196" s="3639"/>
      <c r="K196" s="3639"/>
      <c r="L196" s="3639"/>
      <c r="M196" s="3639"/>
      <c r="N196" s="3639"/>
      <c r="O196" s="3639"/>
      <c r="P196" s="3639"/>
      <c r="Q196" s="3639"/>
      <c r="R196" s="3639"/>
      <c r="S196" s="3639"/>
      <c r="T196" s="3640"/>
      <c r="U196" s="2"/>
    </row>
  </sheetData>
  <sheetProtection sheet="1" objects="1" scenarios="1"/>
  <customSheetViews>
    <customSheetView guid="{3320ADAB-1745-4CE0-B739-BF2E8269138B}" showGridLines="0" showRuler="0">
      <selection activeCell="M94" sqref="M94"/>
      <rowBreaks count="1" manualBreakCount="1">
        <brk id="67" max="16383" man="1"/>
      </rowBreaks>
      <pageMargins left="0.4" right="0.4" top="0.4" bottom="0.4" header="0.5" footer="0.5"/>
      <pageSetup scale="59" fitToHeight="2" orientation="portrait" r:id="rId1"/>
      <headerFooter alignWithMargins="0"/>
    </customSheetView>
    <customSheetView guid="{D1431318-1DB8-4C45-813B-5A8065DFC797}" showPageBreaks="1" showGridLines="0" zeroValues="0" printArea="1" view="pageBreakPreview">
      <selection activeCell="V130" sqref="V130"/>
      <rowBreaks count="2" manualBreakCount="2">
        <brk id="64" max="19" man="1"/>
        <brk id="130" max="19" man="1"/>
      </rowBreaks>
      <pageMargins left="0.4" right="0.4" top="0.4" bottom="0.4" header="0.5" footer="0.5"/>
      <printOptions horizontalCentered="1"/>
      <pageSetup scale="71" fitToHeight="4" orientation="portrait" blackAndWhite="1" r:id="rId2"/>
      <headerFooter alignWithMargins="0"/>
    </customSheetView>
  </customSheetViews>
  <mergeCells count="212">
    <mergeCell ref="R2:T2"/>
    <mergeCell ref="S3:T4"/>
    <mergeCell ref="I133:J133"/>
    <mergeCell ref="E113:F113"/>
    <mergeCell ref="F10:G10"/>
    <mergeCell ref="G81:H81"/>
    <mergeCell ref="D81:F81"/>
    <mergeCell ref="B73:L75"/>
    <mergeCell ref="L19:M19"/>
    <mergeCell ref="J67:K67"/>
    <mergeCell ref="D44:E44"/>
    <mergeCell ref="H53:K53"/>
    <mergeCell ref="L55:M55"/>
    <mergeCell ref="N44:O44"/>
    <mergeCell ref="J46:K46"/>
    <mergeCell ref="N46:O46"/>
    <mergeCell ref="G44:H44"/>
    <mergeCell ref="B49:L50"/>
    <mergeCell ref="G46:H46"/>
    <mergeCell ref="H85:I85"/>
    <mergeCell ref="O61:P61"/>
    <mergeCell ref="B87:N88"/>
    <mergeCell ref="M16:N16"/>
    <mergeCell ref="F59:G59"/>
    <mergeCell ref="O53:P53"/>
    <mergeCell ref="I109:J109"/>
    <mergeCell ref="P141:Q141"/>
    <mergeCell ref="I145:J145"/>
    <mergeCell ref="L135:T136"/>
    <mergeCell ref="B153:C153"/>
    <mergeCell ref="H129:K129"/>
    <mergeCell ref="H101:I101"/>
    <mergeCell ref="D117:F117"/>
    <mergeCell ref="G121:H121"/>
    <mergeCell ref="B149:C149"/>
    <mergeCell ref="B109:C109"/>
    <mergeCell ref="H149:I149"/>
    <mergeCell ref="E125:F125"/>
    <mergeCell ref="E121:F121"/>
    <mergeCell ref="H137:I137"/>
    <mergeCell ref="H113:I113"/>
    <mergeCell ref="B145:C145"/>
    <mergeCell ref="D141:F141"/>
    <mergeCell ref="E137:F137"/>
    <mergeCell ref="F61:G61"/>
    <mergeCell ref="B71:C71"/>
    <mergeCell ref="B76:C76"/>
    <mergeCell ref="B113:C113"/>
    <mergeCell ref="J187:K187"/>
    <mergeCell ref="P165:Q165"/>
    <mergeCell ref="E157:F157"/>
    <mergeCell ref="E149:F149"/>
    <mergeCell ref="N178:O180"/>
    <mergeCell ref="L146:T148"/>
    <mergeCell ref="P129:Q129"/>
    <mergeCell ref="B170:O170"/>
    <mergeCell ref="H125:I125"/>
    <mergeCell ref="H141:K141"/>
    <mergeCell ref="B129:C129"/>
    <mergeCell ref="E133:F133"/>
    <mergeCell ref="B185:C185"/>
    <mergeCell ref="I157:J157"/>
    <mergeCell ref="F183:G183"/>
    <mergeCell ref="J184:K184"/>
    <mergeCell ref="J183:K183"/>
    <mergeCell ref="D165:F165"/>
    <mergeCell ref="H165:K165"/>
    <mergeCell ref="B176:O177"/>
    <mergeCell ref="B157:C157"/>
    <mergeCell ref="B178:C180"/>
    <mergeCell ref="G157:H157"/>
    <mergeCell ref="L158:T160"/>
    <mergeCell ref="F6:G6"/>
    <mergeCell ref="O59:P59"/>
    <mergeCell ref="F55:G55"/>
    <mergeCell ref="H55:K55"/>
    <mergeCell ref="N42:O42"/>
    <mergeCell ref="M14:N14"/>
    <mergeCell ref="M12:N12"/>
    <mergeCell ref="G42:H42"/>
    <mergeCell ref="F57:G57"/>
    <mergeCell ref="J44:K44"/>
    <mergeCell ref="O57:P57"/>
    <mergeCell ref="F53:G53"/>
    <mergeCell ref="N36:O36"/>
    <mergeCell ref="G36:H36"/>
    <mergeCell ref="M6:N6"/>
    <mergeCell ref="M8:N8"/>
    <mergeCell ref="F8:G8"/>
    <mergeCell ref="F16:G16"/>
    <mergeCell ref="L53:M53"/>
    <mergeCell ref="N40:O40"/>
    <mergeCell ref="H57:K57"/>
    <mergeCell ref="M50:S51"/>
    <mergeCell ref="H28:I28"/>
    <mergeCell ref="L59:M59"/>
    <mergeCell ref="A192:T196"/>
    <mergeCell ref="F182:G182"/>
    <mergeCell ref="L187:M187"/>
    <mergeCell ref="D182:E182"/>
    <mergeCell ref="B187:C187"/>
    <mergeCell ref="H187:I187"/>
    <mergeCell ref="B183:C183"/>
    <mergeCell ref="L186:M186"/>
    <mergeCell ref="F186:G186"/>
    <mergeCell ref="L183:M183"/>
    <mergeCell ref="D186:E186"/>
    <mergeCell ref="D185:E185"/>
    <mergeCell ref="H184:I184"/>
    <mergeCell ref="D184:E184"/>
    <mergeCell ref="F184:G184"/>
    <mergeCell ref="B186:C186"/>
    <mergeCell ref="F185:G185"/>
    <mergeCell ref="H186:I186"/>
    <mergeCell ref="J186:K186"/>
    <mergeCell ref="K189:M189"/>
    <mergeCell ref="K188:M188"/>
    <mergeCell ref="H185:I185"/>
    <mergeCell ref="F187:G187"/>
    <mergeCell ref="E188:J188"/>
    <mergeCell ref="A190:J190"/>
    <mergeCell ref="K190:M190"/>
    <mergeCell ref="D187:E187"/>
    <mergeCell ref="D36:E36"/>
    <mergeCell ref="N172:O172"/>
    <mergeCell ref="B184:C184"/>
    <mergeCell ref="B182:C182"/>
    <mergeCell ref="A189:J189"/>
    <mergeCell ref="H183:I183"/>
    <mergeCell ref="L185:M185"/>
    <mergeCell ref="E161:F161"/>
    <mergeCell ref="H178:I180"/>
    <mergeCell ref="F178:G180"/>
    <mergeCell ref="B161:C161"/>
    <mergeCell ref="L184:M184"/>
    <mergeCell ref="J185:K185"/>
    <mergeCell ref="D183:E183"/>
    <mergeCell ref="J182:K182"/>
    <mergeCell ref="L178:M180"/>
    <mergeCell ref="J178:K180"/>
    <mergeCell ref="H161:I161"/>
    <mergeCell ref="B165:C165"/>
    <mergeCell ref="H182:I182"/>
    <mergeCell ref="L182:M182"/>
    <mergeCell ref="D129:F129"/>
    <mergeCell ref="B125:C125"/>
    <mergeCell ref="B121:C121"/>
    <mergeCell ref="D178:E180"/>
    <mergeCell ref="O63:P63"/>
    <mergeCell ref="H76:I76"/>
    <mergeCell ref="L63:M63"/>
    <mergeCell ref="B137:C137"/>
    <mergeCell ref="B141:C141"/>
    <mergeCell ref="B91:C91"/>
    <mergeCell ref="L111:T112"/>
    <mergeCell ref="P153:Q153"/>
    <mergeCell ref="G91:H91"/>
    <mergeCell ref="P117:Q117"/>
    <mergeCell ref="D153:F153"/>
    <mergeCell ref="H153:K153"/>
    <mergeCell ref="G145:H145"/>
    <mergeCell ref="E145:F145"/>
    <mergeCell ref="E85:F85"/>
    <mergeCell ref="H117:K117"/>
    <mergeCell ref="K2:L2"/>
    <mergeCell ref="H61:K61"/>
    <mergeCell ref="I6:L6"/>
    <mergeCell ref="G109:H109"/>
    <mergeCell ref="B85:C85"/>
    <mergeCell ref="L61:M61"/>
    <mergeCell ref="J42:K42"/>
    <mergeCell ref="J40:K40"/>
    <mergeCell ref="G40:H40"/>
    <mergeCell ref="J38:K38"/>
    <mergeCell ref="B81:C81"/>
    <mergeCell ref="I2:J2"/>
    <mergeCell ref="D42:E42"/>
    <mergeCell ref="G38:H38"/>
    <mergeCell ref="D38:E38"/>
    <mergeCell ref="F12:G12"/>
    <mergeCell ref="D46:E46"/>
    <mergeCell ref="M10:N10"/>
    <mergeCell ref="M34:P34"/>
    <mergeCell ref="J34:K34"/>
    <mergeCell ref="G34:H34"/>
    <mergeCell ref="F14:G14"/>
    <mergeCell ref="B24:R25"/>
    <mergeCell ref="E76:F76"/>
    <mergeCell ref="E1:O1"/>
    <mergeCell ref="O55:P55"/>
    <mergeCell ref="L123:T124"/>
    <mergeCell ref="B133:C133"/>
    <mergeCell ref="B117:C117"/>
    <mergeCell ref="I121:J121"/>
    <mergeCell ref="G133:H133"/>
    <mergeCell ref="L57:M57"/>
    <mergeCell ref="F63:G63"/>
    <mergeCell ref="H63:K63"/>
    <mergeCell ref="E109:F109"/>
    <mergeCell ref="F71:G71"/>
    <mergeCell ref="F67:G67"/>
    <mergeCell ref="H59:K59"/>
    <mergeCell ref="D71:E71"/>
    <mergeCell ref="O19:P19"/>
    <mergeCell ref="R19:S19"/>
    <mergeCell ref="G21:H21"/>
    <mergeCell ref="C34:F34"/>
    <mergeCell ref="B28:C28"/>
    <mergeCell ref="E28:F28"/>
    <mergeCell ref="N38:O38"/>
    <mergeCell ref="D40:E40"/>
    <mergeCell ref="J36:K36"/>
  </mergeCells>
  <phoneticPr fontId="22" type="noConversion"/>
  <dataValidations count="6">
    <dataValidation type="list" allowBlank="1" showInputMessage="1" showErrorMessage="1" sqref="D182:E187">
      <formula1>PipeDia</formula1>
    </dataValidation>
    <dataValidation type="list" allowBlank="1" showInputMessage="1" showErrorMessage="1" sqref="F68 F72">
      <formula1>$AN$73:$AN$82</formula1>
    </dataValidation>
    <dataValidation type="decimal" allowBlank="1" showInputMessage="1" showErrorMessage="1" prompt="Min Spacing=2ft; Max Spacing=3ft.  Recommendation: 2 feet" sqref="F67:G67">
      <formula1>2</formula1>
      <formula2>3</formula2>
    </dataValidation>
    <dataValidation type="list" allowBlank="1" showInputMessage="1" showErrorMessage="1" sqref="L54:M54 L62:M62 L60:M60 L58:M58 L56:M56">
      <formula1>$AL$6:$AL$9</formula1>
    </dataValidation>
    <dataValidation type="list" allowBlank="1" showInputMessage="1" showErrorMessage="1" sqref="L53:M53 L55:M55 L57:M57 L59:M59 L61:M61 L63:M63">
      <formula1>PerfDia</formula1>
    </dataValidation>
    <dataValidation type="list" allowBlank="1" showInputMessage="1" showErrorMessage="1" sqref="G21:H21">
      <formula1>MinHead</formula1>
    </dataValidation>
  </dataValidations>
  <printOptions horizontalCentered="1"/>
  <pageMargins left="0.4" right="0.4" top="0.4" bottom="0.4" header="0.5" footer="0.5"/>
  <pageSetup scale="71" fitToHeight="4" orientation="portrait" blackAndWhite="1" r:id="rId3"/>
  <headerFooter alignWithMargins="0"/>
  <rowBreaks count="2" manualBreakCount="2">
    <brk id="64" max="19" man="1"/>
    <brk id="130" max="19" man="1"/>
  </rowBreaks>
  <ignoredErrors>
    <ignoredError sqref="A4 A18 A21 A26 A30 A48" numberStoredAsText="1"/>
  </ignoredErrors>
  <drawing r:id="rId4"/>
  <legacyDrawing r:id="rId5"/>
  <mc:AlternateContent xmlns:mc="http://schemas.openxmlformats.org/markup-compatibility/2006">
    <mc:Choice Requires="x14">
      <controls>
        <mc:AlternateContent xmlns:mc="http://schemas.openxmlformats.org/markup-compatibility/2006">
          <mc:Choice Requires="x14">
            <control shapeId="4422" r:id="rId6" name="Check Box 326">
              <controlPr defaultSize="0" autoFill="0" autoLine="0" autoPict="0">
                <anchor moveWithCells="1">
                  <from>
                    <xdr:col>8</xdr:col>
                    <xdr:colOff>228600</xdr:colOff>
                    <xdr:row>77</xdr:row>
                    <xdr:rowOff>45720</xdr:rowOff>
                  </from>
                  <to>
                    <xdr:col>10</xdr:col>
                    <xdr:colOff>0</xdr:colOff>
                    <xdr:row>77</xdr:row>
                    <xdr:rowOff>220980</xdr:rowOff>
                  </to>
                </anchor>
              </controlPr>
            </control>
          </mc:Choice>
        </mc:AlternateContent>
        <mc:AlternateContent xmlns:mc="http://schemas.openxmlformats.org/markup-compatibility/2006">
          <mc:Choice Requires="x14">
            <control shapeId="4423" r:id="rId7" name="Check Box 327">
              <controlPr defaultSize="0" autoFill="0" autoLine="0" autoPict="0">
                <anchor moveWithCells="1">
                  <from>
                    <xdr:col>10</xdr:col>
                    <xdr:colOff>0</xdr:colOff>
                    <xdr:row>77</xdr:row>
                    <xdr:rowOff>45720</xdr:rowOff>
                  </from>
                  <to>
                    <xdr:col>11</xdr:col>
                    <xdr:colOff>182880</xdr:colOff>
                    <xdr:row>77</xdr:row>
                    <xdr:rowOff>220980</xdr:rowOff>
                  </to>
                </anchor>
              </controlPr>
            </control>
          </mc:Choice>
        </mc:AlternateContent>
        <mc:AlternateContent xmlns:mc="http://schemas.openxmlformats.org/markup-compatibility/2006">
          <mc:Choice Requires="x14">
            <control shapeId="4424" r:id="rId8" name="Check Box 328">
              <controlPr defaultSize="0" autoFill="0" autoLine="0" autoPict="0">
                <anchor moveWithCells="1">
                  <from>
                    <xdr:col>11</xdr:col>
                    <xdr:colOff>297180</xdr:colOff>
                    <xdr:row>113</xdr:row>
                    <xdr:rowOff>45720</xdr:rowOff>
                  </from>
                  <to>
                    <xdr:col>13</xdr:col>
                    <xdr:colOff>45720</xdr:colOff>
                    <xdr:row>114</xdr:row>
                    <xdr:rowOff>144780</xdr:rowOff>
                  </to>
                </anchor>
              </controlPr>
            </control>
          </mc:Choice>
        </mc:AlternateContent>
        <mc:AlternateContent xmlns:mc="http://schemas.openxmlformats.org/markup-compatibility/2006">
          <mc:Choice Requires="x14">
            <control shapeId="4425" r:id="rId9" name="Check Box 329">
              <controlPr defaultSize="0" autoFill="0" autoLine="0" autoPict="0">
                <anchor moveWithCells="1">
                  <from>
                    <xdr:col>13</xdr:col>
                    <xdr:colOff>45720</xdr:colOff>
                    <xdr:row>113</xdr:row>
                    <xdr:rowOff>45720</xdr:rowOff>
                  </from>
                  <to>
                    <xdr:col>14</xdr:col>
                    <xdr:colOff>220980</xdr:colOff>
                    <xdr:row>114</xdr:row>
                    <xdr:rowOff>144780</xdr:rowOff>
                  </to>
                </anchor>
              </controlPr>
            </control>
          </mc:Choice>
        </mc:AlternateContent>
        <mc:AlternateContent xmlns:mc="http://schemas.openxmlformats.org/markup-compatibility/2006">
          <mc:Choice Requires="x14">
            <control shapeId="4426" r:id="rId10" name="Check Box 330">
              <controlPr defaultSize="0" autoFill="0" autoLine="0" autoPict="0">
                <anchor moveWithCells="1">
                  <from>
                    <xdr:col>11</xdr:col>
                    <xdr:colOff>266700</xdr:colOff>
                    <xdr:row>149</xdr:row>
                    <xdr:rowOff>68580</xdr:rowOff>
                  </from>
                  <to>
                    <xdr:col>13</xdr:col>
                    <xdr:colOff>30480</xdr:colOff>
                    <xdr:row>150</xdr:row>
                    <xdr:rowOff>182880</xdr:rowOff>
                  </to>
                </anchor>
              </controlPr>
            </control>
          </mc:Choice>
        </mc:AlternateContent>
        <mc:AlternateContent xmlns:mc="http://schemas.openxmlformats.org/markup-compatibility/2006">
          <mc:Choice Requires="x14">
            <control shapeId="4427" r:id="rId11" name="Check Box 331">
              <controlPr defaultSize="0" autoFill="0" autoLine="0" autoPict="0">
                <anchor moveWithCells="1">
                  <from>
                    <xdr:col>13</xdr:col>
                    <xdr:colOff>30480</xdr:colOff>
                    <xdr:row>149</xdr:row>
                    <xdr:rowOff>68580</xdr:rowOff>
                  </from>
                  <to>
                    <xdr:col>14</xdr:col>
                    <xdr:colOff>198120</xdr:colOff>
                    <xdr:row>150</xdr:row>
                    <xdr:rowOff>182880</xdr:rowOff>
                  </to>
                </anchor>
              </controlPr>
            </control>
          </mc:Choice>
        </mc:AlternateContent>
        <mc:AlternateContent xmlns:mc="http://schemas.openxmlformats.org/markup-compatibility/2006">
          <mc:Choice Requires="x14">
            <control shapeId="4428" r:id="rId12" name="Check Box 332">
              <controlPr defaultSize="0" autoFill="0" autoLine="0" autoPict="0">
                <anchor moveWithCells="1">
                  <from>
                    <xdr:col>11</xdr:col>
                    <xdr:colOff>274320</xdr:colOff>
                    <xdr:row>161</xdr:row>
                    <xdr:rowOff>68580</xdr:rowOff>
                  </from>
                  <to>
                    <xdr:col>13</xdr:col>
                    <xdr:colOff>38100</xdr:colOff>
                    <xdr:row>162</xdr:row>
                    <xdr:rowOff>152400</xdr:rowOff>
                  </to>
                </anchor>
              </controlPr>
            </control>
          </mc:Choice>
        </mc:AlternateContent>
        <mc:AlternateContent xmlns:mc="http://schemas.openxmlformats.org/markup-compatibility/2006">
          <mc:Choice Requires="x14">
            <control shapeId="4429" r:id="rId13" name="Check Box 333">
              <controlPr defaultSize="0" autoFill="0" autoLine="0" autoPict="0">
                <anchor moveWithCells="1">
                  <from>
                    <xdr:col>13</xdr:col>
                    <xdr:colOff>38100</xdr:colOff>
                    <xdr:row>161</xdr:row>
                    <xdr:rowOff>68580</xdr:rowOff>
                  </from>
                  <to>
                    <xdr:col>14</xdr:col>
                    <xdr:colOff>220980</xdr:colOff>
                    <xdr:row>162</xdr:row>
                    <xdr:rowOff>152400</xdr:rowOff>
                  </to>
                </anchor>
              </controlPr>
            </control>
          </mc:Choice>
        </mc:AlternateContent>
        <mc:AlternateContent xmlns:mc="http://schemas.openxmlformats.org/markup-compatibility/2006">
          <mc:Choice Requires="x14">
            <control shapeId="4430" r:id="rId14" name="Check Box 334">
              <controlPr defaultSize="0" autoFill="0" autoLine="0" autoPict="0">
                <anchor moveWithCells="1">
                  <from>
                    <xdr:col>11</xdr:col>
                    <xdr:colOff>259080</xdr:colOff>
                    <xdr:row>125</xdr:row>
                    <xdr:rowOff>68580</xdr:rowOff>
                  </from>
                  <to>
                    <xdr:col>13</xdr:col>
                    <xdr:colOff>7620</xdr:colOff>
                    <xdr:row>126</xdr:row>
                    <xdr:rowOff>182880</xdr:rowOff>
                  </to>
                </anchor>
              </controlPr>
            </control>
          </mc:Choice>
        </mc:AlternateContent>
        <mc:AlternateContent xmlns:mc="http://schemas.openxmlformats.org/markup-compatibility/2006">
          <mc:Choice Requires="x14">
            <control shapeId="4431" r:id="rId15" name="Check Box 335">
              <controlPr defaultSize="0" autoFill="0" autoLine="0" autoPict="0">
                <anchor moveWithCells="1">
                  <from>
                    <xdr:col>13</xdr:col>
                    <xdr:colOff>7620</xdr:colOff>
                    <xdr:row>125</xdr:row>
                    <xdr:rowOff>68580</xdr:rowOff>
                  </from>
                  <to>
                    <xdr:col>14</xdr:col>
                    <xdr:colOff>182880</xdr:colOff>
                    <xdr:row>126</xdr:row>
                    <xdr:rowOff>182880</xdr:rowOff>
                  </to>
                </anchor>
              </controlPr>
            </control>
          </mc:Choice>
        </mc:AlternateContent>
        <mc:AlternateContent xmlns:mc="http://schemas.openxmlformats.org/markup-compatibility/2006">
          <mc:Choice Requires="x14">
            <control shapeId="734409" r:id="rId16" name="Check Box 9417">
              <controlPr defaultSize="0" autoFill="0" autoLine="0" autoPict="0">
                <anchor moveWithCells="1">
                  <from>
                    <xdr:col>11</xdr:col>
                    <xdr:colOff>259080</xdr:colOff>
                    <xdr:row>137</xdr:row>
                    <xdr:rowOff>68580</xdr:rowOff>
                  </from>
                  <to>
                    <xdr:col>13</xdr:col>
                    <xdr:colOff>7620</xdr:colOff>
                    <xdr:row>138</xdr:row>
                    <xdr:rowOff>160020</xdr:rowOff>
                  </to>
                </anchor>
              </controlPr>
            </control>
          </mc:Choice>
        </mc:AlternateContent>
        <mc:AlternateContent xmlns:mc="http://schemas.openxmlformats.org/markup-compatibility/2006">
          <mc:Choice Requires="x14">
            <control shapeId="734410" r:id="rId17" name="Check Box 9418">
              <controlPr defaultSize="0" autoFill="0" autoLine="0" autoPict="0">
                <anchor moveWithCells="1">
                  <from>
                    <xdr:col>13</xdr:col>
                    <xdr:colOff>7620</xdr:colOff>
                    <xdr:row>137</xdr:row>
                    <xdr:rowOff>68580</xdr:rowOff>
                  </from>
                  <to>
                    <xdr:col>14</xdr:col>
                    <xdr:colOff>182880</xdr:colOff>
                    <xdr:row>138</xdr:row>
                    <xdr:rowOff>160020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55"/>
  </sheetPr>
  <dimension ref="A1:AU128"/>
  <sheetViews>
    <sheetView showGridLines="0" view="pageBreakPreview" zoomScaleNormal="100" zoomScaleSheetLayoutView="100" workbookViewId="0">
      <selection activeCell="I4" sqref="I4:L4"/>
    </sheetView>
  </sheetViews>
  <sheetFormatPr defaultColWidth="6.44140625" defaultRowHeight="24.75" customHeight="1"/>
  <cols>
    <col min="1" max="1" width="3.44140625" style="91" customWidth="1"/>
    <col min="2" max="18" width="6.44140625" style="22" customWidth="1"/>
    <col min="19" max="19" width="6.44140625" style="23" customWidth="1"/>
    <col min="20" max="20" width="6.44140625" style="22" customWidth="1"/>
    <col min="21" max="43" width="6.44140625" style="22"/>
    <col min="44" max="44" width="6.88671875" style="22" bestFit="1" customWidth="1"/>
    <col min="45" max="45" width="7" style="22" bestFit="1" customWidth="1"/>
    <col min="46" max="46" width="6.88671875" style="22" bestFit="1" customWidth="1"/>
    <col min="47" max="16384" width="6.44140625" style="22"/>
  </cols>
  <sheetData>
    <row r="1" spans="1:22" s="11" customFormat="1" ht="54.9" customHeight="1">
      <c r="A1" s="24"/>
      <c r="B1" s="468"/>
      <c r="C1" s="468"/>
      <c r="D1" s="468"/>
      <c r="E1" s="3574" t="s">
        <v>1755</v>
      </c>
      <c r="F1" s="3574"/>
      <c r="G1" s="3574"/>
      <c r="H1" s="3574"/>
      <c r="I1" s="3574"/>
      <c r="J1" s="3574"/>
      <c r="K1" s="3574"/>
      <c r="L1" s="3574"/>
      <c r="M1" s="3574"/>
      <c r="N1" s="3574"/>
      <c r="O1" s="468"/>
      <c r="P1" s="470"/>
      <c r="Q1" s="470"/>
      <c r="R1" s="470"/>
      <c r="S1" s="470"/>
    </row>
    <row r="2" spans="1:22" ht="16.350000000000001" customHeight="1">
      <c r="A2" s="706" t="s">
        <v>917</v>
      </c>
      <c r="B2" s="708" t="s">
        <v>918</v>
      </c>
      <c r="C2" s="707"/>
      <c r="D2" s="707"/>
      <c r="E2" s="707"/>
      <c r="F2" s="707"/>
      <c r="G2" s="707"/>
      <c r="H2" s="707"/>
      <c r="I2" s="3670" t="s">
        <v>1016</v>
      </c>
      <c r="J2" s="3670"/>
      <c r="K2" s="3674" t="str">
        <f>IF(ISBLANK(Summary!S3)," ",Summary!S3)</f>
        <v xml:space="preserve"> </v>
      </c>
      <c r="L2" s="3674"/>
      <c r="M2" s="707"/>
      <c r="N2" s="707"/>
      <c r="O2" s="707"/>
      <c r="P2" s="707"/>
      <c r="Q2" s="707"/>
      <c r="R2" s="707"/>
      <c r="S2" s="1159" t="str">
        <f>'Drop-Down Lists'!$J40</f>
        <v>v 04.01.2021</v>
      </c>
      <c r="T2" s="88"/>
      <c r="U2" s="88"/>
      <c r="V2" s="88"/>
    </row>
    <row r="3" spans="1:22" s="48" customFormat="1" ht="6" customHeight="1">
      <c r="A3" s="445"/>
      <c r="B3" s="88"/>
      <c r="C3" s="88"/>
      <c r="D3" s="88"/>
      <c r="E3" s="88"/>
      <c r="F3" s="88"/>
      <c r="G3" s="88"/>
      <c r="H3" s="88"/>
      <c r="I3" s="452"/>
      <c r="J3" s="452"/>
      <c r="K3" s="452"/>
      <c r="L3" s="452"/>
      <c r="M3" s="88"/>
      <c r="N3" s="88"/>
      <c r="O3" s="88"/>
      <c r="P3" s="88"/>
      <c r="Q3" s="88"/>
      <c r="R3" s="88"/>
      <c r="S3" s="446"/>
      <c r="T3" s="88"/>
      <c r="U3" s="88"/>
      <c r="V3" s="88"/>
    </row>
    <row r="4" spans="1:22" s="48" customFormat="1" ht="18" customHeight="1">
      <c r="A4" s="445"/>
      <c r="B4" s="3671" t="s">
        <v>0</v>
      </c>
      <c r="C4" s="3671"/>
      <c r="D4" s="3671"/>
      <c r="E4" s="3671"/>
      <c r="F4" s="3671"/>
      <c r="G4" s="3672"/>
      <c r="H4" s="3672"/>
      <c r="I4" s="3680"/>
      <c r="J4" s="3681"/>
      <c r="K4" s="3681"/>
      <c r="L4" s="3682"/>
      <c r="M4" s="1416"/>
      <c r="N4" s="1417"/>
      <c r="O4" s="1418"/>
      <c r="P4" s="1418"/>
      <c r="Q4" s="1418"/>
      <c r="R4" s="1189"/>
      <c r="S4" s="1419">
        <v>0</v>
      </c>
      <c r="T4" s="88"/>
      <c r="U4" s="1420"/>
      <c r="V4" s="88"/>
    </row>
    <row r="5" spans="1:22" s="48" customFormat="1" ht="6" customHeight="1">
      <c r="A5" s="445"/>
      <c r="B5" s="88"/>
      <c r="C5" s="88"/>
      <c r="D5" s="88"/>
      <c r="E5" s="88"/>
      <c r="F5" s="88"/>
      <c r="G5" s="88"/>
      <c r="H5" s="88"/>
      <c r="I5" s="88"/>
      <c r="J5" s="88"/>
      <c r="K5" s="88"/>
      <c r="L5" s="88"/>
      <c r="M5" s="88"/>
      <c r="N5" s="88"/>
      <c r="O5" s="88"/>
      <c r="P5" s="88"/>
      <c r="Q5" s="88"/>
      <c r="R5" s="518"/>
      <c r="S5" s="1173"/>
      <c r="T5" s="88"/>
      <c r="U5" s="88"/>
      <c r="V5" s="88"/>
    </row>
    <row r="6" spans="1:22" ht="20.100000000000001" customHeight="1">
      <c r="A6" s="447" t="s">
        <v>147</v>
      </c>
      <c r="B6" s="11" t="s">
        <v>947</v>
      </c>
      <c r="C6" s="11"/>
      <c r="D6" s="11"/>
      <c r="E6" s="11"/>
      <c r="F6" s="11"/>
      <c r="G6" s="11"/>
      <c r="H6" s="11"/>
      <c r="I6" s="11"/>
      <c r="J6" s="11"/>
      <c r="K6" s="3583"/>
      <c r="L6" s="3673"/>
      <c r="M6" s="11" t="s">
        <v>134</v>
      </c>
      <c r="N6" s="722" t="s">
        <v>931</v>
      </c>
      <c r="O6" s="11"/>
      <c r="P6" s="11"/>
      <c r="Q6" s="11"/>
      <c r="R6" s="11"/>
      <c r="S6" s="72"/>
    </row>
    <row r="7" spans="1:22" ht="6" customHeight="1">
      <c r="A7" s="95"/>
      <c r="B7" s="11"/>
      <c r="C7" s="11"/>
      <c r="D7" s="11"/>
      <c r="E7" s="11"/>
      <c r="F7" s="11"/>
      <c r="G7" s="11"/>
      <c r="H7" s="11"/>
      <c r="I7" s="11"/>
      <c r="J7" s="11"/>
      <c r="K7" s="987"/>
      <c r="L7" s="987"/>
      <c r="M7" s="11"/>
      <c r="N7" s="11"/>
      <c r="O7" s="11"/>
      <c r="P7" s="11"/>
      <c r="Q7" s="11"/>
      <c r="R7" s="113"/>
      <c r="S7" s="1174"/>
    </row>
    <row r="8" spans="1:22" ht="20.100000000000001" customHeight="1">
      <c r="A8" s="447" t="s">
        <v>631</v>
      </c>
      <c r="B8" s="3652" t="s">
        <v>1897</v>
      </c>
      <c r="C8" s="3652"/>
      <c r="D8" s="3652"/>
      <c r="E8" s="3652"/>
      <c r="F8" s="3652"/>
      <c r="G8" s="3652"/>
      <c r="H8" s="3652"/>
      <c r="I8" s="11"/>
      <c r="J8" s="11"/>
      <c r="K8" s="3347" t="str">
        <f>IF(I4="Pressure", MAX('Pres. Dist.'!L61,'Non-Level '!N172), " ")</f>
        <v xml:space="preserve"> </v>
      </c>
      <c r="L8" s="3595"/>
      <c r="M8" s="11" t="s">
        <v>134</v>
      </c>
      <c r="N8" s="11"/>
      <c r="O8" s="11"/>
      <c r="P8" s="11"/>
      <c r="Q8" s="11"/>
      <c r="R8" s="11"/>
      <c r="S8" s="72"/>
    </row>
    <row r="9" spans="1:22" ht="6" customHeight="1">
      <c r="B9" s="11"/>
      <c r="C9" s="11"/>
      <c r="D9" s="11"/>
      <c r="E9" s="11"/>
      <c r="F9" s="11"/>
      <c r="G9" s="11"/>
      <c r="H9" s="11"/>
      <c r="I9" s="11"/>
      <c r="J9" s="11"/>
      <c r="K9" s="11"/>
      <c r="L9" s="11"/>
      <c r="M9" s="11"/>
      <c r="N9" s="11"/>
      <c r="O9" s="11"/>
      <c r="P9" s="11"/>
      <c r="Q9" s="11"/>
      <c r="R9" s="113"/>
      <c r="S9" s="1174"/>
    </row>
    <row r="10" spans="1:22" ht="20.100000000000001" customHeight="1">
      <c r="A10" s="447" t="s">
        <v>149</v>
      </c>
      <c r="B10" s="11" t="s">
        <v>1898</v>
      </c>
      <c r="C10" s="11"/>
      <c r="D10" s="11"/>
      <c r="E10" s="11"/>
      <c r="F10" s="11"/>
      <c r="G10" s="11"/>
      <c r="H10" s="11"/>
      <c r="I10" s="11"/>
      <c r="J10" s="11"/>
      <c r="K10" s="3677"/>
      <c r="L10" s="3678"/>
      <c r="M10" s="3678"/>
      <c r="N10" s="3678"/>
      <c r="O10" s="3678"/>
      <c r="P10" s="3679"/>
      <c r="Q10" s="11"/>
      <c r="R10" s="113"/>
      <c r="S10" s="138"/>
    </row>
    <row r="11" spans="1:22" ht="6" customHeight="1">
      <c r="B11" s="11"/>
      <c r="C11" s="11"/>
      <c r="D11" s="11"/>
      <c r="E11" s="11"/>
      <c r="F11" s="11"/>
      <c r="G11" s="11"/>
      <c r="H11" s="11"/>
      <c r="I11" s="11"/>
      <c r="J11" s="11"/>
      <c r="K11" s="11"/>
      <c r="L11" s="11"/>
      <c r="M11" s="11"/>
      <c r="N11" s="11"/>
      <c r="O11" s="11"/>
      <c r="P11" s="11"/>
      <c r="Q11" s="11"/>
      <c r="R11" s="11"/>
      <c r="S11" s="138"/>
    </row>
    <row r="12" spans="1:22" ht="16.350000000000001" customHeight="1">
      <c r="A12" s="3667" t="s">
        <v>307</v>
      </c>
      <c r="B12" s="3668"/>
      <c r="C12" s="3668"/>
      <c r="D12" s="3668"/>
      <c r="E12" s="3668"/>
      <c r="F12" s="3668"/>
      <c r="G12" s="3668"/>
      <c r="H12" s="3668"/>
      <c r="I12" s="3668"/>
      <c r="J12" s="3668"/>
      <c r="K12" s="3668"/>
      <c r="L12" s="3668"/>
      <c r="M12" s="3668"/>
      <c r="N12" s="3668"/>
      <c r="O12" s="3668"/>
      <c r="P12" s="3668"/>
      <c r="Q12" s="3668"/>
      <c r="R12" s="3668"/>
      <c r="S12" s="3669"/>
      <c r="T12" s="88"/>
      <c r="U12" s="88"/>
      <c r="V12" s="88"/>
    </row>
    <row r="13" spans="1:22" s="48" customFormat="1" ht="6" customHeight="1">
      <c r="A13" s="451"/>
      <c r="B13" s="452"/>
      <c r="C13" s="452"/>
      <c r="D13" s="452"/>
      <c r="E13" s="452"/>
      <c r="F13" s="452"/>
      <c r="G13" s="452"/>
      <c r="H13" s="452"/>
      <c r="I13" s="452"/>
      <c r="J13" s="452"/>
      <c r="K13" s="452"/>
      <c r="L13" s="452"/>
      <c r="M13" s="452"/>
      <c r="N13" s="452"/>
      <c r="O13" s="452"/>
      <c r="P13" s="452"/>
      <c r="Q13" s="452"/>
      <c r="R13" s="452"/>
      <c r="S13" s="453"/>
      <c r="T13" s="88"/>
    </row>
    <row r="14" spans="1:22" s="48" customFormat="1" ht="20.100000000000001" customHeight="1">
      <c r="A14" s="447" t="s">
        <v>147</v>
      </c>
      <c r="B14" s="3562" t="s">
        <v>724</v>
      </c>
      <c r="C14" s="3562"/>
      <c r="D14" s="3562"/>
      <c r="E14" s="3562"/>
      <c r="F14" s="3100"/>
      <c r="G14" s="3101"/>
      <c r="H14" s="11" t="s">
        <v>92</v>
      </c>
      <c r="I14" s="25"/>
      <c r="J14" s="25"/>
      <c r="K14" s="88"/>
      <c r="L14" s="88"/>
      <c r="M14" s="88"/>
      <c r="N14" s="88"/>
      <c r="O14" s="88"/>
      <c r="P14" s="88"/>
      <c r="Q14" s="88"/>
      <c r="R14" s="88"/>
      <c r="S14" s="446"/>
      <c r="T14" s="88"/>
    </row>
    <row r="15" spans="1:22" s="48" customFormat="1" ht="18" customHeight="1">
      <c r="A15" s="95"/>
      <c r="B15" s="3562" t="s">
        <v>50</v>
      </c>
      <c r="C15" s="3562"/>
      <c r="D15" s="3562"/>
      <c r="E15" s="3562"/>
      <c r="F15" s="3562"/>
      <c r="G15" s="3562"/>
      <c r="H15" s="3562"/>
      <c r="I15" s="25"/>
      <c r="J15" s="25"/>
      <c r="K15" s="88"/>
      <c r="L15" s="88"/>
      <c r="M15" s="88"/>
      <c r="N15" s="88"/>
      <c r="O15" s="88"/>
      <c r="P15" s="88"/>
      <c r="Q15" s="88"/>
      <c r="R15" s="88"/>
      <c r="S15" s="446"/>
      <c r="T15" s="88"/>
    </row>
    <row r="16" spans="1:22" ht="6" customHeight="1">
      <c r="A16" s="448"/>
      <c r="B16" s="100"/>
      <c r="C16" s="100"/>
      <c r="D16" s="100"/>
      <c r="E16" s="100"/>
      <c r="F16" s="499"/>
      <c r="G16" s="499"/>
      <c r="H16" s="100"/>
      <c r="I16" s="100"/>
      <c r="J16" s="100"/>
      <c r="K16" s="60"/>
      <c r="L16" s="60"/>
      <c r="M16" s="60"/>
      <c r="N16" s="60"/>
      <c r="O16" s="60"/>
      <c r="P16" s="60"/>
      <c r="Q16" s="51"/>
      <c r="R16" s="11"/>
      <c r="S16" s="139"/>
    </row>
    <row r="17" spans="1:19" ht="20.100000000000001" customHeight="1">
      <c r="A17" s="447" t="s">
        <v>631</v>
      </c>
      <c r="B17" s="3652" t="s">
        <v>723</v>
      </c>
      <c r="C17" s="3652"/>
      <c r="D17" s="3652"/>
      <c r="E17" s="3652"/>
      <c r="F17" s="3675"/>
      <c r="G17" s="3676"/>
      <c r="H17" s="11" t="s">
        <v>92</v>
      </c>
      <c r="I17" s="60"/>
      <c r="J17" s="60"/>
      <c r="K17" s="60"/>
      <c r="L17" s="60"/>
      <c r="M17" s="60"/>
      <c r="N17" s="60"/>
      <c r="O17" s="60"/>
      <c r="P17" s="60"/>
      <c r="Q17" s="51"/>
      <c r="R17" s="11"/>
      <c r="S17" s="139"/>
    </row>
    <row r="18" spans="1:19" ht="6" customHeight="1">
      <c r="A18" s="448"/>
      <c r="B18" s="11"/>
      <c r="C18" s="11"/>
      <c r="D18" s="11"/>
      <c r="E18" s="11"/>
      <c r="F18" s="11"/>
      <c r="G18" s="11"/>
      <c r="H18" s="11"/>
      <c r="I18" s="11"/>
      <c r="J18" s="11"/>
      <c r="K18" s="60"/>
      <c r="L18" s="60"/>
      <c r="M18" s="60"/>
      <c r="N18" s="60"/>
      <c r="O18" s="60"/>
      <c r="P18" s="60"/>
      <c r="Q18" s="51"/>
      <c r="R18" s="11"/>
      <c r="S18" s="139"/>
    </row>
    <row r="19" spans="1:19" ht="20.100000000000001" customHeight="1">
      <c r="A19" s="447" t="s">
        <v>149</v>
      </c>
      <c r="B19" s="3562" t="s">
        <v>728</v>
      </c>
      <c r="C19" s="3562"/>
      <c r="D19" s="3562"/>
      <c r="E19" s="3563"/>
      <c r="F19" s="3575"/>
      <c r="G19" s="3576"/>
      <c r="H19" s="3368" t="s">
        <v>1286</v>
      </c>
      <c r="I19" s="3672"/>
      <c r="J19" s="3672"/>
      <c r="K19" s="3672"/>
      <c r="L19" s="3672"/>
      <c r="M19" s="3672"/>
      <c r="N19" s="3672"/>
      <c r="O19" s="60"/>
      <c r="P19" s="60"/>
      <c r="Q19" s="51"/>
      <c r="R19" s="11"/>
      <c r="S19" s="139"/>
    </row>
    <row r="20" spans="1:19" ht="6" customHeight="1">
      <c r="A20" s="448"/>
      <c r="B20" s="500"/>
      <c r="C20" s="11"/>
      <c r="D20" s="11"/>
      <c r="E20" s="11"/>
      <c r="F20" s="11"/>
      <c r="G20" s="11"/>
      <c r="H20" s="11"/>
      <c r="I20" s="60"/>
      <c r="J20" s="60"/>
      <c r="K20" s="60"/>
      <c r="L20" s="60"/>
      <c r="M20" s="60"/>
      <c r="N20" s="60"/>
      <c r="O20" s="60"/>
      <c r="P20" s="60"/>
      <c r="Q20" s="51"/>
      <c r="R20" s="11"/>
      <c r="S20" s="139"/>
    </row>
    <row r="21" spans="1:19" ht="23.4" customHeight="1">
      <c r="A21" s="448"/>
      <c r="B21" s="11"/>
      <c r="C21" s="11"/>
      <c r="D21" s="11"/>
      <c r="E21" s="11"/>
      <c r="F21" s="11"/>
      <c r="G21" s="11"/>
      <c r="H21" s="11"/>
      <c r="I21" s="60"/>
      <c r="J21" s="60"/>
      <c r="K21" s="60"/>
      <c r="L21" s="60"/>
      <c r="M21" s="60"/>
      <c r="N21" s="60"/>
      <c r="O21" s="60"/>
      <c r="P21" s="60"/>
      <c r="Q21" s="51"/>
      <c r="R21" s="11"/>
      <c r="S21" s="139"/>
    </row>
    <row r="22" spans="1:19" ht="23.4" customHeight="1">
      <c r="A22" s="448"/>
      <c r="B22" s="11"/>
      <c r="C22" s="11"/>
      <c r="D22" s="11"/>
      <c r="E22" s="11"/>
      <c r="F22" s="11"/>
      <c r="G22" s="11"/>
      <c r="H22" s="11"/>
      <c r="I22" s="60"/>
      <c r="J22" s="60"/>
      <c r="K22" s="60"/>
      <c r="L22" s="60"/>
      <c r="M22" s="60"/>
      <c r="N22" s="60"/>
      <c r="O22" s="60"/>
      <c r="P22" s="60"/>
      <c r="Q22" s="51"/>
      <c r="R22" s="11"/>
      <c r="S22" s="139"/>
    </row>
    <row r="23" spans="1:19" ht="23.4" customHeight="1">
      <c r="A23" s="448"/>
      <c r="B23" s="11"/>
      <c r="C23" s="11"/>
      <c r="D23" s="11"/>
      <c r="E23" s="11"/>
      <c r="F23" s="11"/>
      <c r="G23" s="11"/>
      <c r="H23" s="11"/>
      <c r="I23" s="60"/>
      <c r="J23" s="60"/>
      <c r="K23" s="60"/>
      <c r="L23" s="60"/>
      <c r="M23" s="60"/>
      <c r="N23" s="60"/>
      <c r="O23" s="60"/>
      <c r="P23" s="60"/>
      <c r="Q23" s="51"/>
      <c r="R23" s="11"/>
      <c r="S23" s="139"/>
    </row>
    <row r="24" spans="1:19" ht="23.4" customHeight="1">
      <c r="A24" s="448"/>
      <c r="B24" s="11"/>
      <c r="C24" s="11"/>
      <c r="D24" s="11"/>
      <c r="E24" s="11"/>
      <c r="F24" s="11"/>
      <c r="G24" s="11"/>
      <c r="H24" s="11"/>
      <c r="I24" s="60"/>
      <c r="J24" s="60"/>
      <c r="K24" s="60"/>
      <c r="L24" s="60"/>
      <c r="M24" s="60"/>
      <c r="N24" s="60"/>
      <c r="O24" s="60"/>
      <c r="P24" s="60"/>
      <c r="Q24" s="51"/>
      <c r="R24" s="11"/>
      <c r="S24" s="139"/>
    </row>
    <row r="25" spans="1:19" ht="23.4" customHeight="1">
      <c r="A25" s="448"/>
      <c r="B25" s="11"/>
      <c r="C25" s="11"/>
      <c r="D25" s="11"/>
      <c r="E25" s="11"/>
      <c r="F25" s="11"/>
      <c r="G25" s="11"/>
      <c r="H25" s="11"/>
      <c r="I25" s="60"/>
      <c r="J25" s="60"/>
      <c r="K25" s="60"/>
      <c r="L25" s="60"/>
      <c r="M25" s="60"/>
      <c r="N25" s="60"/>
      <c r="O25" s="60"/>
      <c r="P25" s="60"/>
      <c r="Q25" s="51"/>
      <c r="R25" s="11"/>
      <c r="S25" s="139"/>
    </row>
    <row r="26" spans="1:19" ht="23.4" customHeight="1">
      <c r="A26" s="448"/>
      <c r="B26" s="11"/>
      <c r="C26" s="11"/>
      <c r="D26" s="11"/>
      <c r="E26" s="11"/>
      <c r="F26" s="11"/>
      <c r="G26" s="11"/>
      <c r="H26" s="11"/>
      <c r="I26" s="60"/>
      <c r="J26" s="60"/>
      <c r="K26" s="60"/>
      <c r="L26" s="60"/>
      <c r="M26" s="60"/>
      <c r="N26" s="60"/>
      <c r="O26" s="60"/>
      <c r="P26" s="60"/>
      <c r="Q26" s="51"/>
      <c r="R26" s="11"/>
      <c r="S26" s="139"/>
    </row>
    <row r="27" spans="1:19" ht="23.4" customHeight="1">
      <c r="A27" s="448"/>
      <c r="B27" s="11"/>
      <c r="C27" s="11"/>
      <c r="D27" s="24"/>
      <c r="E27" s="24"/>
      <c r="F27" s="11"/>
      <c r="G27" s="11"/>
      <c r="H27" s="11"/>
      <c r="I27" s="11"/>
      <c r="J27" s="11"/>
      <c r="K27" s="3559"/>
      <c r="L27" s="3559"/>
      <c r="M27" s="33"/>
      <c r="N27" s="33"/>
      <c r="O27" s="4"/>
      <c r="P27" s="4"/>
      <c r="Q27" s="51"/>
      <c r="R27" s="87"/>
      <c r="S27" s="139"/>
    </row>
    <row r="28" spans="1:19" ht="20.100000000000001" customHeight="1">
      <c r="A28" s="450" t="s">
        <v>588</v>
      </c>
      <c r="B28" s="3652" t="s">
        <v>1002</v>
      </c>
      <c r="C28" s="3652"/>
      <c r="D28" s="3652"/>
      <c r="E28" s="3369"/>
      <c r="F28" s="3583"/>
      <c r="G28" s="3584"/>
      <c r="H28" s="11" t="s">
        <v>94</v>
      </c>
      <c r="I28" s="718"/>
      <c r="J28" s="719"/>
      <c r="K28" s="717"/>
      <c r="L28" s="717"/>
      <c r="M28" s="4"/>
      <c r="N28" s="4"/>
      <c r="O28" s="720"/>
      <c r="P28" s="720"/>
      <c r="Q28" s="87"/>
      <c r="R28" s="87"/>
      <c r="S28" s="139"/>
    </row>
    <row r="29" spans="1:19" s="48" customFormat="1" ht="6" customHeight="1">
      <c r="A29" s="450"/>
      <c r="B29" s="25"/>
      <c r="C29" s="25"/>
      <c r="D29" s="25"/>
      <c r="E29" s="25"/>
      <c r="F29" s="444"/>
      <c r="G29" s="444"/>
      <c r="H29" s="130"/>
      <c r="I29" s="719"/>
      <c r="J29" s="719"/>
      <c r="K29" s="717"/>
      <c r="L29" s="717"/>
      <c r="M29" s="29"/>
      <c r="N29" s="29"/>
      <c r="O29" s="26"/>
      <c r="P29" s="26"/>
      <c r="Q29" s="87"/>
      <c r="R29" s="87"/>
      <c r="S29" s="139"/>
    </row>
    <row r="30" spans="1:19" s="48" customFormat="1" ht="20.100000000000001" customHeight="1">
      <c r="A30" s="450"/>
      <c r="B30" s="3342" t="s">
        <v>1003</v>
      </c>
      <c r="C30" s="3342"/>
      <c r="D30" s="3342"/>
      <c r="E30" s="3387"/>
      <c r="F30" s="3098"/>
      <c r="G30" s="3099"/>
      <c r="H30" s="25" t="s">
        <v>92</v>
      </c>
      <c r="I30" s="719"/>
      <c r="J30" s="719"/>
      <c r="K30" s="717"/>
      <c r="L30" s="717"/>
      <c r="M30" s="29"/>
      <c r="N30" s="29"/>
      <c r="O30" s="26"/>
      <c r="P30" s="26"/>
      <c r="Q30" s="87"/>
      <c r="R30" s="87"/>
      <c r="S30" s="139"/>
    </row>
    <row r="31" spans="1:19" s="25" customFormat="1" ht="6" customHeight="1">
      <c r="A31" s="450"/>
      <c r="F31" s="444"/>
      <c r="G31" s="444"/>
      <c r="H31" s="130"/>
      <c r="K31" s="29"/>
      <c r="L31" s="29"/>
      <c r="M31" s="29"/>
      <c r="N31" s="29"/>
      <c r="O31" s="26"/>
      <c r="P31" s="26"/>
      <c r="Q31" s="87"/>
      <c r="R31" s="87"/>
      <c r="S31" s="139"/>
    </row>
    <row r="32" spans="1:19" ht="18" customHeight="1">
      <c r="A32" s="450" t="s">
        <v>589</v>
      </c>
      <c r="B32" s="3342" t="s">
        <v>1011</v>
      </c>
      <c r="C32" s="3342"/>
      <c r="D32" s="3342"/>
      <c r="E32" s="3342"/>
      <c r="F32" s="3342"/>
      <c r="G32" s="3342"/>
      <c r="H32" s="3342"/>
      <c r="I32" s="3342"/>
      <c r="J32" s="3342"/>
      <c r="K32" s="3339"/>
      <c r="L32" s="3339"/>
      <c r="M32" s="33"/>
      <c r="N32" s="33"/>
      <c r="O32" s="720"/>
      <c r="P32" s="720"/>
      <c r="Q32" s="87"/>
      <c r="R32" s="87"/>
      <c r="S32" s="139"/>
    </row>
    <row r="33" spans="1:19" ht="10.5" customHeight="1">
      <c r="A33" s="450"/>
      <c r="B33" s="25"/>
      <c r="C33" s="25"/>
      <c r="D33" s="25"/>
      <c r="E33" s="25"/>
      <c r="F33" s="25"/>
      <c r="G33" s="25"/>
      <c r="H33" s="25"/>
      <c r="I33" s="25"/>
      <c r="J33" s="25"/>
      <c r="K33" s="29"/>
      <c r="L33" s="29"/>
      <c r="M33" s="29"/>
      <c r="N33" s="29"/>
      <c r="O33" s="26"/>
      <c r="P33" s="26"/>
      <c r="Q33" s="87"/>
      <c r="R33" s="87"/>
      <c r="S33" s="139"/>
    </row>
    <row r="34" spans="1:19" ht="20.100000000000001" customHeight="1">
      <c r="A34" s="152"/>
      <c r="B34" s="25" t="s">
        <v>726</v>
      </c>
      <c r="C34" s="25"/>
      <c r="D34" s="25"/>
      <c r="E34" s="3345" t="str">
        <f>IF(ISBLANK(F28),"",(1042*((MAX(K8,K6)/(130*F28^2.63))^1.85)))</f>
        <v/>
      </c>
      <c r="F34" s="3346"/>
      <c r="G34" s="3386" t="s">
        <v>725</v>
      </c>
      <c r="H34" s="3342"/>
      <c r="I34" s="3342"/>
      <c r="J34" s="3342"/>
      <c r="K34" s="25"/>
      <c r="L34" s="25"/>
      <c r="M34" s="25"/>
      <c r="N34" s="57"/>
      <c r="O34" s="57"/>
      <c r="P34" s="87"/>
      <c r="Q34" s="87"/>
      <c r="R34" s="87"/>
      <c r="S34" s="139"/>
    </row>
    <row r="35" spans="1:19" s="48" customFormat="1" ht="6" customHeight="1">
      <c r="A35" s="152"/>
      <c r="B35" s="25"/>
      <c r="C35" s="25"/>
      <c r="D35" s="25"/>
      <c r="E35" s="25"/>
      <c r="F35" s="444"/>
      <c r="G35" s="444"/>
      <c r="H35" s="25"/>
      <c r="I35" s="25"/>
      <c r="J35" s="25"/>
      <c r="K35" s="25"/>
      <c r="L35" s="25"/>
      <c r="M35" s="25"/>
      <c r="N35" s="57"/>
      <c r="O35" s="57"/>
      <c r="P35" s="87"/>
      <c r="Q35" s="87"/>
      <c r="R35" s="87"/>
      <c r="S35" s="139"/>
    </row>
    <row r="36" spans="1:19" ht="18" customHeight="1">
      <c r="A36" s="450" t="s">
        <v>641</v>
      </c>
      <c r="B36" s="3391" t="s">
        <v>1899</v>
      </c>
      <c r="C36" s="3391"/>
      <c r="D36" s="3391"/>
      <c r="E36" s="3391"/>
      <c r="F36" s="3391"/>
      <c r="G36" s="3391"/>
      <c r="H36" s="3391"/>
      <c r="I36" s="3391"/>
      <c r="J36" s="3391"/>
      <c r="K36" s="3391"/>
      <c r="L36" s="3391"/>
      <c r="M36" s="60"/>
      <c r="N36" s="60"/>
      <c r="O36" s="57"/>
      <c r="P36" s="87"/>
      <c r="Q36" s="87"/>
      <c r="R36" s="87"/>
      <c r="S36" s="139"/>
    </row>
    <row r="37" spans="1:19" ht="18" customHeight="1">
      <c r="A37" s="450"/>
      <c r="B37" s="3391"/>
      <c r="C37" s="3391"/>
      <c r="D37" s="3391"/>
      <c r="E37" s="3391"/>
      <c r="F37" s="3391"/>
      <c r="G37" s="3391"/>
      <c r="H37" s="3391"/>
      <c r="I37" s="3391"/>
      <c r="J37" s="3391"/>
      <c r="K37" s="3391"/>
      <c r="L37" s="3391"/>
      <c r="M37" s="60"/>
      <c r="N37" s="60"/>
      <c r="O37" s="57"/>
      <c r="P37" s="87"/>
      <c r="Q37" s="87"/>
      <c r="R37" s="25"/>
      <c r="S37" s="139"/>
    </row>
    <row r="38" spans="1:19" ht="18" customHeight="1">
      <c r="A38" s="450"/>
      <c r="B38" s="3391"/>
      <c r="C38" s="3391"/>
      <c r="D38" s="3391"/>
      <c r="E38" s="3391"/>
      <c r="F38" s="3391"/>
      <c r="G38" s="3391"/>
      <c r="H38" s="3391"/>
      <c r="I38" s="3391"/>
      <c r="J38" s="3391"/>
      <c r="K38" s="3391"/>
      <c r="L38" s="3391"/>
      <c r="M38" s="60"/>
      <c r="N38" s="60"/>
      <c r="O38" s="57"/>
      <c r="P38" s="87"/>
      <c r="Q38" s="87"/>
      <c r="R38" s="25"/>
      <c r="S38" s="139"/>
    </row>
    <row r="39" spans="1:19" s="25" customFormat="1" ht="20.100000000000001" customHeight="1">
      <c r="A39" s="152"/>
      <c r="B39" s="3383" t="str">
        <f>IF(ISBLANK(F30),"",F30)</f>
        <v/>
      </c>
      <c r="C39" s="3384"/>
      <c r="D39" s="29" t="s">
        <v>92</v>
      </c>
      <c r="E39" s="29" t="s">
        <v>101</v>
      </c>
      <c r="F39" s="29">
        <v>1.25</v>
      </c>
      <c r="G39" s="29" t="s">
        <v>102</v>
      </c>
      <c r="H39" s="3347" t="str">
        <f>IF(ISBLANK(F30),"",(B39*1.25))</f>
        <v/>
      </c>
      <c r="I39" s="3348"/>
      <c r="J39" s="25" t="s">
        <v>92</v>
      </c>
      <c r="K39" s="438"/>
      <c r="L39" s="438"/>
      <c r="M39" s="131"/>
      <c r="S39" s="139"/>
    </row>
    <row r="40" spans="1:19" s="48" customFormat="1" ht="6" customHeight="1">
      <c r="A40" s="152"/>
      <c r="B40" s="25"/>
      <c r="C40" s="25"/>
      <c r="D40" s="25"/>
      <c r="E40" s="25"/>
      <c r="F40" s="438"/>
      <c r="G40" s="438"/>
      <c r="H40" s="130"/>
      <c r="I40" s="130"/>
      <c r="J40" s="130"/>
      <c r="K40" s="130"/>
      <c r="L40" s="438"/>
      <c r="M40" s="438"/>
      <c r="N40" s="438"/>
      <c r="O40" s="131"/>
      <c r="P40" s="25"/>
      <c r="Q40" s="25"/>
      <c r="R40" s="25"/>
      <c r="S40" s="139"/>
    </row>
    <row r="41" spans="1:19" ht="18" customHeight="1">
      <c r="A41" s="450" t="s">
        <v>642</v>
      </c>
      <c r="B41" s="3601" t="s">
        <v>1900</v>
      </c>
      <c r="C41" s="3601"/>
      <c r="D41" s="3601"/>
      <c r="E41" s="3601"/>
      <c r="F41" s="3601"/>
      <c r="G41" s="3601"/>
      <c r="H41" s="3601"/>
      <c r="I41" s="3601"/>
      <c r="J41" s="3601"/>
      <c r="K41" s="3601"/>
      <c r="L41" s="3601"/>
      <c r="M41" s="3601"/>
      <c r="N41" s="3601"/>
      <c r="O41" s="3601"/>
      <c r="P41" s="3601"/>
      <c r="Q41" s="3601"/>
      <c r="R41" s="3601"/>
      <c r="S41" s="3683"/>
    </row>
    <row r="42" spans="1:19" ht="18" customHeight="1">
      <c r="A42" s="449"/>
      <c r="B42" s="3342" t="s">
        <v>727</v>
      </c>
      <c r="C42" s="3342"/>
      <c r="D42" s="3342"/>
      <c r="E42" s="3342"/>
      <c r="F42" s="60"/>
      <c r="G42" s="60"/>
      <c r="H42" s="60"/>
      <c r="I42" s="60"/>
      <c r="J42" s="60"/>
      <c r="K42" s="60"/>
      <c r="L42" s="60"/>
      <c r="M42" s="60"/>
      <c r="N42" s="25"/>
      <c r="O42" s="25"/>
      <c r="P42" s="25"/>
      <c r="Q42" s="25"/>
      <c r="R42" s="25"/>
      <c r="S42" s="139"/>
    </row>
    <row r="43" spans="1:19" ht="20.100000000000001" customHeight="1">
      <c r="A43" s="152"/>
      <c r="B43" s="3345" t="str">
        <f>IF(ISBLANK(E34)," ",E34)</f>
        <v/>
      </c>
      <c r="C43" s="3346"/>
      <c r="D43" s="25" t="s">
        <v>285</v>
      </c>
      <c r="E43" s="25"/>
      <c r="F43" s="25"/>
      <c r="G43" s="29" t="s">
        <v>101</v>
      </c>
      <c r="H43" s="3347" t="str">
        <f>H39</f>
        <v/>
      </c>
      <c r="I43" s="3348"/>
      <c r="J43" s="25" t="s">
        <v>92</v>
      </c>
      <c r="K43" s="501" t="s">
        <v>721</v>
      </c>
      <c r="L43" s="29">
        <v>100</v>
      </c>
      <c r="M43" s="29" t="s">
        <v>102</v>
      </c>
      <c r="N43" s="3347" t="str">
        <f>IF(ISBLANK(F30),"",((B43*H43)/100))</f>
        <v/>
      </c>
      <c r="O43" s="3348"/>
      <c r="P43" s="25" t="s">
        <v>92</v>
      </c>
      <c r="Q43" s="25"/>
      <c r="R43" s="25"/>
      <c r="S43" s="139"/>
    </row>
    <row r="44" spans="1:19" s="48" customFormat="1" ht="6" customHeight="1">
      <c r="A44" s="1151"/>
      <c r="B44" s="142"/>
      <c r="C44" s="454"/>
      <c r="D44" s="454"/>
      <c r="E44" s="455"/>
      <c r="F44" s="142"/>
      <c r="G44" s="166"/>
      <c r="H44" s="454"/>
      <c r="I44" s="454"/>
      <c r="J44" s="455"/>
      <c r="K44" s="456"/>
      <c r="L44" s="464"/>
      <c r="M44" s="464"/>
      <c r="N44" s="464"/>
      <c r="O44" s="464"/>
      <c r="P44" s="464"/>
      <c r="Q44" s="464"/>
      <c r="R44" s="464"/>
      <c r="S44" s="1165"/>
    </row>
    <row r="45" spans="1:19" s="48" customFormat="1" ht="6" customHeight="1">
      <c r="A45" s="437"/>
      <c r="B45" s="150"/>
      <c r="C45" s="458"/>
      <c r="D45" s="458"/>
      <c r="E45" s="459"/>
      <c r="F45" s="150"/>
      <c r="G45" s="460"/>
      <c r="H45" s="458"/>
      <c r="I45" s="458"/>
      <c r="J45" s="459"/>
      <c r="K45" s="461"/>
      <c r="L45" s="460"/>
      <c r="M45" s="502"/>
      <c r="N45" s="459"/>
      <c r="O45" s="462"/>
      <c r="P45" s="462"/>
      <c r="Q45" s="462"/>
      <c r="R45" s="462"/>
      <c r="S45" s="1175"/>
    </row>
    <row r="46" spans="1:19" ht="18" customHeight="1">
      <c r="A46" s="447" t="s">
        <v>643</v>
      </c>
      <c r="B46" s="8" t="s">
        <v>1915</v>
      </c>
      <c r="C46" s="2132"/>
      <c r="D46" s="2132"/>
      <c r="E46" s="2132"/>
      <c r="F46" s="2132"/>
      <c r="G46" s="2132"/>
      <c r="H46" s="2132"/>
      <c r="I46" s="2132"/>
      <c r="J46" s="2132"/>
      <c r="K46" s="2132"/>
      <c r="L46" s="2132"/>
      <c r="M46" s="2132"/>
      <c r="N46" s="2132"/>
      <c r="O46" s="2132"/>
      <c r="P46" s="2132"/>
      <c r="Q46" s="2132"/>
      <c r="R46" s="2132"/>
      <c r="S46" s="2135"/>
    </row>
    <row r="47" spans="1:19" ht="6" customHeight="1">
      <c r="A47" s="448"/>
      <c r="B47" s="47"/>
      <c r="C47" s="47"/>
      <c r="D47" s="47"/>
      <c r="E47" s="47"/>
      <c r="F47" s="47"/>
      <c r="G47" s="47"/>
      <c r="H47" s="47"/>
      <c r="I47" s="47"/>
      <c r="J47" s="47"/>
      <c r="K47" s="47"/>
      <c r="L47" s="47"/>
      <c r="M47" s="47"/>
      <c r="N47" s="47"/>
      <c r="O47" s="11"/>
      <c r="P47" s="50"/>
      <c r="Q47" s="50"/>
      <c r="R47" s="6"/>
      <c r="S47" s="139"/>
    </row>
    <row r="48" spans="1:19" ht="20.100000000000001" customHeight="1">
      <c r="A48" s="95"/>
      <c r="B48" s="3347" t="str">
        <f>IF(ISBLANK(F14)," ",(F14))</f>
        <v xml:space="preserve"> </v>
      </c>
      <c r="C48" s="3348"/>
      <c r="D48" s="11" t="s">
        <v>284</v>
      </c>
      <c r="E48" s="6" t="s">
        <v>311</v>
      </c>
      <c r="F48" s="3347" t="str">
        <f>IF(ISBLANK(F17)," ",(F17))</f>
        <v xml:space="preserve"> </v>
      </c>
      <c r="G48" s="3348"/>
      <c r="H48" s="11" t="s">
        <v>92</v>
      </c>
      <c r="I48" s="6" t="s">
        <v>311</v>
      </c>
      <c r="J48" s="3347" t="str">
        <f>IF(ISBLANK(F19)," ",F19)</f>
        <v xml:space="preserve"> </v>
      </c>
      <c r="K48" s="3348"/>
      <c r="L48" s="11" t="s">
        <v>715</v>
      </c>
      <c r="M48" s="3347" t="str">
        <f>IF(ISBLANK(N43)," ",N43)</f>
        <v/>
      </c>
      <c r="N48" s="3348"/>
      <c r="O48" s="11" t="s">
        <v>930</v>
      </c>
      <c r="P48" s="3347" t="str">
        <f>IF(ISBLANK(F28),"",SUM(B48,J48,F48+M48,))</f>
        <v/>
      </c>
      <c r="Q48" s="3348"/>
      <c r="R48" s="11" t="s">
        <v>92</v>
      </c>
      <c r="S48" s="138"/>
    </row>
    <row r="49" spans="1:47" ht="6" customHeight="1">
      <c r="A49" s="494"/>
      <c r="B49" s="103"/>
      <c r="C49" s="103"/>
      <c r="D49" s="103"/>
      <c r="E49" s="103"/>
      <c r="F49" s="103"/>
      <c r="G49" s="103"/>
      <c r="H49" s="103"/>
      <c r="I49" s="103"/>
      <c r="J49" s="103"/>
      <c r="K49" s="103"/>
      <c r="L49" s="103"/>
      <c r="M49" s="103"/>
      <c r="N49" s="103"/>
      <c r="O49" s="103"/>
      <c r="P49" s="71"/>
      <c r="Q49" s="103"/>
      <c r="R49" s="69"/>
      <c r="S49" s="1176"/>
    </row>
    <row r="50" spans="1:47" ht="16.350000000000001" customHeight="1">
      <c r="A50" s="3692" t="s">
        <v>308</v>
      </c>
      <c r="B50" s="3693"/>
      <c r="C50" s="3693"/>
      <c r="D50" s="3693"/>
      <c r="E50" s="3693"/>
      <c r="F50" s="3693"/>
      <c r="G50" s="3693"/>
      <c r="H50" s="3693"/>
      <c r="I50" s="3693"/>
      <c r="J50" s="3693"/>
      <c r="K50" s="3693"/>
      <c r="L50" s="3693"/>
      <c r="M50" s="3693"/>
      <c r="N50" s="3693"/>
      <c r="O50" s="3693"/>
      <c r="P50" s="3693"/>
      <c r="Q50" s="3693"/>
      <c r="R50" s="3693"/>
      <c r="S50" s="3694"/>
      <c r="T50" s="88"/>
    </row>
    <row r="51" spans="1:47" ht="20.399999999999999" customHeight="1">
      <c r="A51" s="3695" t="s">
        <v>145</v>
      </c>
      <c r="B51" s="3696"/>
      <c r="C51" s="3696"/>
      <c r="D51" s="3696"/>
      <c r="E51" s="3696"/>
      <c r="F51" s="3696"/>
      <c r="G51" s="3696"/>
      <c r="H51" s="3697" t="str">
        <f>IF(ISBLANK(F14),"",(MAX(K6,K8)))</f>
        <v/>
      </c>
      <c r="I51" s="3697"/>
      <c r="J51" s="537" t="s">
        <v>1901</v>
      </c>
      <c r="K51" s="537"/>
      <c r="L51" s="537"/>
      <c r="M51" s="537"/>
      <c r="N51" s="537"/>
      <c r="O51" s="3697" t="str">
        <f>IF(ISBLANK(F14), "  ",P48)</f>
        <v xml:space="preserve">  </v>
      </c>
      <c r="P51" s="3697"/>
      <c r="Q51" s="537" t="s">
        <v>722</v>
      </c>
      <c r="R51" s="11"/>
      <c r="S51" s="1177"/>
    </row>
    <row r="52" spans="1:47" s="48" customFormat="1" ht="6" customHeight="1">
      <c r="A52" s="437"/>
      <c r="B52" s="150"/>
      <c r="C52" s="458"/>
      <c r="D52" s="458"/>
      <c r="E52" s="459"/>
      <c r="F52" s="150"/>
      <c r="G52" s="460"/>
      <c r="H52" s="458"/>
      <c r="I52" s="458"/>
      <c r="J52" s="459"/>
      <c r="K52" s="461"/>
      <c r="L52" s="460"/>
      <c r="M52" s="502"/>
      <c r="N52" s="459"/>
      <c r="O52" s="462"/>
      <c r="P52" s="462"/>
      <c r="Q52" s="462"/>
      <c r="R52" s="462"/>
      <c r="S52" s="1175"/>
    </row>
    <row r="53" spans="1:47" ht="20.100000000000001" customHeight="1">
      <c r="A53" s="3684" t="s">
        <v>31</v>
      </c>
      <c r="B53" s="3685"/>
      <c r="C53" s="3685"/>
      <c r="D53" s="3686"/>
      <c r="E53" s="3686"/>
      <c r="F53" s="3686"/>
      <c r="G53" s="3686"/>
      <c r="H53" s="3686"/>
      <c r="I53" s="3686"/>
      <c r="J53" s="3686"/>
      <c r="K53" s="3686"/>
      <c r="L53" s="3686"/>
      <c r="M53" s="3686"/>
      <c r="N53" s="3686"/>
      <c r="O53" s="3686"/>
      <c r="P53" s="3686"/>
      <c r="Q53" s="3686"/>
      <c r="R53" s="3686"/>
      <c r="S53" s="3687"/>
    </row>
    <row r="54" spans="1:47" ht="84.75" customHeight="1" thickBot="1">
      <c r="A54" s="3698"/>
      <c r="B54" s="3699"/>
      <c r="C54" s="3699"/>
      <c r="D54" s="3699"/>
      <c r="E54" s="3699"/>
      <c r="F54" s="3699"/>
      <c r="G54" s="3699"/>
      <c r="H54" s="3699"/>
      <c r="I54" s="3699"/>
      <c r="J54" s="3699"/>
      <c r="K54" s="3699"/>
      <c r="L54" s="3699"/>
      <c r="M54" s="3699"/>
      <c r="N54" s="3699"/>
      <c r="O54" s="3699"/>
      <c r="P54" s="3699"/>
      <c r="Q54" s="3699"/>
      <c r="R54" s="3699"/>
      <c r="S54" s="3700"/>
    </row>
    <row r="55" spans="1:47" ht="9.75" customHeight="1">
      <c r="AU55" s="26"/>
    </row>
    <row r="56" spans="1:47" ht="24.75" customHeight="1">
      <c r="AU56" s="26"/>
    </row>
    <row r="57" spans="1:47" ht="24.75" customHeight="1">
      <c r="AU57" s="26"/>
    </row>
    <row r="58" spans="1:47" ht="24.75" customHeight="1">
      <c r="AU58" s="26"/>
    </row>
    <row r="59" spans="1:47" ht="24.75" customHeight="1">
      <c r="AU59" s="26"/>
    </row>
    <row r="60" spans="1:47" ht="24.75" customHeight="1">
      <c r="AU60" s="26"/>
    </row>
    <row r="61" spans="1:47" ht="24.75" customHeight="1">
      <c r="AU61" s="26"/>
    </row>
    <row r="62" spans="1:47" ht="24.75" customHeight="1">
      <c r="AU62" s="26"/>
    </row>
    <row r="63" spans="1:47" ht="24.75" customHeight="1">
      <c r="AU63" s="26"/>
    </row>
    <row r="64" spans="1:47" ht="24.75" customHeight="1">
      <c r="AU64" s="26"/>
    </row>
    <row r="65" spans="26:47" ht="24.75" customHeight="1">
      <c r="AU65" s="26"/>
    </row>
    <row r="66" spans="26:47" ht="24.75" customHeight="1">
      <c r="AU66" s="26"/>
    </row>
    <row r="67" spans="26:47" ht="24.75" customHeight="1">
      <c r="AU67" s="26"/>
    </row>
    <row r="68" spans="26:47" ht="24.75" customHeight="1">
      <c r="AU68" s="26"/>
    </row>
    <row r="69" spans="26:47" ht="24.75" customHeight="1">
      <c r="AU69" s="26"/>
    </row>
    <row r="70" spans="26:47" ht="24.75" customHeight="1">
      <c r="AU70" s="26"/>
    </row>
    <row r="71" spans="26:47" ht="24.75" customHeight="1">
      <c r="AU71" s="26"/>
    </row>
    <row r="72" spans="26:47" ht="24.75" customHeight="1">
      <c r="AU72" s="26"/>
    </row>
    <row r="73" spans="26:47" ht="24.75" customHeight="1">
      <c r="AU73" s="26"/>
    </row>
    <row r="74" spans="26:47" ht="24.75" customHeight="1">
      <c r="AU74" s="26"/>
    </row>
    <row r="75" spans="26:47" ht="24.75" customHeight="1">
      <c r="AU75" s="26"/>
    </row>
    <row r="76" spans="26:47" ht="24.75" customHeight="1">
      <c r="AU76" s="26"/>
    </row>
    <row r="77" spans="26:47" ht="24.75" customHeight="1">
      <c r="Z77" s="30"/>
      <c r="AA77" s="26"/>
      <c r="AB77" s="3690" t="s">
        <v>40</v>
      </c>
      <c r="AC77" s="3691"/>
      <c r="AD77" s="439">
        <v>1.5</v>
      </c>
      <c r="AE77" s="439">
        <v>2</v>
      </c>
      <c r="AF77" s="440">
        <v>3</v>
      </c>
      <c r="AU77" s="26"/>
    </row>
    <row r="78" spans="26:47" ht="24.75" customHeight="1">
      <c r="Z78" s="89"/>
      <c r="AA78" s="26"/>
      <c r="AB78" s="3690" t="s">
        <v>41</v>
      </c>
      <c r="AC78" s="3691"/>
      <c r="AD78" s="441">
        <v>1.07</v>
      </c>
      <c r="AE78" s="439">
        <v>1.38</v>
      </c>
      <c r="AF78" s="440">
        <v>2.04</v>
      </c>
    </row>
    <row r="79" spans="26:47" ht="24.75" customHeight="1">
      <c r="Z79" s="30"/>
      <c r="AA79" s="26"/>
      <c r="AB79" s="3690" t="s">
        <v>42</v>
      </c>
      <c r="AC79" s="3691"/>
      <c r="AD79" s="439">
        <v>4.03</v>
      </c>
      <c r="AE79" s="439">
        <v>5.17</v>
      </c>
      <c r="AF79" s="440">
        <v>7.67</v>
      </c>
    </row>
    <row r="80" spans="26:47" ht="24.75" customHeight="1">
      <c r="Z80" s="30"/>
      <c r="AA80" s="26"/>
      <c r="AB80" s="3690" t="s">
        <v>43</v>
      </c>
      <c r="AC80" s="3691"/>
      <c r="AD80" s="439">
        <v>2.15</v>
      </c>
      <c r="AE80" s="439">
        <v>2.76</v>
      </c>
      <c r="AF80" s="440">
        <v>4.09</v>
      </c>
    </row>
    <row r="81" spans="26:32" ht="24.75" customHeight="1">
      <c r="Z81" s="145"/>
      <c r="AA81" s="26"/>
      <c r="AB81" s="3690" t="s">
        <v>44</v>
      </c>
      <c r="AC81" s="3691"/>
      <c r="AD81" s="439">
        <v>2.68</v>
      </c>
      <c r="AE81" s="439">
        <v>3.45</v>
      </c>
      <c r="AF81" s="440">
        <v>5.1100000000000003</v>
      </c>
    </row>
    <row r="82" spans="26:32" ht="24.75" customHeight="1">
      <c r="AA82" s="26"/>
      <c r="AB82" s="3690" t="s">
        <v>45</v>
      </c>
      <c r="AC82" s="3691"/>
      <c r="AD82" s="439">
        <v>8.0500000000000007</v>
      </c>
      <c r="AE82" s="441">
        <v>10.3</v>
      </c>
      <c r="AF82" s="442">
        <v>15.3</v>
      </c>
    </row>
    <row r="83" spans="26:32" ht="24.75" customHeight="1">
      <c r="AA83" s="26"/>
      <c r="AB83" s="3688" t="s">
        <v>46</v>
      </c>
      <c r="AC83" s="3689"/>
      <c r="AD83" s="441">
        <v>13.4</v>
      </c>
      <c r="AE83" s="441">
        <v>17.2</v>
      </c>
      <c r="AF83" s="442">
        <v>25.5</v>
      </c>
    </row>
    <row r="84" spans="26:32" ht="24.75" customHeight="1">
      <c r="AA84" s="26"/>
      <c r="AB84" s="3688" t="s">
        <v>47</v>
      </c>
      <c r="AC84" s="3689"/>
      <c r="AD84" s="441">
        <v>20.100000000000001</v>
      </c>
      <c r="AE84" s="441">
        <v>25.8</v>
      </c>
      <c r="AF84" s="442">
        <v>38.4</v>
      </c>
    </row>
    <row r="85" spans="26:32" ht="24.75" customHeight="1">
      <c r="AA85" s="26"/>
      <c r="AB85" s="3688" t="s">
        <v>48</v>
      </c>
      <c r="AC85" s="3689"/>
      <c r="AD85" s="441">
        <v>45.6</v>
      </c>
      <c r="AE85" s="441">
        <v>58.6</v>
      </c>
      <c r="AF85" s="442">
        <v>86.9</v>
      </c>
    </row>
    <row r="86" spans="26:32" ht="24.75" customHeight="1">
      <c r="AA86" s="26"/>
      <c r="AB86" s="3688" t="s">
        <v>49</v>
      </c>
      <c r="AC86" s="3689"/>
      <c r="AD86" s="439" t="s">
        <v>707</v>
      </c>
      <c r="AE86" s="439">
        <v>7.75</v>
      </c>
      <c r="AF86" s="442">
        <v>11.5</v>
      </c>
    </row>
    <row r="87" spans="26:32" ht="24.75" customHeight="1">
      <c r="AA87" s="26"/>
    </row>
    <row r="88" spans="26:32" ht="24.75" customHeight="1">
      <c r="AA88" s="26"/>
    </row>
    <row r="89" spans="26:32" ht="24.75" customHeight="1">
      <c r="AA89" s="26"/>
    </row>
    <row r="90" spans="26:32" ht="24.75" customHeight="1">
      <c r="AA90" s="26"/>
    </row>
    <row r="91" spans="26:32" ht="24.75" customHeight="1">
      <c r="AA91" s="26"/>
    </row>
    <row r="92" spans="26:32" ht="24.75" customHeight="1">
      <c r="AA92" s="26"/>
    </row>
    <row r="93" spans="26:32" ht="24.75" customHeight="1">
      <c r="AA93" s="26"/>
    </row>
    <row r="94" spans="26:32" ht="24.75" customHeight="1">
      <c r="AA94" s="26"/>
    </row>
    <row r="95" spans="26:32" ht="24.75" customHeight="1">
      <c r="AA95" s="26"/>
    </row>
    <row r="96" spans="26:32" ht="24.75" customHeight="1">
      <c r="AA96" s="26"/>
    </row>
    <row r="97" spans="27:27" ht="24.75" customHeight="1">
      <c r="AA97" s="26"/>
    </row>
    <row r="98" spans="27:27" ht="24.75" customHeight="1">
      <c r="AA98" s="26"/>
    </row>
    <row r="99" spans="27:27" ht="24.75" customHeight="1">
      <c r="AA99" s="26"/>
    </row>
    <row r="100" spans="27:27" ht="24.75" customHeight="1">
      <c r="AA100" s="26"/>
    </row>
    <row r="101" spans="27:27" ht="24.75" customHeight="1">
      <c r="AA101" s="26"/>
    </row>
    <row r="102" spans="27:27" ht="24.75" customHeight="1">
      <c r="AA102" s="26"/>
    </row>
    <row r="103" spans="27:27" ht="24.75" customHeight="1">
      <c r="AA103" s="26"/>
    </row>
    <row r="104" spans="27:27" ht="24.75" customHeight="1">
      <c r="AA104" s="26"/>
    </row>
    <row r="105" spans="27:27" ht="24.75" customHeight="1">
      <c r="AA105" s="26"/>
    </row>
    <row r="106" spans="27:27" ht="24.75" customHeight="1">
      <c r="AA106" s="26"/>
    </row>
    <row r="107" spans="27:27" ht="24.75" customHeight="1">
      <c r="AA107" s="26"/>
    </row>
    <row r="108" spans="27:27" ht="24.75" customHeight="1">
      <c r="AA108" s="26"/>
    </row>
    <row r="109" spans="27:27" ht="24.75" customHeight="1">
      <c r="AA109" s="26"/>
    </row>
    <row r="110" spans="27:27" ht="24.75" customHeight="1">
      <c r="AA110" s="26"/>
    </row>
    <row r="111" spans="27:27" ht="24.75" customHeight="1">
      <c r="AA111" s="26"/>
    </row>
    <row r="112" spans="27:27" ht="24.75" customHeight="1">
      <c r="AA112" s="26"/>
    </row>
    <row r="113" spans="27:27" ht="24.75" customHeight="1">
      <c r="AA113" s="26"/>
    </row>
    <row r="114" spans="27:27" ht="24.75" customHeight="1">
      <c r="AA114" s="26"/>
    </row>
    <row r="115" spans="27:27" ht="24.75" customHeight="1">
      <c r="AA115" s="26"/>
    </row>
    <row r="116" spans="27:27" ht="24.75" customHeight="1">
      <c r="AA116" s="26"/>
    </row>
    <row r="117" spans="27:27" ht="24.75" customHeight="1">
      <c r="AA117" s="26"/>
    </row>
    <row r="118" spans="27:27" ht="24.75" customHeight="1">
      <c r="AA118" s="26"/>
    </row>
    <row r="119" spans="27:27" ht="24.75" customHeight="1">
      <c r="AA119" s="26"/>
    </row>
    <row r="120" spans="27:27" ht="24.75" customHeight="1">
      <c r="AA120" s="26"/>
    </row>
    <row r="121" spans="27:27" ht="24.75" customHeight="1">
      <c r="AA121" s="26"/>
    </row>
    <row r="122" spans="27:27" ht="24.75" customHeight="1">
      <c r="AA122" s="26"/>
    </row>
    <row r="123" spans="27:27" ht="24.75" customHeight="1">
      <c r="AA123" s="26"/>
    </row>
    <row r="124" spans="27:27" ht="24.75" customHeight="1">
      <c r="AA124" s="26"/>
    </row>
    <row r="125" spans="27:27" ht="24.75" customHeight="1">
      <c r="AA125" s="26"/>
    </row>
    <row r="126" spans="27:27" ht="24.75" customHeight="1">
      <c r="AA126" s="26"/>
    </row>
    <row r="127" spans="27:27" ht="24.75" customHeight="1">
      <c r="AA127" s="26"/>
    </row>
    <row r="128" spans="27:27" ht="24.75" customHeight="1">
      <c r="AA128" s="26"/>
    </row>
  </sheetData>
  <sheetProtection sheet="1" objects="1" scenarios="1"/>
  <customSheetViews>
    <customSheetView guid="{D1431318-1DB8-4C45-813B-5A8065DFC797}" showPageBreaks="1" zeroValues="0" printArea="1" view="pageBreakPreview">
      <selection activeCell="I8" sqref="I8"/>
      <pageMargins left="0.45" right="0.45" top="0.5" bottom="0.5" header="0.3" footer="0.3"/>
      <printOptions horizontalCentered="1"/>
      <pageSetup scale="75" orientation="portrait" blackAndWhite="1" r:id="rId1"/>
    </customSheetView>
  </customSheetViews>
  <mergeCells count="56">
    <mergeCell ref="AB83:AC83"/>
    <mergeCell ref="AB84:AC84"/>
    <mergeCell ref="AB85:AC85"/>
    <mergeCell ref="AB86:AC86"/>
    <mergeCell ref="B36:L38"/>
    <mergeCell ref="AB77:AC77"/>
    <mergeCell ref="AB78:AC78"/>
    <mergeCell ref="AB79:AC79"/>
    <mergeCell ref="AB80:AC80"/>
    <mergeCell ref="AB81:AC81"/>
    <mergeCell ref="AB82:AC82"/>
    <mergeCell ref="A50:S50"/>
    <mergeCell ref="A51:G51"/>
    <mergeCell ref="H51:I51"/>
    <mergeCell ref="O51:P51"/>
    <mergeCell ref="A54:S54"/>
    <mergeCell ref="A53:S53"/>
    <mergeCell ref="B48:C48"/>
    <mergeCell ref="F48:G48"/>
    <mergeCell ref="J48:K48"/>
    <mergeCell ref="P48:Q48"/>
    <mergeCell ref="M48:N48"/>
    <mergeCell ref="N43:O43"/>
    <mergeCell ref="B32:J32"/>
    <mergeCell ref="K32:L32"/>
    <mergeCell ref="E34:F34"/>
    <mergeCell ref="G34:J34"/>
    <mergeCell ref="B39:C39"/>
    <mergeCell ref="H39:I39"/>
    <mergeCell ref="B41:S41"/>
    <mergeCell ref="B42:E42"/>
    <mergeCell ref="B43:C43"/>
    <mergeCell ref="H43:I43"/>
    <mergeCell ref="K27:L27"/>
    <mergeCell ref="K2:L2"/>
    <mergeCell ref="F28:G28"/>
    <mergeCell ref="F30:G30"/>
    <mergeCell ref="B15:H15"/>
    <mergeCell ref="B17:E17"/>
    <mergeCell ref="F17:G17"/>
    <mergeCell ref="B19:E19"/>
    <mergeCell ref="F19:G19"/>
    <mergeCell ref="H19:N19"/>
    <mergeCell ref="K10:P10"/>
    <mergeCell ref="I4:L4"/>
    <mergeCell ref="B28:E28"/>
    <mergeCell ref="B30:E30"/>
    <mergeCell ref="B14:E14"/>
    <mergeCell ref="F14:G14"/>
    <mergeCell ref="E1:N1"/>
    <mergeCell ref="B8:H8"/>
    <mergeCell ref="A12:S12"/>
    <mergeCell ref="I2:J2"/>
    <mergeCell ref="B4:H4"/>
    <mergeCell ref="K6:L6"/>
    <mergeCell ref="K8:L8"/>
  </mergeCells>
  <dataValidations count="5">
    <dataValidation type="list" allowBlank="1" showInputMessage="1" showErrorMessage="1" sqref="F17:G17">
      <formula1>DistHeadLoss</formula1>
    </dataValidation>
    <dataValidation type="list" allowBlank="1" showInputMessage="1" showErrorMessage="1" sqref="F28:G28">
      <formula1>PipeDia</formula1>
    </dataValidation>
    <dataValidation type="decimal" allowBlank="1" showInputMessage="1" showErrorMessage="1" sqref="K6">
      <formula1>10</formula1>
      <formula2>45</formula2>
    </dataValidation>
    <dataValidation type="list" allowBlank="1" showInputMessage="1" sqref="K10:P10">
      <formula1>PumpTankType</formula1>
    </dataValidation>
    <dataValidation type="list" allowBlank="1" showInputMessage="1" showErrorMessage="1" sqref="I4:L4">
      <formula1>Gravity_Or_Pressure</formula1>
    </dataValidation>
  </dataValidations>
  <printOptions horizontalCentered="1"/>
  <pageMargins left="0.45" right="0.45" top="0.5" bottom="0.5" header="0.3" footer="0.3"/>
  <pageSetup scale="75" orientation="portrait" blackAndWhite="1"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55"/>
  </sheetPr>
  <dimension ref="A1:AV90"/>
  <sheetViews>
    <sheetView showGridLines="0" showZeros="0" showWhiteSpace="0" view="pageBreakPreview" zoomScaleNormal="100" zoomScaleSheetLayoutView="100" workbookViewId="0">
      <selection activeCell="N4" sqref="N4:R4"/>
    </sheetView>
  </sheetViews>
  <sheetFormatPr defaultColWidth="6.44140625" defaultRowHeight="35.1" customHeight="1"/>
  <cols>
    <col min="1" max="1" width="3.44140625" style="22" customWidth="1"/>
    <col min="2" max="4" width="7.44140625" style="22" customWidth="1"/>
    <col min="5" max="6" width="6.6640625" style="22" customWidth="1"/>
    <col min="7" max="16" width="7.44140625" style="22" customWidth="1"/>
    <col min="17" max="20" width="7.44140625" style="23" customWidth="1"/>
    <col min="21" max="34" width="6.44140625" style="22" customWidth="1"/>
    <col min="35" max="16384" width="6.44140625" style="22"/>
  </cols>
  <sheetData>
    <row r="1" spans="1:47" ht="54.9" customHeight="1" thickBot="1">
      <c r="A1" s="3598" t="s">
        <v>1756</v>
      </c>
      <c r="B1" s="3598"/>
      <c r="C1" s="3598"/>
      <c r="D1" s="3598"/>
      <c r="E1" s="3598"/>
      <c r="F1" s="3598"/>
      <c r="G1" s="3598"/>
      <c r="H1" s="3598"/>
      <c r="I1" s="3598"/>
      <c r="J1" s="3598"/>
      <c r="K1" s="3598"/>
      <c r="L1" s="3598"/>
      <c r="M1" s="3598"/>
      <c r="N1" s="3598"/>
      <c r="O1" s="3598"/>
      <c r="P1" s="3598"/>
      <c r="Q1" s="3598"/>
      <c r="R1" s="3598"/>
      <c r="S1" s="3598"/>
      <c r="T1" s="3598"/>
      <c r="V1" s="1192"/>
      <c r="W1" s="1471" t="s">
        <v>1612</v>
      </c>
      <c r="X1" s="1192"/>
      <c r="Y1" s="1192"/>
      <c r="Z1" s="1192"/>
      <c r="AA1" s="1192"/>
      <c r="AB1" s="1192"/>
      <c r="AC1" s="1192"/>
      <c r="AD1" s="1185"/>
      <c r="AE1" s="1185"/>
      <c r="AF1" s="1186"/>
      <c r="AG1" s="1186"/>
      <c r="AH1" s="1192"/>
      <c r="AI1" s="1192"/>
      <c r="AJ1" s="1192"/>
      <c r="AK1" s="1192"/>
      <c r="AL1" s="1192"/>
      <c r="AM1" s="1192"/>
      <c r="AN1" s="1192"/>
      <c r="AO1" s="1193"/>
    </row>
    <row r="2" spans="1:47" ht="24" customHeight="1">
      <c r="A2" s="1442"/>
      <c r="B2" s="3702" t="s">
        <v>1062</v>
      </c>
      <c r="C2" s="3702"/>
      <c r="D2" s="3702"/>
      <c r="E2" s="3702"/>
      <c r="F2" s="3702"/>
      <c r="G2" s="3702"/>
      <c r="H2" s="3702"/>
      <c r="I2" s="3702"/>
      <c r="J2" s="3702"/>
      <c r="K2" s="3702"/>
      <c r="L2" s="3701" t="s">
        <v>1016</v>
      </c>
      <c r="M2" s="3701"/>
      <c r="N2" s="3703" t="str">
        <f>IF(ISBLANK(Summary!S3)," ",Summary!S3)</f>
        <v xml:space="preserve"> </v>
      </c>
      <c r="O2" s="3703"/>
      <c r="P2" s="2010"/>
      <c r="Q2" s="2010"/>
      <c r="R2" s="2010"/>
      <c r="S2" s="2010"/>
      <c r="T2" s="1443" t="str">
        <f>'Drop-Down Lists'!J40</f>
        <v>v 04.01.2021</v>
      </c>
      <c r="V2" s="1191"/>
      <c r="W2" s="1192" t="s">
        <v>1083</v>
      </c>
      <c r="X2" s="11"/>
      <c r="Y2" s="11"/>
      <c r="Z2" s="11"/>
      <c r="AA2" s="11"/>
      <c r="AB2" s="11"/>
      <c r="AC2" s="11"/>
      <c r="AD2" s="11"/>
      <c r="AE2" s="11"/>
      <c r="AF2" s="11"/>
      <c r="AG2" s="11"/>
      <c r="AH2" s="59"/>
      <c r="AI2" s="59"/>
      <c r="AJ2" s="59"/>
      <c r="AK2" s="59"/>
      <c r="AL2" s="59"/>
      <c r="AM2" s="59"/>
      <c r="AN2" s="59"/>
      <c r="AO2" s="59"/>
      <c r="AT2" s="26"/>
      <c r="AU2" s="26"/>
    </row>
    <row r="3" spans="1:47" ht="6" customHeight="1">
      <c r="A3" s="1444"/>
      <c r="B3" s="147"/>
      <c r="C3" s="147"/>
      <c r="D3" s="147"/>
      <c r="E3" s="147"/>
      <c r="F3" s="147"/>
      <c r="G3" s="147"/>
      <c r="H3" s="147"/>
      <c r="I3" s="147" t="s">
        <v>826</v>
      </c>
      <c r="J3" s="147"/>
      <c r="K3" s="147"/>
      <c r="L3" s="147"/>
      <c r="M3" s="147"/>
      <c r="N3" s="147"/>
      <c r="O3" s="147"/>
      <c r="P3" s="147"/>
      <c r="Q3" s="147"/>
      <c r="R3" s="147"/>
      <c r="S3" s="147"/>
      <c r="T3" s="1445"/>
      <c r="AK3" s="11"/>
      <c r="AL3" s="6"/>
      <c r="AM3" s="6"/>
      <c r="AN3" s="6"/>
      <c r="AO3" s="6"/>
      <c r="AT3" s="26"/>
      <c r="AU3" s="26"/>
    </row>
    <row r="4" spans="1:47" ht="24" customHeight="1">
      <c r="A4" s="1446" t="s">
        <v>88</v>
      </c>
      <c r="B4" s="812" t="s">
        <v>147</v>
      </c>
      <c r="C4" s="822" t="s">
        <v>790</v>
      </c>
      <c r="D4" s="1925"/>
      <c r="E4" s="1925"/>
      <c r="F4" s="1925"/>
      <c r="G4" s="1925"/>
      <c r="H4" s="2000"/>
      <c r="I4" s="3234" t="str">
        <f>IF(ISBLANK(Summary!I11),"",Summary!I11)</f>
        <v xml:space="preserve"> </v>
      </c>
      <c r="J4" s="3255"/>
      <c r="K4" s="1925" t="s">
        <v>313</v>
      </c>
      <c r="L4" s="2003" t="s">
        <v>1818</v>
      </c>
      <c r="M4" s="2011"/>
      <c r="N4" s="3704"/>
      <c r="O4" s="3705"/>
      <c r="P4" s="3705"/>
      <c r="Q4" s="3705"/>
      <c r="R4" s="3706"/>
      <c r="S4" s="2011"/>
      <c r="T4" s="1448"/>
      <c r="V4" s="6" t="s">
        <v>147</v>
      </c>
      <c r="W4" s="11" t="s">
        <v>148</v>
      </c>
      <c r="X4" s="11"/>
      <c r="Y4" s="11"/>
      <c r="Z4" s="11"/>
      <c r="AA4" s="11"/>
      <c r="AB4" s="11"/>
      <c r="AK4" s="11"/>
      <c r="AL4" s="6"/>
      <c r="AM4" s="6"/>
      <c r="AN4" s="6"/>
      <c r="AO4" s="6"/>
      <c r="AT4" s="26"/>
      <c r="AU4" s="26"/>
    </row>
    <row r="5" spans="1:47" ht="6" customHeight="1">
      <c r="A5" s="1447"/>
      <c r="B5" s="2011"/>
      <c r="C5" s="2011"/>
      <c r="D5" s="2011"/>
      <c r="E5" s="2011"/>
      <c r="F5" s="2011"/>
      <c r="G5" s="2011"/>
      <c r="H5" s="2011"/>
      <c r="I5" s="2000"/>
      <c r="J5" s="2000"/>
      <c r="K5" s="2000"/>
      <c r="L5" s="2011"/>
      <c r="M5" s="2011"/>
      <c r="N5" s="2011"/>
      <c r="O5" s="2011"/>
      <c r="P5" s="2011"/>
      <c r="Q5" s="2011"/>
      <c r="R5" s="2011"/>
      <c r="S5" s="2011"/>
      <c r="T5" s="1448"/>
      <c r="AK5" s="25"/>
      <c r="AL5" s="29"/>
      <c r="AM5" s="29"/>
      <c r="AN5" s="29"/>
      <c r="AO5" s="29"/>
      <c r="AT5" s="26"/>
      <c r="AU5" s="26"/>
    </row>
    <row r="6" spans="1:47" ht="24" customHeight="1">
      <c r="A6" s="1447"/>
      <c r="B6" s="1991" t="s">
        <v>631</v>
      </c>
      <c r="C6" s="2003" t="s">
        <v>1386</v>
      </c>
      <c r="D6" s="2003"/>
      <c r="E6" s="2003"/>
      <c r="F6" s="2003"/>
      <c r="G6" s="2003"/>
      <c r="H6" s="2003"/>
      <c r="I6" s="3098"/>
      <c r="J6" s="3099"/>
      <c r="K6" s="2003" t="s">
        <v>741</v>
      </c>
      <c r="L6" s="2003" t="s">
        <v>1787</v>
      </c>
      <c r="M6" s="2000"/>
      <c r="N6" s="2003"/>
      <c r="O6" s="2003"/>
      <c r="P6" s="2003"/>
      <c r="Q6" s="2003"/>
      <c r="R6" s="3098"/>
      <c r="S6" s="3099"/>
      <c r="T6" s="1755" t="s">
        <v>741</v>
      </c>
      <c r="U6" s="25"/>
      <c r="W6" s="3726"/>
      <c r="X6" s="3727"/>
      <c r="Y6" s="11" t="s">
        <v>92</v>
      </c>
      <c r="Z6" s="99" t="s">
        <v>101</v>
      </c>
      <c r="AA6" s="3726"/>
      <c r="AB6" s="3727"/>
      <c r="AC6" s="6" t="s">
        <v>92</v>
      </c>
      <c r="AD6" s="99" t="s">
        <v>102</v>
      </c>
      <c r="AE6" s="3722" t="str">
        <f>IF(ISBLANK(W6), " ", (W6*AA6))</f>
        <v xml:space="preserve"> </v>
      </c>
      <c r="AF6" s="3723"/>
      <c r="AG6" s="11" t="s">
        <v>22</v>
      </c>
      <c r="AK6" s="11"/>
      <c r="AL6" s="6"/>
      <c r="AM6" s="6"/>
      <c r="AN6" s="6"/>
      <c r="AO6" s="6"/>
      <c r="AT6" s="26"/>
      <c r="AU6" s="26"/>
    </row>
    <row r="7" spans="1:47" ht="6" customHeight="1">
      <c r="A7" s="1465"/>
      <c r="B7" s="2012"/>
      <c r="C7" s="1189"/>
      <c r="D7" s="1189"/>
      <c r="E7" s="1189"/>
      <c r="F7" s="1189"/>
      <c r="G7" s="1189"/>
      <c r="H7" s="1189"/>
      <c r="I7" s="1260"/>
      <c r="J7" s="1260"/>
      <c r="K7" s="1189"/>
      <c r="L7" s="1189"/>
      <c r="M7" s="1986"/>
      <c r="N7" s="1189"/>
      <c r="O7" s="1189"/>
      <c r="P7" s="1189"/>
      <c r="Q7" s="1189"/>
      <c r="R7" s="1260"/>
      <c r="S7" s="1260"/>
      <c r="T7" s="1466"/>
      <c r="U7" s="25"/>
      <c r="AK7" s="11"/>
      <c r="AL7" s="6"/>
      <c r="AM7" s="6"/>
      <c r="AN7" s="6"/>
      <c r="AO7" s="6"/>
      <c r="AT7" s="26"/>
      <c r="AU7" s="26"/>
    </row>
    <row r="8" spans="1:47" ht="6" customHeight="1">
      <c r="A8" s="1444"/>
      <c r="B8" s="147"/>
      <c r="C8" s="147"/>
      <c r="D8" s="147"/>
      <c r="E8" s="147"/>
      <c r="F8" s="147"/>
      <c r="G8" s="147"/>
      <c r="H8" s="147"/>
      <c r="I8" s="74"/>
      <c r="J8" s="74"/>
      <c r="K8" s="74"/>
      <c r="L8" s="147"/>
      <c r="M8" s="147"/>
      <c r="N8" s="147"/>
      <c r="O8" s="147"/>
      <c r="P8" s="147"/>
      <c r="Q8" s="147"/>
      <c r="R8" s="147"/>
      <c r="S8" s="147"/>
      <c r="T8" s="1445"/>
      <c r="AK8" s="11"/>
      <c r="AL8" s="6"/>
      <c r="AM8" s="6"/>
      <c r="AN8" s="6"/>
      <c r="AO8" s="6"/>
      <c r="AT8" s="26"/>
      <c r="AU8" s="26"/>
    </row>
    <row r="9" spans="1:47" ht="24" customHeight="1">
      <c r="A9" s="1449" t="s">
        <v>89</v>
      </c>
      <c r="B9" s="1995" t="s">
        <v>147</v>
      </c>
      <c r="C9" s="2000" t="s">
        <v>961</v>
      </c>
      <c r="D9" s="57"/>
      <c r="E9" s="1991"/>
      <c r="F9" s="3098"/>
      <c r="G9" s="3712"/>
      <c r="H9" s="3712"/>
      <c r="I9" s="3712"/>
      <c r="J9" s="3099"/>
      <c r="K9" s="1995" t="s">
        <v>631</v>
      </c>
      <c r="L9" s="2000" t="s">
        <v>962</v>
      </c>
      <c r="M9" s="57"/>
      <c r="N9" s="3100"/>
      <c r="O9" s="3112"/>
      <c r="P9" s="3112"/>
      <c r="Q9" s="3112"/>
      <c r="R9" s="3101"/>
      <c r="S9" s="1995"/>
      <c r="T9" s="1450"/>
      <c r="V9" s="6" t="s">
        <v>631</v>
      </c>
      <c r="W9" s="11" t="s">
        <v>662</v>
      </c>
      <c r="X9" s="11"/>
      <c r="Y9" s="11"/>
      <c r="Z9" s="11"/>
      <c r="AA9" s="11"/>
      <c r="AB9" s="11"/>
      <c r="AK9" s="712"/>
      <c r="AL9" s="712"/>
      <c r="AM9" s="712"/>
      <c r="AN9" s="712"/>
      <c r="AO9" s="6"/>
      <c r="AT9" s="26"/>
      <c r="AU9" s="26"/>
    </row>
    <row r="10" spans="1:47" ht="6" customHeight="1">
      <c r="A10" s="1451"/>
      <c r="B10" s="1995"/>
      <c r="C10" s="2000"/>
      <c r="D10" s="57"/>
      <c r="E10" s="1991"/>
      <c r="F10" s="55"/>
      <c r="G10" s="55"/>
      <c r="H10" s="92"/>
      <c r="I10" s="2003"/>
      <c r="J10" s="1991"/>
      <c r="K10" s="55"/>
      <c r="L10" s="55"/>
      <c r="M10" s="1995"/>
      <c r="N10" s="849"/>
      <c r="O10" s="849"/>
      <c r="P10" s="508"/>
      <c r="Q10" s="508"/>
      <c r="R10" s="508"/>
      <c r="S10" s="508"/>
      <c r="T10" s="1452"/>
      <c r="AK10" s="712"/>
      <c r="AL10" s="712"/>
      <c r="AM10" s="712"/>
      <c r="AN10" s="712"/>
      <c r="AO10" s="6"/>
      <c r="AT10" s="26"/>
      <c r="AU10" s="26"/>
    </row>
    <row r="11" spans="1:47" ht="24" customHeight="1">
      <c r="A11" s="1451"/>
      <c r="B11" s="1995" t="s">
        <v>149</v>
      </c>
      <c r="C11" s="2000" t="s">
        <v>1084</v>
      </c>
      <c r="D11" s="2000"/>
      <c r="E11" s="2000"/>
      <c r="F11" s="2000"/>
      <c r="G11" s="2000"/>
      <c r="H11" s="2000"/>
      <c r="I11" s="3098"/>
      <c r="J11" s="3581"/>
      <c r="K11" s="2000" t="s">
        <v>96</v>
      </c>
      <c r="L11" s="2000"/>
      <c r="M11" s="2000"/>
      <c r="N11" s="3713" t="s">
        <v>1085</v>
      </c>
      <c r="O11" s="3713"/>
      <c r="P11" s="3713"/>
      <c r="Q11" s="3713"/>
      <c r="R11" s="3713"/>
      <c r="S11" s="3713"/>
      <c r="T11" s="3714"/>
      <c r="W11" s="11"/>
      <c r="X11" s="99" t="s">
        <v>288</v>
      </c>
      <c r="Y11" s="11"/>
      <c r="Z11" s="3724"/>
      <c r="AA11" s="3725"/>
      <c r="AB11" s="485">
        <v>2</v>
      </c>
      <c r="AC11" s="11" t="s">
        <v>92</v>
      </c>
      <c r="AD11" s="99" t="s">
        <v>102</v>
      </c>
      <c r="AE11" s="3347" t="str">
        <f>IF(ISBLANK(Z11)," ",PI()*Z11*Z11)</f>
        <v xml:space="preserve"> </v>
      </c>
      <c r="AF11" s="3348"/>
      <c r="AG11" s="11" t="s">
        <v>22</v>
      </c>
      <c r="AK11" s="11"/>
      <c r="AL11" s="11"/>
      <c r="AM11" s="11"/>
      <c r="AN11" s="11"/>
      <c r="AO11" s="11"/>
      <c r="AT11" s="26"/>
      <c r="AU11" s="26"/>
    </row>
    <row r="12" spans="1:47" ht="6" customHeight="1">
      <c r="A12" s="1453"/>
      <c r="B12" s="1991"/>
      <c r="C12" s="2003"/>
      <c r="D12" s="2003"/>
      <c r="E12" s="2003"/>
      <c r="F12" s="2003"/>
      <c r="G12" s="2003"/>
      <c r="H12" s="2003"/>
      <c r="I12" s="151"/>
      <c r="J12" s="151"/>
      <c r="K12" s="151"/>
      <c r="L12" s="2000"/>
      <c r="M12" s="2000"/>
      <c r="N12" s="3713"/>
      <c r="O12" s="3713"/>
      <c r="P12" s="3713"/>
      <c r="Q12" s="3713"/>
      <c r="R12" s="3713"/>
      <c r="S12" s="3713"/>
      <c r="T12" s="3714"/>
      <c r="V12" s="1191"/>
      <c r="AD12" s="11"/>
      <c r="AE12" s="11"/>
      <c r="AF12" s="11"/>
      <c r="AG12" s="11"/>
      <c r="AH12" s="11"/>
      <c r="AI12" s="11"/>
      <c r="AJ12" s="11"/>
      <c r="AK12" s="29"/>
      <c r="AL12" s="29"/>
      <c r="AM12" s="29"/>
      <c r="AN12" s="29"/>
      <c r="AO12" s="29"/>
      <c r="AT12" s="26"/>
    </row>
    <row r="13" spans="1:47" s="48" customFormat="1" ht="24" customHeight="1">
      <c r="A13" s="1453"/>
      <c r="B13" s="1991" t="s">
        <v>588</v>
      </c>
      <c r="C13" s="2003" t="s">
        <v>1066</v>
      </c>
      <c r="D13" s="2003"/>
      <c r="E13" s="2003"/>
      <c r="F13" s="2003"/>
      <c r="G13" s="2003"/>
      <c r="H13" s="151"/>
      <c r="I13" s="3583"/>
      <c r="J13" s="3673"/>
      <c r="K13" s="2000" t="s">
        <v>702</v>
      </c>
      <c r="L13" s="2003"/>
      <c r="M13" s="2003"/>
      <c r="N13" s="3713"/>
      <c r="O13" s="3713"/>
      <c r="P13" s="3713"/>
      <c r="Q13" s="3713"/>
      <c r="R13" s="3713"/>
      <c r="S13" s="3713"/>
      <c r="T13" s="3714"/>
      <c r="V13" s="6" t="s">
        <v>149</v>
      </c>
      <c r="W13" s="3562" t="s">
        <v>1388</v>
      </c>
      <c r="X13" s="3562"/>
      <c r="Y13" s="3562"/>
      <c r="Z13" s="3562"/>
      <c r="AA13" s="3562"/>
      <c r="AB13" s="3562"/>
      <c r="AC13" s="3562"/>
      <c r="AD13" s="3562"/>
      <c r="AE13" s="3562"/>
      <c r="AF13" s="3562"/>
      <c r="AG13" s="3562"/>
      <c r="AH13" s="3562"/>
      <c r="AI13" s="3562"/>
      <c r="AJ13" s="3562"/>
      <c r="AK13" s="3562"/>
      <c r="AL13" s="25"/>
      <c r="AM13" s="25"/>
      <c r="AN13" s="42"/>
      <c r="AO13" s="11"/>
      <c r="AP13" s="22"/>
      <c r="AQ13" s="22"/>
      <c r="AT13" s="26"/>
    </row>
    <row r="14" spans="1:47" ht="6" customHeight="1">
      <c r="A14" s="848"/>
      <c r="B14" s="2000"/>
      <c r="C14" s="2000"/>
      <c r="D14" s="2000"/>
      <c r="E14" s="2000"/>
      <c r="F14" s="2000"/>
      <c r="G14" s="2000"/>
      <c r="H14" s="2000"/>
      <c r="I14" s="2000"/>
      <c r="J14" s="2000"/>
      <c r="K14" s="2000"/>
      <c r="L14" s="2000"/>
      <c r="M14" s="2000"/>
      <c r="N14" s="3713"/>
      <c r="O14" s="3713"/>
      <c r="P14" s="3713"/>
      <c r="Q14" s="3713"/>
      <c r="R14" s="3713"/>
      <c r="S14" s="3713"/>
      <c r="T14" s="3714"/>
      <c r="V14" s="29"/>
      <c r="W14" s="3562"/>
      <c r="X14" s="3562"/>
      <c r="Y14" s="3562"/>
      <c r="Z14" s="3562"/>
      <c r="AA14" s="3562"/>
      <c r="AB14" s="3562"/>
      <c r="AC14" s="3562"/>
      <c r="AD14" s="3562"/>
      <c r="AE14" s="3562"/>
      <c r="AF14" s="3562"/>
      <c r="AG14" s="3562"/>
      <c r="AH14" s="3562"/>
      <c r="AI14" s="3562"/>
      <c r="AJ14" s="3562"/>
      <c r="AK14" s="3562"/>
      <c r="AL14" s="29"/>
      <c r="AM14" s="29"/>
      <c r="AN14" s="29"/>
      <c r="AO14" s="29"/>
      <c r="AT14" s="26"/>
    </row>
    <row r="15" spans="1:47" ht="24" customHeight="1">
      <c r="A15" s="1453"/>
      <c r="B15" s="1991" t="s">
        <v>589</v>
      </c>
      <c r="C15" s="2003" t="s">
        <v>1067</v>
      </c>
      <c r="D15" s="2003"/>
      <c r="E15" s="2003"/>
      <c r="F15" s="2003"/>
      <c r="G15" s="2003"/>
      <c r="H15" s="151"/>
      <c r="I15" s="3583"/>
      <c r="J15" s="3673"/>
      <c r="K15" s="2000" t="s">
        <v>640</v>
      </c>
      <c r="L15" s="2000"/>
      <c r="M15" s="2000"/>
      <c r="N15" s="3713"/>
      <c r="O15" s="3713"/>
      <c r="P15" s="3713"/>
      <c r="Q15" s="3713"/>
      <c r="R15" s="3713"/>
      <c r="S15" s="3713"/>
      <c r="T15" s="3714"/>
      <c r="V15" s="6"/>
      <c r="W15" s="3724"/>
      <c r="X15" s="3725"/>
      <c r="Y15" s="6" t="s">
        <v>22</v>
      </c>
      <c r="Z15" s="99" t="s">
        <v>16</v>
      </c>
      <c r="AA15" s="4" t="s">
        <v>1387</v>
      </c>
      <c r="AB15" s="98"/>
      <c r="AC15" s="161"/>
      <c r="AD15" s="161"/>
      <c r="AE15" s="99" t="s">
        <v>102</v>
      </c>
      <c r="AF15" s="3347" t="str">
        <f>IF(ISBLANK(W15)," ",W15*7.5/12)</f>
        <v xml:space="preserve"> </v>
      </c>
      <c r="AG15" s="3348"/>
      <c r="AH15" s="11" t="s">
        <v>702</v>
      </c>
      <c r="AI15" s="11"/>
      <c r="AJ15" s="11"/>
      <c r="AK15" s="6"/>
      <c r="AL15" s="29"/>
      <c r="AM15" s="29"/>
      <c r="AN15" s="29"/>
      <c r="AO15" s="29"/>
      <c r="AT15" s="26"/>
    </row>
    <row r="16" spans="1:47" ht="6" customHeight="1">
      <c r="A16" s="1454"/>
      <c r="B16" s="103"/>
      <c r="C16" s="103"/>
      <c r="D16" s="103"/>
      <c r="E16" s="103"/>
      <c r="F16" s="103"/>
      <c r="G16" s="103"/>
      <c r="H16" s="103"/>
      <c r="I16" s="103"/>
      <c r="J16" s="103"/>
      <c r="K16" s="103"/>
      <c r="L16" s="103"/>
      <c r="M16" s="103"/>
      <c r="N16" s="103"/>
      <c r="O16" s="103"/>
      <c r="P16" s="103"/>
      <c r="Q16" s="2005"/>
      <c r="R16" s="2005"/>
      <c r="S16" s="2005"/>
      <c r="T16" s="1455"/>
      <c r="V16" s="6"/>
      <c r="W16" s="6"/>
      <c r="AI16" s="11"/>
      <c r="AJ16" s="11"/>
      <c r="AK16" s="11"/>
      <c r="AL16" s="11"/>
      <c r="AM16" s="11"/>
      <c r="AN16" s="11"/>
      <c r="AO16" s="11"/>
      <c r="AT16" s="26"/>
    </row>
    <row r="17" spans="1:46" ht="24" customHeight="1">
      <c r="A17" s="3709" t="s">
        <v>1063</v>
      </c>
      <c r="B17" s="3710"/>
      <c r="C17" s="3710"/>
      <c r="D17" s="3710"/>
      <c r="E17" s="3710"/>
      <c r="F17" s="3710"/>
      <c r="G17" s="3710"/>
      <c r="H17" s="3710"/>
      <c r="I17" s="3710"/>
      <c r="J17" s="3710"/>
      <c r="K17" s="3710"/>
      <c r="L17" s="3710"/>
      <c r="M17" s="3710"/>
      <c r="N17" s="3710"/>
      <c r="O17" s="3710"/>
      <c r="P17" s="3710"/>
      <c r="Q17" s="3710"/>
      <c r="R17" s="3710"/>
      <c r="S17" s="3710"/>
      <c r="T17" s="3711"/>
      <c r="V17" s="6" t="s">
        <v>588</v>
      </c>
      <c r="W17" s="11" t="s">
        <v>615</v>
      </c>
      <c r="X17" s="11"/>
      <c r="Y17" s="11"/>
      <c r="Z17" s="11"/>
      <c r="AA17" s="55"/>
      <c r="AB17" s="55"/>
      <c r="AC17" s="92"/>
      <c r="AD17" s="25"/>
      <c r="AE17" s="29"/>
      <c r="AF17" s="55"/>
      <c r="AG17" s="55"/>
      <c r="AH17" s="6"/>
      <c r="AI17" s="11"/>
      <c r="AJ17" s="11"/>
      <c r="AK17" s="11"/>
      <c r="AL17" s="6"/>
      <c r="AM17" s="6"/>
      <c r="AN17" s="6"/>
      <c r="AO17" s="6"/>
      <c r="AT17" s="26"/>
    </row>
    <row r="18" spans="1:46" ht="18" customHeight="1">
      <c r="A18" s="1456">
        <v>3</v>
      </c>
      <c r="B18" s="3562" t="s">
        <v>264</v>
      </c>
      <c r="C18" s="3562"/>
      <c r="D18" s="3562"/>
      <c r="E18" s="3562"/>
      <c r="F18" s="3562"/>
      <c r="G18" s="3562"/>
      <c r="H18" s="3562"/>
      <c r="I18" s="3562"/>
      <c r="J18" s="3562"/>
      <c r="K18" s="3562"/>
      <c r="L18" s="3562"/>
      <c r="M18" s="3562"/>
      <c r="N18" s="3562"/>
      <c r="O18" s="3562"/>
      <c r="P18" s="3562"/>
      <c r="Q18" s="3562"/>
      <c r="R18" s="3562"/>
      <c r="S18" s="3562"/>
      <c r="T18" s="1242"/>
      <c r="V18" s="12"/>
      <c r="W18" s="10" t="s">
        <v>616</v>
      </c>
      <c r="X18" s="11"/>
      <c r="Y18" s="11"/>
      <c r="Z18" s="11"/>
      <c r="AA18" s="11"/>
      <c r="AB18" s="11"/>
      <c r="AC18" s="11"/>
      <c r="AD18" s="11"/>
      <c r="AE18" s="11"/>
      <c r="AF18" s="3728"/>
      <c r="AG18" s="3729"/>
      <c r="AH18" s="11" t="s">
        <v>94</v>
      </c>
      <c r="AT18" s="26"/>
    </row>
    <row r="19" spans="1:46" ht="18" customHeight="1">
      <c r="A19" s="1451"/>
      <c r="B19" s="3562"/>
      <c r="C19" s="3562"/>
      <c r="D19" s="3562"/>
      <c r="E19" s="3562"/>
      <c r="F19" s="3562"/>
      <c r="G19" s="3562"/>
      <c r="H19" s="3562"/>
      <c r="I19" s="3562"/>
      <c r="J19" s="3562"/>
      <c r="K19" s="3562"/>
      <c r="L19" s="3562"/>
      <c r="M19" s="3562"/>
      <c r="N19" s="3562"/>
      <c r="O19" s="3562"/>
      <c r="P19" s="3562"/>
      <c r="Q19" s="3562"/>
      <c r="R19" s="3562"/>
      <c r="S19" s="3562"/>
      <c r="T19" s="1242"/>
      <c r="V19" s="11"/>
      <c r="W19" s="10" t="s">
        <v>617</v>
      </c>
      <c r="X19" s="11"/>
      <c r="Y19" s="11"/>
      <c r="Z19" s="11"/>
      <c r="AA19" s="11"/>
      <c r="AB19" s="11"/>
      <c r="AC19" s="11"/>
      <c r="AD19" s="6"/>
      <c r="AE19" s="6"/>
      <c r="AF19" s="11"/>
      <c r="AG19" s="11"/>
      <c r="AH19" s="4"/>
      <c r="AI19" s="4"/>
      <c r="AJ19" s="4"/>
      <c r="AT19" s="26"/>
    </row>
    <row r="20" spans="1:46" s="48" customFormat="1" ht="18" customHeight="1">
      <c r="A20" s="1451"/>
      <c r="B20" s="2000" t="s">
        <v>1916</v>
      </c>
      <c r="C20" s="2000"/>
      <c r="D20" s="2000"/>
      <c r="E20" s="2000"/>
      <c r="F20" s="2000"/>
      <c r="G20" s="2000"/>
      <c r="H20" s="2000"/>
      <c r="I20" s="2000"/>
      <c r="J20" s="2000"/>
      <c r="K20" s="2000"/>
      <c r="L20" s="2000"/>
      <c r="M20" s="2000"/>
      <c r="N20" s="2000"/>
      <c r="O20" s="2000"/>
      <c r="P20" s="2000"/>
      <c r="Q20" s="2000"/>
      <c r="R20" s="2000"/>
      <c r="S20" s="2000"/>
      <c r="T20" s="1242"/>
      <c r="V20" s="11"/>
      <c r="W20" s="3385" t="str">
        <f>IF(ISBLANK(AF18)," ",(AF18))</f>
        <v xml:space="preserve"> </v>
      </c>
      <c r="X20" s="3351"/>
      <c r="Y20" s="6" t="s">
        <v>94</v>
      </c>
      <c r="Z20" s="99" t="s">
        <v>101</v>
      </c>
      <c r="AA20" s="3347">
        <f>IF(ISBLANK(AF15),"",MAX(I13,AF15))</f>
        <v>0</v>
      </c>
      <c r="AB20" s="3348"/>
      <c r="AC20" s="11" t="s">
        <v>1389</v>
      </c>
      <c r="AD20" s="11"/>
      <c r="AE20" s="11"/>
      <c r="AF20" s="3347" t="str">
        <f>IF(ISBLANK(AF18)," ",(W20*AA20))</f>
        <v xml:space="preserve"> </v>
      </c>
      <c r="AG20" s="3348"/>
      <c r="AH20" s="11" t="s">
        <v>96</v>
      </c>
      <c r="AT20" s="26"/>
    </row>
    <row r="21" spans="1:46" ht="24" customHeight="1">
      <c r="A21" s="848"/>
      <c r="B21" s="1989" t="s">
        <v>310</v>
      </c>
      <c r="C21" s="3100"/>
      <c r="D21" s="3101"/>
      <c r="E21" s="99" t="s">
        <v>663</v>
      </c>
      <c r="F21" s="2000" t="s">
        <v>703</v>
      </c>
      <c r="G21" s="2000"/>
      <c r="H21" s="3347" t="str">
        <f>IF(ISBLANK(C21), " ", MAX(I13,AF15))</f>
        <v xml:space="preserve"> </v>
      </c>
      <c r="I21" s="3348"/>
      <c r="J21" s="2000" t="s">
        <v>150</v>
      </c>
      <c r="K21" s="2000"/>
      <c r="L21" s="2000"/>
      <c r="M21" s="99" t="s">
        <v>102</v>
      </c>
      <c r="N21" s="3383" t="str">
        <f>IF(ISBLANK(C21)," ",((C21+2)*H21))</f>
        <v xml:space="preserve"> </v>
      </c>
      <c r="O21" s="3384"/>
      <c r="P21" s="2000" t="s">
        <v>96</v>
      </c>
      <c r="Q21" s="2000"/>
      <c r="R21" s="2000"/>
      <c r="S21" s="2000"/>
      <c r="T21" s="1242"/>
      <c r="V21" s="35"/>
      <c r="AI21" s="25"/>
      <c r="AJ21" s="25"/>
      <c r="AT21" s="26"/>
    </row>
    <row r="22" spans="1:46" ht="18" customHeight="1">
      <c r="A22" s="1456">
        <v>4</v>
      </c>
      <c r="B22" s="3562" t="s">
        <v>1829</v>
      </c>
      <c r="C22" s="3562"/>
      <c r="D22" s="3562"/>
      <c r="E22" s="3562"/>
      <c r="F22" s="3562"/>
      <c r="G22" s="3562"/>
      <c r="H22" s="3562"/>
      <c r="I22" s="3562"/>
      <c r="J22" s="3562"/>
      <c r="K22" s="3562"/>
      <c r="L22" s="3562"/>
      <c r="M22" s="3562"/>
      <c r="N22" s="2003"/>
      <c r="O22" s="2003"/>
      <c r="P22" s="2003"/>
      <c r="Q22" s="1995"/>
      <c r="R22" s="1995"/>
      <c r="S22" s="1995"/>
      <c r="T22" s="1450"/>
      <c r="V22" s="12"/>
      <c r="AB22" s="11"/>
      <c r="AC22" s="11"/>
      <c r="AD22" s="11"/>
      <c r="AE22" s="11"/>
      <c r="AF22" s="11"/>
      <c r="AG22" s="11"/>
      <c r="AH22" s="11"/>
      <c r="AI22" s="11"/>
      <c r="AJ22" s="11"/>
      <c r="AT22" s="26"/>
    </row>
    <row r="23" spans="1:46" ht="24" customHeight="1">
      <c r="A23" s="1451"/>
      <c r="B23" s="10" t="s">
        <v>1792</v>
      </c>
      <c r="C23" s="517"/>
      <c r="D23" s="517"/>
      <c r="E23" s="517"/>
      <c r="F23" s="517"/>
      <c r="G23" s="517"/>
      <c r="H23" s="517"/>
      <c r="I23" s="517"/>
      <c r="J23" s="517"/>
      <c r="K23" s="3383" t="str">
        <f>IF(ISBLANK(C21)," ",MAX('Pres. Dist.'!G73,'Non-Level '!K189))</f>
        <v xml:space="preserve"> </v>
      </c>
      <c r="L23" s="3384"/>
      <c r="M23" s="24" t="s">
        <v>1825</v>
      </c>
      <c r="N23" s="2000"/>
      <c r="O23" s="2000"/>
      <c r="P23" s="2000"/>
      <c r="Q23" s="3730" t="str">
        <f>IF(ISBLANK(C21)," ",(K23/H21))</f>
        <v xml:space="preserve"> </v>
      </c>
      <c r="R23" s="3731"/>
      <c r="S23" s="2000" t="s">
        <v>1827</v>
      </c>
      <c r="T23" s="1242"/>
      <c r="V23" s="12"/>
      <c r="W23" s="6"/>
      <c r="AJ23" s="11"/>
      <c r="AT23" s="26"/>
    </row>
    <row r="24" spans="1:46" ht="18" customHeight="1">
      <c r="A24" s="1456">
        <v>5</v>
      </c>
      <c r="B24" s="2000" t="s">
        <v>1828</v>
      </c>
      <c r="C24" s="2000"/>
      <c r="D24" s="2000"/>
      <c r="E24" s="2000"/>
      <c r="F24" s="2000"/>
      <c r="G24" s="2000"/>
      <c r="H24" s="2000"/>
      <c r="I24" s="2000"/>
      <c r="J24" s="2000"/>
      <c r="K24" s="2000"/>
      <c r="L24" s="2000"/>
      <c r="M24" s="2000"/>
      <c r="N24" s="2000"/>
      <c r="O24" s="2000"/>
      <c r="P24" s="2000"/>
      <c r="Q24" s="2000"/>
      <c r="R24" s="2000"/>
      <c r="S24" s="2000"/>
      <c r="T24" s="1242"/>
      <c r="V24" s="12"/>
      <c r="W24" s="6"/>
      <c r="AI24" s="11"/>
      <c r="AJ24" s="11"/>
      <c r="AT24" s="26"/>
    </row>
    <row r="25" spans="1:46" ht="24" customHeight="1">
      <c r="A25" s="1457"/>
      <c r="B25" s="2000" t="s">
        <v>312</v>
      </c>
      <c r="C25" s="2000"/>
      <c r="D25" s="2000"/>
      <c r="E25" s="3385" t="str">
        <f>IF(ISBLANK(Summary!I11)," ",Summary!I11)</f>
        <v xml:space="preserve"> </v>
      </c>
      <c r="F25" s="3351"/>
      <c r="G25" s="1995" t="s">
        <v>313</v>
      </c>
      <c r="H25" s="99" t="s">
        <v>101</v>
      </c>
      <c r="I25" s="2000">
        <v>0.25</v>
      </c>
      <c r="J25" s="2007" t="s">
        <v>102</v>
      </c>
      <c r="K25" s="3383" t="str">
        <f>IF(ISBLANK(C21)," ",(E25*0.25))</f>
        <v xml:space="preserve"> </v>
      </c>
      <c r="L25" s="3384"/>
      <c r="M25" s="24" t="s">
        <v>1826</v>
      </c>
      <c r="N25" s="2000"/>
      <c r="O25" s="2000"/>
      <c r="P25" s="2000"/>
      <c r="Q25" s="3730" t="str">
        <f>IF(ISBLANK(C21)," ",(K25/H21))</f>
        <v xml:space="preserve"> </v>
      </c>
      <c r="R25" s="3731"/>
      <c r="S25" s="2000" t="s">
        <v>1827</v>
      </c>
      <c r="T25" s="1450"/>
      <c r="V25" s="6"/>
      <c r="W25" s="6"/>
      <c r="AJ25" s="11"/>
      <c r="AT25" s="26"/>
    </row>
    <row r="26" spans="1:46" s="48" customFormat="1" ht="6" customHeight="1">
      <c r="A26" s="1456"/>
      <c r="B26" s="1997"/>
      <c r="C26" s="1997"/>
      <c r="D26" s="1997"/>
      <c r="E26" s="1997"/>
      <c r="F26" s="1997"/>
      <c r="G26" s="1997"/>
      <c r="H26" s="1997"/>
      <c r="I26" s="1997"/>
      <c r="J26" s="1997"/>
      <c r="K26" s="1997"/>
      <c r="L26" s="1997"/>
      <c r="M26" s="1997"/>
      <c r="N26" s="1997"/>
      <c r="O26" s="1997"/>
      <c r="P26" s="1997"/>
      <c r="Q26" s="2000"/>
      <c r="R26" s="2000"/>
      <c r="S26" s="2000"/>
      <c r="T26" s="1242"/>
      <c r="V26" s="6"/>
      <c r="W26" s="6"/>
      <c r="X26" s="13"/>
      <c r="Y26" s="13"/>
      <c r="Z26" s="13"/>
      <c r="AA26" s="13"/>
      <c r="AB26" s="13"/>
      <c r="AC26" s="13"/>
      <c r="AD26" s="13"/>
      <c r="AE26" s="13"/>
      <c r="AF26" s="13"/>
      <c r="AG26" s="11"/>
      <c r="AH26" s="11"/>
      <c r="AI26" s="11"/>
      <c r="AJ26" s="11"/>
      <c r="AT26" s="26"/>
    </row>
    <row r="27" spans="1:46" ht="6" customHeight="1">
      <c r="A27" s="1756"/>
      <c r="B27" s="74"/>
      <c r="C27" s="74"/>
      <c r="D27" s="74"/>
      <c r="E27" s="1179"/>
      <c r="F27" s="74"/>
      <c r="G27" s="74"/>
      <c r="H27" s="74"/>
      <c r="I27" s="74"/>
      <c r="J27" s="74"/>
      <c r="K27" s="74"/>
      <c r="L27" s="74"/>
      <c r="M27" s="74"/>
      <c r="N27" s="74"/>
      <c r="O27" s="1180"/>
      <c r="P27" s="74"/>
      <c r="Q27" s="74"/>
      <c r="R27" s="74"/>
      <c r="S27" s="74"/>
      <c r="T27" s="1461"/>
      <c r="AT27" s="26"/>
    </row>
    <row r="28" spans="1:46" ht="24" customHeight="1">
      <c r="A28" s="1456">
        <v>6</v>
      </c>
      <c r="B28" s="3587" t="s">
        <v>1393</v>
      </c>
      <c r="C28" s="3587"/>
      <c r="D28" s="3587"/>
      <c r="E28" s="3587"/>
      <c r="F28" s="3587"/>
      <c r="G28" s="3587"/>
      <c r="H28" s="3587"/>
      <c r="I28" s="3587"/>
      <c r="J28" s="3587"/>
      <c r="K28" s="3100"/>
      <c r="L28" s="3101"/>
      <c r="M28" s="2000" t="s">
        <v>96</v>
      </c>
      <c r="N28" s="2000"/>
      <c r="O28" s="2000"/>
      <c r="P28" s="2092"/>
      <c r="Q28" s="3607"/>
      <c r="R28" s="3607"/>
      <c r="S28" s="2091"/>
      <c r="T28" s="1242"/>
      <c r="AT28" s="26"/>
    </row>
    <row r="29" spans="1:46" ht="18" customHeight="1">
      <c r="A29" s="1456">
        <v>7</v>
      </c>
      <c r="B29" s="2000" t="s">
        <v>1354</v>
      </c>
      <c r="C29" s="2000"/>
      <c r="D29" s="2000"/>
      <c r="E29" s="2000"/>
      <c r="F29" s="2000"/>
      <c r="G29" s="2000"/>
      <c r="H29" s="2000"/>
      <c r="I29" s="2000"/>
      <c r="J29" s="2000"/>
      <c r="K29" s="2000"/>
      <c r="L29" s="2000"/>
      <c r="M29" s="2000"/>
      <c r="N29" s="2000"/>
      <c r="O29" s="2000"/>
      <c r="P29" s="2000"/>
      <c r="Q29" s="2000"/>
      <c r="R29" s="2000"/>
      <c r="S29" s="2000"/>
      <c r="T29" s="1450"/>
      <c r="AT29" s="26"/>
    </row>
    <row r="30" spans="1:46" ht="24" customHeight="1">
      <c r="A30" s="1457"/>
      <c r="B30" s="2003"/>
      <c r="C30" s="3385" t="str">
        <f>IF(ISBLANK(E25)," ",E25)</f>
        <v xml:space="preserve"> </v>
      </c>
      <c r="D30" s="3351"/>
      <c r="E30" s="3707" t="s">
        <v>653</v>
      </c>
      <c r="F30" s="3708"/>
      <c r="G30" s="3385" t="str">
        <f>IF(ISBLANK(K28)," ",K28)</f>
        <v xml:space="preserve"> </v>
      </c>
      <c r="H30" s="3351"/>
      <c r="I30" s="3707" t="s">
        <v>1390</v>
      </c>
      <c r="J30" s="3720"/>
      <c r="K30" s="3716" t="str">
        <f>IF(ISBLANK(C21)," ",C30/G30)</f>
        <v xml:space="preserve"> </v>
      </c>
      <c r="L30" s="3717"/>
      <c r="M30" s="10" t="s">
        <v>664</v>
      </c>
      <c r="N30" s="2003"/>
      <c r="O30" s="1470"/>
      <c r="P30" s="1470"/>
      <c r="Q30" s="56"/>
      <c r="R30" s="56"/>
      <c r="S30" s="149"/>
      <c r="T30" s="1458"/>
      <c r="AT30" s="26"/>
    </row>
    <row r="31" spans="1:46" ht="20.100000000000001" customHeight="1">
      <c r="A31" s="1456">
        <v>8</v>
      </c>
      <c r="B31" s="2000" t="s">
        <v>17</v>
      </c>
      <c r="C31" s="2000"/>
      <c r="D31" s="2000"/>
      <c r="E31" s="2000"/>
      <c r="F31" s="2000"/>
      <c r="G31" s="2000"/>
      <c r="H31" s="2000"/>
      <c r="I31" s="1470"/>
      <c r="J31" s="2013"/>
      <c r="K31" s="1470"/>
      <c r="L31" s="1991"/>
      <c r="M31" s="56"/>
      <c r="N31" s="10"/>
      <c r="O31" s="2000"/>
      <c r="P31" s="2000"/>
      <c r="Q31" s="2000"/>
      <c r="R31" s="2000"/>
      <c r="S31" s="2000"/>
      <c r="T31" s="1242"/>
      <c r="AT31" s="26"/>
    </row>
    <row r="32" spans="1:46" s="48" customFormat="1" ht="24" customHeight="1">
      <c r="A32" s="1456"/>
      <c r="B32" s="2000" t="s">
        <v>147</v>
      </c>
      <c r="C32" s="10" t="s">
        <v>619</v>
      </c>
      <c r="D32" s="2000"/>
      <c r="E32" s="2000"/>
      <c r="F32" s="2000"/>
      <c r="G32" s="2000"/>
      <c r="H32" s="2000"/>
      <c r="I32" s="2000"/>
      <c r="J32" s="3385" t="str">
        <f>IF(ISBLANK(K28),"",('Pump-Basic(1) '!F28))</f>
        <v/>
      </c>
      <c r="K32" s="3351"/>
      <c r="L32" s="2003" t="s">
        <v>640</v>
      </c>
      <c r="M32" s="2000"/>
      <c r="N32" s="2000"/>
      <c r="O32" s="2000"/>
      <c r="P32" s="2000"/>
      <c r="Q32" s="2000"/>
      <c r="R32" s="2000"/>
      <c r="S32" s="2000"/>
      <c r="T32" s="1242"/>
      <c r="AT32" s="26"/>
    </row>
    <row r="33" spans="1:46" s="48" customFormat="1" ht="6" customHeight="1">
      <c r="A33" s="1457"/>
      <c r="B33" s="2003"/>
      <c r="C33" s="1993"/>
      <c r="D33" s="2003"/>
      <c r="E33" s="2003"/>
      <c r="F33" s="2003"/>
      <c r="G33" s="2003"/>
      <c r="H33" s="1470"/>
      <c r="I33" s="1470"/>
      <c r="J33" s="2011"/>
      <c r="K33" s="2003"/>
      <c r="L33" s="2003"/>
      <c r="M33" s="2003"/>
      <c r="N33" s="2003"/>
      <c r="O33" s="2003"/>
      <c r="P33" s="2003"/>
      <c r="Q33" s="1470"/>
      <c r="R33" s="1470"/>
      <c r="S33" s="2011"/>
      <c r="T33" s="793"/>
      <c r="AT33" s="26"/>
    </row>
    <row r="34" spans="1:46" ht="24" customHeight="1">
      <c r="A34" s="1457"/>
      <c r="B34" s="2000" t="s">
        <v>631</v>
      </c>
      <c r="C34" s="2000" t="s">
        <v>18</v>
      </c>
      <c r="D34" s="2000"/>
      <c r="E34" s="2000"/>
      <c r="F34" s="2000"/>
      <c r="G34" s="2000"/>
      <c r="H34" s="2000"/>
      <c r="I34" s="2000"/>
      <c r="J34" s="3383" t="str">
        <f>IF(ISBLANK(K28),"",'Pump-Basic(1) '!F30)</f>
        <v/>
      </c>
      <c r="K34" s="3351"/>
      <c r="L34" s="2003" t="s">
        <v>629</v>
      </c>
      <c r="M34" s="2003"/>
      <c r="N34" s="2003"/>
      <c r="O34" s="2003"/>
      <c r="P34" s="2003"/>
      <c r="Q34" s="1470"/>
      <c r="R34" s="1470"/>
      <c r="S34" s="2011"/>
      <c r="T34" s="793"/>
      <c r="AT34" s="26"/>
    </row>
    <row r="35" spans="1:46" s="48" customFormat="1" ht="6" customHeight="1">
      <c r="A35" s="1456"/>
      <c r="B35" s="2000"/>
      <c r="C35" s="496"/>
      <c r="D35" s="496"/>
      <c r="E35" s="509"/>
      <c r="F35" s="496"/>
      <c r="G35" s="496"/>
      <c r="H35" s="516"/>
      <c r="I35" s="2003"/>
      <c r="J35" s="526"/>
      <c r="K35" s="527"/>
      <c r="L35" s="2003"/>
      <c r="M35" s="2000"/>
      <c r="N35" s="10"/>
      <c r="O35" s="2000"/>
      <c r="P35" s="2000"/>
      <c r="Q35" s="2000"/>
      <c r="R35" s="2000"/>
      <c r="S35" s="2000"/>
      <c r="T35" s="1242"/>
      <c r="AT35" s="26"/>
    </row>
    <row r="36" spans="1:46" ht="24" customHeight="1">
      <c r="A36" s="1456"/>
      <c r="B36" s="2000" t="s">
        <v>149</v>
      </c>
      <c r="C36" s="10" t="s">
        <v>620</v>
      </c>
      <c r="D36" s="2000"/>
      <c r="E36" s="2000"/>
      <c r="F36" s="2000"/>
      <c r="G36" s="2000"/>
      <c r="H36" s="2007"/>
      <c r="I36" s="496"/>
      <c r="J36" s="3718" t="str">
        <f>IF(ISBLANK(C21)," ",IF(J32=1,"0.045",IF(J32=1.25,"0.078",IF(J32=1.5,"0.110",IF(J32=2,"0.170",IF(J32=3,"0.380"))))))</f>
        <v xml:space="preserve"> </v>
      </c>
      <c r="K36" s="3719"/>
      <c r="L36" s="2000" t="s">
        <v>661</v>
      </c>
      <c r="M36" s="56"/>
      <c r="N36" s="10"/>
      <c r="O36" s="2000"/>
      <c r="P36" s="2000"/>
      <c r="Q36" s="2000"/>
      <c r="R36" s="2000"/>
      <c r="S36" s="2000"/>
      <c r="T36" s="1242"/>
      <c r="AT36" s="26"/>
    </row>
    <row r="37" spans="1:46" s="48" customFormat="1" ht="18" customHeight="1">
      <c r="A37" s="1456"/>
      <c r="B37" s="2000" t="s">
        <v>588</v>
      </c>
      <c r="C37" s="10" t="s">
        <v>621</v>
      </c>
      <c r="D37" s="2000"/>
      <c r="E37" s="2000"/>
      <c r="F37" s="2000"/>
      <c r="G37" s="2000"/>
      <c r="H37" s="2000"/>
      <c r="I37" s="1470"/>
      <c r="J37" s="2013"/>
      <c r="K37" s="2013"/>
      <c r="L37" s="1991"/>
      <c r="M37" s="56"/>
      <c r="N37" s="10"/>
      <c r="O37" s="2000"/>
      <c r="P37" s="2000"/>
      <c r="Q37" s="2000"/>
      <c r="R37" s="2000"/>
      <c r="S37" s="2000"/>
      <c r="T37" s="1242"/>
      <c r="AH37" s="141"/>
      <c r="AI37" s="141"/>
      <c r="AK37" s="9"/>
      <c r="AL37" s="39"/>
      <c r="AT37" s="26"/>
    </row>
    <row r="38" spans="1:46" ht="24" customHeight="1">
      <c r="A38" s="1456"/>
      <c r="B38" s="2000"/>
      <c r="C38" s="3385" t="str">
        <f>IF(ISBLANK(J32),"",J34)</f>
        <v/>
      </c>
      <c r="D38" s="3351"/>
      <c r="E38" s="99" t="s">
        <v>122</v>
      </c>
      <c r="F38" s="3385" t="str">
        <f>J36</f>
        <v xml:space="preserve"> </v>
      </c>
      <c r="G38" s="3351"/>
      <c r="H38" s="2007" t="s">
        <v>1391</v>
      </c>
      <c r="I38" s="2000"/>
      <c r="J38" s="3347" t="str">
        <f>IF(ISBLANK(C21),"",C38*F38)</f>
        <v/>
      </c>
      <c r="K38" s="3715"/>
      <c r="L38" s="2003" t="s">
        <v>96</v>
      </c>
      <c r="M38" s="2000"/>
      <c r="N38" s="10"/>
      <c r="O38" s="2000"/>
      <c r="P38" s="2000"/>
      <c r="Q38" s="2000"/>
      <c r="R38" s="2000"/>
      <c r="S38" s="2000"/>
      <c r="T38" s="1242"/>
      <c r="AT38" s="26"/>
    </row>
    <row r="39" spans="1:46" ht="18" customHeight="1">
      <c r="A39" s="1456" t="s">
        <v>99</v>
      </c>
      <c r="B39" s="10" t="s">
        <v>1355</v>
      </c>
      <c r="C39" s="2000"/>
      <c r="D39" s="2000"/>
      <c r="E39" s="2000"/>
      <c r="F39" s="2000"/>
      <c r="G39" s="2000"/>
      <c r="H39" s="2000"/>
      <c r="I39" s="1470"/>
      <c r="J39" s="2013"/>
      <c r="K39" s="1470"/>
      <c r="L39" s="1991"/>
      <c r="M39" s="56"/>
      <c r="N39" s="10"/>
      <c r="O39" s="2000"/>
      <c r="P39" s="2000"/>
      <c r="Q39" s="2000"/>
      <c r="R39" s="2000"/>
      <c r="S39" s="2000"/>
      <c r="T39" s="1242"/>
      <c r="AT39" s="26"/>
    </row>
    <row r="40" spans="1:46" ht="24" customHeight="1">
      <c r="A40" s="1456"/>
      <c r="B40" s="2000"/>
      <c r="C40" s="3385" t="str">
        <f>IF(ISBLANK(K28), " ", K28)</f>
        <v xml:space="preserve"> </v>
      </c>
      <c r="D40" s="3351"/>
      <c r="E40" s="99" t="s">
        <v>666</v>
      </c>
      <c r="F40" s="3347" t="str">
        <f>J38</f>
        <v/>
      </c>
      <c r="G40" s="3351"/>
      <c r="H40" s="99" t="s">
        <v>667</v>
      </c>
      <c r="I40" s="3383" t="str">
        <f>IF(ISBLANK(C21),"",C40+F40)</f>
        <v/>
      </c>
      <c r="J40" s="3384"/>
      <c r="K40" s="2003" t="s">
        <v>96</v>
      </c>
      <c r="L40" s="1991"/>
      <c r="M40" s="56"/>
      <c r="N40" s="10"/>
      <c r="O40" s="2000"/>
      <c r="P40" s="2000"/>
      <c r="Q40" s="2000"/>
      <c r="R40" s="2000"/>
      <c r="S40" s="2000"/>
      <c r="T40" s="1242"/>
      <c r="AT40" s="26"/>
    </row>
    <row r="41" spans="1:46" ht="18" customHeight="1">
      <c r="A41" s="1457" t="s">
        <v>103</v>
      </c>
      <c r="B41" s="2003" t="s">
        <v>1064</v>
      </c>
      <c r="C41" s="438"/>
      <c r="D41" s="438"/>
      <c r="E41" s="509"/>
      <c r="F41" s="151"/>
      <c r="G41" s="438"/>
      <c r="H41" s="509"/>
      <c r="I41" s="151"/>
      <c r="J41" s="151"/>
      <c r="K41" s="2003"/>
      <c r="L41" s="1991"/>
      <c r="M41" s="56"/>
      <c r="N41" s="1993"/>
      <c r="O41" s="2003"/>
      <c r="P41" s="2003"/>
      <c r="Q41" s="2003"/>
      <c r="R41" s="2003"/>
      <c r="S41" s="2003"/>
      <c r="T41" s="793"/>
      <c r="AH41" s="17"/>
      <c r="AI41" s="17"/>
      <c r="AK41" s="9"/>
      <c r="AL41" s="9"/>
      <c r="AT41" s="26"/>
    </row>
    <row r="42" spans="1:46" ht="24" customHeight="1">
      <c r="A42" s="1457"/>
      <c r="B42" s="2003"/>
      <c r="C42" s="3100"/>
      <c r="D42" s="3101"/>
      <c r="E42" s="2007" t="s">
        <v>290</v>
      </c>
      <c r="F42" s="3347" t="str">
        <f>IF(ISBLANK(C21), " ", MAX(I13,AF15))</f>
        <v xml:space="preserve"> </v>
      </c>
      <c r="G42" s="3595"/>
      <c r="H42" s="2007" t="s">
        <v>1392</v>
      </c>
      <c r="I42" s="2003"/>
      <c r="J42" s="3347" t="str">
        <f>IF(ISBLANK(C42), "",C42*F42)</f>
        <v/>
      </c>
      <c r="K42" s="3595"/>
      <c r="L42" s="2003" t="s">
        <v>96</v>
      </c>
      <c r="M42" s="2003"/>
      <c r="N42" s="2003"/>
      <c r="O42" s="2003"/>
      <c r="P42" s="2003"/>
      <c r="Q42" s="2003"/>
      <c r="R42" s="2003"/>
      <c r="S42" s="2003"/>
      <c r="T42" s="793"/>
      <c r="AH42" s="17"/>
      <c r="AI42" s="17"/>
      <c r="AK42" s="9"/>
      <c r="AL42" s="9"/>
      <c r="AT42" s="26"/>
    </row>
    <row r="43" spans="1:46" s="48" customFormat="1" ht="6" customHeight="1">
      <c r="A43" s="1459"/>
      <c r="B43" s="142"/>
      <c r="C43" s="454"/>
      <c r="D43" s="454"/>
      <c r="E43" s="1181"/>
      <c r="F43" s="1182"/>
      <c r="G43" s="454"/>
      <c r="H43" s="1181"/>
      <c r="I43" s="1182"/>
      <c r="J43" s="1182"/>
      <c r="K43" s="142"/>
      <c r="L43" s="1439"/>
      <c r="M43" s="1183"/>
      <c r="N43" s="1184"/>
      <c r="O43" s="142"/>
      <c r="P43" s="142"/>
      <c r="Q43" s="142"/>
      <c r="R43" s="142"/>
      <c r="S43" s="142"/>
      <c r="T43" s="1460"/>
      <c r="AH43" s="141"/>
      <c r="AI43" s="141"/>
      <c r="AK43" s="9"/>
      <c r="AL43" s="39"/>
      <c r="AT43" s="26"/>
    </row>
    <row r="44" spans="1:46" s="48" customFormat="1" ht="24" customHeight="1">
      <c r="A44" s="2008" t="s">
        <v>1458</v>
      </c>
      <c r="B44" s="2006"/>
      <c r="C44" s="2006"/>
      <c r="D44" s="2006"/>
      <c r="E44" s="2006"/>
      <c r="F44" s="2006"/>
      <c r="G44" s="2006"/>
      <c r="H44" s="2006"/>
      <c r="I44" s="2006"/>
      <c r="J44" s="2006"/>
      <c r="K44" s="2006"/>
      <c r="L44" s="2006"/>
      <c r="M44" s="2006"/>
      <c r="N44" s="2006"/>
      <c r="O44" s="2006"/>
      <c r="P44" s="2006"/>
      <c r="Q44" s="2006"/>
      <c r="R44" s="2006"/>
      <c r="S44" s="2006"/>
      <c r="T44" s="2009"/>
      <c r="AH44" s="141"/>
      <c r="AI44" s="141"/>
      <c r="AK44" s="9"/>
      <c r="AL44" s="39"/>
      <c r="AT44" s="26"/>
    </row>
    <row r="45" spans="1:46" s="48" customFormat="1" ht="20.100000000000001" customHeight="1">
      <c r="A45" s="1456" t="s">
        <v>105</v>
      </c>
      <c r="B45" s="2000" t="s">
        <v>627</v>
      </c>
      <c r="C45" s="2000"/>
      <c r="D45" s="2000"/>
      <c r="E45" s="2000"/>
      <c r="F45" s="2000"/>
      <c r="G45" s="2000"/>
      <c r="H45" s="2000"/>
      <c r="I45" s="2000"/>
      <c r="J45" s="2000"/>
      <c r="K45" s="2000"/>
      <c r="L45" s="2000"/>
      <c r="M45" s="2000"/>
      <c r="N45" s="2000"/>
      <c r="O45" s="2000"/>
      <c r="P45" s="2000"/>
      <c r="Q45" s="1995"/>
      <c r="R45" s="1995"/>
      <c r="S45" s="1995"/>
      <c r="T45" s="1450"/>
      <c r="AH45" s="141"/>
      <c r="AI45" s="141"/>
      <c r="AK45" s="39"/>
      <c r="AL45" s="39"/>
      <c r="AT45" s="26"/>
    </row>
    <row r="46" spans="1:46" s="11" customFormat="1" ht="18" customHeight="1">
      <c r="A46" s="1451"/>
      <c r="B46" s="10" t="s">
        <v>1068</v>
      </c>
      <c r="C46" s="2000"/>
      <c r="D46" s="2000"/>
      <c r="E46" s="2000"/>
      <c r="F46" s="2000"/>
      <c r="G46" s="2000"/>
      <c r="H46" s="2000"/>
      <c r="I46" s="2000"/>
      <c r="J46" s="2000"/>
      <c r="K46" s="2000"/>
      <c r="L46" s="2000"/>
      <c r="M46" s="2000"/>
      <c r="N46" s="2000"/>
      <c r="O46" s="2000"/>
      <c r="P46" s="2000"/>
      <c r="Q46" s="1995"/>
      <c r="R46" s="1995"/>
      <c r="S46" s="1995"/>
      <c r="T46" s="1450"/>
    </row>
    <row r="47" spans="1:46" ht="24" customHeight="1">
      <c r="A47" s="1451"/>
      <c r="B47" s="2003"/>
      <c r="C47" s="3383" t="str">
        <f>I40</f>
        <v/>
      </c>
      <c r="D47" s="3384"/>
      <c r="E47" s="3707" t="s">
        <v>1394</v>
      </c>
      <c r="F47" s="3708"/>
      <c r="G47" s="3347">
        <f>I13</f>
        <v>0</v>
      </c>
      <c r="H47" s="3348"/>
      <c r="I47" s="3559" t="s">
        <v>250</v>
      </c>
      <c r="J47" s="3559"/>
      <c r="K47" s="3347" t="str">
        <f>IF(ISBLANK(C21),"",C47/G47)</f>
        <v/>
      </c>
      <c r="L47" s="3348"/>
      <c r="M47" s="2000" t="s">
        <v>144</v>
      </c>
      <c r="N47" s="2000"/>
      <c r="O47" s="2000"/>
      <c r="P47" s="2000"/>
      <c r="Q47" s="1995"/>
      <c r="R47" s="1995"/>
      <c r="S47" s="1995"/>
      <c r="T47" s="793"/>
    </row>
    <row r="48" spans="1:46" ht="20.100000000000001" customHeight="1">
      <c r="A48" s="1456" t="s">
        <v>109</v>
      </c>
      <c r="B48" s="144" t="s">
        <v>314</v>
      </c>
      <c r="C48" s="53"/>
      <c r="D48" s="53"/>
      <c r="E48" s="1999"/>
      <c r="F48" s="145"/>
      <c r="G48" s="53"/>
      <c r="H48" s="1995"/>
      <c r="I48" s="49"/>
      <c r="J48" s="2000"/>
      <c r="K48" s="2000"/>
      <c r="L48" s="2000"/>
      <c r="M48" s="2000"/>
      <c r="O48" s="2000"/>
      <c r="R48" s="2000"/>
      <c r="S48" s="2000"/>
      <c r="T48" s="1242"/>
      <c r="AL48" s="9"/>
      <c r="AT48" s="26"/>
    </row>
    <row r="49" spans="1:48" ht="18" customHeight="1" thickBot="1">
      <c r="A49" s="1451" t="s">
        <v>147</v>
      </c>
      <c r="B49" s="10" t="s">
        <v>1356</v>
      </c>
      <c r="C49" s="1997"/>
      <c r="D49" s="1997"/>
      <c r="E49" s="1997"/>
      <c r="F49" s="1997"/>
      <c r="G49" s="1997"/>
      <c r="H49" s="1997"/>
      <c r="I49" s="1997"/>
      <c r="J49" s="1997"/>
      <c r="K49" s="1997"/>
      <c r="L49" s="1986"/>
      <c r="M49" s="2000"/>
      <c r="N49" s="2003" t="s">
        <v>1283</v>
      </c>
      <c r="O49" s="2003"/>
      <c r="P49" s="2414" t="str">
        <f>K47</f>
        <v/>
      </c>
      <c r="Q49" s="2000" t="s">
        <v>94</v>
      </c>
      <c r="R49" s="1995"/>
      <c r="S49" s="2000"/>
      <c r="T49" s="1242"/>
      <c r="AG49" s="9"/>
      <c r="AH49" s="17"/>
      <c r="AI49" s="17"/>
    </row>
    <row r="50" spans="1:48" s="48" customFormat="1" ht="24" customHeight="1" thickBot="1">
      <c r="A50" s="1451"/>
      <c r="B50" s="2000"/>
      <c r="C50" s="3385">
        <f>C21</f>
        <v>0</v>
      </c>
      <c r="D50" s="3351"/>
      <c r="E50" s="3707" t="s">
        <v>1776</v>
      </c>
      <c r="F50" s="3708"/>
      <c r="G50" s="3383" t="str">
        <f>IF(ISBLANK(C42), "",C50+2)</f>
        <v/>
      </c>
      <c r="H50" s="3384"/>
      <c r="I50" s="2000" t="s">
        <v>144</v>
      </c>
      <c r="J50" s="2003"/>
      <c r="K50" s="2003"/>
      <c r="L50" s="2003"/>
      <c r="M50" s="1995"/>
      <c r="N50" s="46" t="s">
        <v>21</v>
      </c>
      <c r="O50" s="46"/>
      <c r="P50" s="2415" t="str">
        <f>J54</f>
        <v/>
      </c>
      <c r="Q50" s="987" t="s">
        <v>94</v>
      </c>
      <c r="R50" s="1995"/>
      <c r="S50" s="2000"/>
      <c r="T50" s="1242"/>
      <c r="AG50" s="39"/>
      <c r="AH50" s="141"/>
      <c r="AI50" s="141"/>
    </row>
    <row r="51" spans="1:48" ht="18" customHeight="1" thickBot="1">
      <c r="A51" s="1451" t="s">
        <v>631</v>
      </c>
      <c r="B51" s="8" t="s">
        <v>1070</v>
      </c>
      <c r="C51" s="1996"/>
      <c r="D51" s="1996"/>
      <c r="E51" s="1996"/>
      <c r="F51" s="1996"/>
      <c r="G51" s="1996"/>
      <c r="H51" s="1996"/>
      <c r="I51" s="1996"/>
      <c r="J51" s="1996"/>
      <c r="K51" s="1996"/>
      <c r="L51" s="1987"/>
      <c r="M51" s="1987"/>
      <c r="N51" s="2000" t="s">
        <v>19</v>
      </c>
      <c r="O51" s="2000"/>
      <c r="P51" s="2416" t="str">
        <f>J52</f>
        <v/>
      </c>
      <c r="Q51" s="2000" t="s">
        <v>94</v>
      </c>
      <c r="R51" s="2417" t="str">
        <f>J42</f>
        <v/>
      </c>
      <c r="S51" s="986" t="str">
        <f>"Gal"</f>
        <v>Gal</v>
      </c>
      <c r="T51" s="1988"/>
    </row>
    <row r="52" spans="1:48" ht="24" customHeight="1" thickBot="1">
      <c r="A52" s="1462"/>
      <c r="B52" s="2000"/>
      <c r="C52" s="3383" t="str">
        <f>G50</f>
        <v/>
      </c>
      <c r="D52" s="3351"/>
      <c r="E52" s="99" t="s">
        <v>251</v>
      </c>
      <c r="F52" s="2000"/>
      <c r="G52" s="3347" t="str">
        <f>K47</f>
        <v/>
      </c>
      <c r="H52" s="3351"/>
      <c r="I52" s="99" t="s">
        <v>252</v>
      </c>
      <c r="J52" s="3383" t="str">
        <f>IF(ISBLANK(C21),"",C52+G52)</f>
        <v/>
      </c>
      <c r="K52" s="3384"/>
      <c r="L52" s="2000" t="s">
        <v>144</v>
      </c>
      <c r="M52" s="2000"/>
      <c r="N52" s="2000" t="s">
        <v>20</v>
      </c>
      <c r="O52" s="2000"/>
      <c r="P52" s="2416" t="str">
        <f>G50</f>
        <v/>
      </c>
      <c r="Q52" s="2000" t="s">
        <v>94</v>
      </c>
      <c r="R52" s="2418" t="str">
        <f>C47</f>
        <v/>
      </c>
      <c r="S52" s="986" t="str">
        <f>"Gal"</f>
        <v>Gal</v>
      </c>
      <c r="T52" s="1242"/>
    </row>
    <row r="53" spans="1:48" ht="18" customHeight="1">
      <c r="A53" s="1451" t="s">
        <v>149</v>
      </c>
      <c r="B53" s="10" t="s">
        <v>1071</v>
      </c>
      <c r="C53" s="1997"/>
      <c r="D53" s="1997"/>
      <c r="E53" s="1997"/>
      <c r="F53" s="1997"/>
      <c r="G53" s="1997"/>
      <c r="H53" s="1997"/>
      <c r="I53" s="1997"/>
      <c r="J53" s="1997"/>
      <c r="K53" s="1997"/>
      <c r="L53" s="2000"/>
      <c r="M53" s="2000"/>
      <c r="N53" s="2000"/>
      <c r="O53" s="2000"/>
      <c r="P53" s="2000"/>
      <c r="R53" s="2419" t="str">
        <f>N21</f>
        <v xml:space="preserve"> </v>
      </c>
      <c r="S53" s="986" t="str">
        <f>"Gal"</f>
        <v>Gal</v>
      </c>
      <c r="T53" s="1242"/>
    </row>
    <row r="54" spans="1:48" ht="24" customHeight="1">
      <c r="A54" s="1451"/>
      <c r="B54" s="2000"/>
      <c r="C54" s="3383" t="str">
        <f>J52</f>
        <v/>
      </c>
      <c r="D54" s="3384"/>
      <c r="E54" s="99" t="s">
        <v>251</v>
      </c>
      <c r="F54" s="2000"/>
      <c r="G54" s="3347">
        <f>C42</f>
        <v>0</v>
      </c>
      <c r="H54" s="3348"/>
      <c r="I54" s="498" t="s">
        <v>253</v>
      </c>
      <c r="J54" s="3383" t="str">
        <f>IF(ISBLANK(C21),"",C54+G54)</f>
        <v/>
      </c>
      <c r="K54" s="3384"/>
      <c r="L54" s="2000" t="s">
        <v>144</v>
      </c>
      <c r="M54" s="2000"/>
      <c r="N54" s="2000"/>
      <c r="O54" s="2000"/>
      <c r="P54" s="2000"/>
      <c r="Q54" s="2000"/>
      <c r="R54" s="2000"/>
      <c r="S54" s="2000"/>
      <c r="T54" s="1242"/>
    </row>
    <row r="55" spans="1:48" ht="6" customHeight="1" thickBot="1">
      <c r="A55" s="1759"/>
      <c r="B55" s="1760"/>
      <c r="C55" s="1760"/>
      <c r="D55" s="1761"/>
      <c r="E55" s="1762"/>
      <c r="F55" s="1762"/>
      <c r="G55" s="1763"/>
      <c r="H55" s="1760"/>
      <c r="I55" s="1229"/>
      <c r="J55" s="1229"/>
      <c r="K55" s="1229"/>
      <c r="L55" s="1229"/>
      <c r="M55" s="1229"/>
      <c r="N55" s="1229"/>
      <c r="O55" s="1229"/>
      <c r="P55" s="1229"/>
      <c r="Q55" s="1229"/>
      <c r="R55" s="1229"/>
      <c r="S55" s="1229"/>
      <c r="T55" s="1464"/>
    </row>
    <row r="56" spans="1:48" ht="6" customHeight="1"/>
    <row r="57" spans="1:48" ht="18" customHeight="1">
      <c r="K57" s="2"/>
      <c r="L57" s="20"/>
      <c r="M57" s="2"/>
      <c r="N57" s="2"/>
      <c r="O57" s="2"/>
      <c r="P57" s="2"/>
      <c r="Q57" s="2"/>
    </row>
    <row r="58" spans="1:48" s="25" customFormat="1" ht="18" customHeight="1">
      <c r="A58" s="22"/>
      <c r="B58" s="22"/>
      <c r="C58" s="22"/>
      <c r="D58" s="22"/>
      <c r="E58" s="22"/>
      <c r="F58" s="22"/>
      <c r="G58" s="22"/>
      <c r="H58" s="22"/>
      <c r="I58" s="22"/>
      <c r="J58" s="22"/>
      <c r="K58" s="19"/>
      <c r="L58" s="19"/>
      <c r="M58" s="19"/>
      <c r="N58" s="19"/>
      <c r="O58" s="31"/>
      <c r="P58" s="22"/>
      <c r="Q58" s="19"/>
      <c r="R58" s="23"/>
      <c r="S58" s="23"/>
      <c r="T58" s="23"/>
    </row>
    <row r="59" spans="1:48" s="25" customFormat="1" ht="18" customHeight="1">
      <c r="A59" s="22"/>
      <c r="B59" s="22"/>
      <c r="C59" s="22"/>
      <c r="D59" s="22"/>
      <c r="E59" s="22"/>
      <c r="F59" s="22"/>
      <c r="G59" s="22"/>
      <c r="H59" s="22"/>
      <c r="I59" s="22"/>
      <c r="J59" s="22"/>
      <c r="K59" s="22"/>
      <c r="L59" s="22"/>
      <c r="M59" s="22"/>
      <c r="N59" s="22"/>
      <c r="O59" s="22"/>
      <c r="P59" s="22"/>
      <c r="Q59" s="23"/>
      <c r="R59" s="23"/>
      <c r="S59" s="23"/>
      <c r="T59" s="23"/>
    </row>
    <row r="60" spans="1:48" s="25" customFormat="1" ht="20.100000000000001" customHeight="1">
      <c r="A60" s="22"/>
      <c r="B60" s="22"/>
      <c r="C60" s="22"/>
      <c r="D60" s="22"/>
      <c r="E60" s="22"/>
      <c r="F60" s="22"/>
      <c r="G60" s="22"/>
      <c r="H60" s="22"/>
      <c r="I60" s="22"/>
      <c r="J60" s="22"/>
      <c r="K60" s="22"/>
      <c r="L60" s="22"/>
      <c r="M60" s="22"/>
      <c r="N60" s="22"/>
      <c r="O60" s="22"/>
      <c r="P60" s="22"/>
      <c r="Q60" s="23"/>
      <c r="R60" s="23"/>
      <c r="S60" s="23"/>
      <c r="T60" s="23"/>
      <c r="AU60" s="3721" t="str">
        <f>IF(ISBLANK(C21),"",(G50*H21))</f>
        <v/>
      </c>
      <c r="AV60" s="3721"/>
    </row>
    <row r="61" spans="1:48" s="25" customFormat="1" ht="18" customHeight="1">
      <c r="A61" s="20"/>
      <c r="B61" s="20"/>
      <c r="C61" s="21"/>
      <c r="D61" s="20"/>
      <c r="E61" s="2"/>
      <c r="F61" s="20"/>
      <c r="G61" s="20"/>
      <c r="H61" s="2"/>
      <c r="I61" s="20"/>
      <c r="J61" s="20"/>
      <c r="K61" s="22"/>
      <c r="L61" s="22"/>
      <c r="M61" s="22"/>
      <c r="N61" s="22"/>
      <c r="O61" s="22"/>
      <c r="P61" s="22"/>
      <c r="Q61" s="23"/>
      <c r="R61" s="2"/>
      <c r="S61" s="2"/>
      <c r="T61" s="2"/>
    </row>
    <row r="62" spans="1:48" ht="18" customHeight="1">
      <c r="A62" s="2"/>
      <c r="B62" s="2"/>
      <c r="D62" s="6"/>
      <c r="E62" s="6"/>
      <c r="F62" s="6"/>
      <c r="G62" s="6"/>
      <c r="H62" s="6"/>
      <c r="I62" s="4"/>
      <c r="R62" s="19"/>
      <c r="S62" s="19"/>
      <c r="T62" s="19"/>
    </row>
    <row r="63" spans="1:48" ht="20.100000000000001" customHeight="1"/>
    <row r="64" spans="1:48" ht="18" customHeight="1"/>
    <row r="65" spans="1:20" ht="20.100000000000001" customHeight="1"/>
    <row r="66" spans="1:20" ht="18" customHeight="1"/>
    <row r="67" spans="1:20" ht="20.100000000000001" customHeight="1"/>
    <row r="68" spans="1:20" ht="6" customHeight="1"/>
    <row r="69" spans="1:20" ht="18" customHeight="1"/>
    <row r="70" spans="1:20" ht="19.5" customHeight="1"/>
    <row r="71" spans="1:20" ht="19.5" customHeight="1"/>
    <row r="72" spans="1:20" s="25" customFormat="1" ht="19.5" customHeight="1">
      <c r="A72" s="22"/>
      <c r="B72" s="22"/>
      <c r="C72" s="22"/>
      <c r="D72" s="22"/>
      <c r="E72" s="22"/>
      <c r="F72" s="22"/>
      <c r="G72" s="22"/>
      <c r="H72" s="22"/>
      <c r="I72" s="22"/>
      <c r="J72" s="22"/>
      <c r="K72" s="22"/>
      <c r="L72" s="22"/>
      <c r="M72" s="22"/>
      <c r="N72" s="22"/>
      <c r="O72" s="22"/>
      <c r="P72" s="22"/>
      <c r="Q72" s="23"/>
      <c r="R72" s="23"/>
      <c r="S72" s="23"/>
      <c r="T72" s="23"/>
    </row>
    <row r="73" spans="1:20" s="48" customFormat="1" ht="19.5" customHeight="1">
      <c r="A73" s="22"/>
      <c r="B73" s="22"/>
      <c r="C73" s="22"/>
      <c r="D73" s="22"/>
      <c r="E73" s="22"/>
      <c r="F73" s="22"/>
      <c r="G73" s="22"/>
      <c r="H73" s="22"/>
      <c r="I73" s="22"/>
      <c r="J73" s="22"/>
      <c r="K73" s="22"/>
      <c r="L73" s="22"/>
      <c r="M73" s="22"/>
      <c r="N73" s="22"/>
      <c r="O73" s="22"/>
      <c r="P73" s="22"/>
      <c r="Q73" s="23"/>
      <c r="R73" s="23"/>
      <c r="S73" s="23"/>
      <c r="T73" s="23"/>
    </row>
    <row r="74" spans="1:20" s="48" customFormat="1" ht="17.25" customHeight="1">
      <c r="A74" s="22"/>
      <c r="B74" s="22"/>
      <c r="C74" s="22"/>
      <c r="D74" s="22"/>
      <c r="E74" s="22"/>
      <c r="F74" s="22"/>
      <c r="G74" s="22"/>
      <c r="H74" s="22"/>
      <c r="I74" s="22"/>
      <c r="J74" s="22"/>
      <c r="K74" s="22"/>
      <c r="L74" s="22"/>
      <c r="M74" s="22"/>
      <c r="N74" s="22"/>
      <c r="O74" s="22"/>
      <c r="P74" s="22"/>
      <c r="Q74" s="23"/>
      <c r="R74" s="23"/>
      <c r="S74" s="23"/>
      <c r="T74" s="23"/>
    </row>
    <row r="75" spans="1:20" s="48" customFormat="1" ht="24" customHeight="1">
      <c r="A75" s="22"/>
      <c r="B75" s="22"/>
      <c r="C75" s="22"/>
      <c r="D75" s="22"/>
      <c r="E75" s="22"/>
      <c r="F75" s="22"/>
      <c r="G75" s="22"/>
      <c r="H75" s="22"/>
      <c r="I75" s="22"/>
      <c r="J75" s="22"/>
      <c r="K75" s="22"/>
      <c r="L75" s="22"/>
      <c r="M75" s="22"/>
      <c r="N75" s="22"/>
      <c r="O75" s="22"/>
      <c r="P75" s="22"/>
      <c r="Q75" s="23"/>
      <c r="R75" s="23"/>
      <c r="S75" s="23"/>
      <c r="T75" s="23"/>
    </row>
    <row r="76" spans="1:20" s="48" customFormat="1" ht="19.5" customHeight="1">
      <c r="A76" s="22"/>
      <c r="B76" s="22"/>
      <c r="C76" s="22"/>
      <c r="D76" s="22"/>
      <c r="E76" s="22"/>
      <c r="F76" s="22"/>
      <c r="G76" s="22"/>
      <c r="H76" s="22"/>
      <c r="I76" s="22"/>
      <c r="J76" s="22"/>
      <c r="K76" s="22"/>
      <c r="L76" s="22"/>
      <c r="M76" s="22"/>
      <c r="N76" s="22"/>
      <c r="O76" s="22"/>
      <c r="P76" s="22"/>
      <c r="Q76" s="23"/>
      <c r="R76" s="23"/>
      <c r="S76" s="23"/>
      <c r="T76" s="23"/>
    </row>
    <row r="77" spans="1:20" s="48" customFormat="1" ht="19.5" customHeight="1">
      <c r="A77" s="22"/>
      <c r="B77" s="22"/>
      <c r="C77" s="22"/>
      <c r="D77" s="22"/>
      <c r="E77" s="22"/>
      <c r="F77" s="22"/>
      <c r="G77" s="22"/>
      <c r="H77" s="22"/>
      <c r="I77" s="22"/>
      <c r="J77" s="22"/>
      <c r="K77" s="22"/>
      <c r="L77" s="22"/>
      <c r="M77" s="22"/>
      <c r="N77" s="22"/>
      <c r="O77" s="22"/>
      <c r="P77" s="22"/>
      <c r="Q77" s="23"/>
      <c r="R77" s="23"/>
      <c r="S77" s="23"/>
      <c r="T77" s="23"/>
    </row>
    <row r="78" spans="1:20" s="48" customFormat="1" ht="19.5" customHeight="1">
      <c r="A78" s="22"/>
      <c r="B78" s="22"/>
      <c r="C78" s="22"/>
      <c r="D78" s="22"/>
      <c r="E78" s="22"/>
      <c r="F78" s="22"/>
      <c r="G78" s="22"/>
      <c r="H78" s="22"/>
      <c r="I78" s="22"/>
      <c r="J78" s="22"/>
      <c r="K78" s="22"/>
      <c r="L78" s="22"/>
      <c r="M78" s="22"/>
      <c r="N78" s="22"/>
      <c r="O78" s="22"/>
      <c r="P78" s="22"/>
      <c r="Q78" s="23"/>
      <c r="R78" s="23"/>
      <c r="S78" s="23"/>
      <c r="T78" s="23"/>
    </row>
    <row r="79" spans="1:20" s="48" customFormat="1" ht="18" customHeight="1">
      <c r="A79" s="22"/>
      <c r="B79" s="22"/>
      <c r="C79" s="22"/>
      <c r="D79" s="22"/>
      <c r="E79" s="22"/>
      <c r="F79" s="22"/>
      <c r="G79" s="22"/>
      <c r="H79" s="22"/>
      <c r="I79" s="22"/>
      <c r="J79" s="22"/>
      <c r="K79" s="22"/>
      <c r="L79" s="22"/>
      <c r="M79" s="22"/>
      <c r="N79" s="22"/>
      <c r="O79" s="22"/>
      <c r="P79" s="22"/>
      <c r="Q79" s="23"/>
      <c r="R79" s="23"/>
      <c r="S79" s="23"/>
      <c r="T79" s="23"/>
    </row>
    <row r="80" spans="1:20" s="48" customFormat="1" ht="18" customHeight="1">
      <c r="A80" s="22"/>
      <c r="B80" s="22"/>
      <c r="C80" s="22"/>
      <c r="D80" s="22"/>
      <c r="E80" s="22"/>
      <c r="F80" s="22"/>
      <c r="G80" s="22"/>
      <c r="H80" s="22"/>
      <c r="I80" s="22"/>
      <c r="J80" s="22"/>
      <c r="K80" s="22"/>
      <c r="L80" s="22"/>
      <c r="M80" s="22"/>
      <c r="N80" s="22"/>
      <c r="O80" s="22"/>
      <c r="P80" s="22"/>
      <c r="Q80" s="23"/>
      <c r="R80" s="23"/>
      <c r="S80" s="23"/>
      <c r="T80" s="23"/>
    </row>
    <row r="81" spans="1:22" s="48" customFormat="1" ht="18" customHeight="1">
      <c r="A81" s="22"/>
      <c r="B81" s="22"/>
      <c r="C81" s="22"/>
      <c r="D81" s="22"/>
      <c r="E81" s="22"/>
      <c r="F81" s="22"/>
      <c r="G81" s="22"/>
      <c r="H81" s="22"/>
      <c r="I81" s="22"/>
      <c r="J81" s="22"/>
      <c r="K81" s="22"/>
      <c r="L81" s="22"/>
      <c r="M81" s="22"/>
      <c r="N81" s="22"/>
      <c r="O81" s="22"/>
      <c r="P81" s="22"/>
      <c r="Q81" s="23"/>
      <c r="R81" s="23"/>
      <c r="S81" s="23"/>
      <c r="T81" s="23"/>
    </row>
    <row r="82" spans="1:22" s="48" customFormat="1" ht="18" customHeight="1">
      <c r="A82" s="22"/>
      <c r="B82" s="22"/>
      <c r="C82" s="22"/>
      <c r="D82" s="22"/>
      <c r="E82" s="22"/>
      <c r="F82" s="22"/>
      <c r="G82" s="22"/>
      <c r="H82" s="22"/>
      <c r="I82" s="22"/>
      <c r="J82" s="22"/>
      <c r="K82" s="22"/>
      <c r="L82" s="22"/>
      <c r="M82" s="22"/>
      <c r="N82" s="22"/>
      <c r="O82" s="22"/>
      <c r="P82" s="22"/>
      <c r="Q82" s="23"/>
      <c r="R82" s="23"/>
      <c r="S82" s="23"/>
      <c r="T82" s="23"/>
    </row>
    <row r="83" spans="1:22" s="48" customFormat="1" ht="18" customHeight="1">
      <c r="A83" s="22"/>
      <c r="B83" s="22"/>
      <c r="C83" s="22"/>
      <c r="D83" s="22"/>
      <c r="E83" s="22"/>
      <c r="F83" s="22"/>
      <c r="G83" s="22"/>
      <c r="H83" s="22"/>
      <c r="I83" s="22"/>
      <c r="J83" s="22"/>
      <c r="K83" s="22"/>
      <c r="L83" s="22"/>
      <c r="M83" s="22"/>
      <c r="N83" s="22"/>
      <c r="O83" s="22"/>
      <c r="P83" s="22"/>
      <c r="Q83" s="23"/>
      <c r="R83" s="23"/>
      <c r="S83" s="23"/>
      <c r="T83" s="23"/>
    </row>
    <row r="84" spans="1:22" ht="18" customHeight="1">
      <c r="U84" s="19"/>
      <c r="V84" s="19"/>
    </row>
    <row r="85" spans="1:22" ht="35.1" customHeight="1">
      <c r="U85" s="19"/>
      <c r="V85" s="19"/>
    </row>
    <row r="86" spans="1:22" ht="35.1" customHeight="1">
      <c r="U86" s="19"/>
      <c r="V86" s="19"/>
    </row>
    <row r="87" spans="1:22" ht="35.1" customHeight="1">
      <c r="U87" s="19"/>
      <c r="V87" s="19"/>
    </row>
    <row r="88" spans="1:22" ht="35.1" customHeight="1">
      <c r="U88" s="90"/>
      <c r="V88" s="2"/>
    </row>
    <row r="89" spans="1:22" ht="35.1" customHeight="1">
      <c r="U89" s="90"/>
      <c r="V89" s="2"/>
    </row>
    <row r="90" spans="1:22" ht="35.1" customHeight="1">
      <c r="U90" s="19"/>
      <c r="V90" s="2"/>
    </row>
  </sheetData>
  <sheetProtection sheet="1" objects="1" scenarios="1"/>
  <customSheetViews>
    <customSheetView guid="{3320ADAB-1745-4CE0-B739-BF2E8269138B}" scale="75" showGridLines="0" fitToPage="1" showRuler="0">
      <selection sqref="A1:L5"/>
      <pageMargins left="0.4" right="0.75" top="0.4" bottom="0.4" header="0.5" footer="0.4"/>
      <printOptions horizontalCentered="1"/>
      <pageSetup scale="44" orientation="portrait" r:id="rId1"/>
      <headerFooter alignWithMargins="0"/>
    </customSheetView>
    <customSheetView guid="{D1431318-1DB8-4C45-813B-5A8065DFC797}" showPageBreaks="1" showGridLines="0" zeroValues="0" printArea="1" view="pageBreakPreview">
      <selection activeCell="Z18" sqref="Z18"/>
      <rowBreaks count="1" manualBreakCount="1">
        <brk id="69" max="19" man="1"/>
      </rowBreaks>
      <pageMargins left="0.4" right="0.44" top="0.4" bottom="0.4" header="0.5" footer="0.4"/>
      <printOptions horizontalCentered="1"/>
      <pageSetup scale="69" fitToHeight="3" orientation="portrait" blackAndWhite="1" r:id="rId2"/>
      <headerFooter alignWithMargins="0"/>
    </customSheetView>
  </customSheetViews>
  <mergeCells count="72">
    <mergeCell ref="AF20:AG20"/>
    <mergeCell ref="AF18:AG18"/>
    <mergeCell ref="C21:D21"/>
    <mergeCell ref="J34:K34"/>
    <mergeCell ref="F40:G40"/>
    <mergeCell ref="J32:K32"/>
    <mergeCell ref="C40:D40"/>
    <mergeCell ref="C30:D30"/>
    <mergeCell ref="H21:I21"/>
    <mergeCell ref="Q23:R23"/>
    <mergeCell ref="Q25:R25"/>
    <mergeCell ref="Q28:R28"/>
    <mergeCell ref="AE6:AF6"/>
    <mergeCell ref="AE11:AF11"/>
    <mergeCell ref="Z11:AA11"/>
    <mergeCell ref="W6:X6"/>
    <mergeCell ref="W15:X15"/>
    <mergeCell ref="AA6:AB6"/>
    <mergeCell ref="AU60:AV60"/>
    <mergeCell ref="B28:J28"/>
    <mergeCell ref="W13:AK14"/>
    <mergeCell ref="W20:X20"/>
    <mergeCell ref="AA20:AB20"/>
    <mergeCell ref="C52:D52"/>
    <mergeCell ref="I47:J47"/>
    <mergeCell ref="E47:F47"/>
    <mergeCell ref="AF15:AG15"/>
    <mergeCell ref="J52:K52"/>
    <mergeCell ref="C50:D50"/>
    <mergeCell ref="G50:H50"/>
    <mergeCell ref="G47:H47"/>
    <mergeCell ref="B18:S19"/>
    <mergeCell ref="K23:L23"/>
    <mergeCell ref="G52:H52"/>
    <mergeCell ref="G54:H54"/>
    <mergeCell ref="C47:D47"/>
    <mergeCell ref="I11:J11"/>
    <mergeCell ref="I13:J13"/>
    <mergeCell ref="N21:O21"/>
    <mergeCell ref="E30:F30"/>
    <mergeCell ref="I30:J30"/>
    <mergeCell ref="J54:K54"/>
    <mergeCell ref="C54:D54"/>
    <mergeCell ref="K47:L47"/>
    <mergeCell ref="J42:K42"/>
    <mergeCell ref="F42:G42"/>
    <mergeCell ref="I40:J40"/>
    <mergeCell ref="G30:H30"/>
    <mergeCell ref="K25:L25"/>
    <mergeCell ref="C38:D38"/>
    <mergeCell ref="C42:D42"/>
    <mergeCell ref="E50:F50"/>
    <mergeCell ref="I6:J6"/>
    <mergeCell ref="F38:G38"/>
    <mergeCell ref="A17:T17"/>
    <mergeCell ref="E25:F25"/>
    <mergeCell ref="R6:S6"/>
    <mergeCell ref="F9:J9"/>
    <mergeCell ref="N9:R9"/>
    <mergeCell ref="N11:T15"/>
    <mergeCell ref="I15:J15"/>
    <mergeCell ref="J38:K38"/>
    <mergeCell ref="K30:L30"/>
    <mergeCell ref="K28:L28"/>
    <mergeCell ref="J36:K36"/>
    <mergeCell ref="B22:M22"/>
    <mergeCell ref="A1:T1"/>
    <mergeCell ref="L2:M2"/>
    <mergeCell ref="B2:K2"/>
    <mergeCell ref="N2:O2"/>
    <mergeCell ref="I4:J4"/>
    <mergeCell ref="N4:R4"/>
  </mergeCells>
  <phoneticPr fontId="22" type="noConversion"/>
  <dataValidations count="3">
    <dataValidation type="list" allowBlank="1" showInputMessage="1" showErrorMessage="1" sqref="C42:D42">
      <formula1>DepthAlarm</formula1>
    </dataValidation>
    <dataValidation type="list" allowBlank="1" showInputMessage="1" showErrorMessage="1" sqref="H33">
      <formula1>$AK$41:$AK$45</formula1>
    </dataValidation>
    <dataValidation type="whole" allowBlank="1" showInputMessage="1" showErrorMessage="1" error="Must be between Min and Max" sqref="K28:L28">
      <formula1>K23-1</formula1>
      <formula2>K25</formula2>
    </dataValidation>
  </dataValidations>
  <printOptions horizontalCentered="1"/>
  <pageMargins left="0.4" right="0.44" top="0.4" bottom="0.4" header="0.5" footer="0.4"/>
  <pageSetup scale="69" fitToHeight="3" orientation="portrait" blackAndWhite="1" r:id="rId3"/>
  <headerFooter alignWithMargins="0"/>
  <drawing r:id="rId4"/>
  <extLst>
    <ext xmlns:x14="http://schemas.microsoft.com/office/spreadsheetml/2009/9/main" uri="{CCE6A557-97BC-4b89-ADB6-D9C93CAAB3DF}">
      <x14:dataValidations xmlns:xm="http://schemas.microsoft.com/office/excel/2006/main" count="1">
        <x14:dataValidation type="list" allowBlank="1" showInputMessage="1" showErrorMessage="1" promptTitle="Tank Use" prompt="What will the pump tank be used for?">
          <x14:formula1>
            <xm:f>'Drop-Down Lists'!$M$50:$M$54</xm:f>
          </x14:formula1>
          <xm:sqref>N4</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339966"/>
    <pageSetUpPr fitToPage="1"/>
  </sheetPr>
  <dimension ref="A1:AU85"/>
  <sheetViews>
    <sheetView showGridLines="0" view="pageBreakPreview" topLeftCell="A71" zoomScaleNormal="100" zoomScaleSheetLayoutView="100" workbookViewId="0">
      <selection activeCell="X25" sqref="X25"/>
    </sheetView>
  </sheetViews>
  <sheetFormatPr defaultColWidth="6.44140625" defaultRowHeight="35.1" customHeight="1"/>
  <cols>
    <col min="1" max="1" width="2.6640625" style="23" customWidth="1"/>
    <col min="2" max="4" width="5.6640625" style="22" customWidth="1"/>
    <col min="5" max="5" width="6.33203125" style="22" customWidth="1"/>
    <col min="6" max="14" width="5.6640625" style="22" customWidth="1"/>
    <col min="15" max="15" width="7.109375" style="22" customWidth="1"/>
    <col min="16" max="16" width="5.6640625" style="22" customWidth="1"/>
    <col min="17" max="19" width="5.6640625" style="23" customWidth="1"/>
    <col min="20" max="20" width="9.44140625" style="23" customWidth="1"/>
    <col min="21" max="34" width="6.44140625" style="22" customWidth="1"/>
    <col min="35" max="16384" width="6.44140625" style="22"/>
  </cols>
  <sheetData>
    <row r="1" spans="1:47" ht="54.9" customHeight="1" thickBot="1">
      <c r="A1" s="3740" t="s">
        <v>1757</v>
      </c>
      <c r="B1" s="3740"/>
      <c r="C1" s="3740"/>
      <c r="D1" s="3740"/>
      <c r="E1" s="3740"/>
      <c r="F1" s="3740"/>
      <c r="G1" s="3740"/>
      <c r="H1" s="3740"/>
      <c r="I1" s="3740"/>
      <c r="J1" s="3740"/>
      <c r="K1" s="3740"/>
      <c r="L1" s="3740"/>
      <c r="M1" s="3740"/>
      <c r="N1" s="3740"/>
      <c r="O1" s="3740"/>
      <c r="P1" s="3740"/>
      <c r="Q1" s="3740"/>
      <c r="R1" s="3740"/>
      <c r="S1" s="3740"/>
      <c r="T1" s="3740"/>
      <c r="V1" s="1436"/>
      <c r="W1" s="1472" t="s">
        <v>1791</v>
      </c>
      <c r="X1" s="1436"/>
      <c r="Y1" s="1436"/>
      <c r="Z1" s="1436"/>
      <c r="AA1" s="1436"/>
      <c r="AB1" s="1436"/>
      <c r="AC1" s="1436"/>
      <c r="AD1" s="1426"/>
      <c r="AE1" s="1426"/>
      <c r="AF1" s="1438"/>
      <c r="AG1" s="1438"/>
      <c r="AH1" s="1436"/>
      <c r="AI1" s="1436"/>
      <c r="AJ1" s="1436"/>
      <c r="AK1" s="1436"/>
      <c r="AL1" s="1436"/>
      <c r="AM1" s="1436"/>
      <c r="AN1" s="1436"/>
      <c r="AO1" s="1428"/>
    </row>
    <row r="2" spans="1:47" ht="24" customHeight="1">
      <c r="A2" s="2375"/>
      <c r="B2" s="3702" t="s">
        <v>1062</v>
      </c>
      <c r="C2" s="3702"/>
      <c r="D2" s="3702"/>
      <c r="E2" s="3702"/>
      <c r="F2" s="3702"/>
      <c r="G2" s="3702"/>
      <c r="H2" s="3702"/>
      <c r="I2" s="3702"/>
      <c r="J2" s="3702"/>
      <c r="K2" s="3702"/>
      <c r="L2" s="3701" t="s">
        <v>1016</v>
      </c>
      <c r="M2" s="3701"/>
      <c r="N2" s="3703" t="str">
        <f>IF(ISBLANK(Summary!S3)," ",Summary!S3)</f>
        <v xml:space="preserve"> </v>
      </c>
      <c r="O2" s="3703"/>
      <c r="P2" s="2141"/>
      <c r="Q2" s="2141"/>
      <c r="R2" s="2141"/>
      <c r="S2" s="2141"/>
      <c r="T2" s="1443" t="str">
        <f>'Drop-Down Lists'!$J40</f>
        <v>v 04.01.2021</v>
      </c>
      <c r="V2" s="1194"/>
      <c r="W2" s="1436" t="s">
        <v>1083</v>
      </c>
      <c r="X2" s="1431"/>
      <c r="Y2" s="1431"/>
      <c r="Z2" s="1431"/>
      <c r="AA2" s="1431"/>
      <c r="AB2" s="1431"/>
      <c r="AC2" s="1431"/>
      <c r="AD2" s="1431"/>
      <c r="AE2" s="1431"/>
      <c r="AF2" s="1431"/>
      <c r="AG2" s="1431"/>
      <c r="AH2" s="1436"/>
      <c r="AI2" s="1436"/>
      <c r="AJ2" s="1436"/>
      <c r="AK2" s="1436"/>
      <c r="AL2" s="1436"/>
      <c r="AM2" s="1436"/>
      <c r="AN2" s="1436"/>
      <c r="AO2" s="1436"/>
      <c r="AT2" s="1434"/>
      <c r="AU2" s="1434"/>
    </row>
    <row r="3" spans="1:47" ht="6" customHeight="1">
      <c r="A3" s="2075"/>
      <c r="B3" s="147"/>
      <c r="C3" s="147"/>
      <c r="D3" s="147"/>
      <c r="E3" s="147"/>
      <c r="F3" s="147"/>
      <c r="G3" s="147"/>
      <c r="H3" s="147"/>
      <c r="I3" s="147" t="s">
        <v>826</v>
      </c>
      <c r="J3" s="147"/>
      <c r="K3" s="147"/>
      <c r="L3" s="147"/>
      <c r="M3" s="147"/>
      <c r="N3" s="147"/>
      <c r="O3" s="147"/>
      <c r="P3" s="147"/>
      <c r="Q3" s="147"/>
      <c r="R3" s="147"/>
      <c r="S3" s="147"/>
      <c r="T3" s="1445"/>
      <c r="AK3" s="1430"/>
      <c r="AL3" s="1432"/>
      <c r="AM3" s="1432"/>
      <c r="AN3" s="1432"/>
      <c r="AO3" s="1432"/>
      <c r="AT3" s="1434"/>
      <c r="AU3" s="1434"/>
    </row>
    <row r="4" spans="1:47" ht="15.9" customHeight="1">
      <c r="A4" s="1457" t="s">
        <v>2038</v>
      </c>
      <c r="B4" s="812" t="s">
        <v>147</v>
      </c>
      <c r="C4" s="2200" t="s">
        <v>1606</v>
      </c>
      <c r="D4" s="1925"/>
      <c r="E4" s="1925"/>
      <c r="F4" s="1925"/>
      <c r="G4" s="1925"/>
      <c r="H4" s="2137"/>
      <c r="I4" s="3753" t="str">
        <f>IF(ISBLANK(Summary!I11),"",Summary!I11)</f>
        <v xml:space="preserve"> </v>
      </c>
      <c r="J4" s="3747"/>
      <c r="K4" s="1925" t="s">
        <v>313</v>
      </c>
      <c r="L4" s="2122" t="s">
        <v>631</v>
      </c>
      <c r="M4" s="2140" t="s">
        <v>1790</v>
      </c>
      <c r="N4" s="2137"/>
      <c r="O4" s="3704"/>
      <c r="P4" s="3705"/>
      <c r="Q4" s="3705"/>
      <c r="R4" s="3705"/>
      <c r="S4" s="3706"/>
      <c r="T4" s="793"/>
      <c r="V4" s="2273" t="s">
        <v>147</v>
      </c>
      <c r="W4" s="2280" t="s">
        <v>148</v>
      </c>
      <c r="X4" s="2280"/>
      <c r="Y4" s="2280"/>
      <c r="Z4" s="2280"/>
      <c r="AA4" s="2280"/>
      <c r="AB4" s="2280"/>
      <c r="AK4" s="2280"/>
      <c r="AL4" s="1432"/>
      <c r="AM4" s="1432"/>
      <c r="AN4" s="1432"/>
      <c r="AO4" s="1432"/>
      <c r="AT4" s="1434"/>
      <c r="AU4" s="1434"/>
    </row>
    <row r="5" spans="1:47" ht="6" customHeight="1">
      <c r="A5" s="1457"/>
      <c r="B5" s="812"/>
      <c r="C5" s="822"/>
      <c r="D5" s="1925"/>
      <c r="E5" s="1925"/>
      <c r="F5" s="1925"/>
      <c r="G5" s="1925"/>
      <c r="H5" s="2137"/>
      <c r="I5" s="1898"/>
      <c r="J5" s="1899"/>
      <c r="K5" s="1925"/>
      <c r="L5" s="2122"/>
      <c r="M5" s="2140"/>
      <c r="N5" s="2140"/>
      <c r="O5" s="2140"/>
      <c r="P5" s="2137"/>
      <c r="Q5" s="1260"/>
      <c r="R5" s="1260"/>
      <c r="S5" s="2140"/>
      <c r="T5" s="793"/>
      <c r="AK5" s="2281"/>
      <c r="AL5" s="1427"/>
      <c r="AM5" s="1427"/>
      <c r="AN5" s="1427"/>
      <c r="AO5" s="1427"/>
      <c r="AT5" s="1434"/>
      <c r="AU5" s="1434"/>
    </row>
    <row r="6" spans="1:47" ht="19.350000000000001" customHeight="1">
      <c r="A6" s="1457"/>
      <c r="B6" s="2122" t="s">
        <v>149</v>
      </c>
      <c r="C6" s="2201" t="s">
        <v>1936</v>
      </c>
      <c r="D6" s="2140"/>
      <c r="E6" s="2140"/>
      <c r="F6" s="2137"/>
      <c r="G6" s="2608">
        <v>70</v>
      </c>
      <c r="H6" s="2202" t="s">
        <v>630</v>
      </c>
      <c r="I6" s="3741" t="str">
        <f>IFERROR(I4*G6/100,"")</f>
        <v/>
      </c>
      <c r="J6" s="3742"/>
      <c r="K6" s="2140" t="s">
        <v>741</v>
      </c>
      <c r="L6" s="2203" t="s">
        <v>1938</v>
      </c>
      <c r="M6" s="2140"/>
      <c r="N6" s="2140"/>
      <c r="O6" s="2140"/>
      <c r="P6" s="2137"/>
      <c r="Q6" s="1260"/>
      <c r="R6" s="1260"/>
      <c r="S6" s="2140"/>
      <c r="T6" s="793"/>
      <c r="W6" s="2280"/>
      <c r="X6" s="2273" t="s">
        <v>288</v>
      </c>
      <c r="Y6" s="2280"/>
      <c r="Z6" s="3724"/>
      <c r="AA6" s="3725"/>
      <c r="AB6" s="485">
        <v>2</v>
      </c>
      <c r="AC6" s="2280" t="s">
        <v>92</v>
      </c>
      <c r="AD6" s="2273" t="s">
        <v>102</v>
      </c>
      <c r="AE6" s="3738" t="str">
        <f>IF(ISBLANK(Z6)," ",PI()*Z6*Z6)</f>
        <v xml:space="preserve"> </v>
      </c>
      <c r="AF6" s="3739"/>
      <c r="AG6" s="2280" t="s">
        <v>22</v>
      </c>
      <c r="AK6" s="2280"/>
      <c r="AL6" s="1430"/>
      <c r="AM6" s="1430"/>
      <c r="AN6" s="1432"/>
      <c r="AO6" s="1432"/>
      <c r="AT6" s="1434"/>
      <c r="AU6" s="1434"/>
    </row>
    <row r="7" spans="1:47" ht="6" customHeight="1">
      <c r="A7" s="2072"/>
      <c r="B7" s="2142"/>
      <c r="C7" s="2142"/>
      <c r="D7" s="2142"/>
      <c r="E7" s="2142"/>
      <c r="F7" s="2142"/>
      <c r="G7" s="2142"/>
      <c r="H7" s="2142"/>
      <c r="I7" s="2137"/>
      <c r="J7" s="2137"/>
      <c r="K7" s="2137"/>
      <c r="L7" s="2142"/>
      <c r="M7" s="2142"/>
      <c r="N7" s="2142"/>
      <c r="O7" s="2142"/>
      <c r="P7" s="2142"/>
      <c r="Q7" s="2142"/>
      <c r="R7" s="2142"/>
      <c r="S7" s="2142"/>
      <c r="T7" s="1448"/>
      <c r="V7" s="1191"/>
      <c r="AD7" s="2280"/>
      <c r="AE7" s="2280"/>
      <c r="AF7" s="2280"/>
      <c r="AG7" s="2280"/>
      <c r="AH7" s="2280"/>
      <c r="AI7" s="2280"/>
      <c r="AJ7" s="2280"/>
      <c r="AK7" s="2266"/>
      <c r="AL7" s="1427"/>
      <c r="AM7" s="1427"/>
      <c r="AN7" s="712"/>
      <c r="AO7" s="1432"/>
      <c r="AT7" s="1434"/>
      <c r="AU7" s="1434"/>
    </row>
    <row r="8" spans="1:47" ht="18.75" customHeight="1">
      <c r="A8" s="2072"/>
      <c r="B8" s="2122" t="s">
        <v>588</v>
      </c>
      <c r="C8" s="2140" t="s">
        <v>1386</v>
      </c>
      <c r="D8" s="2140"/>
      <c r="E8" s="2140"/>
      <c r="F8" s="2140"/>
      <c r="G8" s="2140"/>
      <c r="H8" s="2140"/>
      <c r="I8" s="3098"/>
      <c r="J8" s="3099"/>
      <c r="K8" s="2140" t="s">
        <v>741</v>
      </c>
      <c r="L8" s="2122" t="s">
        <v>589</v>
      </c>
      <c r="M8" s="1468" t="s">
        <v>1604</v>
      </c>
      <c r="N8" s="2125"/>
      <c r="O8" s="2125"/>
      <c r="P8" s="2137"/>
      <c r="Q8" s="3765"/>
      <c r="R8" s="3766"/>
      <c r="S8" s="1468" t="s">
        <v>741</v>
      </c>
      <c r="T8" s="1242"/>
      <c r="U8" s="48"/>
      <c r="V8" s="2273" t="s">
        <v>149</v>
      </c>
      <c r="W8" s="3562" t="s">
        <v>1388</v>
      </c>
      <c r="X8" s="3562"/>
      <c r="Y8" s="3562"/>
      <c r="Z8" s="3562"/>
      <c r="AA8" s="3562"/>
      <c r="AB8" s="3562"/>
      <c r="AC8" s="3562"/>
      <c r="AD8" s="3562"/>
      <c r="AE8" s="3562"/>
      <c r="AF8" s="3562"/>
      <c r="AG8" s="3562"/>
      <c r="AH8" s="3562"/>
      <c r="AI8" s="3562"/>
      <c r="AJ8" s="3562"/>
      <c r="AK8" s="3562"/>
      <c r="AL8" s="1431"/>
      <c r="AM8" s="1431"/>
      <c r="AN8" s="712"/>
      <c r="AO8" s="1432"/>
      <c r="AT8" s="1434"/>
      <c r="AU8" s="1434"/>
    </row>
    <row r="9" spans="1:47" ht="7.5" customHeight="1">
      <c r="A9" s="2072"/>
      <c r="B9" s="2142"/>
      <c r="C9" s="2142"/>
      <c r="D9" s="2142"/>
      <c r="E9" s="2142"/>
      <c r="F9" s="2142"/>
      <c r="G9" s="2142"/>
      <c r="H9" s="2142"/>
      <c r="I9" s="2137"/>
      <c r="J9" s="2137"/>
      <c r="K9" s="2137"/>
      <c r="L9" s="1441"/>
      <c r="M9" s="2142"/>
      <c r="N9" s="2142"/>
      <c r="O9" s="2142"/>
      <c r="P9" s="2142"/>
      <c r="Q9" s="2142"/>
      <c r="R9" s="2142"/>
      <c r="S9" s="2142"/>
      <c r="T9" s="1448"/>
      <c r="V9" s="2266"/>
      <c r="W9" s="3562"/>
      <c r="X9" s="3562"/>
      <c r="Y9" s="3562"/>
      <c r="Z9" s="3562"/>
      <c r="AA9" s="3562"/>
      <c r="AB9" s="3562"/>
      <c r="AC9" s="3562"/>
      <c r="AD9" s="3562"/>
      <c r="AE9" s="3562"/>
      <c r="AF9" s="3562"/>
      <c r="AG9" s="3562"/>
      <c r="AH9" s="3562"/>
      <c r="AI9" s="3562"/>
      <c r="AJ9" s="3562"/>
      <c r="AK9" s="3562"/>
      <c r="AL9" s="1427"/>
      <c r="AM9" s="1427"/>
      <c r="AN9" s="1430"/>
      <c r="AO9" s="1430"/>
      <c r="AT9" s="1434"/>
      <c r="AU9" s="1434"/>
    </row>
    <row r="10" spans="1:47" ht="6" customHeight="1">
      <c r="A10" s="2075"/>
      <c r="B10" s="147"/>
      <c r="C10" s="147"/>
      <c r="D10" s="147"/>
      <c r="E10" s="147"/>
      <c r="F10" s="147"/>
      <c r="G10" s="147"/>
      <c r="H10" s="147"/>
      <c r="I10" s="74"/>
      <c r="J10" s="74"/>
      <c r="K10" s="74"/>
      <c r="L10" s="2142"/>
      <c r="M10" s="147"/>
      <c r="N10" s="147"/>
      <c r="O10" s="147"/>
      <c r="P10" s="147"/>
      <c r="Q10" s="147"/>
      <c r="R10" s="147"/>
      <c r="S10" s="147"/>
      <c r="T10" s="1445"/>
      <c r="V10" s="2273"/>
      <c r="AJ10" s="2280"/>
      <c r="AK10" s="2273"/>
      <c r="AL10" s="1427"/>
      <c r="AM10" s="1427"/>
      <c r="AN10" s="1427"/>
      <c r="AO10" s="1427"/>
      <c r="AT10" s="1434"/>
    </row>
    <row r="11" spans="1:47" s="48" customFormat="1" ht="19.350000000000001" customHeight="1">
      <c r="A11" s="1456" t="s">
        <v>2039</v>
      </c>
      <c r="B11" s="2127" t="s">
        <v>147</v>
      </c>
      <c r="C11" s="2137" t="s">
        <v>961</v>
      </c>
      <c r="D11" s="57"/>
      <c r="E11" s="2122"/>
      <c r="F11" s="3098"/>
      <c r="G11" s="3712"/>
      <c r="H11" s="3712"/>
      <c r="I11" s="3712"/>
      <c r="J11" s="3099"/>
      <c r="K11" s="2137"/>
      <c r="L11" s="2127" t="s">
        <v>631</v>
      </c>
      <c r="M11" s="2137" t="s">
        <v>962</v>
      </c>
      <c r="N11" s="57"/>
      <c r="O11" s="3100"/>
      <c r="P11" s="3112"/>
      <c r="Q11" s="3112"/>
      <c r="R11" s="3112"/>
      <c r="S11" s="3101"/>
      <c r="T11" s="2157"/>
      <c r="U11" s="22"/>
      <c r="V11" s="2273"/>
      <c r="W11" s="3724"/>
      <c r="X11" s="3725"/>
      <c r="Y11" s="2273" t="s">
        <v>22</v>
      </c>
      <c r="Z11" s="2273" t="s">
        <v>16</v>
      </c>
      <c r="AA11" s="1468" t="s">
        <v>1387</v>
      </c>
      <c r="AB11" s="1052"/>
      <c r="AC11" s="161"/>
      <c r="AD11" s="161"/>
      <c r="AE11" s="2273" t="s">
        <v>102</v>
      </c>
      <c r="AF11" s="3738" t="str">
        <f>IF(ISBLANK(W11)," ",W11*7.5/12)</f>
        <v xml:space="preserve"> </v>
      </c>
      <c r="AG11" s="3739"/>
      <c r="AH11" s="2280" t="s">
        <v>702</v>
      </c>
      <c r="AI11" s="2280"/>
      <c r="AJ11" s="2280"/>
      <c r="AK11" s="2280"/>
      <c r="AL11" s="1430"/>
      <c r="AM11" s="1430"/>
      <c r="AN11" s="1428"/>
      <c r="AO11" s="1430"/>
      <c r="AP11" s="22"/>
      <c r="AQ11" s="22"/>
      <c r="AT11" s="1434"/>
    </row>
    <row r="12" spans="1:47" ht="6" customHeight="1">
      <c r="A12" s="2294"/>
      <c r="B12" s="2127"/>
      <c r="C12" s="2137"/>
      <c r="D12" s="57"/>
      <c r="E12" s="2122"/>
      <c r="F12" s="55"/>
      <c r="G12" s="55"/>
      <c r="H12" s="92"/>
      <c r="I12" s="2140"/>
      <c r="J12" s="2122"/>
      <c r="K12" s="55"/>
      <c r="L12" s="55"/>
      <c r="M12" s="2127"/>
      <c r="N12" s="849"/>
      <c r="O12" s="849"/>
      <c r="P12" s="508"/>
      <c r="Q12" s="508"/>
      <c r="R12" s="508"/>
      <c r="S12" s="508"/>
      <c r="T12" s="1452"/>
      <c r="AL12" s="1432"/>
      <c r="AM12" s="1432"/>
      <c r="AN12" s="1427"/>
      <c r="AO12" s="1427"/>
      <c r="AT12" s="1434"/>
    </row>
    <row r="13" spans="1:47" ht="19.350000000000001" customHeight="1">
      <c r="A13" s="1453"/>
      <c r="B13" s="2127" t="s">
        <v>149</v>
      </c>
      <c r="C13" s="2137" t="s">
        <v>1084</v>
      </c>
      <c r="D13" s="2137"/>
      <c r="E13" s="2137"/>
      <c r="F13" s="2137"/>
      <c r="G13" s="2137"/>
      <c r="H13" s="2137"/>
      <c r="I13" s="3098"/>
      <c r="J13" s="3581"/>
      <c r="K13" s="2137" t="s">
        <v>96</v>
      </c>
      <c r="L13" s="2137"/>
      <c r="M13" s="2140"/>
      <c r="N13" s="3732" t="s">
        <v>1085</v>
      </c>
      <c r="O13" s="3732"/>
      <c r="P13" s="3732"/>
      <c r="Q13" s="3732"/>
      <c r="R13" s="3732"/>
      <c r="S13" s="3732"/>
      <c r="T13" s="3733"/>
      <c r="V13" s="2273" t="s">
        <v>588</v>
      </c>
      <c r="W13" s="2280" t="s">
        <v>615</v>
      </c>
      <c r="X13" s="2280"/>
      <c r="Y13" s="2280"/>
      <c r="Z13" s="2280"/>
      <c r="AA13" s="55"/>
      <c r="AB13" s="55"/>
      <c r="AC13" s="92"/>
      <c r="AD13" s="2281"/>
      <c r="AE13" s="2266"/>
      <c r="AF13" s="55"/>
      <c r="AG13" s="55"/>
      <c r="AH13" s="2273"/>
      <c r="AI13" s="2280"/>
      <c r="AJ13" s="2280"/>
      <c r="AK13" s="2280"/>
      <c r="AN13" s="1427"/>
      <c r="AO13" s="1427"/>
      <c r="AT13" s="1434"/>
    </row>
    <row r="14" spans="1:47" ht="6" customHeight="1">
      <c r="A14" s="1453"/>
      <c r="B14" s="2122"/>
      <c r="C14" s="2140"/>
      <c r="D14" s="2140"/>
      <c r="E14" s="2140"/>
      <c r="F14" s="2140"/>
      <c r="G14" s="2140"/>
      <c r="H14" s="55"/>
      <c r="I14" s="1624"/>
      <c r="J14" s="2107"/>
      <c r="K14" s="2137"/>
      <c r="L14" s="2140"/>
      <c r="M14" s="2140"/>
      <c r="N14" s="3732"/>
      <c r="O14" s="3732"/>
      <c r="P14" s="3732"/>
      <c r="Q14" s="3732"/>
      <c r="R14" s="3732"/>
      <c r="S14" s="3732"/>
      <c r="T14" s="3733"/>
      <c r="V14" s="2279"/>
      <c r="W14" s="10"/>
      <c r="X14" s="2280"/>
      <c r="Y14" s="2280"/>
      <c r="Z14" s="2280"/>
      <c r="AA14" s="2280"/>
      <c r="AB14" s="2280"/>
      <c r="AC14" s="2280"/>
      <c r="AD14" s="2280"/>
      <c r="AE14" s="2280"/>
      <c r="AF14" s="1467"/>
      <c r="AG14" s="1467"/>
      <c r="AH14" s="2280"/>
      <c r="AN14" s="1430"/>
      <c r="AO14" s="1430"/>
      <c r="AT14" s="1434"/>
    </row>
    <row r="15" spans="1:47" ht="19.350000000000001" customHeight="1">
      <c r="A15" s="1453"/>
      <c r="B15" s="2122" t="s">
        <v>588</v>
      </c>
      <c r="C15" s="2140" t="s">
        <v>1603</v>
      </c>
      <c r="D15" s="2140"/>
      <c r="E15" s="2140"/>
      <c r="F15" s="2140"/>
      <c r="G15" s="2140"/>
      <c r="H15" s="55"/>
      <c r="I15" s="3583"/>
      <c r="J15" s="3673"/>
      <c r="K15" s="2137" t="s">
        <v>702</v>
      </c>
      <c r="L15" s="2140"/>
      <c r="M15" s="2140"/>
      <c r="N15" s="3732"/>
      <c r="O15" s="3732"/>
      <c r="P15" s="3732"/>
      <c r="Q15" s="3732"/>
      <c r="R15" s="3732"/>
      <c r="S15" s="3732"/>
      <c r="T15" s="3733"/>
      <c r="U15" s="48"/>
      <c r="V15" s="2280"/>
      <c r="W15" s="10" t="s">
        <v>616</v>
      </c>
      <c r="X15" s="2280"/>
      <c r="Y15" s="2280"/>
      <c r="Z15" s="2280"/>
      <c r="AA15" s="2280"/>
      <c r="AB15" s="2280"/>
      <c r="AC15" s="2280"/>
      <c r="AD15" s="2280"/>
      <c r="AE15" s="2280"/>
      <c r="AF15" s="3728"/>
      <c r="AG15" s="3729"/>
      <c r="AH15" s="2280" t="s">
        <v>94</v>
      </c>
      <c r="AI15" s="1468"/>
      <c r="AJ15" s="1468"/>
      <c r="AL15" s="48"/>
      <c r="AM15" s="48"/>
      <c r="AN15" s="1432"/>
      <c r="AO15" s="1432"/>
      <c r="AT15" s="1434"/>
    </row>
    <row r="16" spans="1:47" ht="6" customHeight="1">
      <c r="A16" s="2294"/>
      <c r="B16" s="2137"/>
      <c r="C16" s="2137"/>
      <c r="D16" s="2137"/>
      <c r="E16" s="2137"/>
      <c r="F16" s="2137"/>
      <c r="G16" s="2137"/>
      <c r="H16" s="2137"/>
      <c r="I16" s="2140"/>
      <c r="J16" s="2140"/>
      <c r="K16" s="2137"/>
      <c r="L16" s="2137"/>
      <c r="M16" s="2137"/>
      <c r="N16" s="3732"/>
      <c r="O16" s="3732"/>
      <c r="P16" s="3732"/>
      <c r="Q16" s="3732"/>
      <c r="R16" s="3732"/>
      <c r="S16" s="3732"/>
      <c r="T16" s="3733"/>
      <c r="V16" s="2280"/>
      <c r="AJ16" s="48"/>
      <c r="AK16" s="48"/>
      <c r="AT16" s="1434"/>
    </row>
    <row r="17" spans="1:46" ht="18" customHeight="1">
      <c r="A17" s="1453"/>
      <c r="B17" s="2122" t="s">
        <v>589</v>
      </c>
      <c r="C17" s="2140" t="s">
        <v>1067</v>
      </c>
      <c r="D17" s="2140"/>
      <c r="E17" s="2140"/>
      <c r="F17" s="2140"/>
      <c r="G17" s="2140"/>
      <c r="H17" s="55"/>
      <c r="I17" s="3583"/>
      <c r="J17" s="3673"/>
      <c r="K17" s="2137" t="s">
        <v>640</v>
      </c>
      <c r="L17" s="2137"/>
      <c r="M17" s="2137"/>
      <c r="N17" s="3732"/>
      <c r="O17" s="3732"/>
      <c r="P17" s="3732"/>
      <c r="Q17" s="3732"/>
      <c r="R17" s="3732"/>
      <c r="S17" s="3732"/>
      <c r="T17" s="3733"/>
      <c r="V17" s="2279"/>
      <c r="W17" s="10" t="s">
        <v>617</v>
      </c>
      <c r="X17" s="2280"/>
      <c r="Y17" s="2280"/>
      <c r="Z17" s="2280"/>
      <c r="AA17" s="2280"/>
      <c r="AB17" s="2280"/>
      <c r="AC17" s="2280"/>
      <c r="AD17" s="2273"/>
      <c r="AE17" s="2273"/>
      <c r="AF17" s="2280"/>
      <c r="AG17" s="2280"/>
      <c r="AH17" s="1468"/>
      <c r="AI17" s="48"/>
      <c r="AJ17" s="2280"/>
      <c r="AT17" s="1434"/>
    </row>
    <row r="18" spans="1:46" s="48" customFormat="1" ht="6" customHeight="1">
      <c r="A18" s="2291"/>
      <c r="B18" s="103"/>
      <c r="C18" s="103"/>
      <c r="D18" s="103"/>
      <c r="E18" s="103"/>
      <c r="F18" s="103"/>
      <c r="G18" s="103"/>
      <c r="H18" s="103"/>
      <c r="I18" s="103"/>
      <c r="J18" s="103"/>
      <c r="K18" s="103"/>
      <c r="L18" s="103"/>
      <c r="M18" s="103"/>
      <c r="N18" s="103"/>
      <c r="O18" s="103"/>
      <c r="P18" s="103"/>
      <c r="Q18" s="2139"/>
      <c r="R18" s="2139"/>
      <c r="S18" s="2139"/>
      <c r="T18" s="1455"/>
      <c r="U18" s="22"/>
      <c r="V18" s="2279"/>
      <c r="AI18" s="2280"/>
      <c r="AJ18" s="2280"/>
      <c r="AK18" s="22"/>
      <c r="AL18" s="22"/>
      <c r="AM18" s="22"/>
      <c r="AT18" s="1434"/>
    </row>
    <row r="19" spans="1:46" ht="19.350000000000001" customHeight="1">
      <c r="A19" s="3709" t="s">
        <v>1063</v>
      </c>
      <c r="B19" s="3710"/>
      <c r="C19" s="3710"/>
      <c r="D19" s="3710"/>
      <c r="E19" s="3710"/>
      <c r="F19" s="3710"/>
      <c r="G19" s="3710"/>
      <c r="H19" s="3710"/>
      <c r="I19" s="3710"/>
      <c r="J19" s="3710"/>
      <c r="K19" s="3710"/>
      <c r="L19" s="3710"/>
      <c r="M19" s="3710"/>
      <c r="N19" s="3710"/>
      <c r="O19" s="3710"/>
      <c r="P19" s="3710"/>
      <c r="Q19" s="3710"/>
      <c r="R19" s="3710"/>
      <c r="S19" s="3710"/>
      <c r="T19" s="3711"/>
      <c r="V19" s="2273"/>
      <c r="W19" s="2292" t="str">
        <f>IF(ISBLANK(AF15)," ",(AF15))</f>
        <v xml:space="preserve"> </v>
      </c>
      <c r="X19" s="2289"/>
      <c r="Y19" s="2273" t="s">
        <v>94</v>
      </c>
      <c r="Z19" s="2273" t="s">
        <v>101</v>
      </c>
      <c r="AA19" s="3738">
        <f>IF(ISBLANK(AF11),"",MAX(I16,AF11))</f>
        <v>0</v>
      </c>
      <c r="AB19" s="3739"/>
      <c r="AC19" s="2280" t="s">
        <v>1389</v>
      </c>
      <c r="AD19" s="2280"/>
      <c r="AE19" s="2280"/>
      <c r="AF19" s="2287" t="str">
        <f>IF(ISBLANK(AF15)," ",(W19*AA19))</f>
        <v xml:space="preserve"> </v>
      </c>
      <c r="AG19" s="2264"/>
      <c r="AH19" s="2280" t="s">
        <v>96</v>
      </c>
      <c r="AJ19" s="2280"/>
      <c r="AT19" s="1434"/>
    </row>
    <row r="20" spans="1:46" ht="20.25" customHeight="1">
      <c r="A20" s="1456" t="s">
        <v>2040</v>
      </c>
      <c r="B20" s="3666" t="s">
        <v>2022</v>
      </c>
      <c r="C20" s="3666"/>
      <c r="D20" s="3666"/>
      <c r="E20" s="3666"/>
      <c r="F20" s="3666"/>
      <c r="G20" s="3666"/>
      <c r="H20" s="3666"/>
      <c r="I20" s="3666"/>
      <c r="J20" s="3666"/>
      <c r="K20" s="3666"/>
      <c r="L20" s="3666"/>
      <c r="M20" s="3666"/>
      <c r="N20" s="3666"/>
      <c r="O20" s="3666"/>
      <c r="P20" s="3666"/>
      <c r="Q20" s="3666"/>
      <c r="R20" s="3666"/>
      <c r="S20" s="3666"/>
      <c r="T20" s="3754"/>
      <c r="U20" s="48"/>
      <c r="V20" s="2273"/>
      <c r="W20" s="2273"/>
      <c r="X20" s="2274"/>
      <c r="Y20" s="2274"/>
      <c r="Z20" s="2274"/>
      <c r="AA20" s="2274"/>
      <c r="AB20" s="2274"/>
      <c r="AC20" s="2274"/>
      <c r="AD20" s="2274"/>
      <c r="AE20" s="2274"/>
      <c r="AF20" s="2274"/>
      <c r="AG20" s="2280"/>
      <c r="AH20" s="2280"/>
      <c r="AI20" s="2280"/>
      <c r="AJ20" s="2280"/>
      <c r="AK20" s="48"/>
      <c r="AL20" s="48"/>
      <c r="AM20" s="48"/>
      <c r="AT20" s="1434"/>
    </row>
    <row r="21" spans="1:46" ht="19.350000000000001" customHeight="1">
      <c r="A21" s="2294"/>
      <c r="B21" s="3559" t="s">
        <v>1916</v>
      </c>
      <c r="C21" s="3559"/>
      <c r="D21" s="3559"/>
      <c r="E21" s="3559"/>
      <c r="F21" s="3559"/>
      <c r="G21" s="3559"/>
      <c r="H21" s="3559"/>
      <c r="I21" s="3559"/>
      <c r="J21" s="3559"/>
      <c r="K21" s="3559"/>
      <c r="L21" s="2137"/>
      <c r="M21" s="2137"/>
      <c r="N21" s="2137"/>
      <c r="O21" s="2137"/>
      <c r="P21" s="2137"/>
      <c r="Q21" s="2137"/>
      <c r="R21" s="2137"/>
      <c r="S21" s="2137"/>
      <c r="T21" s="1242"/>
      <c r="AT21" s="1434"/>
    </row>
    <row r="22" spans="1:46" ht="19.350000000000001" customHeight="1">
      <c r="A22" s="2294"/>
      <c r="B22" s="2121" t="s">
        <v>310</v>
      </c>
      <c r="C22" s="3100"/>
      <c r="D22" s="3101"/>
      <c r="E22" s="2127" t="s">
        <v>663</v>
      </c>
      <c r="F22" s="2137" t="s">
        <v>703</v>
      </c>
      <c r="G22" s="2137"/>
      <c r="H22" s="3347" t="str">
        <f>IF(ISBLANK(C22), " ", MAX(I15,AF11))</f>
        <v xml:space="preserve"> </v>
      </c>
      <c r="I22" s="3348"/>
      <c r="J22" s="2137" t="s">
        <v>150</v>
      </c>
      <c r="K22" s="2137"/>
      <c r="L22" s="2127" t="s">
        <v>102</v>
      </c>
      <c r="M22" s="3383" t="str">
        <f>IF(ISBLANK(C22)," ",((C22+2)*H22))</f>
        <v xml:space="preserve"> </v>
      </c>
      <c r="N22" s="3384"/>
      <c r="O22" s="2137" t="s">
        <v>96</v>
      </c>
      <c r="P22" s="2137"/>
      <c r="Q22" s="2127"/>
      <c r="R22" s="2127"/>
      <c r="S22" s="2137"/>
      <c r="T22" s="1242"/>
      <c r="AT22" s="1434"/>
    </row>
    <row r="23" spans="1:46" s="48" customFormat="1" ht="19.350000000000001" customHeight="1">
      <c r="A23" s="1456" t="s">
        <v>2041</v>
      </c>
      <c r="B23" s="3562" t="s">
        <v>1357</v>
      </c>
      <c r="C23" s="3562"/>
      <c r="D23" s="3562"/>
      <c r="E23" s="3562"/>
      <c r="F23" s="3562"/>
      <c r="G23" s="3562"/>
      <c r="H23" s="3562"/>
      <c r="I23" s="3562"/>
      <c r="J23" s="3562"/>
      <c r="K23" s="3562"/>
      <c r="L23" s="3562"/>
      <c r="M23" s="3562"/>
      <c r="N23" s="2140"/>
      <c r="O23" s="2140"/>
      <c r="P23" s="2140"/>
      <c r="Q23" s="2127"/>
      <c r="R23" s="2127"/>
      <c r="S23" s="2127"/>
      <c r="T23" s="1450"/>
      <c r="U23" s="22"/>
      <c r="V23" s="22"/>
      <c r="W23" s="22"/>
      <c r="X23" s="22"/>
      <c r="Y23" s="22"/>
      <c r="Z23" s="22"/>
      <c r="AA23" s="22"/>
      <c r="AB23" s="22"/>
      <c r="AC23" s="22"/>
      <c r="AD23" s="22"/>
      <c r="AE23" s="22"/>
      <c r="AF23" s="22"/>
      <c r="AG23" s="22"/>
      <c r="AH23" s="22"/>
      <c r="AI23" s="22"/>
      <c r="AJ23" s="22"/>
      <c r="AK23" s="22"/>
      <c r="AL23" s="22"/>
      <c r="AM23" s="22"/>
      <c r="AT23" s="1434"/>
    </row>
    <row r="24" spans="1:46" ht="19.350000000000001" customHeight="1">
      <c r="A24" s="2294"/>
      <c r="B24" s="10" t="s">
        <v>1792</v>
      </c>
      <c r="C24" s="1004"/>
      <c r="D24" s="1004"/>
      <c r="E24" s="1004"/>
      <c r="F24" s="1004"/>
      <c r="G24" s="1004"/>
      <c r="H24" s="1004"/>
      <c r="I24" s="1004"/>
      <c r="J24" s="1004"/>
      <c r="K24" s="3383" t="str">
        <f>IF(ISBLANK(C22)," ",MAX('Pres. Dist.'!G73,'Non-Level '!K189))</f>
        <v xml:space="preserve"> </v>
      </c>
      <c r="L24" s="3384"/>
      <c r="M24" s="2137" t="s">
        <v>1403</v>
      </c>
      <c r="N24" s="2137"/>
      <c r="O24" s="2137"/>
      <c r="P24" s="2137"/>
      <c r="Q24" s="3730" t="str">
        <f>IF(ISBLANK(C22)," ",K24/H22)</f>
        <v xml:space="preserve"> </v>
      </c>
      <c r="R24" s="3731"/>
      <c r="S24" s="2137" t="s">
        <v>1827</v>
      </c>
      <c r="T24" s="1242"/>
      <c r="AT24" s="1434"/>
    </row>
    <row r="25" spans="1:46" ht="18.75" customHeight="1">
      <c r="A25" s="1456" t="s">
        <v>2042</v>
      </c>
      <c r="B25" s="2137" t="s">
        <v>618</v>
      </c>
      <c r="C25" s="2137"/>
      <c r="D25" s="2137"/>
      <c r="E25" s="2137"/>
      <c r="F25" s="2137"/>
      <c r="G25" s="2137"/>
      <c r="H25" s="2137"/>
      <c r="I25" s="2137"/>
      <c r="J25" s="2137"/>
      <c r="K25" s="2137"/>
      <c r="L25" s="2137"/>
      <c r="M25" s="2137"/>
      <c r="N25" s="2137"/>
      <c r="O25" s="2137"/>
      <c r="P25" s="2137"/>
      <c r="Q25" s="2137"/>
      <c r="R25" s="2137"/>
      <c r="S25" s="2137"/>
      <c r="T25" s="1242"/>
      <c r="U25" s="48"/>
      <c r="V25" s="48"/>
      <c r="W25" s="48"/>
      <c r="X25" s="48"/>
      <c r="Y25" s="48"/>
      <c r="Z25" s="48"/>
      <c r="AA25" s="48"/>
      <c r="AB25" s="48"/>
      <c r="AC25" s="48"/>
      <c r="AD25" s="48"/>
      <c r="AE25" s="48"/>
      <c r="AF25" s="48"/>
      <c r="AG25" s="48"/>
      <c r="AH25" s="48"/>
      <c r="AI25" s="48"/>
      <c r="AJ25" s="48"/>
      <c r="AK25" s="48"/>
      <c r="AL25" s="48"/>
      <c r="AM25" s="48"/>
      <c r="AT25" s="1434"/>
    </row>
    <row r="26" spans="1:46" ht="19.350000000000001" customHeight="1">
      <c r="A26" s="2294"/>
      <c r="B26" s="2137" t="s">
        <v>312</v>
      </c>
      <c r="C26" s="2137"/>
      <c r="D26" s="2137"/>
      <c r="E26" s="3385" t="str">
        <f>IF(ISBLANK(Summary!I11)," ",Summary!I11)</f>
        <v xml:space="preserve"> </v>
      </c>
      <c r="F26" s="3351"/>
      <c r="G26" s="2127" t="s">
        <v>313</v>
      </c>
      <c r="H26" s="2127" t="s">
        <v>101</v>
      </c>
      <c r="I26" s="1468">
        <v>0.25</v>
      </c>
      <c r="J26" s="2127" t="s">
        <v>102</v>
      </c>
      <c r="K26" s="3383" t="str">
        <f>IF(ISBLANK(C22)," ",(E26*0.25))</f>
        <v xml:space="preserve"> </v>
      </c>
      <c r="L26" s="3384"/>
      <c r="M26" s="2137" t="s">
        <v>1402</v>
      </c>
      <c r="N26" s="2137"/>
      <c r="O26" s="2137"/>
      <c r="P26" s="2137"/>
      <c r="Q26" s="3730" t="str">
        <f>IF(ISBLANK(C22)," ",K26/H22)</f>
        <v xml:space="preserve"> </v>
      </c>
      <c r="R26" s="3731"/>
      <c r="S26" s="2137" t="s">
        <v>1827</v>
      </c>
      <c r="T26" s="1450"/>
      <c r="U26" s="48"/>
      <c r="V26" s="48"/>
      <c r="W26" s="48"/>
      <c r="X26" s="48"/>
      <c r="Y26" s="48"/>
      <c r="Z26" s="48"/>
      <c r="AA26" s="48"/>
      <c r="AB26" s="48"/>
      <c r="AC26" s="48"/>
      <c r="AD26" s="48"/>
      <c r="AE26" s="48"/>
      <c r="AF26" s="48"/>
      <c r="AG26" s="48"/>
      <c r="AH26" s="48"/>
      <c r="AI26" s="48"/>
      <c r="AJ26" s="48"/>
      <c r="AK26" s="48"/>
      <c r="AL26" s="48"/>
      <c r="AM26" s="48"/>
      <c r="AT26" s="1434"/>
    </row>
    <row r="27" spans="1:46" ht="6" customHeight="1">
      <c r="A27" s="1456"/>
      <c r="B27" s="2131"/>
      <c r="C27" s="2131"/>
      <c r="D27" s="2131"/>
      <c r="E27" s="2131"/>
      <c r="F27" s="2131"/>
      <c r="G27" s="2131"/>
      <c r="H27" s="2131"/>
      <c r="I27" s="2131"/>
      <c r="J27" s="2131"/>
      <c r="K27" s="2131"/>
      <c r="L27" s="2131"/>
      <c r="M27" s="2131"/>
      <c r="N27" s="2131"/>
      <c r="O27" s="2131"/>
      <c r="P27" s="2131"/>
      <c r="Q27" s="2137"/>
      <c r="R27" s="2137"/>
      <c r="S27" s="2137"/>
      <c r="T27" s="1242"/>
      <c r="AT27" s="1434"/>
    </row>
    <row r="28" spans="1:46" s="48" customFormat="1" ht="18.75" customHeight="1">
      <c r="A28" s="1457" t="s">
        <v>2043</v>
      </c>
      <c r="B28" s="3736" t="s">
        <v>1393</v>
      </c>
      <c r="C28" s="3736"/>
      <c r="D28" s="3736"/>
      <c r="E28" s="3736"/>
      <c r="F28" s="3736"/>
      <c r="G28" s="3736"/>
      <c r="H28" s="3736"/>
      <c r="I28" s="3736"/>
      <c r="J28" s="3736"/>
      <c r="K28" s="3737"/>
      <c r="L28" s="3100"/>
      <c r="M28" s="3101"/>
      <c r="N28" s="2137" t="s">
        <v>96</v>
      </c>
      <c r="P28" s="2137"/>
      <c r="Q28" s="2137"/>
      <c r="R28" s="2137"/>
      <c r="S28" s="2137"/>
      <c r="T28" s="1242"/>
      <c r="AT28" s="1434"/>
    </row>
    <row r="29" spans="1:46" s="48" customFormat="1" ht="19.350000000000001" customHeight="1">
      <c r="A29" s="1456" t="s">
        <v>2044</v>
      </c>
      <c r="B29" s="2204" t="s">
        <v>1964</v>
      </c>
      <c r="C29" s="2137"/>
      <c r="D29" s="2137"/>
      <c r="E29" s="2137"/>
      <c r="F29" s="2137"/>
      <c r="G29" s="2137"/>
      <c r="H29" s="2137"/>
      <c r="I29" s="2137"/>
      <c r="J29" s="2137"/>
      <c r="K29" s="2137"/>
      <c r="L29" s="2137"/>
      <c r="M29" s="2137"/>
      <c r="N29" s="2137"/>
      <c r="O29" s="2137"/>
      <c r="P29" s="2137"/>
      <c r="Q29" s="2137"/>
      <c r="R29" s="2137"/>
      <c r="S29" s="2137"/>
      <c r="T29" s="1450"/>
      <c r="U29" s="22"/>
      <c r="V29" s="22"/>
      <c r="W29" s="22"/>
      <c r="X29" s="22"/>
      <c r="Y29" s="22"/>
      <c r="Z29" s="22"/>
      <c r="AA29" s="22"/>
      <c r="AB29" s="22"/>
      <c r="AC29" s="22"/>
      <c r="AD29" s="22"/>
      <c r="AE29" s="22"/>
      <c r="AF29" s="22"/>
      <c r="AG29" s="22"/>
      <c r="AH29" s="22"/>
      <c r="AI29" s="22"/>
      <c r="AJ29" s="22"/>
      <c r="AK29" s="22"/>
      <c r="AL29" s="22"/>
      <c r="AM29" s="22"/>
      <c r="AT29" s="1434"/>
    </row>
    <row r="30" spans="1:46" ht="19.350000000000001" customHeight="1">
      <c r="A30" s="1457"/>
      <c r="B30" s="2140"/>
      <c r="C30" s="3385" t="str">
        <f>IF(ISBLANK(E26)," ",I6)</f>
        <v/>
      </c>
      <c r="D30" s="3351"/>
      <c r="E30" s="3368" t="s">
        <v>1841</v>
      </c>
      <c r="F30" s="3369"/>
      <c r="G30" s="3385" t="str">
        <f>IF(ISBLANK(L28)," ",L28)</f>
        <v xml:space="preserve"> </v>
      </c>
      <c r="H30" s="3351"/>
      <c r="I30" s="3368" t="s">
        <v>1390</v>
      </c>
      <c r="J30" s="3652"/>
      <c r="K30" s="3734" t="str">
        <f>IF(ISBLANK(C22)," ",C30/G30)</f>
        <v xml:space="preserve"> </v>
      </c>
      <c r="L30" s="3735"/>
      <c r="M30" s="10" t="s">
        <v>664</v>
      </c>
      <c r="N30" s="2140"/>
      <c r="O30" s="1470"/>
      <c r="P30" s="1470"/>
      <c r="Q30" s="56"/>
      <c r="R30" s="56"/>
      <c r="S30" s="149"/>
      <c r="T30" s="1458"/>
      <c r="U30" s="48"/>
      <c r="V30" s="48"/>
      <c r="W30" s="48"/>
      <c r="X30" s="48"/>
      <c r="Y30" s="48"/>
      <c r="Z30" s="48"/>
      <c r="AA30" s="48"/>
      <c r="AB30" s="48"/>
      <c r="AC30" s="48"/>
      <c r="AD30" s="48"/>
      <c r="AE30" s="48"/>
      <c r="AF30" s="48"/>
      <c r="AG30" s="48"/>
      <c r="AH30" s="1435"/>
      <c r="AI30" s="1435"/>
      <c r="AJ30" s="48"/>
      <c r="AK30" s="1429"/>
      <c r="AL30" s="1433"/>
      <c r="AM30" s="48"/>
      <c r="AT30" s="1434"/>
    </row>
    <row r="31" spans="1:46" s="48" customFormat="1" ht="18.75" customHeight="1">
      <c r="A31" s="1456" t="s">
        <v>2045</v>
      </c>
      <c r="B31" s="2137" t="s">
        <v>17</v>
      </c>
      <c r="C31" s="2137"/>
      <c r="D31" s="2137"/>
      <c r="E31" s="2137"/>
      <c r="F31" s="2137"/>
      <c r="G31" s="2137"/>
      <c r="H31" s="2137"/>
      <c r="I31" s="1470"/>
      <c r="J31" s="2143"/>
      <c r="K31" s="1470"/>
      <c r="L31" s="2122"/>
      <c r="M31" s="56"/>
      <c r="N31" s="10"/>
      <c r="O31" s="2137"/>
      <c r="P31" s="2137"/>
      <c r="Q31" s="2137"/>
      <c r="R31" s="2137"/>
      <c r="S31" s="2137"/>
      <c r="T31" s="1242"/>
      <c r="U31" s="22"/>
      <c r="V31" s="22"/>
      <c r="W31" s="22"/>
      <c r="X31" s="22"/>
      <c r="Y31" s="22"/>
      <c r="Z31" s="22"/>
      <c r="AA31" s="22"/>
      <c r="AB31" s="22"/>
      <c r="AC31" s="22"/>
      <c r="AD31" s="22"/>
      <c r="AE31" s="22"/>
      <c r="AF31" s="22"/>
      <c r="AG31" s="22"/>
      <c r="AH31" s="22"/>
      <c r="AI31" s="22"/>
      <c r="AJ31" s="22"/>
      <c r="AK31" s="22"/>
      <c r="AL31" s="22"/>
      <c r="AM31" s="22"/>
      <c r="AT31" s="1434"/>
    </row>
    <row r="32" spans="1:46" ht="19.350000000000001" customHeight="1">
      <c r="A32" s="1456"/>
      <c r="B32" s="2137" t="s">
        <v>147</v>
      </c>
      <c r="C32" s="10" t="s">
        <v>619</v>
      </c>
      <c r="D32" s="2137"/>
      <c r="E32" s="2137"/>
      <c r="F32" s="2137"/>
      <c r="G32" s="2137"/>
      <c r="H32" s="2137"/>
      <c r="I32" s="2137"/>
      <c r="J32" s="3385" t="str">
        <f>IF(ISBLANK(L28),"",('Pump-Basic(1) '!F28))</f>
        <v/>
      </c>
      <c r="K32" s="3351"/>
      <c r="L32" s="2140" t="s">
        <v>640</v>
      </c>
      <c r="M32" s="2137"/>
      <c r="N32" s="2137"/>
      <c r="O32" s="2137"/>
      <c r="P32" s="2137"/>
      <c r="Q32" s="2137"/>
      <c r="R32" s="2137"/>
      <c r="S32" s="2137"/>
      <c r="T32" s="1242"/>
      <c r="AT32" s="1434"/>
    </row>
    <row r="33" spans="1:46" s="48" customFormat="1" ht="6" customHeight="1">
      <c r="A33" s="1457"/>
      <c r="B33" s="2140"/>
      <c r="C33" s="2124"/>
      <c r="D33" s="2140"/>
      <c r="E33" s="2140"/>
      <c r="F33" s="2140"/>
      <c r="G33" s="2140"/>
      <c r="H33" s="1470"/>
      <c r="I33" s="1470"/>
      <c r="J33" s="2142"/>
      <c r="K33" s="2140"/>
      <c r="L33" s="2140"/>
      <c r="M33" s="2140"/>
      <c r="N33" s="2140"/>
      <c r="O33" s="2140"/>
      <c r="P33" s="2140"/>
      <c r="Q33" s="1470"/>
      <c r="R33" s="1470"/>
      <c r="S33" s="2142"/>
      <c r="T33" s="793"/>
      <c r="U33" s="22"/>
      <c r="V33" s="22"/>
      <c r="W33" s="22"/>
      <c r="X33" s="22"/>
      <c r="Y33" s="22"/>
      <c r="Z33" s="22"/>
      <c r="AA33" s="22"/>
      <c r="AB33" s="22"/>
      <c r="AC33" s="22"/>
      <c r="AD33" s="22"/>
      <c r="AE33" s="22"/>
      <c r="AF33" s="22"/>
      <c r="AG33" s="22"/>
      <c r="AH33" s="22"/>
      <c r="AI33" s="22"/>
      <c r="AJ33" s="22"/>
      <c r="AK33" s="22"/>
      <c r="AL33" s="22"/>
      <c r="AM33" s="22"/>
      <c r="AT33" s="1434"/>
    </row>
    <row r="34" spans="1:46" ht="19.350000000000001" customHeight="1">
      <c r="A34" s="1457"/>
      <c r="B34" s="2137" t="s">
        <v>631</v>
      </c>
      <c r="C34" s="2137" t="s">
        <v>18</v>
      </c>
      <c r="D34" s="2137"/>
      <c r="E34" s="2137"/>
      <c r="F34" s="2137"/>
      <c r="G34" s="2137"/>
      <c r="H34" s="2137"/>
      <c r="I34" s="2137"/>
      <c r="J34" s="3383" t="str">
        <f>IF(ISBLANK(L28),"",'Pump-Basic(1) '!F30)</f>
        <v/>
      </c>
      <c r="K34" s="3351"/>
      <c r="L34" s="2140" t="s">
        <v>629</v>
      </c>
      <c r="M34" s="2140"/>
      <c r="N34" s="2140"/>
      <c r="O34" s="2140"/>
      <c r="P34" s="2140"/>
      <c r="Q34" s="1470"/>
      <c r="R34" s="1470"/>
      <c r="S34" s="2142"/>
      <c r="T34" s="793"/>
      <c r="AH34" s="17"/>
      <c r="AI34" s="17"/>
      <c r="AK34" s="1429"/>
      <c r="AL34" s="1429"/>
      <c r="AT34" s="1434"/>
    </row>
    <row r="35" spans="1:46" ht="6" customHeight="1">
      <c r="A35" s="1456"/>
      <c r="B35" s="2137"/>
      <c r="C35" s="1470"/>
      <c r="D35" s="1470"/>
      <c r="E35" s="2122"/>
      <c r="F35" s="1470"/>
      <c r="G35" s="1470"/>
      <c r="H35" s="2140"/>
      <c r="I35" s="2140"/>
      <c r="J35" s="55"/>
      <c r="K35" s="501"/>
      <c r="L35" s="2140"/>
      <c r="M35" s="2137"/>
      <c r="N35" s="10"/>
      <c r="O35" s="2137"/>
      <c r="P35" s="2137"/>
      <c r="Q35" s="2137"/>
      <c r="R35" s="2137"/>
      <c r="S35" s="2137"/>
      <c r="T35" s="1242"/>
      <c r="AH35" s="17"/>
      <c r="AI35" s="17"/>
      <c r="AK35" s="1429"/>
      <c r="AL35" s="1429"/>
      <c r="AT35" s="1434"/>
    </row>
    <row r="36" spans="1:46" ht="19.350000000000001" customHeight="1">
      <c r="A36" s="1456"/>
      <c r="B36" s="2137" t="s">
        <v>149</v>
      </c>
      <c r="C36" s="10" t="s">
        <v>620</v>
      </c>
      <c r="D36" s="2137"/>
      <c r="E36" s="2137"/>
      <c r="F36" s="2137"/>
      <c r="G36" s="2137"/>
      <c r="H36" s="2137"/>
      <c r="I36" s="1470"/>
      <c r="J36" s="3718" t="str">
        <f>IF(ISBLANK(C22)," ",IF(J32=1,"0.045",IF(J32=1.25,"0.078",IF(J32=1.5,"0.110",IF(J32=2,"0.170",IF(J32=3,"0.380"))))))</f>
        <v xml:space="preserve"> </v>
      </c>
      <c r="K36" s="3719"/>
      <c r="L36" s="2137" t="s">
        <v>661</v>
      </c>
      <c r="M36" s="56"/>
      <c r="N36" s="10"/>
      <c r="O36" s="2137"/>
      <c r="P36" s="2137"/>
      <c r="Q36" s="2137"/>
      <c r="R36" s="2137"/>
      <c r="S36" s="2137"/>
      <c r="T36" s="1242"/>
      <c r="U36" s="48"/>
      <c r="V36" s="48"/>
      <c r="W36" s="48"/>
      <c r="X36" s="48"/>
      <c r="Y36" s="48"/>
      <c r="Z36" s="48"/>
      <c r="AA36" s="48"/>
      <c r="AB36" s="48"/>
      <c r="AC36" s="48"/>
      <c r="AD36" s="48"/>
      <c r="AE36" s="48"/>
      <c r="AF36" s="48"/>
      <c r="AG36" s="48"/>
      <c r="AH36" s="1435"/>
      <c r="AI36" s="1435"/>
      <c r="AJ36" s="48"/>
      <c r="AK36" s="1429"/>
      <c r="AL36" s="1433"/>
      <c r="AM36" s="48"/>
      <c r="AT36" s="1434"/>
    </row>
    <row r="37" spans="1:46" ht="19.350000000000001" customHeight="1">
      <c r="A37" s="1456"/>
      <c r="B37" s="2137" t="s">
        <v>588</v>
      </c>
      <c r="C37" s="10" t="s">
        <v>621</v>
      </c>
      <c r="D37" s="2137"/>
      <c r="E37" s="2137"/>
      <c r="F37" s="2137"/>
      <c r="G37" s="2137"/>
      <c r="H37" s="2137"/>
      <c r="I37" s="1470"/>
      <c r="J37" s="2143"/>
      <c r="K37" s="2143"/>
      <c r="L37" s="2122"/>
      <c r="M37" s="56"/>
      <c r="N37" s="10"/>
      <c r="O37" s="2137"/>
      <c r="P37" s="2137"/>
      <c r="Q37" s="2137"/>
      <c r="R37" s="2137"/>
      <c r="S37" s="2137"/>
      <c r="T37" s="1242"/>
      <c r="AT37" s="1434"/>
    </row>
    <row r="38" spans="1:46" ht="19.350000000000001" customHeight="1">
      <c r="A38" s="1456"/>
      <c r="B38" s="2137"/>
      <c r="C38" s="3385" t="str">
        <f>IF(ISBLANK(J32),"",J34)</f>
        <v/>
      </c>
      <c r="D38" s="3351"/>
      <c r="E38" s="2127" t="s">
        <v>122</v>
      </c>
      <c r="F38" s="3385" t="str">
        <f>J36</f>
        <v xml:space="preserve"> </v>
      </c>
      <c r="G38" s="3351"/>
      <c r="H38" s="2137" t="s">
        <v>1391</v>
      </c>
      <c r="I38" s="2137"/>
      <c r="J38" s="3347" t="str">
        <f>IF(ISBLANK(C22),"",C38*F38)</f>
        <v/>
      </c>
      <c r="K38" s="3715"/>
      <c r="L38" s="2140" t="s">
        <v>96</v>
      </c>
      <c r="M38" s="2137"/>
      <c r="N38" s="10"/>
      <c r="O38" s="2137"/>
      <c r="P38" s="2137"/>
      <c r="Q38" s="2137"/>
      <c r="R38" s="2137"/>
      <c r="S38" s="2137"/>
      <c r="T38" s="1242"/>
      <c r="U38" s="1431"/>
      <c r="V38" s="1431"/>
      <c r="W38" s="1431"/>
      <c r="X38" s="1431"/>
      <c r="Y38" s="1431"/>
      <c r="Z38" s="1431"/>
      <c r="AA38" s="1431"/>
      <c r="AB38" s="1431"/>
      <c r="AC38" s="1431"/>
      <c r="AD38" s="1431"/>
      <c r="AE38" s="1431"/>
      <c r="AF38" s="1431"/>
      <c r="AG38" s="1431"/>
      <c r="AH38" s="1431"/>
      <c r="AI38" s="1431"/>
      <c r="AJ38" s="1431"/>
      <c r="AK38" s="1431"/>
      <c r="AL38" s="1431"/>
      <c r="AM38" s="1431"/>
      <c r="AT38" s="1434"/>
    </row>
    <row r="39" spans="1:46" s="48" customFormat="1" ht="19.350000000000001" customHeight="1">
      <c r="A39" s="1456" t="s">
        <v>2046</v>
      </c>
      <c r="B39" s="10" t="s">
        <v>1605</v>
      </c>
      <c r="C39" s="2137"/>
      <c r="D39" s="2137"/>
      <c r="E39" s="2137"/>
      <c r="F39" s="2137"/>
      <c r="G39" s="2137"/>
      <c r="H39" s="2137"/>
      <c r="I39" s="1470"/>
      <c r="J39" s="2143"/>
      <c r="K39" s="1470"/>
      <c r="L39" s="2122"/>
      <c r="M39" s="56"/>
      <c r="N39" s="10"/>
      <c r="O39" s="2137"/>
      <c r="P39" s="2137"/>
      <c r="Q39" s="2137"/>
      <c r="R39" s="2137"/>
      <c r="S39" s="2137"/>
      <c r="T39" s="1242"/>
      <c r="U39" s="1431"/>
      <c r="V39" s="1431"/>
      <c r="W39" s="1431"/>
      <c r="X39" s="1431"/>
      <c r="Y39" s="1431"/>
      <c r="Z39" s="1431"/>
      <c r="AA39" s="1431"/>
      <c r="AB39" s="1431"/>
      <c r="AC39" s="1431"/>
      <c r="AD39" s="1431"/>
      <c r="AE39" s="1431"/>
      <c r="AF39" s="1431"/>
      <c r="AG39" s="1431"/>
      <c r="AH39" s="1431"/>
      <c r="AI39" s="1431"/>
      <c r="AJ39" s="1431"/>
      <c r="AK39" s="1431"/>
      <c r="AL39" s="1431"/>
      <c r="AM39" s="1431"/>
      <c r="AT39" s="1434"/>
    </row>
    <row r="40" spans="1:46" ht="18" customHeight="1">
      <c r="A40" s="1456"/>
      <c r="B40" s="2137"/>
      <c r="C40" s="3385" t="str">
        <f>IF(ISBLANK(L28), " ", L28)</f>
        <v xml:space="preserve"> </v>
      </c>
      <c r="D40" s="3351"/>
      <c r="E40" s="2127" t="s">
        <v>666</v>
      </c>
      <c r="F40" s="3347" t="str">
        <f>J38</f>
        <v/>
      </c>
      <c r="G40" s="3351"/>
      <c r="H40" s="2127" t="s">
        <v>667</v>
      </c>
      <c r="I40" s="3383" t="str">
        <f>IF(ISBLANK(C22),"",C40+F40)</f>
        <v/>
      </c>
      <c r="J40" s="3384"/>
      <c r="K40" s="2140" t="s">
        <v>96</v>
      </c>
      <c r="L40" s="2122"/>
      <c r="M40" s="56"/>
      <c r="N40" s="10"/>
      <c r="O40" s="2137"/>
      <c r="P40" s="2137"/>
      <c r="Q40" s="2137"/>
      <c r="R40" s="2137"/>
      <c r="S40" s="2137"/>
      <c r="T40" s="1242"/>
      <c r="U40" s="1431"/>
      <c r="V40" s="1431"/>
      <c r="W40" s="1431"/>
      <c r="X40" s="1431"/>
      <c r="Y40" s="1431"/>
      <c r="Z40" s="1431"/>
      <c r="AA40" s="1431"/>
      <c r="AB40" s="1431"/>
      <c r="AC40" s="1431"/>
      <c r="AD40" s="1431"/>
      <c r="AE40" s="1431"/>
      <c r="AF40" s="1431"/>
      <c r="AG40" s="1431"/>
      <c r="AH40" s="1431"/>
      <c r="AI40" s="1431"/>
      <c r="AJ40" s="1431"/>
      <c r="AK40" s="1431"/>
      <c r="AL40" s="1431"/>
      <c r="AM40" s="1431"/>
    </row>
    <row r="41" spans="1:46" s="1431" customFormat="1" ht="18" customHeight="1">
      <c r="A41" s="1457" t="s">
        <v>103</v>
      </c>
      <c r="B41" s="2205" t="s">
        <v>2054</v>
      </c>
      <c r="C41" s="1470"/>
      <c r="D41" s="1470"/>
      <c r="E41" s="2122"/>
      <c r="F41" s="55"/>
      <c r="G41" s="1470"/>
      <c r="H41" s="2122"/>
      <c r="I41" s="55"/>
      <c r="J41" s="55"/>
      <c r="K41" s="2140"/>
      <c r="L41" s="2122"/>
      <c r="M41" s="56"/>
      <c r="N41" s="2124"/>
      <c r="O41" s="2140"/>
      <c r="P41" s="2140"/>
      <c r="Q41" s="2140"/>
      <c r="R41" s="2140"/>
      <c r="S41" s="2140"/>
      <c r="T41" s="793"/>
      <c r="U41" s="22"/>
      <c r="V41" s="22"/>
      <c r="W41" s="22"/>
      <c r="X41" s="22"/>
      <c r="Y41" s="22"/>
      <c r="Z41" s="22"/>
      <c r="AA41" s="22"/>
      <c r="AB41" s="22"/>
      <c r="AC41" s="22"/>
      <c r="AD41" s="22"/>
      <c r="AE41" s="22"/>
      <c r="AF41" s="22"/>
      <c r="AG41" s="22"/>
      <c r="AH41" s="22"/>
      <c r="AI41" s="22"/>
      <c r="AJ41" s="22"/>
      <c r="AK41" s="22"/>
      <c r="AL41" s="22"/>
      <c r="AM41" s="22"/>
    </row>
    <row r="42" spans="1:46" s="1431" customFormat="1" ht="20.100000000000001" customHeight="1">
      <c r="A42" s="1457"/>
      <c r="B42" s="3282" t="str">
        <f>IF(ISBLANK(I13)," ",I13)</f>
        <v xml:space="preserve"> </v>
      </c>
      <c r="C42" s="3284"/>
      <c r="D42" s="2206" t="s">
        <v>1948</v>
      </c>
      <c r="E42" s="3749" t="str">
        <f>IF(ISBLANK(M22)," ",M22)</f>
        <v xml:space="preserve"> </v>
      </c>
      <c r="F42" s="3749"/>
      <c r="G42" s="2207" t="s">
        <v>1948</v>
      </c>
      <c r="H42" s="3749" t="str">
        <f>IF(ISBLANK(M78)," ",M78)</f>
        <v/>
      </c>
      <c r="I42" s="3749"/>
      <c r="J42" s="2208" t="s">
        <v>102</v>
      </c>
      <c r="K42" s="3749" t="str">
        <f>IF(ISBLANK(H49)," ",(B42-E42-H42))</f>
        <v xml:space="preserve"> </v>
      </c>
      <c r="L42" s="3749"/>
      <c r="M42" s="2209" t="s">
        <v>96</v>
      </c>
      <c r="O42" s="2140"/>
      <c r="P42" s="2140"/>
      <c r="Q42" s="2140"/>
      <c r="R42" s="2140"/>
      <c r="S42" s="2140"/>
      <c r="T42" s="793"/>
      <c r="U42" s="22"/>
      <c r="V42" s="22"/>
      <c r="W42" s="22"/>
      <c r="X42" s="22"/>
      <c r="Y42" s="22"/>
      <c r="Z42" s="22"/>
      <c r="AA42" s="22"/>
      <c r="AB42" s="22"/>
      <c r="AC42" s="22"/>
      <c r="AD42" s="22"/>
      <c r="AE42" s="22"/>
      <c r="AF42" s="22"/>
      <c r="AG42" s="22"/>
      <c r="AH42" s="22"/>
      <c r="AI42" s="22"/>
      <c r="AJ42" s="22"/>
      <c r="AK42" s="22"/>
      <c r="AL42" s="22"/>
      <c r="AM42" s="22"/>
    </row>
    <row r="43" spans="1:46" s="1431" customFormat="1" ht="7.5" customHeight="1">
      <c r="A43" s="1459"/>
      <c r="B43" s="142"/>
      <c r="C43" s="1437"/>
      <c r="D43" s="1437"/>
      <c r="E43" s="1439"/>
      <c r="F43" s="143"/>
      <c r="G43" s="1437"/>
      <c r="H43" s="1439"/>
      <c r="I43" s="143"/>
      <c r="J43" s="143"/>
      <c r="K43" s="142"/>
      <c r="L43" s="1439"/>
      <c r="M43" s="1183"/>
      <c r="N43" s="1184"/>
      <c r="O43" s="142"/>
      <c r="P43" s="142"/>
      <c r="Q43" s="142"/>
      <c r="R43" s="142"/>
      <c r="S43" s="142"/>
      <c r="T43" s="1460"/>
      <c r="U43" s="22"/>
      <c r="V43" s="22"/>
      <c r="W43" s="22"/>
      <c r="X43" s="22"/>
      <c r="Y43" s="22"/>
      <c r="Z43" s="22"/>
      <c r="AA43" s="22"/>
      <c r="AB43" s="22"/>
      <c r="AC43" s="22"/>
      <c r="AD43" s="22"/>
      <c r="AE43" s="22"/>
      <c r="AF43" s="22"/>
      <c r="AG43" s="22"/>
      <c r="AH43" s="22"/>
      <c r="AI43" s="22"/>
      <c r="AJ43" s="22"/>
      <c r="AK43" s="22"/>
      <c r="AL43" s="22"/>
      <c r="AM43" s="22"/>
    </row>
    <row r="44" spans="1:46" ht="19.350000000000001" customHeight="1">
      <c r="A44" s="1757" t="s">
        <v>105</v>
      </c>
      <c r="B44" s="74" t="s">
        <v>628</v>
      </c>
      <c r="C44" s="74"/>
      <c r="D44" s="74"/>
      <c r="E44" s="1179"/>
      <c r="F44" s="74"/>
      <c r="G44" s="74"/>
      <c r="H44" s="74"/>
      <c r="I44" s="74"/>
      <c r="J44" s="74"/>
      <c r="K44" s="74"/>
      <c r="L44" s="74"/>
      <c r="M44" s="74"/>
      <c r="N44" s="74"/>
      <c r="O44" s="150"/>
      <c r="P44" s="150"/>
      <c r="Q44" s="150"/>
      <c r="R44" s="150"/>
      <c r="S44" s="150"/>
      <c r="T44" s="1461"/>
    </row>
    <row r="45" spans="1:46" ht="19.350000000000001" customHeight="1">
      <c r="A45" s="2294" t="s">
        <v>147</v>
      </c>
      <c r="B45" s="2137" t="s">
        <v>2051</v>
      </c>
      <c r="C45" s="2130"/>
      <c r="D45" s="2130"/>
      <c r="E45" s="2130"/>
      <c r="F45" s="2130"/>
      <c r="G45" s="146"/>
      <c r="H45" s="2137"/>
      <c r="I45" s="3193"/>
      <c r="J45" s="3101"/>
      <c r="K45" s="2127" t="s">
        <v>2053</v>
      </c>
      <c r="L45" s="2137"/>
      <c r="M45" s="2137"/>
      <c r="N45" s="2140"/>
      <c r="O45" s="2140"/>
      <c r="P45" s="2140"/>
      <c r="Q45" s="3780" t="s">
        <v>1395</v>
      </c>
      <c r="R45" s="3780"/>
      <c r="S45" s="3780"/>
      <c r="T45" s="1463"/>
    </row>
    <row r="46" spans="1:46" ht="18.75" customHeight="1">
      <c r="A46" s="2294" t="s">
        <v>631</v>
      </c>
      <c r="B46" s="2137" t="s">
        <v>1786</v>
      </c>
      <c r="C46" s="2130"/>
      <c r="D46" s="2130"/>
      <c r="E46" s="2130"/>
      <c r="F46" s="2130"/>
      <c r="G46" s="2130"/>
      <c r="H46" s="2130"/>
      <c r="I46" s="2130"/>
      <c r="J46" s="2130"/>
      <c r="K46" s="2130"/>
      <c r="L46" s="2137"/>
      <c r="M46" s="2137"/>
      <c r="N46" s="2137"/>
      <c r="O46" s="2132"/>
      <c r="P46" s="2137"/>
      <c r="Q46" s="3780"/>
      <c r="R46" s="3780"/>
      <c r="S46" s="3780"/>
      <c r="T46" s="1463"/>
      <c r="Y46" s="2355"/>
      <c r="Z46" s="2355"/>
    </row>
    <row r="47" spans="1:46" ht="19.350000000000001" customHeight="1">
      <c r="A47" s="2064"/>
      <c r="B47" s="2137"/>
      <c r="C47" s="3100"/>
      <c r="D47" s="3101"/>
      <c r="E47" s="3602" t="s">
        <v>246</v>
      </c>
      <c r="F47" s="3560"/>
      <c r="G47" s="3347" t="str">
        <f>IF(ISBLANK(C22),"",I15)</f>
        <v/>
      </c>
      <c r="H47" s="3348"/>
      <c r="I47" s="3559" t="s">
        <v>247</v>
      </c>
      <c r="J47" s="3560"/>
      <c r="K47" s="3100"/>
      <c r="L47" s="3101"/>
      <c r="M47" s="2127" t="s">
        <v>248</v>
      </c>
      <c r="N47" s="3347" t="str">
        <f>IF(ISBLANK(C47),"",(C47*(G47/K47)))</f>
        <v/>
      </c>
      <c r="O47" s="3348"/>
      <c r="P47" s="2127" t="s">
        <v>134</v>
      </c>
      <c r="Q47" s="3780"/>
      <c r="R47" s="3780"/>
      <c r="S47" s="3780"/>
      <c r="T47" s="1242"/>
      <c r="Y47" s="2355"/>
      <c r="Z47" s="2355"/>
    </row>
    <row r="48" spans="1:46" ht="6" customHeight="1">
      <c r="A48" s="2064"/>
      <c r="B48" s="2137"/>
      <c r="C48" s="2137"/>
      <c r="D48" s="2137"/>
      <c r="E48" s="2127"/>
      <c r="F48" s="2137"/>
      <c r="G48" s="2137"/>
      <c r="H48" s="2137"/>
      <c r="I48" s="2137"/>
      <c r="J48" s="2137"/>
      <c r="K48" s="2137"/>
      <c r="L48" s="2137"/>
      <c r="M48" s="2137"/>
      <c r="N48" s="2137"/>
      <c r="O48" s="2132"/>
      <c r="P48" s="2137"/>
      <c r="Q48" s="3780"/>
      <c r="R48" s="3780"/>
      <c r="S48" s="3780"/>
      <c r="T48" s="1242"/>
      <c r="Y48" s="2355"/>
      <c r="Z48" s="2355"/>
    </row>
    <row r="49" spans="1:39" ht="19.350000000000001" customHeight="1" thickBot="1">
      <c r="A49" s="2376" t="s">
        <v>109</v>
      </c>
      <c r="B49" s="2371" t="s">
        <v>2052</v>
      </c>
      <c r="C49" s="2371"/>
      <c r="D49" s="2372"/>
      <c r="E49" s="2372"/>
      <c r="F49" s="2371"/>
      <c r="G49" s="2371"/>
      <c r="H49" s="3751"/>
      <c r="I49" s="3752"/>
      <c r="J49" s="2372" t="s">
        <v>1965</v>
      </c>
      <c r="K49" s="2371"/>
      <c r="L49" s="2371"/>
      <c r="M49" s="2371"/>
      <c r="N49" s="2371"/>
      <c r="O49" s="2371"/>
      <c r="P49" s="2371"/>
      <c r="Q49" s="3781"/>
      <c r="R49" s="3781"/>
      <c r="S49" s="3781"/>
      <c r="T49" s="2373"/>
      <c r="Y49" s="2355"/>
      <c r="Z49" s="2355"/>
    </row>
    <row r="50" spans="1:39" s="2280" customFormat="1" ht="6" customHeight="1" thickBot="1">
      <c r="A50" s="2279"/>
      <c r="D50" s="2273"/>
      <c r="E50" s="2273"/>
      <c r="H50" s="1624"/>
      <c r="I50" s="1624"/>
      <c r="J50" s="2273"/>
      <c r="Q50" s="2288"/>
      <c r="R50" s="2288"/>
      <c r="S50" s="2288"/>
      <c r="X50" s="2355"/>
      <c r="Y50" s="2355"/>
      <c r="Z50" s="2355"/>
    </row>
    <row r="51" spans="1:39" s="2280" customFormat="1" ht="19.350000000000001" customHeight="1">
      <c r="A51" s="1442" t="s">
        <v>2032</v>
      </c>
      <c r="B51" s="2283"/>
      <c r="C51" s="2283"/>
      <c r="D51" s="2283"/>
      <c r="E51" s="2283"/>
      <c r="F51" s="2283"/>
      <c r="G51" s="2283"/>
      <c r="H51" s="2283"/>
      <c r="I51" s="2283"/>
      <c r="J51" s="2283"/>
      <c r="K51" s="2283"/>
      <c r="L51" s="2283"/>
      <c r="M51" s="2283"/>
      <c r="N51" s="2283"/>
      <c r="O51" s="2283"/>
      <c r="P51" s="2283"/>
      <c r="Q51" s="2283"/>
      <c r="R51" s="2283"/>
      <c r="S51" s="2283"/>
      <c r="T51" s="2374"/>
    </row>
    <row r="52" spans="1:39" ht="19.350000000000001" customHeight="1">
      <c r="A52" s="1456" t="s">
        <v>110</v>
      </c>
      <c r="B52" s="2137" t="s">
        <v>2047</v>
      </c>
      <c r="C52" s="2137"/>
      <c r="D52" s="2137"/>
      <c r="E52" s="2127"/>
      <c r="F52" s="2137"/>
      <c r="G52" s="2137"/>
      <c r="H52" s="2137"/>
      <c r="I52" s="2137"/>
      <c r="J52" s="2137"/>
      <c r="K52" s="2137"/>
      <c r="L52" s="2137"/>
      <c r="M52" s="2137"/>
      <c r="Q52" s="2137"/>
      <c r="R52" s="2137"/>
      <c r="S52" s="2137"/>
      <c r="T52" s="1242"/>
      <c r="U52" s="1431"/>
      <c r="V52" s="1431"/>
      <c r="W52" s="1431"/>
      <c r="X52" s="2355"/>
      <c r="Y52" s="2355"/>
      <c r="Z52" s="2355"/>
      <c r="AA52" s="1431"/>
      <c r="AB52" s="1431"/>
      <c r="AC52" s="1431"/>
      <c r="AD52" s="1431"/>
      <c r="AE52" s="1431"/>
      <c r="AF52" s="1431"/>
      <c r="AG52" s="1431"/>
      <c r="AH52" s="1431"/>
      <c r="AI52" s="1431"/>
      <c r="AJ52" s="1431"/>
      <c r="AK52" s="1431"/>
      <c r="AL52" s="1431"/>
      <c r="AM52" s="1431"/>
    </row>
    <row r="53" spans="1:39" ht="19.350000000000001" customHeight="1">
      <c r="A53" s="1456"/>
      <c r="B53" s="2188" t="s">
        <v>1971</v>
      </c>
      <c r="C53" s="2188"/>
      <c r="D53" s="2188"/>
      <c r="E53" s="2186"/>
      <c r="F53" s="2188"/>
      <c r="G53" s="2188"/>
      <c r="H53" s="2188"/>
      <c r="I53" s="2188"/>
      <c r="J53" s="2188"/>
      <c r="K53" s="2188"/>
      <c r="L53" s="2188"/>
      <c r="M53" s="2188"/>
      <c r="N53" s="2210" t="s">
        <v>1943</v>
      </c>
      <c r="O53" s="2210" t="s">
        <v>1944</v>
      </c>
      <c r="P53" s="2210" t="s">
        <v>1945</v>
      </c>
      <c r="Q53" s="2188"/>
      <c r="R53" s="2188"/>
      <c r="S53" s="2188"/>
      <c r="T53" s="1242"/>
      <c r="U53" s="2189"/>
      <c r="V53" s="2189"/>
      <c r="W53" s="2189"/>
      <c r="X53" s="2189"/>
      <c r="Y53" s="2189"/>
      <c r="Z53" s="2189"/>
      <c r="AA53" s="2189"/>
      <c r="AB53" s="2189"/>
      <c r="AC53" s="2189"/>
      <c r="AD53" s="2189"/>
      <c r="AE53" s="2189"/>
      <c r="AF53" s="2189"/>
      <c r="AG53" s="2189"/>
      <c r="AH53" s="2189"/>
      <c r="AI53" s="2189"/>
      <c r="AJ53" s="2189"/>
      <c r="AK53" s="2189"/>
      <c r="AL53" s="2189"/>
      <c r="AM53" s="2189"/>
    </row>
    <row r="54" spans="1:39" ht="19.350000000000001" customHeight="1">
      <c r="A54" s="2064"/>
      <c r="B54" s="3383" t="str">
        <f>I40</f>
        <v/>
      </c>
      <c r="C54" s="3384"/>
      <c r="D54" s="2186" t="s">
        <v>1087</v>
      </c>
      <c r="E54" s="2219" t="s">
        <v>721</v>
      </c>
      <c r="F54" s="3347" t="str">
        <f>IF(ISBLANK(H49)," ",H49)</f>
        <v xml:space="preserve"> </v>
      </c>
      <c r="G54" s="3348"/>
      <c r="H54" s="3368" t="s">
        <v>1972</v>
      </c>
      <c r="I54" s="3369"/>
      <c r="J54" s="3347" t="str">
        <f>IF(ISBLANK(C22),"",B54/F54)</f>
        <v/>
      </c>
      <c r="K54" s="3348"/>
      <c r="L54" s="2137" t="s">
        <v>2049</v>
      </c>
      <c r="M54" s="2137"/>
      <c r="N54" s="2212" t="str">
        <f>IF(ISBLANK(H49)," ",(ROUNDDOWN(J54/60,0)))</f>
        <v xml:space="preserve"> </v>
      </c>
      <c r="O54" s="2211" t="str">
        <f>IF(ISBLANK(H49)," ",(ROUNDDOWN(J54,0)))</f>
        <v xml:space="preserve"> </v>
      </c>
      <c r="P54" s="2212" t="str">
        <f>IF(ISBLANK(H49)," ",(ROUNDDOWN((J54-O54)*60,0)))</f>
        <v xml:space="preserve"> </v>
      </c>
      <c r="Q54" s="2137"/>
      <c r="R54" s="2137"/>
      <c r="S54" s="2137"/>
      <c r="T54" s="1242"/>
      <c r="U54" s="48"/>
      <c r="V54" s="48"/>
      <c r="W54" s="48"/>
      <c r="X54" s="48"/>
      <c r="Y54" s="48"/>
      <c r="Z54" s="48"/>
      <c r="AA54" s="48"/>
      <c r="AB54" s="48"/>
      <c r="AC54" s="48"/>
      <c r="AD54" s="48"/>
      <c r="AE54" s="48"/>
      <c r="AF54" s="48"/>
      <c r="AG54" s="48"/>
      <c r="AH54" s="48"/>
      <c r="AI54" s="48"/>
      <c r="AJ54" s="48"/>
      <c r="AK54" s="48"/>
      <c r="AL54" s="48"/>
      <c r="AM54" s="48"/>
    </row>
    <row r="55" spans="1:39" s="1431" customFormat="1" ht="19.350000000000001" customHeight="1">
      <c r="A55" s="1456" t="s">
        <v>116</v>
      </c>
      <c r="B55" s="2213" t="s">
        <v>2048</v>
      </c>
      <c r="C55" s="2137"/>
      <c r="D55" s="2137"/>
      <c r="E55" s="2127"/>
      <c r="F55" s="2137"/>
      <c r="G55" s="2137"/>
      <c r="H55" s="2237"/>
      <c r="I55" s="2137"/>
      <c r="J55" s="2137"/>
      <c r="K55" s="2137"/>
      <c r="L55" s="2137"/>
      <c r="M55" s="2137"/>
      <c r="N55" s="2137"/>
      <c r="O55" s="2137"/>
      <c r="P55" s="2137"/>
      <c r="Q55" s="2137"/>
      <c r="R55" s="2137"/>
      <c r="S55" s="2137"/>
      <c r="T55" s="1242"/>
      <c r="U55" s="48"/>
      <c r="V55" s="48"/>
      <c r="W55" s="48"/>
      <c r="X55" s="48"/>
      <c r="Y55" s="48"/>
      <c r="Z55" s="48"/>
      <c r="AA55" s="48"/>
      <c r="AB55" s="48"/>
      <c r="AC55" s="48"/>
      <c r="AD55" s="48"/>
      <c r="AE55" s="48"/>
      <c r="AF55" s="48"/>
      <c r="AG55" s="48"/>
      <c r="AH55" s="48"/>
      <c r="AI55" s="48"/>
      <c r="AJ55" s="48"/>
      <c r="AK55" s="48"/>
      <c r="AL55" s="48"/>
      <c r="AM55" s="48"/>
    </row>
    <row r="56" spans="1:39" s="2189" customFormat="1" ht="19.350000000000001" customHeight="1">
      <c r="A56" s="1456"/>
      <c r="B56" s="2214" t="s">
        <v>1065</v>
      </c>
      <c r="C56" s="2188"/>
      <c r="D56" s="2188"/>
      <c r="E56" s="2186"/>
      <c r="F56" s="2188"/>
      <c r="G56" s="2188"/>
      <c r="H56" s="2188"/>
      <c r="I56" s="2188"/>
      <c r="J56" s="2188"/>
      <c r="K56" s="2188"/>
      <c r="L56" s="2188"/>
      <c r="M56" s="2188"/>
      <c r="N56" s="2188"/>
      <c r="O56" s="2188"/>
      <c r="Q56" s="2367" t="s">
        <v>1943</v>
      </c>
      <c r="R56" s="2367" t="s">
        <v>1944</v>
      </c>
      <c r="S56" s="2367" t="s">
        <v>1945</v>
      </c>
      <c r="T56" s="1242"/>
      <c r="U56" s="48"/>
      <c r="V56" s="48"/>
      <c r="W56" s="48"/>
      <c r="X56" s="48"/>
      <c r="Y56" s="48"/>
      <c r="Z56" s="48"/>
      <c r="AA56" s="48"/>
      <c r="AB56" s="48"/>
      <c r="AC56" s="48"/>
      <c r="AD56" s="48"/>
      <c r="AE56" s="48"/>
      <c r="AF56" s="48"/>
      <c r="AG56" s="48"/>
      <c r="AH56" s="48"/>
      <c r="AI56" s="48"/>
      <c r="AJ56" s="48"/>
      <c r="AK56" s="48"/>
      <c r="AL56" s="48"/>
      <c r="AM56" s="48"/>
    </row>
    <row r="57" spans="1:39" s="48" customFormat="1" ht="19.350000000000001" customHeight="1">
      <c r="A57" s="2064"/>
      <c r="B57" s="2824" t="s">
        <v>2037</v>
      </c>
      <c r="C57" s="2824"/>
      <c r="D57" s="2223" t="str">
        <f>K30</f>
        <v xml:space="preserve"> </v>
      </c>
      <c r="E57" s="3777" t="s">
        <v>2023</v>
      </c>
      <c r="F57" s="3778"/>
      <c r="G57" s="3779"/>
      <c r="H57" s="3745" t="str">
        <f>IF(ISBLANK(H49)," ",J54)</f>
        <v xml:space="preserve"> </v>
      </c>
      <c r="I57" s="3747"/>
      <c r="J57" s="2215" t="s">
        <v>249</v>
      </c>
      <c r="K57" s="2218" t="s">
        <v>102</v>
      </c>
      <c r="L57" s="3745" t="str">
        <f>IF(ISBLANK(C22),"",(1440/D57-J54))</f>
        <v/>
      </c>
      <c r="M57" s="3746"/>
      <c r="N57" s="2215" t="s">
        <v>2050</v>
      </c>
      <c r="O57" s="2216"/>
      <c r="Q57" s="2350" t="str">
        <f>IF(ISBLANK(H49)," ",(ROUNDDOWN(L57/60,0)))</f>
        <v xml:space="preserve"> </v>
      </c>
      <c r="R57" s="2349" t="str">
        <f>IF(ISBLANK(H49)," ",(ROUNDDOWN(L57-Q57*60,0)))</f>
        <v xml:space="preserve"> </v>
      </c>
      <c r="S57" s="2351" t="str">
        <f>IF(ISBLANK(H49)," ",(ROUNDUP(((L57)-((Q57*60)+R57))*60,1)))</f>
        <v xml:space="preserve"> </v>
      </c>
      <c r="T57" s="1242"/>
    </row>
    <row r="58" spans="1:39" s="48" customFormat="1" ht="6" customHeight="1">
      <c r="A58" s="2064"/>
      <c r="B58" s="1039"/>
      <c r="C58" s="1039"/>
      <c r="D58" s="1039"/>
      <c r="E58" s="1039"/>
      <c r="F58" s="1039"/>
      <c r="G58" s="1039"/>
      <c r="H58" s="1039"/>
      <c r="I58" s="1039"/>
      <c r="J58" s="1039"/>
      <c r="K58" s="1039"/>
      <c r="L58" s="1039"/>
      <c r="M58" s="1039"/>
      <c r="N58" s="1039"/>
      <c r="O58" s="1039"/>
      <c r="P58" s="1039"/>
      <c r="Q58" s="1039"/>
      <c r="R58" s="1039"/>
      <c r="S58" s="1039"/>
      <c r="T58" s="1242"/>
    </row>
    <row r="59" spans="1:39" ht="19.350000000000001" customHeight="1">
      <c r="A59" s="2284" t="s">
        <v>2036</v>
      </c>
      <c r="B59" s="2285"/>
      <c r="C59" s="2377"/>
      <c r="D59" s="2377"/>
      <c r="E59" s="2377"/>
      <c r="F59" s="2377"/>
      <c r="G59" s="2377"/>
      <c r="H59" s="2377"/>
      <c r="I59" s="2285"/>
      <c r="J59" s="2285"/>
      <c r="K59" s="2285"/>
      <c r="L59" s="2285"/>
      <c r="M59" s="2259"/>
      <c r="N59" s="2259"/>
      <c r="O59" s="2259"/>
      <c r="P59" s="2259"/>
      <c r="Q59" s="2259"/>
      <c r="R59" s="2259"/>
      <c r="S59" s="2259"/>
      <c r="T59" s="2260"/>
    </row>
    <row r="60" spans="1:39" s="48" customFormat="1" ht="6" customHeight="1">
      <c r="A60" s="2072"/>
      <c r="B60" s="2261"/>
      <c r="C60" s="2261"/>
      <c r="D60" s="2261"/>
      <c r="E60" s="2261"/>
      <c r="F60" s="2261"/>
      <c r="G60" s="2343"/>
      <c r="H60" s="2343"/>
      <c r="I60" s="2261"/>
      <c r="J60" s="2261"/>
      <c r="K60" s="2261"/>
      <c r="L60" s="2261"/>
      <c r="M60" s="2261"/>
      <c r="N60" s="2261"/>
      <c r="O60" s="2261"/>
      <c r="P60" s="2261"/>
      <c r="Q60" s="2261"/>
      <c r="R60" s="2261"/>
      <c r="S60" s="2261"/>
      <c r="T60" s="1448"/>
    </row>
    <row r="61" spans="1:39" s="48" customFormat="1" ht="18.75" customHeight="1">
      <c r="A61" s="1456" t="s">
        <v>125</v>
      </c>
      <c r="B61" s="1039" t="s">
        <v>2016</v>
      </c>
      <c r="C61" s="1039"/>
      <c r="D61" s="1039"/>
      <c r="E61" s="1039"/>
      <c r="F61" s="1039"/>
      <c r="G61" s="3770"/>
      <c r="H61" s="3771"/>
      <c r="I61" s="1039" t="s">
        <v>630</v>
      </c>
      <c r="J61" s="1039"/>
      <c r="K61" s="1039"/>
      <c r="L61" s="1039"/>
      <c r="M61" s="1039"/>
      <c r="N61" s="1039"/>
      <c r="O61" s="1039"/>
      <c r="P61" s="1039"/>
      <c r="Q61" s="2342"/>
      <c r="R61" s="1039"/>
      <c r="S61" s="1039"/>
      <c r="T61" s="1242"/>
    </row>
    <row r="62" spans="1:39" s="48" customFormat="1" ht="19.350000000000001" customHeight="1">
      <c r="A62" s="1456" t="s">
        <v>127</v>
      </c>
      <c r="B62" s="1039" t="s">
        <v>2055</v>
      </c>
      <c r="C62" s="1039"/>
      <c r="D62" s="1039"/>
      <c r="E62" s="1039"/>
      <c r="F62" s="1039"/>
      <c r="G62" s="1039"/>
      <c r="H62" s="1039"/>
      <c r="I62" s="1039"/>
      <c r="J62" s="1039"/>
      <c r="L62" s="3770"/>
      <c r="M62" s="3771"/>
      <c r="N62" s="2208" t="s">
        <v>2018</v>
      </c>
      <c r="O62" s="2824" t="s">
        <v>2017</v>
      </c>
      <c r="P62" s="3772"/>
      <c r="Q62" s="3768" t="str">
        <f>J38</f>
        <v/>
      </c>
      <c r="R62" s="3769"/>
      <c r="S62" s="1039" t="s">
        <v>1087</v>
      </c>
      <c r="T62" s="1242"/>
    </row>
    <row r="63" spans="1:39" s="48" customFormat="1" ht="19.350000000000001" customHeight="1">
      <c r="A63" s="1456" t="s">
        <v>128</v>
      </c>
      <c r="B63" s="3336" t="s">
        <v>2028</v>
      </c>
      <c r="C63" s="3336"/>
      <c r="D63" s="3336"/>
      <c r="E63" s="3773" t="str">
        <f>IF(ISBLANK(L62)," ",L62+Q62)</f>
        <v xml:space="preserve"> </v>
      </c>
      <c r="F63" s="3774"/>
      <c r="G63" s="1039" t="s">
        <v>1110</v>
      </c>
      <c r="H63" s="1039"/>
      <c r="I63" s="1039"/>
      <c r="J63" s="1039"/>
      <c r="L63" s="2251"/>
      <c r="M63" s="2251"/>
      <c r="P63" s="2217" t="s">
        <v>1943</v>
      </c>
      <c r="Q63" s="2217" t="s">
        <v>1944</v>
      </c>
      <c r="R63" s="2217" t="s">
        <v>1945</v>
      </c>
      <c r="S63" s="1039"/>
      <c r="T63" s="1242"/>
    </row>
    <row r="64" spans="1:39" s="48" customFormat="1" ht="19.350000000000001" customHeight="1">
      <c r="A64" s="1456" t="s">
        <v>131</v>
      </c>
      <c r="B64" s="3336" t="s">
        <v>2019</v>
      </c>
      <c r="C64" s="3336"/>
      <c r="D64" s="3336"/>
      <c r="E64" s="3773" t="str">
        <f>+IF(ISBLANK(L62)," ",E63)</f>
        <v xml:space="preserve"> </v>
      </c>
      <c r="F64" s="3774"/>
      <c r="G64" s="1039" t="s">
        <v>2021</v>
      </c>
      <c r="H64" s="2345" t="str">
        <f>IF(ISBLANK(L62)," ",(H49))</f>
        <v xml:space="preserve"> </v>
      </c>
      <c r="I64" s="1039" t="s">
        <v>2020</v>
      </c>
      <c r="J64" s="3768" t="str">
        <f>IF(ISBLANK(G61)," ",E64/H64)</f>
        <v xml:space="preserve"> </v>
      </c>
      <c r="K64" s="3769"/>
      <c r="L64" s="48" t="s">
        <v>2026</v>
      </c>
      <c r="M64" s="1039"/>
      <c r="P64" s="2221" t="str">
        <f>IF(ISBLANK(G61)," ",(ROUNDDOWN(J64/60,0)))</f>
        <v xml:space="preserve"> </v>
      </c>
      <c r="Q64" s="2220" t="str">
        <f>IF(ISBLANK(G61)," ",(ROUNDDOWN(J64,0)))</f>
        <v xml:space="preserve"> </v>
      </c>
      <c r="R64" s="2221" t="str">
        <f>IF(ISBLANK(G61)," ",(ROUNDDOWN((J64-Q64)*60,0)))</f>
        <v xml:space="preserve"> </v>
      </c>
      <c r="S64" s="1039"/>
      <c r="T64" s="1242"/>
    </row>
    <row r="65" spans="1:39" s="48" customFormat="1" ht="19.350000000000001" customHeight="1">
      <c r="A65" s="1456"/>
      <c r="B65" s="3764" t="s">
        <v>1395</v>
      </c>
      <c r="C65" s="3764"/>
      <c r="D65" s="3764"/>
      <c r="E65" s="3764"/>
      <c r="F65" s="3764"/>
      <c r="G65" s="3764"/>
      <c r="H65" s="3764"/>
      <c r="I65" s="3764"/>
      <c r="J65" s="3764"/>
      <c r="K65" s="3764"/>
      <c r="L65" s="3764"/>
      <c r="M65" s="3764"/>
      <c r="N65" s="3764"/>
      <c r="O65" s="2340"/>
      <c r="P65" s="2217" t="s">
        <v>1943</v>
      </c>
      <c r="Q65" s="2217" t="s">
        <v>1944</v>
      </c>
      <c r="R65" s="2217" t="s">
        <v>1945</v>
      </c>
      <c r="S65" s="1039"/>
      <c r="T65" s="1242"/>
    </row>
    <row r="66" spans="1:39" s="48" customFormat="1" ht="19.350000000000001" customHeight="1">
      <c r="A66" s="1456" t="s">
        <v>1888</v>
      </c>
      <c r="B66" s="3336" t="s">
        <v>2025</v>
      </c>
      <c r="C66" s="3336"/>
      <c r="D66" s="3336"/>
      <c r="E66" s="3750"/>
      <c r="F66" s="2354" t="str">
        <f>IF(ISBLANK(G61)," ",(I4)*(G61/100)/L62)</f>
        <v xml:space="preserve"> </v>
      </c>
      <c r="G66" s="2823" t="s">
        <v>2023</v>
      </c>
      <c r="H66" s="2824"/>
      <c r="I66" s="2346" t="str">
        <f>IF(ISBLANK(G61)," ",(J64))</f>
        <v xml:space="preserve"> </v>
      </c>
      <c r="J66" s="1039" t="s">
        <v>2024</v>
      </c>
      <c r="L66" s="3768" t="str">
        <f>IF(ISBLANK(G61)," ",(1440/(F66)-(I66)))</f>
        <v xml:space="preserve"> </v>
      </c>
      <c r="M66" s="3769"/>
      <c r="N66" s="1039" t="s">
        <v>2027</v>
      </c>
      <c r="P66" s="2221" t="str">
        <f>IF(ISBLANK(G61)," ",(ROUNDDOWN(L66/60,0)))</f>
        <v xml:space="preserve"> </v>
      </c>
      <c r="Q66" s="2220" t="str">
        <f>IF(ISBLANK(G61)," ",(ROUNDDOWN(L66-P66*60,0)))</f>
        <v xml:space="preserve"> </v>
      </c>
      <c r="R66" s="2222" t="str">
        <f>IF(ISBLANK(G61)," ",(ROUNDUP(((L66)-((P66*60)+Q66))*60,1)))</f>
        <v xml:space="preserve"> </v>
      </c>
      <c r="S66" s="1039"/>
      <c r="T66" s="1242"/>
    </row>
    <row r="67" spans="1:39" s="48" customFormat="1" ht="6.75" customHeight="1">
      <c r="A67" s="1457"/>
      <c r="B67" s="2366"/>
      <c r="C67" s="2366"/>
      <c r="D67" s="2366"/>
      <c r="E67" s="2366"/>
      <c r="F67" s="2363"/>
      <c r="G67" s="2365"/>
      <c r="H67" s="2365"/>
      <c r="I67" s="2352"/>
      <c r="J67" s="2361"/>
      <c r="L67" s="2362"/>
      <c r="M67" s="2362"/>
      <c r="N67" s="2361"/>
      <c r="P67" s="2341"/>
      <c r="Q67" s="2362"/>
      <c r="R67" s="2364"/>
      <c r="S67" s="2361"/>
      <c r="T67" s="793"/>
    </row>
    <row r="68" spans="1:39" s="48" customFormat="1" ht="19.350000000000001" customHeight="1">
      <c r="A68" s="3775" t="s">
        <v>2034</v>
      </c>
      <c r="B68" s="3776"/>
      <c r="C68" s="3776"/>
      <c r="D68" s="3776"/>
      <c r="E68" s="3776"/>
      <c r="F68" s="3776"/>
      <c r="G68" s="2347"/>
      <c r="H68" s="2347"/>
      <c r="I68" s="2347"/>
      <c r="J68" s="2347"/>
      <c r="K68" s="2347"/>
      <c r="L68" s="2347"/>
      <c r="M68" s="2347"/>
      <c r="N68" s="2347"/>
      <c r="O68" s="2347"/>
      <c r="P68" s="2347"/>
      <c r="Q68" s="2347"/>
      <c r="R68" s="2347"/>
      <c r="S68" s="2347"/>
      <c r="T68" s="2348"/>
    </row>
    <row r="69" spans="1:39" s="48" customFormat="1" ht="19.350000000000001" customHeight="1">
      <c r="A69" s="1456" t="s">
        <v>2029</v>
      </c>
      <c r="B69" s="2137" t="s">
        <v>286</v>
      </c>
      <c r="C69" s="2137"/>
      <c r="D69" s="2137"/>
      <c r="E69" s="2127"/>
      <c r="F69" s="2137"/>
      <c r="G69" s="2137"/>
      <c r="H69" s="2137"/>
      <c r="I69" s="2137"/>
      <c r="J69" s="2137"/>
      <c r="M69" s="2137"/>
      <c r="N69" s="2131"/>
      <c r="O69" s="2140"/>
      <c r="P69" s="2140"/>
      <c r="Q69" s="2140"/>
      <c r="R69" s="2137"/>
      <c r="S69" s="2137"/>
      <c r="T69" s="1242"/>
    </row>
    <row r="70" spans="1:39" s="48" customFormat="1" ht="19.350000000000001" customHeight="1">
      <c r="A70" s="2294"/>
      <c r="B70" s="10" t="s">
        <v>1069</v>
      </c>
      <c r="C70" s="2131"/>
      <c r="D70" s="2131"/>
      <c r="E70" s="2131"/>
      <c r="F70" s="2131"/>
      <c r="G70" s="2131"/>
      <c r="H70" s="2131"/>
      <c r="I70" s="2131"/>
      <c r="J70" s="2131"/>
      <c r="K70" s="2131"/>
      <c r="L70" s="2131"/>
      <c r="M70" s="2131"/>
      <c r="Q70" s="2137"/>
      <c r="R70" s="54"/>
      <c r="S70" s="2122"/>
      <c r="T70" s="1242"/>
    </row>
    <row r="71" spans="1:39" s="48" customFormat="1" ht="19.350000000000001" customHeight="1">
      <c r="A71" s="2294"/>
      <c r="B71" s="3383" t="str">
        <f>M22</f>
        <v xml:space="preserve"> </v>
      </c>
      <c r="C71" s="3351"/>
      <c r="D71" s="86" t="s">
        <v>1966</v>
      </c>
      <c r="E71" s="137"/>
      <c r="F71" s="3347" t="str">
        <f>IF(ISBLANK(C22),"",I15)</f>
        <v/>
      </c>
      <c r="G71" s="3348"/>
      <c r="H71" s="3759" t="s">
        <v>1941</v>
      </c>
      <c r="I71" s="3760"/>
      <c r="J71" s="3347" t="str">
        <f>IF(ISBLANK(C22),"",B71/F71)</f>
        <v/>
      </c>
      <c r="K71" s="3348"/>
      <c r="L71" s="2137" t="s">
        <v>144</v>
      </c>
      <c r="N71" s="3748" t="s">
        <v>1946</v>
      </c>
      <c r="O71" s="3748"/>
      <c r="P71" s="3748"/>
      <c r="Q71" s="2226"/>
      <c r="R71" s="2228" t="str">
        <f>M78</f>
        <v/>
      </c>
      <c r="S71" s="2227" t="s">
        <v>741</v>
      </c>
      <c r="T71" s="793"/>
    </row>
    <row r="72" spans="1:39" s="48" customFormat="1" ht="17.100000000000001" customHeight="1">
      <c r="A72" s="2294"/>
      <c r="B72" s="2185"/>
      <c r="C72" s="2184"/>
      <c r="D72" s="2184"/>
      <c r="E72" s="2184"/>
      <c r="F72" s="2187"/>
      <c r="G72" s="2187"/>
      <c r="H72" s="2184"/>
      <c r="I72" s="2184"/>
      <c r="J72" s="2184"/>
      <c r="K72" s="2187"/>
      <c r="M72" s="3744" t="s">
        <v>21</v>
      </c>
      <c r="N72" s="3744"/>
      <c r="O72" s="2229" t="str">
        <f>IF(ISBLANK(F75), "", J75)</f>
        <v/>
      </c>
      <c r="P72" s="48" t="s">
        <v>94</v>
      </c>
      <c r="Q72" s="2225"/>
      <c r="R72" s="2226"/>
      <c r="S72" s="2226"/>
      <c r="T72" s="793"/>
      <c r="X72" s="1039"/>
    </row>
    <row r="73" spans="1:39" s="48" customFormat="1" ht="19.350000000000001" customHeight="1">
      <c r="A73" s="1457" t="s">
        <v>2030</v>
      </c>
      <c r="B73" s="2137" t="s">
        <v>1482</v>
      </c>
      <c r="C73" s="2137"/>
      <c r="D73" s="2122"/>
      <c r="E73" s="55"/>
      <c r="F73" s="55"/>
      <c r="G73" s="2140"/>
      <c r="H73" s="2140"/>
      <c r="I73" s="54"/>
      <c r="J73" s="54"/>
      <c r="K73" s="2140"/>
      <c r="L73" s="2140"/>
      <c r="M73" s="3761" t="s">
        <v>1947</v>
      </c>
      <c r="N73" s="3761"/>
      <c r="O73" s="3761"/>
      <c r="Q73" s="2226"/>
      <c r="R73" s="2357" t="str">
        <f>K42</f>
        <v xml:space="preserve"> </v>
      </c>
      <c r="S73" s="2359" t="s">
        <v>741</v>
      </c>
      <c r="T73" s="793"/>
      <c r="W73" s="1039"/>
      <c r="X73" s="1039"/>
    </row>
    <row r="74" spans="1:39" s="48" customFormat="1" ht="18.75" customHeight="1">
      <c r="A74" s="1453"/>
      <c r="B74" s="10" t="s">
        <v>2085</v>
      </c>
      <c r="C74" s="2131"/>
      <c r="D74" s="2122"/>
      <c r="E74" s="55"/>
      <c r="F74" s="55"/>
      <c r="G74" s="2140"/>
      <c r="H74" s="2140"/>
      <c r="I74" s="54"/>
      <c r="J74" s="54"/>
      <c r="K74" s="2140"/>
      <c r="L74" s="2140"/>
      <c r="M74" s="2140"/>
      <c r="N74" s="3762" t="s">
        <v>2035</v>
      </c>
      <c r="O74" s="3762"/>
      <c r="Q74" s="2226"/>
      <c r="R74" s="3767" t="str">
        <f>I40</f>
        <v/>
      </c>
      <c r="S74" s="3743" t="s">
        <v>741</v>
      </c>
      <c r="T74" s="793"/>
    </row>
    <row r="75" spans="1:39" s="48" customFormat="1" ht="18" customHeight="1">
      <c r="A75" s="1453"/>
      <c r="B75" s="3347" t="str">
        <f>IF(ISBLANK(C22),"",I17)</f>
        <v/>
      </c>
      <c r="C75" s="3351"/>
      <c r="D75" s="3756" t="s">
        <v>1940</v>
      </c>
      <c r="E75" s="3750"/>
      <c r="F75" s="3100"/>
      <c r="G75" s="3101"/>
      <c r="H75" s="3757" t="s">
        <v>1939</v>
      </c>
      <c r="I75" s="3758"/>
      <c r="J75" s="3385" t="str">
        <f>IF(ISBLANK(C22),"",B75*(F75/100))</f>
        <v/>
      </c>
      <c r="K75" s="3715"/>
      <c r="L75" s="2197" t="s">
        <v>144</v>
      </c>
      <c r="M75" s="2140"/>
      <c r="N75" s="3762"/>
      <c r="O75" s="3762"/>
      <c r="Q75" s="2226"/>
      <c r="R75" s="3767"/>
      <c r="S75" s="3743"/>
      <c r="T75" s="793"/>
    </row>
    <row r="76" spans="1:39" s="48" customFormat="1" ht="19.5" customHeight="1">
      <c r="A76" s="1453"/>
      <c r="B76" s="2187"/>
      <c r="C76" s="2184"/>
      <c r="D76" s="2184"/>
      <c r="E76" s="2184"/>
      <c r="F76" s="2198"/>
      <c r="G76" s="2198"/>
      <c r="H76" s="2184"/>
      <c r="I76" s="2184"/>
      <c r="J76" s="2184"/>
      <c r="K76" s="501"/>
      <c r="L76" s="58"/>
      <c r="M76" s="3744" t="s">
        <v>20</v>
      </c>
      <c r="N76" s="3763"/>
      <c r="O76" s="2358" t="str">
        <f>J71</f>
        <v/>
      </c>
      <c r="P76" s="2344" t="s">
        <v>94</v>
      </c>
      <c r="R76" s="2369" t="str">
        <f>M22</f>
        <v xml:space="preserve"> </v>
      </c>
      <c r="S76" s="2368" t="s">
        <v>741</v>
      </c>
      <c r="T76" s="793"/>
    </row>
    <row r="77" spans="1:39" s="48" customFormat="1" ht="18" customHeight="1">
      <c r="A77" s="1457" t="s">
        <v>2031</v>
      </c>
      <c r="B77" s="2224" t="s">
        <v>1942</v>
      </c>
      <c r="C77" s="2122"/>
      <c r="D77" s="2122"/>
      <c r="E77" s="2122"/>
      <c r="F77" s="2198"/>
      <c r="G77" s="2198"/>
      <c r="H77" s="2122"/>
      <c r="I77" s="2122"/>
      <c r="J77" s="2122"/>
      <c r="K77" s="501"/>
      <c r="L77" s="58"/>
      <c r="M77" s="2356"/>
      <c r="N77" s="2356"/>
      <c r="R77" s="2353"/>
      <c r="S77" s="2360"/>
      <c r="T77" s="793"/>
    </row>
    <row r="78" spans="1:39" s="48" customFormat="1" ht="18" customHeight="1">
      <c r="A78" s="1453" t="s">
        <v>310</v>
      </c>
      <c r="B78" s="3347" t="str">
        <f>IF(ISBLANK(I17),"",I17)</f>
        <v/>
      </c>
      <c r="C78" s="3351"/>
      <c r="D78" s="3386" t="s">
        <v>1918</v>
      </c>
      <c r="E78" s="3342"/>
      <c r="F78" s="3738" t="str">
        <f>IF(ISBLANK(J75),"",J75)</f>
        <v/>
      </c>
      <c r="G78" s="3755"/>
      <c r="H78" s="3386" t="s">
        <v>1917</v>
      </c>
      <c r="I78" s="3342"/>
      <c r="J78" s="3347" t="str">
        <f>IF(ISBLANK(C22),"",I15)</f>
        <v/>
      </c>
      <c r="K78" s="3351"/>
      <c r="L78" s="2140" t="s">
        <v>1870</v>
      </c>
      <c r="M78" s="3566" t="str">
        <f>IF(ISBLANK(H49),"",((B78-F78)*J78))</f>
        <v/>
      </c>
      <c r="N78" s="3595"/>
      <c r="O78" s="58" t="s">
        <v>827</v>
      </c>
      <c r="P78" s="2140"/>
      <c r="Q78" s="2140"/>
      <c r="R78" s="2140"/>
      <c r="S78" s="2140"/>
      <c r="T78" s="793"/>
      <c r="U78" s="991"/>
      <c r="V78" s="991"/>
      <c r="W78" s="22"/>
      <c r="X78" s="22"/>
      <c r="Y78" s="22"/>
      <c r="Z78" s="22"/>
      <c r="AA78" s="22"/>
      <c r="AB78" s="22"/>
      <c r="AC78" s="22"/>
      <c r="AD78" s="22"/>
      <c r="AE78" s="22"/>
      <c r="AF78" s="22"/>
      <c r="AG78" s="22"/>
      <c r="AH78" s="22"/>
      <c r="AI78" s="22"/>
      <c r="AJ78" s="22"/>
      <c r="AK78" s="22"/>
      <c r="AL78" s="22"/>
      <c r="AM78" s="22"/>
    </row>
    <row r="79" spans="1:39" s="48" customFormat="1" ht="6.9" customHeight="1" thickBot="1">
      <c r="A79" s="1759"/>
      <c r="B79" s="984"/>
      <c r="C79" s="1233"/>
      <c r="D79" s="1233"/>
      <c r="E79" s="1233"/>
      <c r="F79" s="2183"/>
      <c r="G79" s="2183"/>
      <c r="H79" s="1233"/>
      <c r="I79" s="1233"/>
      <c r="J79" s="1233"/>
      <c r="K79" s="2158"/>
      <c r="L79" s="1440"/>
      <c r="M79" s="1229"/>
      <c r="N79" s="1229"/>
      <c r="O79" s="1229"/>
      <c r="P79" s="1229"/>
      <c r="Q79" s="1229"/>
      <c r="R79" s="1229"/>
      <c r="S79" s="1229"/>
      <c r="T79" s="1464"/>
    </row>
    <row r="80" spans="1:39" s="48" customFormat="1" ht="18" customHeight="1">
      <c r="A80" s="23"/>
      <c r="B80" s="22"/>
      <c r="C80" s="22"/>
      <c r="D80" s="22"/>
      <c r="E80" s="22"/>
      <c r="F80" s="1257"/>
      <c r="G80" s="1257"/>
      <c r="H80" s="22"/>
      <c r="I80" s="22"/>
      <c r="J80" s="22"/>
      <c r="K80" s="22"/>
      <c r="L80" s="22"/>
      <c r="M80" s="22"/>
      <c r="N80" s="22"/>
      <c r="O80" s="22"/>
      <c r="P80" s="22"/>
      <c r="Q80" s="23"/>
      <c r="R80" s="23"/>
      <c r="S80" s="23"/>
      <c r="T80" s="23"/>
      <c r="U80" s="991"/>
      <c r="V80" s="991"/>
      <c r="W80" s="22"/>
      <c r="X80" s="22"/>
      <c r="Y80" s="22"/>
      <c r="Z80" s="22"/>
      <c r="AA80" s="22"/>
      <c r="AB80" s="22"/>
      <c r="AC80" s="22"/>
      <c r="AD80" s="22"/>
      <c r="AE80" s="22"/>
      <c r="AF80" s="22"/>
      <c r="AG80" s="22"/>
      <c r="AH80" s="22"/>
      <c r="AI80" s="22"/>
      <c r="AJ80" s="22"/>
      <c r="AK80" s="22"/>
      <c r="AL80" s="22"/>
      <c r="AM80" s="22"/>
    </row>
    <row r="81" spans="1:39" s="48" customFormat="1" ht="18" customHeight="1">
      <c r="A81" s="23"/>
      <c r="B81" s="22"/>
      <c r="C81" s="22"/>
      <c r="D81" s="22"/>
      <c r="E81" s="22"/>
      <c r="F81" s="1257"/>
      <c r="G81" s="1257"/>
      <c r="H81" s="22"/>
      <c r="I81" s="22"/>
      <c r="J81" s="22"/>
      <c r="K81" s="22"/>
      <c r="L81" s="22"/>
      <c r="M81" s="22"/>
      <c r="O81" s="1817"/>
      <c r="P81" s="22"/>
      <c r="Q81" s="23"/>
      <c r="R81" s="23"/>
      <c r="S81" s="23"/>
      <c r="T81" s="23"/>
      <c r="U81" s="991"/>
      <c r="V81" s="991"/>
      <c r="W81" s="22"/>
      <c r="X81" s="22"/>
      <c r="Y81" s="22"/>
      <c r="Z81" s="22"/>
      <c r="AA81" s="22"/>
      <c r="AB81" s="22"/>
      <c r="AC81" s="22"/>
      <c r="AD81" s="22"/>
      <c r="AE81" s="22"/>
      <c r="AF81" s="22"/>
      <c r="AG81" s="22"/>
      <c r="AH81" s="22"/>
      <c r="AI81" s="22"/>
      <c r="AJ81" s="22"/>
      <c r="AK81" s="22"/>
      <c r="AL81" s="22"/>
      <c r="AM81" s="22"/>
    </row>
    <row r="82" spans="1:39" ht="18" customHeight="1">
      <c r="N82" s="1817"/>
      <c r="O82" s="1817"/>
      <c r="U82" s="991"/>
      <c r="V82" s="991"/>
    </row>
    <row r="83" spans="1:39" ht="35.1" customHeight="1">
      <c r="U83" s="90"/>
      <c r="V83" s="2"/>
    </row>
    <row r="84" spans="1:39" ht="35.1" customHeight="1">
      <c r="U84" s="90"/>
      <c r="V84" s="2"/>
    </row>
    <row r="85" spans="1:39" ht="35.1" customHeight="1">
      <c r="U85" s="991"/>
      <c r="V85" s="2"/>
    </row>
  </sheetData>
  <sheetProtection sheet="1" objects="1" scenarios="1"/>
  <mergeCells count="107">
    <mergeCell ref="B65:N65"/>
    <mergeCell ref="B54:C54"/>
    <mergeCell ref="H54:I54"/>
    <mergeCell ref="O4:S4"/>
    <mergeCell ref="Q8:R8"/>
    <mergeCell ref="J54:K54"/>
    <mergeCell ref="C47:D47"/>
    <mergeCell ref="R74:R75"/>
    <mergeCell ref="Q62:R62"/>
    <mergeCell ref="L62:M62"/>
    <mergeCell ref="O62:P62"/>
    <mergeCell ref="G61:H61"/>
    <mergeCell ref="B64:D64"/>
    <mergeCell ref="J64:K64"/>
    <mergeCell ref="E64:F64"/>
    <mergeCell ref="B63:D63"/>
    <mergeCell ref="E63:F63"/>
    <mergeCell ref="G66:H66"/>
    <mergeCell ref="A68:F68"/>
    <mergeCell ref="L66:M66"/>
    <mergeCell ref="J71:K71"/>
    <mergeCell ref="E57:G57"/>
    <mergeCell ref="F54:G54"/>
    <mergeCell ref="Q45:S49"/>
    <mergeCell ref="B78:C78"/>
    <mergeCell ref="D78:E78"/>
    <mergeCell ref="F78:G78"/>
    <mergeCell ref="H78:I78"/>
    <mergeCell ref="M78:N78"/>
    <mergeCell ref="J78:K78"/>
    <mergeCell ref="D75:E75"/>
    <mergeCell ref="H75:I75"/>
    <mergeCell ref="H71:I71"/>
    <mergeCell ref="J75:K75"/>
    <mergeCell ref="F75:G75"/>
    <mergeCell ref="M73:O73"/>
    <mergeCell ref="N74:O75"/>
    <mergeCell ref="M76:N76"/>
    <mergeCell ref="E47:F47"/>
    <mergeCell ref="G47:H47"/>
    <mergeCell ref="I47:J47"/>
    <mergeCell ref="K47:L47"/>
    <mergeCell ref="H49:I49"/>
    <mergeCell ref="N47:O47"/>
    <mergeCell ref="I45:J45"/>
    <mergeCell ref="B2:K2"/>
    <mergeCell ref="L2:M2"/>
    <mergeCell ref="N2:O2"/>
    <mergeCell ref="I4:J4"/>
    <mergeCell ref="I8:J8"/>
    <mergeCell ref="C30:D30"/>
    <mergeCell ref="C38:D38"/>
    <mergeCell ref="F38:G38"/>
    <mergeCell ref="J38:K38"/>
    <mergeCell ref="J32:K32"/>
    <mergeCell ref="J34:K34"/>
    <mergeCell ref="E30:F30"/>
    <mergeCell ref="G30:H30"/>
    <mergeCell ref="B20:T20"/>
    <mergeCell ref="Q26:R26"/>
    <mergeCell ref="Q24:R24"/>
    <mergeCell ref="I30:J30"/>
    <mergeCell ref="A1:T1"/>
    <mergeCell ref="I6:J6"/>
    <mergeCell ref="S74:S75"/>
    <mergeCell ref="M72:N72"/>
    <mergeCell ref="A19:T19"/>
    <mergeCell ref="B75:C75"/>
    <mergeCell ref="B71:C71"/>
    <mergeCell ref="F71:G71"/>
    <mergeCell ref="H22:I22"/>
    <mergeCell ref="M22:N22"/>
    <mergeCell ref="B23:M23"/>
    <mergeCell ref="K24:L24"/>
    <mergeCell ref="E26:F26"/>
    <mergeCell ref="K26:L26"/>
    <mergeCell ref="C40:D40"/>
    <mergeCell ref="L57:M57"/>
    <mergeCell ref="B57:C57"/>
    <mergeCell ref="H57:I57"/>
    <mergeCell ref="N71:P71"/>
    <mergeCell ref="B42:C42"/>
    <mergeCell ref="E42:F42"/>
    <mergeCell ref="H42:I42"/>
    <mergeCell ref="K42:L42"/>
    <mergeCell ref="B66:E66"/>
    <mergeCell ref="C22:D22"/>
    <mergeCell ref="B28:K28"/>
    <mergeCell ref="B21:K21"/>
    <mergeCell ref="AF15:AG15"/>
    <mergeCell ref="AF11:AG11"/>
    <mergeCell ref="W11:X11"/>
    <mergeCell ref="W8:AK9"/>
    <mergeCell ref="AE6:AF6"/>
    <mergeCell ref="Z6:AA6"/>
    <mergeCell ref="AA19:AB19"/>
    <mergeCell ref="F40:G40"/>
    <mergeCell ref="I40:J40"/>
    <mergeCell ref="J36:K36"/>
    <mergeCell ref="L28:M28"/>
    <mergeCell ref="I15:J15"/>
    <mergeCell ref="F11:J11"/>
    <mergeCell ref="O11:S11"/>
    <mergeCell ref="I13:J13"/>
    <mergeCell ref="N13:T17"/>
    <mergeCell ref="I17:J17"/>
    <mergeCell ref="K30:L30"/>
  </mergeCells>
  <dataValidations count="3">
    <dataValidation allowBlank="1" showInputMessage="1" sqref="B42:C42"/>
    <dataValidation type="list" allowBlank="1" showInputMessage="1" showErrorMessage="1" sqref="H33">
      <formula1>$AK$34:$AK$36</formula1>
    </dataValidation>
    <dataValidation type="whole" allowBlank="1" showInputMessage="1" showErrorMessage="1" error="Must be between Min and Max" sqref="L28:M28">
      <formula1>K24-0.5</formula1>
      <formula2>K26</formula2>
    </dataValidation>
  </dataValidations>
  <printOptions horizontalCentered="1"/>
  <pageMargins left="0.25" right="0.25" top="0.5" bottom="0.5" header="0.3" footer="0.3"/>
  <pageSetup scale="88" fitToHeight="0" orientation="portrait" blackAndWhite="1" r:id="rId1"/>
  <rowBreaks count="1" manualBreakCount="1">
    <brk id="49" max="19"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Tank Use" prompt="What will the pump tank be used for?">
          <x14:formula1>
            <xm:f>'Drop-Down Lists'!$M$50:$M$54</xm:f>
          </x14:formula1>
          <xm:sqref>O4</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indexed="55"/>
  </sheetPr>
  <dimension ref="A1:AU128"/>
  <sheetViews>
    <sheetView showGridLines="0" showZeros="0" view="pageBreakPreview" zoomScaleNormal="100" zoomScaleSheetLayoutView="100" workbookViewId="0">
      <selection activeCell="I4" sqref="I4:L4"/>
    </sheetView>
  </sheetViews>
  <sheetFormatPr defaultColWidth="6.44140625" defaultRowHeight="24.75" customHeight="1"/>
  <cols>
    <col min="1" max="1" width="3.44140625" style="91" customWidth="1"/>
    <col min="2" max="18" width="6.44140625" style="22" customWidth="1"/>
    <col min="19" max="19" width="6.44140625" style="23" customWidth="1"/>
    <col min="20" max="20" width="6.44140625" style="22" customWidth="1"/>
    <col min="21" max="43" width="6.44140625" style="22"/>
    <col min="44" max="44" width="6.88671875" style="22" bestFit="1" customWidth="1"/>
    <col min="45" max="45" width="7" style="22" bestFit="1" customWidth="1"/>
    <col min="46" max="46" width="6.88671875" style="22" bestFit="1" customWidth="1"/>
    <col min="47" max="16384" width="6.44140625" style="22"/>
  </cols>
  <sheetData>
    <row r="1" spans="1:22" s="11" customFormat="1" ht="54.9" customHeight="1" thickBot="1">
      <c r="A1" s="24"/>
      <c r="B1" s="468"/>
      <c r="C1" s="468"/>
      <c r="D1" s="468"/>
      <c r="E1" s="3598" t="s">
        <v>1758</v>
      </c>
      <c r="F1" s="3598"/>
      <c r="G1" s="3598"/>
      <c r="H1" s="3598"/>
      <c r="I1" s="3598"/>
      <c r="J1" s="3598"/>
      <c r="K1" s="3598"/>
      <c r="L1" s="3598"/>
      <c r="M1" s="3598"/>
      <c r="N1" s="3598"/>
      <c r="O1" s="3598"/>
      <c r="P1" s="470"/>
      <c r="Q1" s="470"/>
      <c r="R1" s="470"/>
      <c r="S1" s="470"/>
    </row>
    <row r="2" spans="1:22" ht="16.350000000000001" customHeight="1">
      <c r="A2" s="2055" t="s">
        <v>917</v>
      </c>
      <c r="B2" s="2056" t="s">
        <v>918</v>
      </c>
      <c r="C2" s="2057"/>
      <c r="D2" s="2057"/>
      <c r="E2" s="2057"/>
      <c r="F2" s="2057"/>
      <c r="G2" s="2057"/>
      <c r="H2" s="2057"/>
      <c r="I2" s="3786" t="s">
        <v>1016</v>
      </c>
      <c r="J2" s="3786"/>
      <c r="K2" s="3787" t="str">
        <f>IF(ISBLANK(Summary!S3)," ",Summary!S3)</f>
        <v xml:space="preserve"> </v>
      </c>
      <c r="L2" s="3787"/>
      <c r="M2" s="2057"/>
      <c r="N2" s="2057"/>
      <c r="O2" s="2057"/>
      <c r="P2" s="2057"/>
      <c r="Q2" s="2057"/>
      <c r="R2" s="2057"/>
      <c r="S2" s="1443" t="str">
        <f>'Drop-Down Lists'!$J40</f>
        <v>v 04.01.2021</v>
      </c>
      <c r="T2" s="88"/>
      <c r="U2" s="88"/>
      <c r="V2" s="88"/>
    </row>
    <row r="3" spans="1:22" s="48" customFormat="1" ht="6" customHeight="1">
      <c r="A3" s="2058"/>
      <c r="B3" s="452"/>
      <c r="C3" s="452"/>
      <c r="D3" s="452"/>
      <c r="E3" s="452"/>
      <c r="F3" s="452"/>
      <c r="G3" s="452"/>
      <c r="H3" s="452"/>
      <c r="I3" s="452"/>
      <c r="J3" s="452"/>
      <c r="K3" s="452"/>
      <c r="L3" s="452"/>
      <c r="M3" s="452"/>
      <c r="N3" s="452"/>
      <c r="O3" s="452"/>
      <c r="P3" s="452"/>
      <c r="Q3" s="452"/>
      <c r="R3" s="452"/>
      <c r="S3" s="2059"/>
      <c r="T3" s="88"/>
      <c r="U3" s="88"/>
      <c r="V3" s="88"/>
    </row>
    <row r="4" spans="1:22" s="48" customFormat="1" ht="21" customHeight="1">
      <c r="A4" s="2060"/>
      <c r="B4" s="3671" t="s">
        <v>0</v>
      </c>
      <c r="C4" s="3671"/>
      <c r="D4" s="3671"/>
      <c r="E4" s="3671"/>
      <c r="F4" s="3671"/>
      <c r="G4" s="3672"/>
      <c r="H4" s="3672"/>
      <c r="I4" s="3680"/>
      <c r="J4" s="3681"/>
      <c r="K4" s="3681"/>
      <c r="L4" s="3682"/>
      <c r="M4" s="2001"/>
      <c r="N4" s="774"/>
      <c r="O4" s="2001"/>
      <c r="P4" s="2001"/>
      <c r="Q4" s="2001"/>
      <c r="R4" s="1189"/>
      <c r="S4" s="2061">
        <v>0</v>
      </c>
      <c r="T4" s="1418"/>
      <c r="U4" s="1420">
        <v>1</v>
      </c>
      <c r="V4" s="88"/>
    </row>
    <row r="5" spans="1:22" s="48" customFormat="1" ht="6" customHeight="1">
      <c r="A5" s="2060"/>
      <c r="B5" s="2001"/>
      <c r="C5" s="2001"/>
      <c r="D5" s="2001"/>
      <c r="E5" s="2001"/>
      <c r="F5" s="2001"/>
      <c r="G5" s="2001"/>
      <c r="H5" s="2001"/>
      <c r="I5" s="2001"/>
      <c r="J5" s="2001"/>
      <c r="K5" s="2001"/>
      <c r="L5" s="2001"/>
      <c r="M5" s="2001"/>
      <c r="N5" s="2001"/>
      <c r="O5" s="2001"/>
      <c r="P5" s="2001"/>
      <c r="Q5" s="2001"/>
      <c r="R5" s="518"/>
      <c r="S5" s="2062"/>
      <c r="T5" s="88"/>
      <c r="U5" s="88"/>
      <c r="V5" s="88"/>
    </row>
    <row r="6" spans="1:22" ht="20.100000000000001" customHeight="1">
      <c r="A6" s="2063" t="s">
        <v>147</v>
      </c>
      <c r="B6" s="2000" t="s">
        <v>947</v>
      </c>
      <c r="C6" s="2000"/>
      <c r="D6" s="2000"/>
      <c r="E6" s="2000"/>
      <c r="F6" s="2000"/>
      <c r="G6" s="2000"/>
      <c r="H6" s="2000"/>
      <c r="I6" s="2000"/>
      <c r="J6" s="2000"/>
      <c r="K6" s="3782"/>
      <c r="L6" s="3783"/>
      <c r="M6" s="2000" t="s">
        <v>134</v>
      </c>
      <c r="N6" s="722" t="s">
        <v>931</v>
      </c>
      <c r="O6" s="2000"/>
      <c r="P6" s="2000"/>
      <c r="Q6" s="2000"/>
      <c r="R6" s="2000"/>
      <c r="S6" s="1450"/>
    </row>
    <row r="7" spans="1:22" ht="6" customHeight="1">
      <c r="A7" s="2064"/>
      <c r="B7" s="2000"/>
      <c r="C7" s="2000"/>
      <c r="D7" s="2000"/>
      <c r="E7" s="2000"/>
      <c r="F7" s="2000"/>
      <c r="G7" s="2000"/>
      <c r="H7" s="2000"/>
      <c r="I7" s="2000"/>
      <c r="J7" s="2000"/>
      <c r="K7" s="2000"/>
      <c r="L7" s="2000"/>
      <c r="M7" s="2000"/>
      <c r="N7" s="2000"/>
      <c r="O7" s="2000"/>
      <c r="P7" s="2000"/>
      <c r="Q7" s="2000"/>
      <c r="R7" s="113"/>
      <c r="S7" s="2065"/>
    </row>
    <row r="8" spans="1:22" ht="20.100000000000001" customHeight="1">
      <c r="A8" s="2063" t="s">
        <v>631</v>
      </c>
      <c r="B8" s="3652" t="s">
        <v>1911</v>
      </c>
      <c r="C8" s="3652"/>
      <c r="D8" s="3652"/>
      <c r="E8" s="3652"/>
      <c r="F8" s="3652"/>
      <c r="G8" s="3652"/>
      <c r="H8" s="3652"/>
      <c r="I8" s="2000"/>
      <c r="J8" s="2000"/>
      <c r="K8" s="3784" t="str">
        <f>IF(I4="Pressure", MAX('Pres. Dist.'!L61,'Non-Level '!N172), " ")</f>
        <v xml:space="preserve"> </v>
      </c>
      <c r="L8" s="3785"/>
      <c r="M8" s="2000" t="s">
        <v>134</v>
      </c>
      <c r="N8" s="2000"/>
      <c r="O8" s="2000"/>
      <c r="P8" s="2000"/>
      <c r="Q8" s="2000"/>
      <c r="R8" s="2000"/>
      <c r="S8" s="2067"/>
    </row>
    <row r="9" spans="1:22" ht="6" customHeight="1">
      <c r="B9" s="2000"/>
      <c r="C9" s="2000"/>
      <c r="D9" s="2000"/>
      <c r="E9" s="2000"/>
      <c r="F9" s="2000"/>
      <c r="G9" s="2000"/>
      <c r="H9" s="2000"/>
      <c r="I9" s="2000"/>
      <c r="J9" s="2000"/>
      <c r="K9" s="2000"/>
      <c r="L9" s="2000"/>
      <c r="M9" s="2000"/>
      <c r="N9" s="2000"/>
      <c r="O9" s="2000"/>
      <c r="P9" s="2000"/>
      <c r="Q9" s="2000"/>
      <c r="R9" s="2000"/>
      <c r="S9" s="1450"/>
    </row>
    <row r="10" spans="1:22" ht="20.100000000000001" customHeight="1">
      <c r="A10" s="2063" t="s">
        <v>149</v>
      </c>
      <c r="B10" s="2000" t="s">
        <v>1898</v>
      </c>
      <c r="C10" s="2000"/>
      <c r="D10" s="2000"/>
      <c r="E10" s="2000"/>
      <c r="F10" s="2000"/>
      <c r="G10" s="2000"/>
      <c r="H10" s="2000"/>
      <c r="I10" s="2000"/>
      <c r="J10" s="2000"/>
      <c r="K10" s="3677"/>
      <c r="L10" s="3678"/>
      <c r="M10" s="3678"/>
      <c r="N10" s="3678"/>
      <c r="O10" s="3678"/>
      <c r="P10" s="3679"/>
      <c r="Q10" s="2000"/>
      <c r="R10" s="113"/>
      <c r="S10" s="1450"/>
    </row>
    <row r="11" spans="1:22" ht="6" customHeight="1">
      <c r="B11" s="2000"/>
      <c r="C11" s="2000"/>
      <c r="D11" s="2000"/>
      <c r="E11" s="2000"/>
      <c r="F11" s="2000"/>
      <c r="G11" s="2000"/>
      <c r="H11" s="2000"/>
      <c r="I11" s="2000"/>
      <c r="J11" s="2000"/>
      <c r="K11" s="2000"/>
      <c r="L11" s="2000"/>
      <c r="M11" s="2000"/>
      <c r="N11" s="2000"/>
      <c r="O11" s="2000"/>
      <c r="P11" s="2000"/>
      <c r="Q11" s="2000"/>
      <c r="R11" s="2000"/>
      <c r="S11" s="1450"/>
    </row>
    <row r="12" spans="1:22" ht="16.350000000000001" customHeight="1">
      <c r="A12" s="3788" t="s">
        <v>307</v>
      </c>
      <c r="B12" s="3668"/>
      <c r="C12" s="3668"/>
      <c r="D12" s="3668"/>
      <c r="E12" s="3668"/>
      <c r="F12" s="3668"/>
      <c r="G12" s="3668"/>
      <c r="H12" s="3668"/>
      <c r="I12" s="3668"/>
      <c r="J12" s="3668"/>
      <c r="K12" s="3668"/>
      <c r="L12" s="3668"/>
      <c r="M12" s="3668"/>
      <c r="N12" s="3668"/>
      <c r="O12" s="3668"/>
      <c r="P12" s="3668"/>
      <c r="Q12" s="3668"/>
      <c r="R12" s="3668"/>
      <c r="S12" s="3789"/>
      <c r="T12" s="88"/>
      <c r="U12" s="88"/>
      <c r="V12" s="88"/>
    </row>
    <row r="13" spans="1:22" s="48" customFormat="1" ht="6" customHeight="1">
      <c r="A13" s="2068"/>
      <c r="B13" s="452"/>
      <c r="C13" s="452"/>
      <c r="D13" s="452"/>
      <c r="E13" s="452"/>
      <c r="F13" s="452"/>
      <c r="G13" s="452"/>
      <c r="H13" s="452"/>
      <c r="I13" s="452"/>
      <c r="J13" s="452"/>
      <c r="K13" s="452"/>
      <c r="L13" s="452"/>
      <c r="M13" s="452"/>
      <c r="N13" s="452"/>
      <c r="O13" s="452"/>
      <c r="P13" s="452"/>
      <c r="Q13" s="452"/>
      <c r="R13" s="452"/>
      <c r="S13" s="2059"/>
      <c r="T13" s="88"/>
    </row>
    <row r="14" spans="1:22" s="48" customFormat="1" ht="20.100000000000001" customHeight="1">
      <c r="A14" s="2063" t="s">
        <v>147</v>
      </c>
      <c r="B14" s="3562" t="s">
        <v>724</v>
      </c>
      <c r="C14" s="3562"/>
      <c r="D14" s="3562"/>
      <c r="E14" s="3562"/>
      <c r="F14" s="3100"/>
      <c r="G14" s="3101"/>
      <c r="H14" s="2000" t="s">
        <v>92</v>
      </c>
      <c r="I14" s="2003"/>
      <c r="J14" s="2003"/>
      <c r="K14" s="2001"/>
      <c r="L14" s="2001"/>
      <c r="M14" s="2001"/>
      <c r="N14" s="2001"/>
      <c r="O14" s="2001"/>
      <c r="P14" s="2001"/>
      <c r="Q14" s="2001"/>
      <c r="R14" s="2001"/>
      <c r="S14" s="2069"/>
      <c r="T14" s="88"/>
    </row>
    <row r="15" spans="1:22" s="48" customFormat="1" ht="18" customHeight="1">
      <c r="A15" s="2064"/>
      <c r="B15" s="3562" t="s">
        <v>50</v>
      </c>
      <c r="C15" s="3562"/>
      <c r="D15" s="3562"/>
      <c r="E15" s="3562"/>
      <c r="F15" s="3562"/>
      <c r="G15" s="3562"/>
      <c r="H15" s="3562"/>
      <c r="I15" s="2003"/>
      <c r="J15" s="2003"/>
      <c r="K15" s="2001"/>
      <c r="L15" s="2001"/>
      <c r="M15" s="2001"/>
      <c r="N15" s="2001"/>
      <c r="O15" s="2001"/>
      <c r="P15" s="2001"/>
      <c r="Q15" s="2001"/>
      <c r="R15" s="2001"/>
      <c r="S15" s="2069"/>
      <c r="T15" s="88"/>
    </row>
    <row r="16" spans="1:22" ht="6" customHeight="1">
      <c r="A16" s="2066"/>
      <c r="B16" s="2002"/>
      <c r="C16" s="2002"/>
      <c r="D16" s="2002"/>
      <c r="E16" s="2002"/>
      <c r="F16" s="2004"/>
      <c r="G16" s="2004"/>
      <c r="H16" s="2002"/>
      <c r="I16" s="2002"/>
      <c r="J16" s="2002"/>
      <c r="K16" s="1998"/>
      <c r="L16" s="1998"/>
      <c r="M16" s="1998"/>
      <c r="N16" s="1998"/>
      <c r="O16" s="1998"/>
      <c r="P16" s="1998"/>
      <c r="Q16" s="1232"/>
      <c r="R16" s="2000"/>
      <c r="S16" s="2070"/>
    </row>
    <row r="17" spans="1:19" ht="20.100000000000001" customHeight="1">
      <c r="A17" s="2063" t="s">
        <v>631</v>
      </c>
      <c r="B17" s="3652" t="s">
        <v>723</v>
      </c>
      <c r="C17" s="3652"/>
      <c r="D17" s="3652"/>
      <c r="E17" s="3652"/>
      <c r="F17" s="3675"/>
      <c r="G17" s="3676"/>
      <c r="H17" s="2000" t="s">
        <v>92</v>
      </c>
      <c r="I17" s="1998"/>
      <c r="J17" s="1998"/>
      <c r="K17" s="1998"/>
      <c r="L17" s="1998"/>
      <c r="M17" s="1998"/>
      <c r="N17" s="1998"/>
      <c r="O17" s="1998"/>
      <c r="P17" s="1998"/>
      <c r="Q17" s="1232"/>
      <c r="R17" s="2000"/>
      <c r="S17" s="2070"/>
    </row>
    <row r="18" spans="1:19" ht="6" customHeight="1">
      <c r="A18" s="2066"/>
      <c r="B18" s="2000"/>
      <c r="C18" s="2000"/>
      <c r="D18" s="2000"/>
      <c r="E18" s="2000"/>
      <c r="F18" s="2000"/>
      <c r="G18" s="2000"/>
      <c r="H18" s="2000"/>
      <c r="I18" s="2000"/>
      <c r="J18" s="2000"/>
      <c r="K18" s="1998"/>
      <c r="L18" s="1998"/>
      <c r="M18" s="1998"/>
      <c r="N18" s="1998"/>
      <c r="O18" s="1998"/>
      <c r="P18" s="1998"/>
      <c r="Q18" s="1232"/>
      <c r="R18" s="2000"/>
      <c r="S18" s="2070"/>
    </row>
    <row r="19" spans="1:19" ht="20.100000000000001" customHeight="1">
      <c r="A19" s="2063" t="s">
        <v>149</v>
      </c>
      <c r="B19" s="3562" t="s">
        <v>728</v>
      </c>
      <c r="C19" s="3562"/>
      <c r="D19" s="3562"/>
      <c r="E19" s="3563"/>
      <c r="F19" s="3100"/>
      <c r="G19" s="3101"/>
      <c r="H19" s="3368" t="s">
        <v>1286</v>
      </c>
      <c r="I19" s="3672"/>
      <c r="J19" s="3672"/>
      <c r="K19" s="3672"/>
      <c r="L19" s="3672"/>
      <c r="M19" s="3672"/>
      <c r="N19" s="3672"/>
      <c r="O19" s="1998"/>
      <c r="P19" s="1998"/>
      <c r="Q19" s="1232"/>
      <c r="R19" s="2000"/>
      <c r="S19" s="2070"/>
    </row>
    <row r="20" spans="1:19" ht="6" customHeight="1">
      <c r="A20" s="2066"/>
      <c r="B20" s="500"/>
      <c r="C20" s="2000"/>
      <c r="D20" s="2000"/>
      <c r="E20" s="2000"/>
      <c r="F20" s="2000"/>
      <c r="G20" s="2000"/>
      <c r="H20" s="2000"/>
      <c r="I20" s="1998"/>
      <c r="J20" s="1998"/>
      <c r="K20" s="1998"/>
      <c r="L20" s="1998"/>
      <c r="M20" s="1998"/>
      <c r="N20" s="1998"/>
      <c r="O20" s="1998"/>
      <c r="P20" s="1998"/>
      <c r="Q20" s="1232"/>
      <c r="R20" s="2000"/>
      <c r="S20" s="2070"/>
    </row>
    <row r="21" spans="1:19" ht="23.4" customHeight="1">
      <c r="A21" s="2066"/>
      <c r="B21" s="2000"/>
      <c r="C21" s="2000"/>
      <c r="D21" s="2000"/>
      <c r="E21" s="2000"/>
      <c r="F21" s="2000"/>
      <c r="G21" s="2000"/>
      <c r="H21" s="2000"/>
      <c r="I21" s="1998"/>
      <c r="J21" s="1998"/>
      <c r="K21" s="1998"/>
      <c r="L21" s="1998"/>
      <c r="M21" s="1998"/>
      <c r="N21" s="1998"/>
      <c r="O21" s="1998"/>
      <c r="P21" s="1998"/>
      <c r="Q21" s="1232"/>
      <c r="R21" s="2000"/>
      <c r="S21" s="2070"/>
    </row>
    <row r="22" spans="1:19" ht="23.4" customHeight="1">
      <c r="A22" s="2066"/>
      <c r="B22" s="2000"/>
      <c r="C22" s="2000"/>
      <c r="D22" s="2000"/>
      <c r="E22" s="2000"/>
      <c r="F22" s="2000"/>
      <c r="G22" s="2000"/>
      <c r="H22" s="2000"/>
      <c r="I22" s="1998"/>
      <c r="J22" s="1998"/>
      <c r="K22" s="1998"/>
      <c r="L22" s="1998"/>
      <c r="M22" s="1998"/>
      <c r="N22" s="1998"/>
      <c r="O22" s="1998"/>
      <c r="P22" s="1998"/>
      <c r="Q22" s="1232"/>
      <c r="R22" s="2000"/>
      <c r="S22" s="2070"/>
    </row>
    <row r="23" spans="1:19" ht="23.4" customHeight="1">
      <c r="A23" s="2066"/>
      <c r="B23" s="2000"/>
      <c r="C23" s="2000"/>
      <c r="D23" s="2000"/>
      <c r="E23" s="2000"/>
      <c r="F23" s="2000"/>
      <c r="G23" s="2000"/>
      <c r="H23" s="2000"/>
      <c r="I23" s="1998"/>
      <c r="J23" s="1998"/>
      <c r="K23" s="1998"/>
      <c r="L23" s="1998"/>
      <c r="M23" s="1998"/>
      <c r="N23" s="1998"/>
      <c r="O23" s="1998"/>
      <c r="P23" s="1998"/>
      <c r="Q23" s="1232"/>
      <c r="R23" s="2000"/>
      <c r="S23" s="2070"/>
    </row>
    <row r="24" spans="1:19" ht="23.4" customHeight="1">
      <c r="A24" s="2066"/>
      <c r="B24" s="2000"/>
      <c r="C24" s="2000"/>
      <c r="D24" s="2000"/>
      <c r="E24" s="2000"/>
      <c r="F24" s="2000"/>
      <c r="G24" s="2000"/>
      <c r="H24" s="2000"/>
      <c r="I24" s="1998"/>
      <c r="J24" s="1998"/>
      <c r="K24" s="1998"/>
      <c r="L24" s="1998"/>
      <c r="M24" s="1998"/>
      <c r="N24" s="1998"/>
      <c r="O24" s="1998"/>
      <c r="P24" s="1998"/>
      <c r="Q24" s="1232"/>
      <c r="R24" s="2000"/>
      <c r="S24" s="2070"/>
    </row>
    <row r="25" spans="1:19" ht="23.4" customHeight="1">
      <c r="A25" s="2066"/>
      <c r="B25" s="2000"/>
      <c r="C25" s="2000"/>
      <c r="D25" s="2000"/>
      <c r="E25" s="2000"/>
      <c r="F25" s="2000"/>
      <c r="G25" s="2000"/>
      <c r="H25" s="2000"/>
      <c r="I25" s="1998"/>
      <c r="J25" s="1998"/>
      <c r="K25" s="1998"/>
      <c r="L25" s="1998"/>
      <c r="M25" s="1998"/>
      <c r="N25" s="1998"/>
      <c r="O25" s="1998"/>
      <c r="P25" s="1998"/>
      <c r="Q25" s="1232"/>
      <c r="R25" s="2000"/>
      <c r="S25" s="2070"/>
    </row>
    <row r="26" spans="1:19" ht="23.4" customHeight="1">
      <c r="A26" s="2066"/>
      <c r="B26" s="2000"/>
      <c r="C26" s="2000"/>
      <c r="D26" s="2000"/>
      <c r="E26" s="2000"/>
      <c r="F26" s="2000"/>
      <c r="G26" s="2000"/>
      <c r="H26" s="2000"/>
      <c r="I26" s="1998"/>
      <c r="J26" s="1998"/>
      <c r="K26" s="1998"/>
      <c r="L26" s="1998"/>
      <c r="M26" s="1998"/>
      <c r="N26" s="1998"/>
      <c r="O26" s="1998"/>
      <c r="P26" s="1998"/>
      <c r="Q26" s="1232"/>
      <c r="R26" s="2000"/>
      <c r="S26" s="2070"/>
    </row>
    <row r="27" spans="1:19" ht="23.4" customHeight="1">
      <c r="A27" s="2066"/>
      <c r="B27" s="2000"/>
      <c r="C27" s="2000"/>
      <c r="D27" s="24"/>
      <c r="E27" s="24"/>
      <c r="F27" s="2000"/>
      <c r="G27" s="2000"/>
      <c r="H27" s="2000"/>
      <c r="I27" s="2000"/>
      <c r="J27" s="2000"/>
      <c r="K27" s="3559"/>
      <c r="L27" s="3559"/>
      <c r="M27" s="1992"/>
      <c r="N27" s="1992"/>
      <c r="O27" s="1468"/>
      <c r="P27" s="1468"/>
      <c r="Q27" s="1232"/>
      <c r="R27" s="87"/>
      <c r="S27" s="2070"/>
    </row>
    <row r="28" spans="1:19" ht="20.100000000000001" customHeight="1">
      <c r="A28" s="2071" t="s">
        <v>588</v>
      </c>
      <c r="B28" s="3652" t="s">
        <v>1002</v>
      </c>
      <c r="C28" s="3652"/>
      <c r="D28" s="3652"/>
      <c r="E28" s="3369"/>
      <c r="F28" s="3583"/>
      <c r="G28" s="3584"/>
      <c r="H28" s="2000" t="s">
        <v>94</v>
      </c>
      <c r="I28" s="1996"/>
      <c r="J28" s="719"/>
      <c r="K28" s="2014"/>
      <c r="L28" s="2014"/>
      <c r="M28" s="1468"/>
      <c r="N28" s="1468"/>
      <c r="O28" s="720"/>
      <c r="P28" s="720"/>
      <c r="Q28" s="87"/>
      <c r="R28" s="87"/>
      <c r="S28" s="2070"/>
    </row>
    <row r="29" spans="1:19" s="48" customFormat="1" ht="6" customHeight="1">
      <c r="A29" s="2071"/>
      <c r="B29" s="2003"/>
      <c r="C29" s="2003"/>
      <c r="D29" s="2003"/>
      <c r="E29" s="2003"/>
      <c r="F29" s="444"/>
      <c r="G29" s="444"/>
      <c r="H29" s="130"/>
      <c r="I29" s="719"/>
      <c r="J29" s="719"/>
      <c r="K29" s="2014"/>
      <c r="L29" s="2014"/>
      <c r="M29" s="1991"/>
      <c r="N29" s="1991"/>
      <c r="O29" s="1994"/>
      <c r="P29" s="1994"/>
      <c r="Q29" s="87"/>
      <c r="R29" s="87"/>
      <c r="S29" s="2070"/>
    </row>
    <row r="30" spans="1:19" s="48" customFormat="1" ht="20.100000000000001" customHeight="1">
      <c r="A30" s="2071"/>
      <c r="B30" s="3342" t="s">
        <v>1003</v>
      </c>
      <c r="C30" s="3342"/>
      <c r="D30" s="3342"/>
      <c r="E30" s="3387"/>
      <c r="F30" s="3098"/>
      <c r="G30" s="3099"/>
      <c r="H30" s="2003" t="s">
        <v>92</v>
      </c>
      <c r="I30" s="719"/>
      <c r="J30" s="719"/>
      <c r="K30" s="2014"/>
      <c r="L30" s="2014"/>
      <c r="M30" s="1991"/>
      <c r="N30" s="1991"/>
      <c r="O30" s="1994"/>
      <c r="P30" s="1994"/>
      <c r="Q30" s="87"/>
      <c r="R30" s="87"/>
      <c r="S30" s="2070"/>
    </row>
    <row r="31" spans="1:19" s="25" customFormat="1" ht="6" customHeight="1">
      <c r="A31" s="2071"/>
      <c r="B31" s="2003"/>
      <c r="C31" s="2003"/>
      <c r="D31" s="2003"/>
      <c r="E31" s="2003"/>
      <c r="F31" s="444"/>
      <c r="G31" s="444"/>
      <c r="H31" s="130"/>
      <c r="I31" s="2003"/>
      <c r="J31" s="2003"/>
      <c r="K31" s="1991"/>
      <c r="L31" s="1991"/>
      <c r="M31" s="1991"/>
      <c r="N31" s="1991"/>
      <c r="O31" s="1994"/>
      <c r="P31" s="1994"/>
      <c r="Q31" s="87"/>
      <c r="R31" s="87"/>
      <c r="S31" s="2070"/>
    </row>
    <row r="32" spans="1:19" ht="18" customHeight="1">
      <c r="A32" s="2071" t="s">
        <v>589</v>
      </c>
      <c r="B32" s="3790" t="s">
        <v>1425</v>
      </c>
      <c r="C32" s="3790"/>
      <c r="D32" s="3790"/>
      <c r="E32" s="3790"/>
      <c r="F32" s="3790"/>
      <c r="G32" s="3790"/>
      <c r="H32" s="3790"/>
      <c r="I32" s="3790"/>
      <c r="J32" s="3790"/>
      <c r="K32" s="3339"/>
      <c r="L32" s="3339"/>
      <c r="M32" s="1992"/>
      <c r="N32" s="1992"/>
      <c r="O32" s="720"/>
      <c r="P32" s="720"/>
      <c r="Q32" s="87"/>
      <c r="R32" s="87"/>
      <c r="S32" s="2070"/>
    </row>
    <row r="33" spans="1:19" ht="10.5" customHeight="1">
      <c r="A33" s="2071"/>
      <c r="B33" s="2003"/>
      <c r="C33" s="2003"/>
      <c r="D33" s="2003"/>
      <c r="E33" s="2003"/>
      <c r="F33" s="2003"/>
      <c r="G33" s="2003"/>
      <c r="H33" s="2003"/>
      <c r="I33" s="2003"/>
      <c r="J33" s="2003"/>
      <c r="K33" s="1991"/>
      <c r="L33" s="1991"/>
      <c r="M33" s="1991"/>
      <c r="N33" s="1991"/>
      <c r="O33" s="1994"/>
      <c r="P33" s="1994"/>
      <c r="Q33" s="87"/>
      <c r="R33" s="87"/>
      <c r="S33" s="2070"/>
    </row>
    <row r="34" spans="1:19" ht="20.100000000000001" customHeight="1">
      <c r="A34" s="2072"/>
      <c r="B34" s="2003" t="s">
        <v>726</v>
      </c>
      <c r="C34" s="2003"/>
      <c r="D34" s="2003"/>
      <c r="E34" s="3345" t="str">
        <f>IF(ISBLANK(F28),"",(1042*((MAX(K8,K6)/(130*F28^2.63))^1.85)))</f>
        <v/>
      </c>
      <c r="F34" s="3346"/>
      <c r="G34" s="3386" t="s">
        <v>725</v>
      </c>
      <c r="H34" s="3342"/>
      <c r="I34" s="3342"/>
      <c r="J34" s="3342"/>
      <c r="K34" s="2003"/>
      <c r="L34" s="2003"/>
      <c r="M34" s="2003"/>
      <c r="N34" s="57"/>
      <c r="O34" s="57"/>
      <c r="P34" s="87"/>
      <c r="Q34" s="87"/>
      <c r="R34" s="87"/>
      <c r="S34" s="2070"/>
    </row>
    <row r="35" spans="1:19" s="48" customFormat="1" ht="14.4" customHeight="1">
      <c r="A35" s="2072"/>
      <c r="B35" s="2003"/>
      <c r="C35" s="2003"/>
      <c r="D35" s="2003"/>
      <c r="E35" s="2003"/>
      <c r="F35" s="444"/>
      <c r="G35" s="444"/>
      <c r="H35" s="2003"/>
      <c r="I35" s="2003"/>
      <c r="J35" s="2003"/>
      <c r="K35" s="2003"/>
      <c r="L35" s="2003"/>
      <c r="M35" s="2003"/>
      <c r="N35" s="57"/>
      <c r="O35" s="57"/>
      <c r="P35" s="87"/>
      <c r="Q35" s="87"/>
      <c r="R35" s="87"/>
      <c r="S35" s="2070"/>
    </row>
    <row r="36" spans="1:19" ht="18" customHeight="1">
      <c r="A36" s="2071" t="s">
        <v>641</v>
      </c>
      <c r="B36" s="3391" t="s">
        <v>1912</v>
      </c>
      <c r="C36" s="3391"/>
      <c r="D36" s="3391"/>
      <c r="E36" s="3391"/>
      <c r="F36" s="3391"/>
      <c r="G36" s="3391"/>
      <c r="H36" s="3391"/>
      <c r="I36" s="3391"/>
      <c r="J36" s="3391"/>
      <c r="K36" s="3391"/>
      <c r="L36" s="3391"/>
      <c r="M36" s="1998"/>
      <c r="N36" s="1998"/>
      <c r="O36" s="57"/>
      <c r="P36" s="87"/>
      <c r="Q36" s="87"/>
      <c r="R36" s="87"/>
      <c r="S36" s="2070"/>
    </row>
    <row r="37" spans="1:19" ht="18" customHeight="1">
      <c r="A37" s="2071"/>
      <c r="B37" s="3391"/>
      <c r="C37" s="3391"/>
      <c r="D37" s="3391"/>
      <c r="E37" s="3391"/>
      <c r="F37" s="3391"/>
      <c r="G37" s="3391"/>
      <c r="H37" s="3391"/>
      <c r="I37" s="3391"/>
      <c r="J37" s="3391"/>
      <c r="K37" s="3391"/>
      <c r="L37" s="3391"/>
      <c r="M37" s="1998"/>
      <c r="N37" s="1998"/>
      <c r="O37" s="57"/>
      <c r="P37" s="87"/>
      <c r="Q37" s="87"/>
      <c r="R37" s="2003"/>
      <c r="S37" s="2070"/>
    </row>
    <row r="38" spans="1:19" ht="8.4" customHeight="1">
      <c r="A38" s="2071"/>
      <c r="B38" s="3391"/>
      <c r="C38" s="3391"/>
      <c r="D38" s="3391"/>
      <c r="E38" s="3391"/>
      <c r="F38" s="3391"/>
      <c r="G38" s="3391"/>
      <c r="H38" s="3391"/>
      <c r="I38" s="3391"/>
      <c r="J38" s="3391"/>
      <c r="K38" s="3391"/>
      <c r="L38" s="3391"/>
      <c r="M38" s="1998"/>
      <c r="N38" s="1998"/>
      <c r="O38" s="57"/>
      <c r="P38" s="87"/>
      <c r="Q38" s="87"/>
      <c r="R38" s="2003"/>
      <c r="S38" s="2070"/>
    </row>
    <row r="39" spans="1:19" s="25" customFormat="1" ht="20.100000000000001" customHeight="1">
      <c r="A39" s="2072"/>
      <c r="B39" s="3383" t="str">
        <f>IF(ISBLANK(F30),"",F30)</f>
        <v/>
      </c>
      <c r="C39" s="3384"/>
      <c r="D39" s="1991" t="s">
        <v>92</v>
      </c>
      <c r="E39" s="1991" t="s">
        <v>101</v>
      </c>
      <c r="F39" s="1991">
        <v>1.25</v>
      </c>
      <c r="G39" s="1991" t="s">
        <v>102</v>
      </c>
      <c r="H39" s="3347" t="str">
        <f>IF(ISBLANK(F30),"",(B39*1.25))</f>
        <v/>
      </c>
      <c r="I39" s="3348"/>
      <c r="J39" s="2003" t="s">
        <v>92</v>
      </c>
      <c r="K39" s="438"/>
      <c r="L39" s="438"/>
      <c r="M39" s="131"/>
      <c r="N39" s="2003"/>
      <c r="O39" s="2003"/>
      <c r="P39" s="2003"/>
      <c r="Q39" s="2003"/>
      <c r="R39" s="2003"/>
      <c r="S39" s="2070"/>
    </row>
    <row r="40" spans="1:19" s="48" customFormat="1" ht="6" customHeight="1">
      <c r="A40" s="2072"/>
      <c r="B40" s="2003"/>
      <c r="C40" s="2003"/>
      <c r="D40" s="2003"/>
      <c r="E40" s="2003"/>
      <c r="F40" s="438"/>
      <c r="G40" s="438"/>
      <c r="H40" s="130"/>
      <c r="I40" s="130"/>
      <c r="J40" s="130"/>
      <c r="K40" s="130"/>
      <c r="L40" s="438"/>
      <c r="M40" s="438"/>
      <c r="N40" s="438"/>
      <c r="O40" s="131"/>
      <c r="P40" s="2003"/>
      <c r="Q40" s="2003"/>
      <c r="R40" s="2003"/>
      <c r="S40" s="2070"/>
    </row>
    <row r="41" spans="1:19" ht="18" customHeight="1">
      <c r="A41" s="2071" t="s">
        <v>642</v>
      </c>
      <c r="B41" s="3601" t="s">
        <v>1913</v>
      </c>
      <c r="C41" s="3601"/>
      <c r="D41" s="3601"/>
      <c r="E41" s="3601"/>
      <c r="F41" s="3601"/>
      <c r="G41" s="3601"/>
      <c r="H41" s="3601"/>
      <c r="I41" s="3601"/>
      <c r="J41" s="3601"/>
      <c r="K41" s="3601"/>
      <c r="L41" s="3601"/>
      <c r="M41" s="3601"/>
      <c r="N41" s="3601"/>
      <c r="O41" s="3601"/>
      <c r="P41" s="3601"/>
      <c r="Q41" s="3601"/>
      <c r="R41" s="3601"/>
      <c r="S41" s="3651"/>
    </row>
    <row r="42" spans="1:19" ht="18" customHeight="1">
      <c r="A42" s="1447"/>
      <c r="B42" s="3342" t="s">
        <v>727</v>
      </c>
      <c r="C42" s="3342"/>
      <c r="D42" s="3342"/>
      <c r="E42" s="3342"/>
      <c r="F42" s="1998"/>
      <c r="G42" s="1998"/>
      <c r="H42" s="1998"/>
      <c r="I42" s="1998"/>
      <c r="J42" s="1998"/>
      <c r="K42" s="1998"/>
      <c r="L42" s="1998"/>
      <c r="M42" s="1998"/>
      <c r="N42" s="2003"/>
      <c r="O42" s="2003"/>
      <c r="P42" s="2003"/>
      <c r="Q42" s="2003"/>
      <c r="R42" s="2003"/>
      <c r="S42" s="2070"/>
    </row>
    <row r="43" spans="1:19" ht="20.100000000000001" customHeight="1">
      <c r="A43" s="2072"/>
      <c r="B43" s="3345" t="str">
        <f>IF(ISBLANK(E34)," ",E34)</f>
        <v/>
      </c>
      <c r="C43" s="3346"/>
      <c r="D43" s="2003" t="s">
        <v>285</v>
      </c>
      <c r="E43" s="2003"/>
      <c r="F43" s="2003"/>
      <c r="G43" s="1991" t="s">
        <v>101</v>
      </c>
      <c r="H43" s="3347" t="str">
        <f>H39</f>
        <v/>
      </c>
      <c r="I43" s="3348"/>
      <c r="J43" s="2003" t="s">
        <v>92</v>
      </c>
      <c r="K43" s="501" t="s">
        <v>721</v>
      </c>
      <c r="L43" s="1991">
        <v>100</v>
      </c>
      <c r="M43" s="1991" t="s">
        <v>102</v>
      </c>
      <c r="N43" s="3347" t="str">
        <f>IF(ISBLANK(F30),"",((B43*H43)/100))</f>
        <v/>
      </c>
      <c r="O43" s="3348"/>
      <c r="P43" s="2003" t="s">
        <v>92</v>
      </c>
      <c r="Q43" s="2003"/>
      <c r="R43" s="2003"/>
      <c r="S43" s="2070"/>
    </row>
    <row r="44" spans="1:19" s="48" customFormat="1" ht="6" customHeight="1">
      <c r="A44" s="2073"/>
      <c r="B44" s="142"/>
      <c r="C44" s="454"/>
      <c r="D44" s="454"/>
      <c r="E44" s="455"/>
      <c r="F44" s="142"/>
      <c r="G44" s="166"/>
      <c r="H44" s="454"/>
      <c r="I44" s="454"/>
      <c r="J44" s="455"/>
      <c r="K44" s="456"/>
      <c r="L44" s="464"/>
      <c r="M44" s="464"/>
      <c r="N44" s="464"/>
      <c r="O44" s="464"/>
      <c r="P44" s="464"/>
      <c r="Q44" s="464"/>
      <c r="R44" s="464"/>
      <c r="S44" s="2074"/>
    </row>
    <row r="45" spans="1:19" s="48" customFormat="1" ht="6" customHeight="1">
      <c r="A45" s="2075"/>
      <c r="B45" s="150"/>
      <c r="C45" s="458"/>
      <c r="D45" s="458"/>
      <c r="E45" s="459"/>
      <c r="F45" s="150"/>
      <c r="G45" s="460"/>
      <c r="H45" s="458"/>
      <c r="I45" s="458"/>
      <c r="J45" s="459"/>
      <c r="K45" s="461"/>
      <c r="L45" s="460"/>
      <c r="M45" s="502"/>
      <c r="N45" s="459"/>
      <c r="O45" s="462"/>
      <c r="P45" s="462"/>
      <c r="Q45" s="462"/>
      <c r="R45" s="462"/>
      <c r="S45" s="2076"/>
    </row>
    <row r="46" spans="1:19" ht="18" customHeight="1">
      <c r="A46" s="2063" t="s">
        <v>643</v>
      </c>
      <c r="B46" s="8" t="s">
        <v>1914</v>
      </c>
      <c r="C46" s="8"/>
      <c r="D46" s="8"/>
      <c r="E46" s="8"/>
      <c r="F46" s="8"/>
      <c r="G46" s="8"/>
      <c r="H46" s="8"/>
      <c r="I46" s="8"/>
      <c r="J46" s="8"/>
      <c r="K46" s="8"/>
      <c r="L46" s="8"/>
      <c r="M46" s="8"/>
      <c r="N46" s="8"/>
      <c r="O46" s="8"/>
      <c r="P46" s="8"/>
      <c r="Q46" s="8"/>
      <c r="R46" s="8"/>
      <c r="S46" s="2120"/>
    </row>
    <row r="47" spans="1:19" ht="6" customHeight="1">
      <c r="A47" s="2066"/>
      <c r="B47" s="1997"/>
      <c r="C47" s="1997"/>
      <c r="D47" s="1997"/>
      <c r="E47" s="1997"/>
      <c r="F47" s="1997"/>
      <c r="G47" s="1997"/>
      <c r="H47" s="1997"/>
      <c r="I47" s="1997"/>
      <c r="J47" s="1997"/>
      <c r="K47" s="1997"/>
      <c r="L47" s="1997"/>
      <c r="M47" s="1997"/>
      <c r="N47" s="1997"/>
      <c r="O47" s="2000"/>
      <c r="P47" s="50"/>
      <c r="Q47" s="50"/>
      <c r="R47" s="1995"/>
      <c r="S47" s="2070"/>
    </row>
    <row r="48" spans="1:19" ht="20.100000000000001" customHeight="1">
      <c r="A48" s="2064"/>
      <c r="B48" s="3347" t="str">
        <f>IF(ISBLANK(F14)," ",(F14))</f>
        <v xml:space="preserve"> </v>
      </c>
      <c r="C48" s="3348"/>
      <c r="D48" s="2000" t="s">
        <v>284</v>
      </c>
      <c r="E48" s="1995" t="s">
        <v>311</v>
      </c>
      <c r="F48" s="3347" t="str">
        <f>IF(ISBLANK(F17)," ",(F17))</f>
        <v xml:space="preserve"> </v>
      </c>
      <c r="G48" s="3348"/>
      <c r="H48" s="2000" t="s">
        <v>92</v>
      </c>
      <c r="I48" s="1995" t="s">
        <v>311</v>
      </c>
      <c r="J48" s="3347" t="str">
        <f>IF(ISBLANK(F19)," ",F19)</f>
        <v xml:space="preserve"> </v>
      </c>
      <c r="K48" s="3348"/>
      <c r="L48" s="2000" t="s">
        <v>715</v>
      </c>
      <c r="M48" s="3347" t="str">
        <f>IF(ISBLANK(N43)," ",N43)</f>
        <v/>
      </c>
      <c r="N48" s="3348"/>
      <c r="O48" s="2000" t="s">
        <v>930</v>
      </c>
      <c r="P48" s="3347" t="str">
        <f>IF(ISBLANK(F28),"",SUM(B48,J48,F48+M48,))</f>
        <v/>
      </c>
      <c r="Q48" s="3348"/>
      <c r="R48" s="2000" t="s">
        <v>92</v>
      </c>
      <c r="S48" s="1450"/>
    </row>
    <row r="49" spans="1:47" ht="6" customHeight="1">
      <c r="A49" s="2077"/>
      <c r="B49" s="103"/>
      <c r="C49" s="103"/>
      <c r="D49" s="103"/>
      <c r="E49" s="103"/>
      <c r="F49" s="103"/>
      <c r="G49" s="103"/>
      <c r="H49" s="103"/>
      <c r="I49" s="103"/>
      <c r="J49" s="103"/>
      <c r="K49" s="103"/>
      <c r="L49" s="103"/>
      <c r="M49" s="103"/>
      <c r="N49" s="103"/>
      <c r="O49" s="103"/>
      <c r="P49" s="1437"/>
      <c r="Q49" s="103"/>
      <c r="R49" s="2005"/>
      <c r="S49" s="2078"/>
    </row>
    <row r="50" spans="1:47" ht="16.350000000000001" customHeight="1">
      <c r="A50" s="3791" t="s">
        <v>308</v>
      </c>
      <c r="B50" s="3693"/>
      <c r="C50" s="3693"/>
      <c r="D50" s="3693"/>
      <c r="E50" s="3693"/>
      <c r="F50" s="3693"/>
      <c r="G50" s="3693"/>
      <c r="H50" s="3693"/>
      <c r="I50" s="3693"/>
      <c r="J50" s="3693"/>
      <c r="K50" s="3693"/>
      <c r="L50" s="3693"/>
      <c r="M50" s="3693"/>
      <c r="N50" s="3693"/>
      <c r="O50" s="3693"/>
      <c r="P50" s="3693"/>
      <c r="Q50" s="3693"/>
      <c r="R50" s="3693"/>
      <c r="S50" s="3792"/>
      <c r="T50" s="88"/>
    </row>
    <row r="51" spans="1:47" ht="20.399999999999999" customHeight="1">
      <c r="A51" s="3793" t="s">
        <v>145</v>
      </c>
      <c r="B51" s="3696"/>
      <c r="C51" s="3696"/>
      <c r="D51" s="3696"/>
      <c r="E51" s="3696"/>
      <c r="F51" s="3696"/>
      <c r="G51" s="3696"/>
      <c r="H51" s="3697" t="str">
        <f>IF(ISBLANK(F14),"",MAX(K6,K8))</f>
        <v/>
      </c>
      <c r="I51" s="3697"/>
      <c r="J51" s="537" t="s">
        <v>146</v>
      </c>
      <c r="K51" s="537"/>
      <c r="L51" s="537"/>
      <c r="M51" s="537"/>
      <c r="N51" s="537"/>
      <c r="O51" s="3697" t="str">
        <f>IF(ISBLANK(F14),"  ",P48)</f>
        <v xml:space="preserve">  </v>
      </c>
      <c r="P51" s="3697"/>
      <c r="Q51" s="537" t="s">
        <v>722</v>
      </c>
      <c r="R51" s="2000"/>
      <c r="S51" s="2079"/>
    </row>
    <row r="52" spans="1:47" s="48" customFormat="1" ht="6" customHeight="1">
      <c r="A52" s="2075"/>
      <c r="B52" s="150"/>
      <c r="C52" s="458"/>
      <c r="D52" s="458"/>
      <c r="E52" s="459"/>
      <c r="F52" s="150"/>
      <c r="G52" s="460"/>
      <c r="H52" s="458"/>
      <c r="I52" s="458"/>
      <c r="J52" s="459"/>
      <c r="K52" s="461"/>
      <c r="L52" s="460"/>
      <c r="M52" s="502"/>
      <c r="N52" s="459"/>
      <c r="O52" s="462"/>
      <c r="P52" s="462"/>
      <c r="Q52" s="462"/>
      <c r="R52" s="462"/>
      <c r="S52" s="2076"/>
    </row>
    <row r="53" spans="1:47" ht="20.100000000000001" customHeight="1">
      <c r="A53" s="3794" t="s">
        <v>31</v>
      </c>
      <c r="B53" s="3685"/>
      <c r="C53" s="3685"/>
      <c r="D53" s="3686"/>
      <c r="E53" s="3686"/>
      <c r="F53" s="3686"/>
      <c r="G53" s="3686"/>
      <c r="H53" s="3686"/>
      <c r="I53" s="3686"/>
      <c r="J53" s="3686"/>
      <c r="K53" s="3686"/>
      <c r="L53" s="3686"/>
      <c r="M53" s="3686"/>
      <c r="N53" s="3686"/>
      <c r="O53" s="3686"/>
      <c r="P53" s="3686"/>
      <c r="Q53" s="3686"/>
      <c r="R53" s="3686"/>
      <c r="S53" s="3795"/>
    </row>
    <row r="54" spans="1:47" ht="93.6" customHeight="1" thickBot="1">
      <c r="A54" s="3796"/>
      <c r="B54" s="3699"/>
      <c r="C54" s="3699"/>
      <c r="D54" s="3699"/>
      <c r="E54" s="3699"/>
      <c r="F54" s="3699"/>
      <c r="G54" s="3699"/>
      <c r="H54" s="3699"/>
      <c r="I54" s="3699"/>
      <c r="J54" s="3699"/>
      <c r="K54" s="3699"/>
      <c r="L54" s="3699"/>
      <c r="M54" s="3699"/>
      <c r="N54" s="3699"/>
      <c r="O54" s="3699"/>
      <c r="P54" s="3699"/>
      <c r="Q54" s="3699"/>
      <c r="R54" s="3699"/>
      <c r="S54" s="3797"/>
    </row>
    <row r="55" spans="1:47" ht="24.75" customHeight="1">
      <c r="AU55" s="26"/>
    </row>
    <row r="56" spans="1:47" ht="24.75" customHeight="1">
      <c r="AU56" s="26"/>
    </row>
    <row r="57" spans="1:47" ht="24.75" customHeight="1">
      <c r="AU57" s="26"/>
    </row>
    <row r="58" spans="1:47" ht="24.75" customHeight="1">
      <c r="AU58" s="26"/>
    </row>
    <row r="59" spans="1:47" ht="24.75" customHeight="1">
      <c r="AU59" s="26"/>
    </row>
    <row r="60" spans="1:47" ht="24.75" customHeight="1">
      <c r="AU60" s="26"/>
    </row>
    <row r="61" spans="1:47" ht="24.75" customHeight="1">
      <c r="AU61" s="26"/>
    </row>
    <row r="62" spans="1:47" ht="24.75" customHeight="1">
      <c r="AU62" s="26"/>
    </row>
    <row r="63" spans="1:47" ht="24.75" customHeight="1">
      <c r="AU63" s="26"/>
    </row>
    <row r="64" spans="1:47" ht="24.75" customHeight="1">
      <c r="AU64" s="26"/>
    </row>
    <row r="65" spans="26:47" ht="24.75" customHeight="1">
      <c r="AU65" s="26"/>
    </row>
    <row r="66" spans="26:47" ht="24.75" customHeight="1">
      <c r="AU66" s="26"/>
    </row>
    <row r="67" spans="26:47" ht="24.75" customHeight="1">
      <c r="AU67" s="26"/>
    </row>
    <row r="68" spans="26:47" ht="24.75" customHeight="1">
      <c r="AU68" s="26"/>
    </row>
    <row r="69" spans="26:47" ht="24.75" customHeight="1">
      <c r="AU69" s="26"/>
    </row>
    <row r="70" spans="26:47" ht="24.75" customHeight="1">
      <c r="AU70" s="26"/>
    </row>
    <row r="71" spans="26:47" ht="24.75" customHeight="1">
      <c r="AU71" s="26"/>
    </row>
    <row r="72" spans="26:47" ht="24.75" customHeight="1">
      <c r="AU72" s="26"/>
    </row>
    <row r="73" spans="26:47" ht="24.75" customHeight="1">
      <c r="AU73" s="26"/>
    </row>
    <row r="74" spans="26:47" ht="24.75" customHeight="1">
      <c r="AU74" s="26"/>
    </row>
    <row r="75" spans="26:47" ht="24.75" customHeight="1">
      <c r="AU75" s="26"/>
    </row>
    <row r="76" spans="26:47" ht="24.75" customHeight="1">
      <c r="AU76" s="26"/>
    </row>
    <row r="77" spans="26:47" ht="24.75" customHeight="1">
      <c r="Z77" s="30"/>
      <c r="AA77" s="26"/>
      <c r="AB77" s="3690" t="s">
        <v>40</v>
      </c>
      <c r="AC77" s="3691"/>
      <c r="AD77" s="439">
        <v>1.5</v>
      </c>
      <c r="AE77" s="439">
        <v>2</v>
      </c>
      <c r="AF77" s="440">
        <v>3</v>
      </c>
      <c r="AU77" s="26"/>
    </row>
    <row r="78" spans="26:47" ht="24.75" customHeight="1">
      <c r="Z78" s="89"/>
      <c r="AA78" s="26"/>
      <c r="AB78" s="3690" t="s">
        <v>41</v>
      </c>
      <c r="AC78" s="3691"/>
      <c r="AD78" s="441">
        <v>1.07</v>
      </c>
      <c r="AE78" s="439">
        <v>1.38</v>
      </c>
      <c r="AF78" s="440">
        <v>2.04</v>
      </c>
    </row>
    <row r="79" spans="26:47" ht="24.75" customHeight="1">
      <c r="Z79" s="30"/>
      <c r="AA79" s="26"/>
      <c r="AB79" s="3690" t="s">
        <v>42</v>
      </c>
      <c r="AC79" s="3691"/>
      <c r="AD79" s="439">
        <v>4.03</v>
      </c>
      <c r="AE79" s="439">
        <v>5.17</v>
      </c>
      <c r="AF79" s="440">
        <v>7.67</v>
      </c>
    </row>
    <row r="80" spans="26:47" ht="24.75" customHeight="1">
      <c r="Z80" s="30"/>
      <c r="AA80" s="26"/>
      <c r="AB80" s="3690" t="s">
        <v>43</v>
      </c>
      <c r="AC80" s="3691"/>
      <c r="AD80" s="439">
        <v>2.15</v>
      </c>
      <c r="AE80" s="439">
        <v>2.76</v>
      </c>
      <c r="AF80" s="440">
        <v>4.09</v>
      </c>
    </row>
    <row r="81" spans="26:32" ht="24.75" customHeight="1">
      <c r="Z81" s="145"/>
      <c r="AA81" s="26"/>
      <c r="AB81" s="3690" t="s">
        <v>44</v>
      </c>
      <c r="AC81" s="3691"/>
      <c r="AD81" s="439">
        <v>2.68</v>
      </c>
      <c r="AE81" s="439">
        <v>3.45</v>
      </c>
      <c r="AF81" s="440">
        <v>5.1100000000000003</v>
      </c>
    </row>
    <row r="82" spans="26:32" ht="24.75" customHeight="1">
      <c r="AA82" s="26"/>
      <c r="AB82" s="3690" t="s">
        <v>45</v>
      </c>
      <c r="AC82" s="3691"/>
      <c r="AD82" s="439">
        <v>8.0500000000000007</v>
      </c>
      <c r="AE82" s="441">
        <v>10.3</v>
      </c>
      <c r="AF82" s="442">
        <v>15.3</v>
      </c>
    </row>
    <row r="83" spans="26:32" ht="24.75" customHeight="1">
      <c r="AA83" s="26"/>
      <c r="AB83" s="3688" t="s">
        <v>46</v>
      </c>
      <c r="AC83" s="3689"/>
      <c r="AD83" s="441">
        <v>13.4</v>
      </c>
      <c r="AE83" s="441">
        <v>17.2</v>
      </c>
      <c r="AF83" s="442">
        <v>25.5</v>
      </c>
    </row>
    <row r="84" spans="26:32" ht="24.75" customHeight="1">
      <c r="AA84" s="26"/>
      <c r="AB84" s="3688" t="s">
        <v>47</v>
      </c>
      <c r="AC84" s="3689"/>
      <c r="AD84" s="441">
        <v>20.100000000000001</v>
      </c>
      <c r="AE84" s="441">
        <v>25.8</v>
      </c>
      <c r="AF84" s="442">
        <v>38.4</v>
      </c>
    </row>
    <row r="85" spans="26:32" ht="24.75" customHeight="1">
      <c r="AA85" s="26"/>
      <c r="AB85" s="3688" t="s">
        <v>48</v>
      </c>
      <c r="AC85" s="3689"/>
      <c r="AD85" s="441">
        <v>45.6</v>
      </c>
      <c r="AE85" s="441">
        <v>58.6</v>
      </c>
      <c r="AF85" s="442">
        <v>86.9</v>
      </c>
    </row>
    <row r="86" spans="26:32" ht="24.75" customHeight="1">
      <c r="AA86" s="26"/>
      <c r="AB86" s="3688" t="s">
        <v>49</v>
      </c>
      <c r="AC86" s="3689"/>
      <c r="AD86" s="439" t="s">
        <v>707</v>
      </c>
      <c r="AE86" s="439">
        <v>7.75</v>
      </c>
      <c r="AF86" s="442">
        <v>11.5</v>
      </c>
    </row>
    <row r="87" spans="26:32" ht="24.75" customHeight="1">
      <c r="AA87" s="26"/>
    </row>
    <row r="88" spans="26:32" ht="24.75" customHeight="1">
      <c r="AA88" s="26"/>
    </row>
    <row r="89" spans="26:32" ht="24.75" customHeight="1">
      <c r="AA89" s="26"/>
    </row>
    <row r="90" spans="26:32" ht="24.75" customHeight="1">
      <c r="AA90" s="26"/>
    </row>
    <row r="91" spans="26:32" ht="24.75" customHeight="1">
      <c r="AA91" s="26"/>
    </row>
    <row r="92" spans="26:32" ht="24.75" customHeight="1">
      <c r="AA92" s="26"/>
    </row>
    <row r="93" spans="26:32" ht="24.75" customHeight="1">
      <c r="AA93" s="26"/>
    </row>
    <row r="94" spans="26:32" ht="24.75" customHeight="1">
      <c r="AA94" s="26"/>
    </row>
    <row r="95" spans="26:32" ht="24.75" customHeight="1">
      <c r="AA95" s="26"/>
    </row>
    <row r="96" spans="26:32" ht="24.75" customHeight="1">
      <c r="AA96" s="26"/>
    </row>
    <row r="97" spans="27:27" ht="24.75" customHeight="1">
      <c r="AA97" s="26"/>
    </row>
    <row r="98" spans="27:27" ht="24.75" customHeight="1">
      <c r="AA98" s="26"/>
    </row>
    <row r="99" spans="27:27" ht="24.75" customHeight="1">
      <c r="AA99" s="26"/>
    </row>
    <row r="100" spans="27:27" ht="24.75" customHeight="1">
      <c r="AA100" s="26"/>
    </row>
    <row r="101" spans="27:27" ht="24.75" customHeight="1">
      <c r="AA101" s="26"/>
    </row>
    <row r="102" spans="27:27" ht="24.75" customHeight="1">
      <c r="AA102" s="26"/>
    </row>
    <row r="103" spans="27:27" ht="24.75" customHeight="1">
      <c r="AA103" s="26"/>
    </row>
    <row r="104" spans="27:27" ht="24.75" customHeight="1">
      <c r="AA104" s="26"/>
    </row>
    <row r="105" spans="27:27" ht="24.75" customHeight="1">
      <c r="AA105" s="26"/>
    </row>
    <row r="106" spans="27:27" ht="24.75" customHeight="1">
      <c r="AA106" s="26"/>
    </row>
    <row r="107" spans="27:27" ht="24.75" customHeight="1">
      <c r="AA107" s="26"/>
    </row>
    <row r="108" spans="27:27" ht="24.75" customHeight="1">
      <c r="AA108" s="26"/>
    </row>
    <row r="109" spans="27:27" ht="24.75" customHeight="1">
      <c r="AA109" s="26"/>
    </row>
    <row r="110" spans="27:27" ht="24.75" customHeight="1">
      <c r="AA110" s="26"/>
    </row>
    <row r="111" spans="27:27" ht="24.75" customHeight="1">
      <c r="AA111" s="26"/>
    </row>
    <row r="112" spans="27:27" ht="24.75" customHeight="1">
      <c r="AA112" s="26"/>
    </row>
    <row r="113" spans="27:27" ht="24.75" customHeight="1">
      <c r="AA113" s="26"/>
    </row>
    <row r="114" spans="27:27" ht="24.75" customHeight="1">
      <c r="AA114" s="26"/>
    </row>
    <row r="115" spans="27:27" ht="24.75" customHeight="1">
      <c r="AA115" s="26"/>
    </row>
    <row r="116" spans="27:27" ht="24.75" customHeight="1">
      <c r="AA116" s="26"/>
    </row>
    <row r="117" spans="27:27" ht="24.75" customHeight="1">
      <c r="AA117" s="26"/>
    </row>
    <row r="118" spans="27:27" ht="24.75" customHeight="1">
      <c r="AA118" s="26"/>
    </row>
    <row r="119" spans="27:27" ht="24.75" customHeight="1">
      <c r="AA119" s="26"/>
    </row>
    <row r="120" spans="27:27" ht="24.75" customHeight="1">
      <c r="AA120" s="26"/>
    </row>
    <row r="121" spans="27:27" ht="24.75" customHeight="1">
      <c r="AA121" s="26"/>
    </row>
    <row r="122" spans="27:27" ht="24.75" customHeight="1">
      <c r="AA122" s="26"/>
    </row>
    <row r="123" spans="27:27" ht="24.75" customHeight="1">
      <c r="AA123" s="26"/>
    </row>
    <row r="124" spans="27:27" ht="24.75" customHeight="1">
      <c r="AA124" s="26"/>
    </row>
    <row r="125" spans="27:27" ht="24.75" customHeight="1">
      <c r="AA125" s="26"/>
    </row>
    <row r="126" spans="27:27" ht="24.75" customHeight="1">
      <c r="AA126" s="26"/>
    </row>
    <row r="127" spans="27:27" ht="24.75" customHeight="1">
      <c r="AA127" s="26"/>
    </row>
    <row r="128" spans="27:27" ht="24.75" customHeight="1">
      <c r="AA128" s="26"/>
    </row>
  </sheetData>
  <sheetProtection sheet="1" objects="1" scenarios="1"/>
  <customSheetViews>
    <customSheetView guid="{D1431318-1DB8-4C45-813B-5A8065DFC797}" showPageBreaks="1" zeroValues="0" printArea="1" view="pageBreakPreview">
      <selection activeCell="X57" sqref="X57"/>
      <pageMargins left="0.45" right="0.45" top="0.5" bottom="0.5" header="0.3" footer="0.3"/>
      <printOptions horizontalCentered="1"/>
      <pageSetup scale="75" orientation="portrait" blackAndWhite="1" r:id="rId1"/>
    </customSheetView>
  </customSheetViews>
  <mergeCells count="56">
    <mergeCell ref="A54:S54"/>
    <mergeCell ref="AB83:AC83"/>
    <mergeCell ref="AB84:AC84"/>
    <mergeCell ref="AB85:AC85"/>
    <mergeCell ref="AB86:AC86"/>
    <mergeCell ref="AB77:AC77"/>
    <mergeCell ref="AB78:AC78"/>
    <mergeCell ref="AB79:AC79"/>
    <mergeCell ref="AB80:AC80"/>
    <mergeCell ref="AB81:AC81"/>
    <mergeCell ref="AB82:AC82"/>
    <mergeCell ref="A50:S50"/>
    <mergeCell ref="A51:G51"/>
    <mergeCell ref="H51:I51"/>
    <mergeCell ref="O51:P51"/>
    <mergeCell ref="A53:S53"/>
    <mergeCell ref="B48:C48"/>
    <mergeCell ref="F48:G48"/>
    <mergeCell ref="J48:K48"/>
    <mergeCell ref="M48:N48"/>
    <mergeCell ref="P48:Q48"/>
    <mergeCell ref="B39:C39"/>
    <mergeCell ref="H39:I39"/>
    <mergeCell ref="B41:S41"/>
    <mergeCell ref="B42:E42"/>
    <mergeCell ref="B43:C43"/>
    <mergeCell ref="H43:I43"/>
    <mergeCell ref="N43:O43"/>
    <mergeCell ref="E34:F34"/>
    <mergeCell ref="G34:J34"/>
    <mergeCell ref="B36:L38"/>
    <mergeCell ref="K27:L27"/>
    <mergeCell ref="B28:E28"/>
    <mergeCell ref="F28:G28"/>
    <mergeCell ref="B30:E30"/>
    <mergeCell ref="F30:G30"/>
    <mergeCell ref="B19:E19"/>
    <mergeCell ref="F19:G19"/>
    <mergeCell ref="H19:N19"/>
    <mergeCell ref="B32:J32"/>
    <mergeCell ref="K32:L32"/>
    <mergeCell ref="A12:S12"/>
    <mergeCell ref="B14:E14"/>
    <mergeCell ref="F14:G14"/>
    <mergeCell ref="B15:H15"/>
    <mergeCell ref="B17:E17"/>
    <mergeCell ref="F17:G17"/>
    <mergeCell ref="E1:O1"/>
    <mergeCell ref="K10:P10"/>
    <mergeCell ref="B4:H4"/>
    <mergeCell ref="K6:L6"/>
    <mergeCell ref="B8:H8"/>
    <mergeCell ref="K8:L8"/>
    <mergeCell ref="I2:J2"/>
    <mergeCell ref="K2:L2"/>
    <mergeCell ref="I4:L4"/>
  </mergeCells>
  <dataValidations count="5">
    <dataValidation type="decimal" allowBlank="1" showInputMessage="1" showErrorMessage="1" sqref="K6">
      <formula1>10</formula1>
      <formula2>45</formula2>
    </dataValidation>
    <dataValidation type="list" allowBlank="1" showInputMessage="1" showErrorMessage="1" sqref="F28:G28">
      <formula1>PipeDia</formula1>
    </dataValidation>
    <dataValidation type="list" allowBlank="1" showInputMessage="1" showErrorMessage="1" sqref="F17:G17">
      <formula1>DistHeadLoss</formula1>
    </dataValidation>
    <dataValidation type="list" allowBlank="1" showInputMessage="1" sqref="K10:P10">
      <formula1>PumpTankType</formula1>
    </dataValidation>
    <dataValidation type="list" allowBlank="1" showInputMessage="1" showErrorMessage="1" sqref="I4:L4">
      <formula1>Gravity_Or_Pressure</formula1>
    </dataValidation>
  </dataValidations>
  <printOptions horizontalCentered="1"/>
  <pageMargins left="0.45" right="0.45" top="0.5" bottom="0.5" header="0.3" footer="0.3"/>
  <pageSetup scale="75" orientation="portrait" blackAndWhite="1"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C00000"/>
  </sheetPr>
  <dimension ref="A1:AF1320"/>
  <sheetViews>
    <sheetView showGridLines="0" showZeros="0" view="pageBreakPreview" zoomScaleNormal="100" zoomScaleSheetLayoutView="100" workbookViewId="0">
      <selection activeCell="G3" sqref="G3:O3"/>
    </sheetView>
  </sheetViews>
  <sheetFormatPr defaultColWidth="9.109375" defaultRowHeight="14.4"/>
  <cols>
    <col min="1" max="1" width="1.109375" style="970" customWidth="1"/>
    <col min="2" max="21" width="4.88671875" style="970" customWidth="1"/>
    <col min="22" max="22" width="1.109375" style="970" customWidth="1"/>
    <col min="23" max="16384" width="9.109375" style="970"/>
  </cols>
  <sheetData>
    <row r="1" spans="1:32" ht="15.75" customHeight="1">
      <c r="A1" s="1704"/>
      <c r="B1" s="1705" t="s">
        <v>1127</v>
      </c>
      <c r="C1" s="1705"/>
      <c r="D1" s="1705"/>
      <c r="E1" s="1705"/>
      <c r="F1" s="1705"/>
      <c r="G1" s="1705"/>
      <c r="H1" s="1705"/>
      <c r="I1" s="1705"/>
      <c r="J1" s="1705"/>
      <c r="K1" s="1705"/>
      <c r="L1" s="1705"/>
      <c r="M1" s="1705"/>
      <c r="N1" s="1705"/>
      <c r="O1" s="1705"/>
      <c r="P1" s="1705"/>
      <c r="Q1" s="1705"/>
      <c r="R1" s="1706"/>
      <c r="S1" s="1706"/>
      <c r="T1" s="1707" t="str">
        <f>'Drop-Down Lists'!J40</f>
        <v>v 04.01.2021</v>
      </c>
      <c r="U1" s="2794"/>
      <c r="V1" s="2795"/>
      <c r="W1" s="1484"/>
      <c r="X1" s="1484"/>
      <c r="Y1" s="1484"/>
      <c r="Z1" s="1484"/>
      <c r="AA1" s="1484"/>
      <c r="AB1" s="1484"/>
      <c r="AC1" s="1484"/>
      <c r="AD1" s="1484"/>
      <c r="AE1" s="1484"/>
      <c r="AF1" s="1484"/>
    </row>
    <row r="2" spans="1:32" s="1279" customFormat="1" ht="6" customHeight="1">
      <c r="A2" s="1942"/>
      <c r="B2" s="2575"/>
      <c r="C2" s="1940"/>
      <c r="D2" s="2575"/>
      <c r="E2" s="2575"/>
      <c r="F2" s="2575"/>
      <c r="G2" s="2588"/>
      <c r="H2" s="2575"/>
      <c r="I2" s="2588"/>
      <c r="J2" s="2575"/>
      <c r="K2" s="2588"/>
      <c r="L2" s="2575"/>
      <c r="M2" s="2575"/>
      <c r="N2" s="2575"/>
      <c r="O2" s="2575"/>
      <c r="P2" s="2575"/>
      <c r="Q2" s="2575"/>
      <c r="R2" s="2575"/>
      <c r="S2" s="2575"/>
      <c r="T2" s="2575"/>
      <c r="U2" s="1282"/>
      <c r="V2" s="1409"/>
      <c r="W2" s="1484"/>
      <c r="X2" s="1484"/>
      <c r="Y2" s="1484"/>
      <c r="Z2" s="1484"/>
      <c r="AA2" s="1484"/>
      <c r="AB2" s="1484"/>
      <c r="AC2" s="1484"/>
      <c r="AD2" s="1484"/>
      <c r="AE2" s="1484"/>
      <c r="AF2" s="1484"/>
    </row>
    <row r="3" spans="1:32" ht="18" customHeight="1">
      <c r="A3" s="1297"/>
      <c r="B3" s="1930"/>
      <c r="C3" s="1930"/>
      <c r="D3" s="1930"/>
      <c r="E3" s="1930"/>
      <c r="F3" s="2576" t="s">
        <v>29</v>
      </c>
      <c r="G3" s="2796"/>
      <c r="H3" s="2797"/>
      <c r="I3" s="2797"/>
      <c r="J3" s="2797"/>
      <c r="K3" s="2797"/>
      <c r="L3" s="2797"/>
      <c r="M3" s="2797"/>
      <c r="N3" s="2797"/>
      <c r="O3" s="2798"/>
      <c r="P3" s="2775" t="s">
        <v>1778</v>
      </c>
      <c r="Q3" s="2775"/>
      <c r="R3" s="2776"/>
      <c r="S3" s="2780"/>
      <c r="T3" s="2781"/>
      <c r="U3" s="2782"/>
      <c r="V3" s="1935"/>
      <c r="W3" s="1484"/>
      <c r="X3" s="1484"/>
      <c r="Y3" s="1484"/>
      <c r="Z3" s="1484"/>
      <c r="AA3" s="1484"/>
      <c r="AB3" s="1484"/>
      <c r="AC3" s="1484"/>
      <c r="AD3" s="1484"/>
      <c r="AE3" s="1484"/>
      <c r="AF3" s="1484"/>
    </row>
    <row r="4" spans="1:32" s="919" customFormat="1" ht="6" customHeight="1">
      <c r="A4" s="1942"/>
      <c r="B4" s="2575"/>
      <c r="C4" s="1311"/>
      <c r="D4" s="1311"/>
      <c r="E4" s="2590"/>
      <c r="F4" s="2575"/>
      <c r="G4" s="2575"/>
      <c r="H4" s="2575"/>
      <c r="I4" s="2575"/>
      <c r="J4" s="2575"/>
      <c r="K4" s="2575"/>
      <c r="L4" s="2575"/>
      <c r="M4" s="2575"/>
      <c r="N4" s="2575"/>
      <c r="O4" s="2575"/>
      <c r="P4" s="2575"/>
      <c r="Q4" s="2588"/>
      <c r="R4" s="1486"/>
      <c r="S4" s="2575"/>
      <c r="T4" s="2575"/>
      <c r="U4" s="2575"/>
      <c r="V4" s="1409"/>
      <c r="W4" s="1484"/>
      <c r="X4" s="1484"/>
      <c r="Y4" s="1484"/>
      <c r="Z4" s="1484"/>
      <c r="AA4" s="1484"/>
      <c r="AB4" s="1484"/>
      <c r="AC4" s="1484"/>
      <c r="AD4" s="1484"/>
      <c r="AE4" s="1484"/>
      <c r="AF4" s="1484"/>
    </row>
    <row r="5" spans="1:32" s="919" customFormat="1" ht="18" customHeight="1">
      <c r="A5" s="1942"/>
      <c r="B5" s="2575"/>
      <c r="C5" s="2575"/>
      <c r="D5" s="2575"/>
      <c r="E5" s="2575"/>
      <c r="F5" s="2574" t="s">
        <v>782</v>
      </c>
      <c r="G5" s="2796"/>
      <c r="H5" s="2797"/>
      <c r="I5" s="2797"/>
      <c r="J5" s="2797"/>
      <c r="K5" s="2797"/>
      <c r="L5" s="2797"/>
      <c r="M5" s="2797"/>
      <c r="N5" s="2797"/>
      <c r="O5" s="2797"/>
      <c r="P5" s="2798"/>
      <c r="Q5" s="2764" t="s">
        <v>1015</v>
      </c>
      <c r="R5" s="2765"/>
      <c r="S5" s="2783"/>
      <c r="T5" s="2784"/>
      <c r="U5" s="2785"/>
      <c r="V5" s="1409"/>
      <c r="W5" s="1484"/>
      <c r="X5" s="1484"/>
      <c r="Y5" s="1484"/>
      <c r="Z5" s="1484"/>
      <c r="AA5" s="1484"/>
      <c r="AB5" s="1484"/>
      <c r="AC5" s="1484"/>
      <c r="AD5" s="1484"/>
      <c r="AE5" s="1484"/>
      <c r="AF5" s="1484"/>
    </row>
    <row r="6" spans="1:32" s="919" customFormat="1" ht="6" customHeight="1">
      <c r="A6" s="1942"/>
      <c r="B6" s="2575"/>
      <c r="C6" s="1311"/>
      <c r="D6" s="1311"/>
      <c r="E6" s="1311"/>
      <c r="F6" s="1311"/>
      <c r="G6" s="2575"/>
      <c r="H6" s="1311"/>
      <c r="I6" s="2575"/>
      <c r="J6" s="2575"/>
      <c r="K6" s="2575"/>
      <c r="L6" s="2575"/>
      <c r="M6" s="2575"/>
      <c r="N6" s="2575"/>
      <c r="O6" s="2575"/>
      <c r="P6" s="2575"/>
      <c r="Q6" s="2588"/>
      <c r="R6" s="1486"/>
      <c r="S6" s="2575"/>
      <c r="T6" s="2575"/>
      <c r="U6" s="2575"/>
      <c r="V6" s="1409"/>
      <c r="W6" s="1484"/>
      <c r="X6" s="1484"/>
      <c r="Y6" s="1484"/>
      <c r="Z6" s="1484"/>
      <c r="AA6" s="1484"/>
      <c r="AB6" s="1484"/>
      <c r="AC6" s="1484"/>
      <c r="AD6" s="1484"/>
      <c r="AE6" s="1484"/>
      <c r="AF6" s="1484"/>
    </row>
    <row r="7" spans="1:32" s="919" customFormat="1" ht="18" customHeight="1">
      <c r="A7" s="1942"/>
      <c r="B7" s="2575"/>
      <c r="C7" s="2575"/>
      <c r="D7" s="2575"/>
      <c r="E7" s="2575"/>
      <c r="F7" s="2574" t="s">
        <v>1512</v>
      </c>
      <c r="G7" s="2796"/>
      <c r="H7" s="2797"/>
      <c r="I7" s="2797"/>
      <c r="J7" s="2797"/>
      <c r="K7" s="2797"/>
      <c r="L7" s="2797"/>
      <c r="M7" s="2797"/>
      <c r="N7" s="2797"/>
      <c r="O7" s="2797"/>
      <c r="P7" s="2798"/>
      <c r="Q7" s="2770" t="s">
        <v>1511</v>
      </c>
      <c r="R7" s="2770"/>
      <c r="S7" s="2771"/>
      <c r="T7" s="2772"/>
      <c r="U7" s="2773"/>
      <c r="V7" s="1409"/>
      <c r="W7" s="1484"/>
      <c r="X7" s="1484"/>
      <c r="Y7" s="1484"/>
      <c r="Z7" s="1484"/>
      <c r="AA7" s="1484"/>
      <c r="AB7" s="1484"/>
      <c r="AC7" s="1484"/>
      <c r="AD7" s="1484"/>
      <c r="AE7" s="1484"/>
      <c r="AF7" s="1484"/>
    </row>
    <row r="8" spans="1:32" s="919" customFormat="1" ht="6" customHeight="1">
      <c r="A8" s="1942"/>
      <c r="B8" s="2575"/>
      <c r="C8" s="1311"/>
      <c r="D8" s="1311"/>
      <c r="E8" s="2590"/>
      <c r="F8" s="2575"/>
      <c r="G8" s="2575"/>
      <c r="H8" s="2575"/>
      <c r="I8" s="2575"/>
      <c r="J8" s="2575"/>
      <c r="K8" s="2575"/>
      <c r="L8" s="2575"/>
      <c r="M8" s="2575"/>
      <c r="N8" s="2575"/>
      <c r="O8" s="2575"/>
      <c r="P8" s="2575"/>
      <c r="Q8" s="2588"/>
      <c r="R8" s="1486"/>
      <c r="S8" s="2575"/>
      <c r="T8" s="2575"/>
      <c r="U8" s="2575"/>
      <c r="V8" s="1409"/>
      <c r="W8" s="1484"/>
      <c r="X8" s="1484"/>
      <c r="Y8" s="1484"/>
      <c r="Z8" s="1484"/>
      <c r="AA8" s="1484"/>
      <c r="AB8" s="1484"/>
      <c r="AC8" s="1484"/>
      <c r="AD8" s="1484"/>
      <c r="AE8" s="1484"/>
      <c r="AF8" s="1484"/>
    </row>
    <row r="9" spans="1:32" ht="18" customHeight="1">
      <c r="A9" s="1297"/>
      <c r="B9" s="1930"/>
      <c r="C9" s="1930"/>
      <c r="D9" s="1930"/>
      <c r="E9" s="1930"/>
      <c r="F9" s="2576" t="s">
        <v>1615</v>
      </c>
      <c r="G9" s="2774"/>
      <c r="H9" s="2774"/>
      <c r="I9" s="2774"/>
      <c r="J9" s="2774"/>
      <c r="K9" s="2774"/>
      <c r="L9" s="2774"/>
      <c r="M9" s="2774"/>
      <c r="N9" s="2774"/>
      <c r="O9" s="2774"/>
      <c r="P9" s="2774"/>
      <c r="Q9" s="2770" t="s">
        <v>2118</v>
      </c>
      <c r="R9" s="2770"/>
      <c r="S9" s="2771"/>
      <c r="T9" s="2772"/>
      <c r="U9" s="2773"/>
      <c r="V9" s="1935"/>
      <c r="W9" s="1484"/>
      <c r="X9" s="1484"/>
      <c r="Y9" s="1484"/>
      <c r="Z9" s="1484"/>
      <c r="AA9" s="1484"/>
      <c r="AB9" s="1484"/>
      <c r="AC9" s="1484"/>
      <c r="AD9" s="1484"/>
      <c r="AE9" s="1484"/>
      <c r="AF9" s="1484"/>
    </row>
    <row r="10" spans="1:32" s="919" customFormat="1" ht="6" customHeight="1">
      <c r="A10" s="1942"/>
      <c r="B10" s="2575"/>
      <c r="C10" s="1311"/>
      <c r="D10" s="1311"/>
      <c r="E10" s="2590"/>
      <c r="F10" s="2575"/>
      <c r="G10" s="2575"/>
      <c r="H10" s="2575"/>
      <c r="I10" s="2575"/>
      <c r="J10" s="2575"/>
      <c r="K10" s="2575"/>
      <c r="L10" s="2575"/>
      <c r="M10" s="2575"/>
      <c r="N10" s="2575"/>
      <c r="O10" s="2575"/>
      <c r="P10" s="2575"/>
      <c r="Q10" s="2575"/>
      <c r="R10" s="2575"/>
      <c r="S10" s="2575"/>
      <c r="T10" s="2575"/>
      <c r="U10" s="2575"/>
      <c r="V10" s="1409"/>
      <c r="W10" s="1484"/>
      <c r="X10" s="1484"/>
      <c r="Y10" s="1484"/>
      <c r="Z10" s="1484"/>
      <c r="AA10" s="1484"/>
      <c r="AB10" s="1484"/>
      <c r="AC10" s="1484"/>
      <c r="AD10" s="1484"/>
      <c r="AE10" s="1484"/>
      <c r="AF10" s="1484"/>
    </row>
    <row r="11" spans="1:32" s="1421" customFormat="1" ht="18" customHeight="1">
      <c r="A11" s="1942"/>
      <c r="B11" s="2575"/>
      <c r="C11" s="2575"/>
      <c r="D11" s="2575"/>
      <c r="E11" s="2575"/>
      <c r="F11" s="2574" t="s">
        <v>1581</v>
      </c>
      <c r="G11" s="2748"/>
      <c r="H11" s="2749"/>
      <c r="I11" s="2749"/>
      <c r="J11" s="2749"/>
      <c r="K11" s="2749"/>
      <c r="L11" s="2749"/>
      <c r="M11" s="2749"/>
      <c r="N11" s="2749"/>
      <c r="O11" s="2749"/>
      <c r="P11" s="2749"/>
      <c r="Q11" s="2749"/>
      <c r="R11" s="2749"/>
      <c r="S11" s="2749"/>
      <c r="T11" s="2749"/>
      <c r="U11" s="2750"/>
      <c r="V11" s="1409"/>
      <c r="W11" s="1484"/>
      <c r="X11" s="1484"/>
      <c r="Y11" s="1484"/>
      <c r="Z11" s="1484"/>
      <c r="AA11" s="1484"/>
      <c r="AB11" s="1484"/>
      <c r="AC11" s="1484"/>
      <c r="AD11" s="1484"/>
      <c r="AE11" s="1484"/>
      <c r="AF11" s="1484"/>
    </row>
    <row r="12" spans="1:32" s="1421" customFormat="1" ht="6" customHeight="1">
      <c r="A12" s="1942"/>
      <c r="B12" s="2575"/>
      <c r="C12" s="1311"/>
      <c r="D12" s="1311"/>
      <c r="E12" s="2590"/>
      <c r="F12" s="2575"/>
      <c r="G12" s="2575"/>
      <c r="H12" s="2575"/>
      <c r="I12" s="2575"/>
      <c r="J12" s="2575"/>
      <c r="K12" s="2575"/>
      <c r="L12" s="2575"/>
      <c r="M12" s="2575"/>
      <c r="N12" s="2575"/>
      <c r="O12" s="2575"/>
      <c r="P12" s="2575"/>
      <c r="Q12" s="2575"/>
      <c r="R12" s="2575"/>
      <c r="S12" s="2575"/>
      <c r="T12" s="2575"/>
      <c r="U12" s="2575"/>
      <c r="V12" s="1409"/>
      <c r="W12" s="1484"/>
      <c r="X12" s="1484"/>
      <c r="Y12" s="1484"/>
      <c r="Z12" s="1484"/>
      <c r="AA12" s="1484"/>
      <c r="AB12" s="1484"/>
      <c r="AC12" s="1484"/>
      <c r="AD12" s="1484"/>
      <c r="AE12" s="1484"/>
      <c r="AF12" s="1484"/>
    </row>
    <row r="13" spans="1:32" ht="18" customHeight="1">
      <c r="A13" s="1297"/>
      <c r="B13" s="1930"/>
      <c r="C13" s="1930"/>
      <c r="D13" s="1930"/>
      <c r="E13" s="1930"/>
      <c r="F13" s="2574" t="s">
        <v>1228</v>
      </c>
      <c r="G13" s="2791"/>
      <c r="H13" s="2792"/>
      <c r="I13" s="2792"/>
      <c r="J13" s="2792"/>
      <c r="K13" s="2793"/>
      <c r="L13" s="2574" t="s">
        <v>1780</v>
      </c>
      <c r="M13" s="2766"/>
      <c r="N13" s="2768"/>
      <c r="O13" s="2767"/>
      <c r="P13" s="2576" t="s">
        <v>1779</v>
      </c>
      <c r="Q13" s="2766"/>
      <c r="R13" s="2767"/>
      <c r="S13" s="2574" t="s">
        <v>1781</v>
      </c>
      <c r="T13" s="2766"/>
      <c r="U13" s="2767"/>
      <c r="V13" s="1935"/>
      <c r="W13" s="1484"/>
      <c r="X13" s="1484"/>
      <c r="Z13" s="1484"/>
      <c r="AA13" s="1484"/>
      <c r="AB13" s="1484"/>
      <c r="AC13" s="1484"/>
      <c r="AD13" s="1484"/>
      <c r="AE13" s="1484"/>
      <c r="AF13" s="1484"/>
    </row>
    <row r="14" spans="1:32" s="919" customFormat="1" ht="6" customHeight="1">
      <c r="A14" s="1942"/>
      <c r="B14" s="2575"/>
      <c r="C14" s="1311"/>
      <c r="D14" s="1311"/>
      <c r="E14" s="2590"/>
      <c r="F14" s="2575"/>
      <c r="G14" s="2575"/>
      <c r="H14" s="2575"/>
      <c r="I14" s="2575"/>
      <c r="J14" s="2575"/>
      <c r="K14" s="2575"/>
      <c r="L14" s="2575"/>
      <c r="M14" s="2575"/>
      <c r="N14" s="2575"/>
      <c r="O14" s="2575"/>
      <c r="P14" s="2588"/>
      <c r="Q14" s="2588"/>
      <c r="R14" s="1486"/>
      <c r="S14" s="2575"/>
      <c r="T14" s="2575"/>
      <c r="U14" s="2575"/>
      <c r="V14" s="1409"/>
      <c r="W14" s="1484"/>
      <c r="X14" s="1484"/>
      <c r="Y14" s="1484"/>
      <c r="Z14" s="1484"/>
      <c r="AA14" s="1484"/>
      <c r="AB14" s="1484"/>
      <c r="AC14" s="1484"/>
      <c r="AD14" s="1484"/>
      <c r="AE14" s="1484"/>
      <c r="AF14" s="1484"/>
    </row>
    <row r="15" spans="1:32" ht="15.75" customHeight="1">
      <c r="A15" s="1708"/>
      <c r="B15" s="2790" t="s">
        <v>1551</v>
      </c>
      <c r="C15" s="2790"/>
      <c r="D15" s="2790"/>
      <c r="E15" s="2790"/>
      <c r="F15" s="2790"/>
      <c r="G15" s="2790"/>
      <c r="H15" s="2790"/>
      <c r="I15" s="2790"/>
      <c r="J15" s="2790"/>
      <c r="K15" s="2790"/>
      <c r="L15" s="2790"/>
      <c r="M15" s="2790"/>
      <c r="N15" s="2790"/>
      <c r="O15" s="2790"/>
      <c r="P15" s="2790"/>
      <c r="Q15" s="2790"/>
      <c r="R15" s="2790"/>
      <c r="S15" s="2790"/>
      <c r="T15" s="2790"/>
      <c r="U15" s="2790"/>
      <c r="V15" s="1709"/>
      <c r="W15" s="1484"/>
      <c r="X15" s="1484"/>
      <c r="Y15" s="1484"/>
      <c r="Z15" s="1484"/>
      <c r="AA15" s="1484"/>
      <c r="AB15" s="1484"/>
      <c r="AC15" s="1484"/>
      <c r="AD15" s="1484"/>
      <c r="AE15" s="1484"/>
      <c r="AF15" s="1484"/>
    </row>
    <row r="16" spans="1:32" ht="6" customHeight="1">
      <c r="A16" s="1297"/>
      <c r="B16" s="1487"/>
      <c r="C16" s="1487"/>
      <c r="D16" s="1487"/>
      <c r="E16" s="1487"/>
      <c r="F16" s="1487"/>
      <c r="G16" s="1487"/>
      <c r="H16" s="1487"/>
      <c r="I16" s="1487"/>
      <c r="J16" s="1487"/>
      <c r="K16" s="1487"/>
      <c r="L16" s="1487"/>
      <c r="M16" s="1487"/>
      <c r="N16" s="1487"/>
      <c r="O16" s="1487"/>
      <c r="P16" s="1487"/>
      <c r="Q16" s="1487"/>
      <c r="R16" s="1487"/>
      <c r="S16" s="1487"/>
      <c r="T16" s="1487"/>
      <c r="U16" s="1487"/>
      <c r="V16" s="1935"/>
      <c r="W16" s="1484"/>
      <c r="X16" s="1484"/>
      <c r="Y16" s="1484"/>
      <c r="Z16" s="1484"/>
      <c r="AA16" s="1484"/>
      <c r="AB16" s="1484"/>
      <c r="AC16" s="1484"/>
      <c r="AD16" s="1484"/>
      <c r="AE16" s="1484"/>
      <c r="AF16" s="1484"/>
    </row>
    <row r="17" spans="1:32" ht="13.5" customHeight="1">
      <c r="A17" s="1297"/>
      <c r="B17" s="1930"/>
      <c r="C17" s="1488" t="s">
        <v>1508</v>
      </c>
      <c r="D17" s="1930"/>
      <c r="E17" s="1930"/>
      <c r="F17" s="2576"/>
      <c r="G17" s="2577"/>
      <c r="H17" s="2576"/>
      <c r="I17" s="2577"/>
      <c r="J17" s="2576"/>
      <c r="K17" s="2577"/>
      <c r="L17" s="2576"/>
      <c r="M17" s="2576"/>
      <c r="N17" s="2577"/>
      <c r="O17" s="1930"/>
      <c r="P17" s="1940"/>
      <c r="Q17" s="2575"/>
      <c r="R17" s="2591"/>
      <c r="S17" s="1930"/>
      <c r="T17" s="1930"/>
      <c r="U17" s="1930"/>
      <c r="V17" s="1935"/>
      <c r="W17" s="1484"/>
      <c r="X17" s="1484"/>
      <c r="Y17" s="1484"/>
      <c r="Z17" s="1484"/>
      <c r="AA17" s="1484"/>
      <c r="AB17" s="1484"/>
      <c r="AC17" s="1484"/>
      <c r="AD17" s="1484"/>
      <c r="AE17" s="1484"/>
      <c r="AF17" s="1484"/>
    </row>
    <row r="18" spans="1:32" ht="18" customHeight="1">
      <c r="A18" s="1297"/>
      <c r="B18" s="1930"/>
      <c r="C18" s="1930"/>
      <c r="D18" s="1937"/>
      <c r="E18" s="2576" t="s">
        <v>1616</v>
      </c>
      <c r="F18" s="1484"/>
      <c r="G18" s="2588"/>
      <c r="H18" s="1930"/>
      <c r="I18" s="1930"/>
      <c r="J18" s="2588"/>
      <c r="K18" s="1930"/>
      <c r="L18" s="2575"/>
      <c r="M18" s="2589"/>
      <c r="N18" s="1930"/>
      <c r="O18" s="1930"/>
      <c r="P18" s="1930"/>
      <c r="Q18" s="2575"/>
      <c r="R18" s="1930"/>
      <c r="S18" s="2575"/>
      <c r="T18" s="2575"/>
      <c r="U18" s="2575"/>
      <c r="V18" s="1935"/>
      <c r="W18" s="1484"/>
      <c r="X18" s="1484"/>
      <c r="Y18" s="1484"/>
      <c r="Z18" s="1484"/>
      <c r="AA18" s="1484"/>
      <c r="AB18" s="1484"/>
      <c r="AC18" s="1484"/>
      <c r="AD18" s="1484"/>
      <c r="AE18" s="1484"/>
      <c r="AF18" s="1484"/>
    </row>
    <row r="19" spans="1:32" ht="18" customHeight="1">
      <c r="A19" s="1297"/>
      <c r="B19" s="1930"/>
      <c r="C19" s="1930"/>
      <c r="D19" s="1930"/>
      <c r="E19" s="2576" t="s">
        <v>1617</v>
      </c>
      <c r="F19" s="1484"/>
      <c r="G19" s="2575"/>
      <c r="H19" s="1930"/>
      <c r="I19" s="1930"/>
      <c r="J19" s="1930"/>
      <c r="K19" s="1930"/>
      <c r="L19" s="1484"/>
      <c r="M19" s="2752"/>
      <c r="N19" s="2769"/>
      <c r="O19" s="2769"/>
      <c r="P19" s="2769"/>
      <c r="Q19" s="2769"/>
      <c r="R19" s="2769"/>
      <c r="S19" s="2769"/>
      <c r="T19" s="2769"/>
      <c r="U19" s="2753"/>
      <c r="V19" s="1935"/>
      <c r="W19" s="1484"/>
      <c r="X19" s="1484"/>
      <c r="Y19" s="1484"/>
      <c r="Z19" s="1484"/>
      <c r="AA19" s="1484"/>
      <c r="AB19" s="1484"/>
      <c r="AC19" s="1484"/>
      <c r="AD19" s="1484"/>
      <c r="AE19" s="1484"/>
      <c r="AF19" s="1484"/>
    </row>
    <row r="20" spans="1:32" s="1422" customFormat="1" ht="6" customHeight="1">
      <c r="A20" s="1942"/>
      <c r="B20" s="2575"/>
      <c r="C20" s="2575"/>
      <c r="D20" s="1311"/>
      <c r="E20" s="2590"/>
      <c r="F20" s="2575"/>
      <c r="G20" s="2575"/>
      <c r="H20" s="2575"/>
      <c r="I20" s="2575"/>
      <c r="J20" s="2575"/>
      <c r="K20" s="2575"/>
      <c r="L20" s="1480"/>
      <c r="M20" s="1480"/>
      <c r="N20" s="1480"/>
      <c r="O20" s="1480"/>
      <c r="P20" s="1480"/>
      <c r="Q20" s="1480"/>
      <c r="R20" s="1480"/>
      <c r="S20" s="1480"/>
      <c r="T20" s="1480"/>
      <c r="U20" s="1480"/>
      <c r="V20" s="1409"/>
      <c r="W20" s="1484"/>
      <c r="X20" s="1484"/>
      <c r="Y20" s="1484"/>
      <c r="Z20" s="1484"/>
      <c r="AA20" s="1484"/>
      <c r="AB20" s="1484"/>
      <c r="AC20" s="1484"/>
      <c r="AD20" s="1484"/>
      <c r="AE20" s="1484"/>
      <c r="AF20" s="1484"/>
    </row>
    <row r="21" spans="1:32" ht="18" customHeight="1">
      <c r="A21" s="1297"/>
      <c r="B21" s="1930"/>
      <c r="C21" s="1489" t="s">
        <v>1619</v>
      </c>
      <c r="D21" s="1930"/>
      <c r="E21" s="1930"/>
      <c r="F21" s="1930"/>
      <c r="G21" s="1930"/>
      <c r="H21" s="2576" t="s">
        <v>1643</v>
      </c>
      <c r="I21" s="2752"/>
      <c r="J21" s="2753"/>
      <c r="K21" s="1930"/>
      <c r="L21" s="2575"/>
      <c r="M21" s="2576" t="s">
        <v>1602</v>
      </c>
      <c r="N21" s="2752"/>
      <c r="O21" s="2753"/>
      <c r="P21" s="1311"/>
      <c r="Q21" s="2588"/>
      <c r="R21" s="1930"/>
      <c r="S21" s="2576" t="s">
        <v>1618</v>
      </c>
      <c r="T21" s="2771"/>
      <c r="U21" s="2773"/>
      <c r="V21" s="1935"/>
      <c r="W21" s="1484"/>
      <c r="X21" s="1484"/>
      <c r="Y21" s="1484"/>
      <c r="Z21" s="1484"/>
      <c r="AA21" s="1484"/>
      <c r="AB21" s="1484"/>
      <c r="AC21" s="1484"/>
      <c r="AD21" s="1484"/>
      <c r="AE21" s="1484"/>
      <c r="AF21" s="1484"/>
    </row>
    <row r="22" spans="1:32" s="919" customFormat="1" ht="6" customHeight="1">
      <c r="A22" s="1942"/>
      <c r="B22" s="2575"/>
      <c r="C22" s="1311"/>
      <c r="D22" s="1311"/>
      <c r="E22" s="2590"/>
      <c r="F22" s="2575"/>
      <c r="G22" s="2575"/>
      <c r="H22" s="2575"/>
      <c r="I22" s="2575"/>
      <c r="J22" s="2575"/>
      <c r="K22" s="2575"/>
      <c r="L22" s="2575"/>
      <c r="M22" s="2575"/>
      <c r="N22" s="2575"/>
      <c r="O22" s="2588"/>
      <c r="P22" s="2588"/>
      <c r="Q22" s="2588"/>
      <c r="R22" s="1486"/>
      <c r="S22" s="2575"/>
      <c r="T22" s="2575"/>
      <c r="U22" s="2575"/>
      <c r="V22" s="1409"/>
      <c r="W22" s="1484"/>
      <c r="X22" s="1484"/>
      <c r="Y22" s="1484"/>
      <c r="Z22" s="1484"/>
      <c r="AA22" s="1484"/>
      <c r="AB22" s="1484"/>
      <c r="AC22" s="1484"/>
      <c r="AD22" s="1484"/>
      <c r="AE22" s="1484"/>
      <c r="AF22" s="1484"/>
    </row>
    <row r="23" spans="1:32" ht="18" customHeight="1">
      <c r="A23" s="1297"/>
      <c r="B23" s="1930"/>
      <c r="C23" s="1930"/>
      <c r="D23" s="1930"/>
      <c r="E23" s="2576"/>
      <c r="F23" s="1930"/>
      <c r="G23" s="1930"/>
      <c r="H23" s="2576" t="s">
        <v>1620</v>
      </c>
      <c r="I23" s="2752"/>
      <c r="J23" s="2753"/>
      <c r="K23" s="1930"/>
      <c r="L23" s="1930"/>
      <c r="M23" s="2576" t="s">
        <v>1621</v>
      </c>
      <c r="N23" s="2762"/>
      <c r="O23" s="2763"/>
      <c r="P23" s="2588"/>
      <c r="Q23" s="2588"/>
      <c r="R23" s="1930"/>
      <c r="S23" s="2574" t="s">
        <v>1622</v>
      </c>
      <c r="T23" s="2771"/>
      <c r="U23" s="2773"/>
      <c r="V23" s="1935"/>
      <c r="W23" s="1484"/>
      <c r="X23" s="1484"/>
      <c r="Y23" s="1484"/>
      <c r="Z23" s="1484"/>
      <c r="AA23" s="1484"/>
      <c r="AB23" s="1484"/>
      <c r="AC23" s="1484"/>
      <c r="AD23" s="1484"/>
      <c r="AE23" s="1484"/>
      <c r="AF23" s="1484"/>
    </row>
    <row r="24" spans="1:32" ht="6" customHeight="1">
      <c r="A24" s="1297"/>
      <c r="B24" s="1930"/>
      <c r="C24" s="1937"/>
      <c r="D24" s="1937"/>
      <c r="E24" s="1937"/>
      <c r="F24" s="1937"/>
      <c r="G24" s="1930"/>
      <c r="H24" s="1930"/>
      <c r="I24" s="2577"/>
      <c r="J24" s="1930"/>
      <c r="K24" s="1930"/>
      <c r="L24" s="1937"/>
      <c r="M24" s="1937"/>
      <c r="N24" s="1937"/>
      <c r="O24" s="1930"/>
      <c r="P24" s="2588"/>
      <c r="Q24" s="2588"/>
      <c r="R24" s="2588"/>
      <c r="S24" s="1930"/>
      <c r="T24" s="1930"/>
      <c r="U24" s="1930"/>
      <c r="V24" s="1935"/>
      <c r="W24" s="1484"/>
      <c r="X24" s="1484"/>
      <c r="Y24" s="1484"/>
      <c r="Z24" s="1484"/>
      <c r="AA24" s="1484"/>
      <c r="AB24" s="1484"/>
      <c r="AC24" s="1484"/>
      <c r="AD24" s="1484"/>
      <c r="AE24" s="1484"/>
      <c r="AF24" s="1484"/>
    </row>
    <row r="25" spans="1:32" ht="18" customHeight="1">
      <c r="A25" s="1297"/>
      <c r="B25" s="1930"/>
      <c r="C25" s="1930"/>
      <c r="D25" s="1490"/>
      <c r="E25" s="2575"/>
      <c r="F25" s="2575"/>
      <c r="G25" s="1930"/>
      <c r="H25" s="2576" t="s">
        <v>1623</v>
      </c>
      <c r="I25" s="2752"/>
      <c r="J25" s="2753"/>
      <c r="K25" s="2576"/>
      <c r="L25" s="1930"/>
      <c r="M25" s="2576" t="s">
        <v>1580</v>
      </c>
      <c r="N25" s="2748"/>
      <c r="O25" s="2749"/>
      <c r="P25" s="2749"/>
      <c r="Q25" s="2749"/>
      <c r="R25" s="2749"/>
      <c r="S25" s="2749"/>
      <c r="T25" s="2749"/>
      <c r="U25" s="2750"/>
      <c r="V25" s="1935"/>
      <c r="W25" s="1484"/>
      <c r="X25" s="1484"/>
      <c r="Y25" s="1484"/>
      <c r="Z25" s="1484"/>
      <c r="AA25" s="1484"/>
      <c r="AB25" s="1484"/>
      <c r="AC25" s="1484"/>
      <c r="AD25" s="1484"/>
      <c r="AE25" s="1484"/>
      <c r="AF25" s="1484"/>
    </row>
    <row r="26" spans="1:32" ht="6" customHeight="1">
      <c r="A26" s="1297"/>
      <c r="B26" s="1930"/>
      <c r="C26" s="1937"/>
      <c r="D26" s="1937"/>
      <c r="E26" s="1937"/>
      <c r="F26" s="1937"/>
      <c r="G26" s="1930"/>
      <c r="H26" s="1930"/>
      <c r="I26" s="2577"/>
      <c r="J26" s="1930"/>
      <c r="K26" s="1930"/>
      <c r="L26" s="1937"/>
      <c r="M26" s="1937"/>
      <c r="N26" s="1937"/>
      <c r="O26" s="1930"/>
      <c r="P26" s="2588"/>
      <c r="Q26" s="2588"/>
      <c r="R26" s="1930"/>
      <c r="S26" s="1930"/>
      <c r="T26" s="1930"/>
      <c r="U26" s="1930"/>
      <c r="V26" s="1935"/>
      <c r="W26" s="1484"/>
      <c r="X26" s="1484"/>
      <c r="Y26" s="1484"/>
      <c r="Z26" s="1484"/>
      <c r="AA26" s="1484"/>
      <c r="AB26" s="1484"/>
      <c r="AC26" s="1484"/>
      <c r="AD26" s="1484"/>
      <c r="AE26" s="1484"/>
      <c r="AF26" s="1484"/>
    </row>
    <row r="27" spans="1:32" s="1277" customFormat="1" ht="15.9" customHeight="1">
      <c r="A27" s="1297"/>
      <c r="B27" s="1930"/>
      <c r="C27" s="1930"/>
      <c r="D27" s="2779" t="s">
        <v>1624</v>
      </c>
      <c r="E27" s="2779"/>
      <c r="F27" s="2779"/>
      <c r="G27" s="2779"/>
      <c r="H27" s="2779"/>
      <c r="I27" s="2588"/>
      <c r="J27" s="2789"/>
      <c r="K27" s="2789"/>
      <c r="L27" s="1930"/>
      <c r="M27" s="1930"/>
      <c r="N27" s="1491"/>
      <c r="O27" s="1491"/>
      <c r="P27" s="2588"/>
      <c r="Q27" s="2588"/>
      <c r="R27" s="2588"/>
      <c r="S27" s="1930"/>
      <c r="T27" s="1930"/>
      <c r="U27" s="1930"/>
      <c r="V27" s="1935"/>
      <c r="W27" s="1484"/>
      <c r="X27" s="1484"/>
      <c r="Y27" s="1484"/>
      <c r="Z27" s="1484"/>
      <c r="AA27" s="1484"/>
      <c r="AB27" s="1484"/>
      <c r="AC27" s="1484"/>
      <c r="AD27" s="1484"/>
      <c r="AE27" s="1484"/>
      <c r="AF27" s="1484"/>
    </row>
    <row r="28" spans="1:32" s="1277" customFormat="1" ht="15.9" customHeight="1">
      <c r="A28" s="1297"/>
      <c r="B28" s="1930"/>
      <c r="C28" s="1930"/>
      <c r="D28" s="2779"/>
      <c r="E28" s="2779"/>
      <c r="F28" s="2779"/>
      <c r="G28" s="2779"/>
      <c r="H28" s="2779"/>
      <c r="I28" s="2588"/>
      <c r="J28" s="2789"/>
      <c r="K28" s="2789"/>
      <c r="L28" s="1930"/>
      <c r="M28" s="1930"/>
      <c r="N28" s="1491"/>
      <c r="O28" s="1491"/>
      <c r="P28" s="2588"/>
      <c r="Q28" s="2588"/>
      <c r="R28" s="2588"/>
      <c r="S28" s="1930"/>
      <c r="T28" s="1930"/>
      <c r="U28" s="1930"/>
      <c r="V28" s="1935"/>
      <c r="W28" s="1484"/>
      <c r="X28" s="1484"/>
      <c r="Y28" s="1484"/>
      <c r="Z28" s="1484"/>
      <c r="AA28" s="1484"/>
      <c r="AB28" s="1484"/>
      <c r="AC28" s="1484"/>
      <c r="AD28" s="1484"/>
      <c r="AE28" s="1484"/>
      <c r="AF28" s="1484"/>
    </row>
    <row r="29" spans="1:32" s="1277" customFormat="1" ht="15.9" customHeight="1">
      <c r="A29" s="1297"/>
      <c r="B29" s="1930"/>
      <c r="C29" s="1930"/>
      <c r="D29" s="2779"/>
      <c r="E29" s="2779"/>
      <c r="F29" s="2779"/>
      <c r="G29" s="2779"/>
      <c r="H29" s="2779"/>
      <c r="I29" s="2588"/>
      <c r="J29" s="2789"/>
      <c r="K29" s="2789"/>
      <c r="L29" s="1930"/>
      <c r="M29" s="1930"/>
      <c r="N29" s="1930"/>
      <c r="O29" s="1930"/>
      <c r="P29" s="2588"/>
      <c r="Q29" s="2588"/>
      <c r="R29" s="2588"/>
      <c r="S29" s="1930"/>
      <c r="T29" s="1930"/>
      <c r="U29" s="1930"/>
      <c r="V29" s="1935"/>
      <c r="W29" s="1484"/>
      <c r="X29" s="1484"/>
      <c r="Y29" s="1484"/>
      <c r="Z29" s="1484"/>
      <c r="AA29" s="1484"/>
      <c r="AB29" s="1484"/>
      <c r="AC29" s="1484"/>
      <c r="AD29" s="1484"/>
      <c r="AE29" s="1484"/>
      <c r="AF29" s="1484"/>
    </row>
    <row r="30" spans="1:32" s="1277" customFormat="1" ht="15.9" customHeight="1">
      <c r="A30" s="1297"/>
      <c r="B30" s="1930"/>
      <c r="C30" s="1930"/>
      <c r="D30" s="2779"/>
      <c r="E30" s="2779"/>
      <c r="F30" s="2779"/>
      <c r="G30" s="2779"/>
      <c r="H30" s="2779"/>
      <c r="I30" s="2588"/>
      <c r="J30" s="2789"/>
      <c r="K30" s="2789"/>
      <c r="L30" s="2577"/>
      <c r="M30" s="1930"/>
      <c r="N30" s="1930"/>
      <c r="O30" s="1930"/>
      <c r="P30" s="2588"/>
      <c r="Q30" s="2588"/>
      <c r="R30" s="2588"/>
      <c r="S30" s="2786"/>
      <c r="T30" s="2787"/>
      <c r="U30" s="2788"/>
      <c r="V30" s="1935"/>
      <c r="W30" s="1484"/>
      <c r="X30" s="1484"/>
      <c r="Y30" s="1484"/>
      <c r="Z30" s="1484"/>
      <c r="AA30" s="1484"/>
      <c r="AB30" s="1484"/>
      <c r="AC30" s="1484"/>
      <c r="AD30" s="1484"/>
      <c r="AE30" s="1484"/>
      <c r="AF30" s="1484"/>
    </row>
    <row r="31" spans="1:32" ht="15.6" customHeight="1">
      <c r="A31" s="1297"/>
      <c r="B31" s="1930"/>
      <c r="C31" s="1930"/>
      <c r="D31" s="1930"/>
      <c r="E31" s="1930"/>
      <c r="F31" s="1930"/>
      <c r="G31" s="1930"/>
      <c r="H31" s="1930"/>
      <c r="I31" s="2577"/>
      <c r="J31" s="1930"/>
      <c r="K31" s="1930"/>
      <c r="L31" s="1937"/>
      <c r="M31" s="1930" t="s">
        <v>1564</v>
      </c>
      <c r="N31" s="1937"/>
      <c r="O31" s="1930"/>
      <c r="P31" s="2588"/>
      <c r="Q31" s="2588"/>
      <c r="R31" s="2588"/>
      <c r="S31" s="1930"/>
      <c r="T31" s="1930"/>
      <c r="U31" s="1930"/>
      <c r="V31" s="1935"/>
      <c r="W31" s="1484"/>
      <c r="X31" s="1484"/>
      <c r="Y31" s="1484"/>
      <c r="Z31" s="1484"/>
      <c r="AA31" s="1484"/>
      <c r="AB31" s="1484"/>
      <c r="AC31" s="1484"/>
      <c r="AD31" s="1484"/>
      <c r="AE31" s="1484"/>
      <c r="AF31" s="1484"/>
    </row>
    <row r="32" spans="1:32" ht="18" customHeight="1">
      <c r="A32" s="1297"/>
      <c r="B32" s="1930"/>
      <c r="C32" s="1930"/>
      <c r="D32" s="1930"/>
      <c r="E32" s="1930"/>
      <c r="F32" s="2576"/>
      <c r="G32" s="2576"/>
      <c r="H32" s="2576" t="s">
        <v>1625</v>
      </c>
      <c r="I32" s="2748"/>
      <c r="J32" s="2749"/>
      <c r="K32" s="2749"/>
      <c r="L32" s="2749"/>
      <c r="M32" s="2749"/>
      <c r="N32" s="2749"/>
      <c r="O32" s="2749"/>
      <c r="P32" s="2749"/>
      <c r="Q32" s="2749"/>
      <c r="R32" s="2749"/>
      <c r="S32" s="2749"/>
      <c r="T32" s="2749"/>
      <c r="U32" s="2750"/>
      <c r="V32" s="1935"/>
      <c r="W32" s="1484"/>
      <c r="X32" s="1484"/>
      <c r="Y32" s="1484"/>
      <c r="Z32" s="1484"/>
      <c r="AA32" s="1484"/>
      <c r="AB32" s="1484"/>
      <c r="AC32" s="1484"/>
      <c r="AD32" s="1484"/>
      <c r="AE32" s="1484"/>
      <c r="AF32" s="1484"/>
    </row>
    <row r="33" spans="1:32" s="919" customFormat="1" ht="6" customHeight="1">
      <c r="A33" s="1942"/>
      <c r="B33" s="2575"/>
      <c r="C33" s="1311"/>
      <c r="D33" s="1311"/>
      <c r="E33" s="2590"/>
      <c r="F33" s="2575"/>
      <c r="G33" s="2575"/>
      <c r="H33" s="2575"/>
      <c r="I33" s="2575"/>
      <c r="J33" s="2575"/>
      <c r="K33" s="2575"/>
      <c r="L33" s="2575"/>
      <c r="M33" s="2575"/>
      <c r="N33" s="2575"/>
      <c r="O33" s="2575"/>
      <c r="P33" s="2575"/>
      <c r="Q33" s="2575"/>
      <c r="R33" s="2575"/>
      <c r="S33" s="2575"/>
      <c r="T33" s="2575"/>
      <c r="U33" s="2575"/>
      <c r="V33" s="1409"/>
      <c r="W33" s="1484"/>
      <c r="X33" s="1484"/>
      <c r="Y33" s="1484"/>
      <c r="Z33" s="1484"/>
      <c r="AA33" s="1484"/>
      <c r="AB33" s="1484"/>
      <c r="AC33" s="1484"/>
      <c r="AD33" s="1484"/>
      <c r="AE33" s="1484"/>
      <c r="AF33" s="1484"/>
    </row>
    <row r="34" spans="1:32" ht="18" customHeight="1">
      <c r="A34" s="1297"/>
      <c r="B34" s="1930"/>
      <c r="C34" s="1930"/>
      <c r="D34" s="1930"/>
      <c r="E34" s="1930"/>
      <c r="F34" s="1930"/>
      <c r="G34" s="1930"/>
      <c r="H34" s="2576" t="s">
        <v>1626</v>
      </c>
      <c r="I34" s="2748"/>
      <c r="J34" s="2749"/>
      <c r="K34" s="2749"/>
      <c r="L34" s="2749"/>
      <c r="M34" s="2749"/>
      <c r="N34" s="2749"/>
      <c r="O34" s="2749"/>
      <c r="P34" s="2749"/>
      <c r="Q34" s="2749"/>
      <c r="R34" s="2749"/>
      <c r="S34" s="2749"/>
      <c r="T34" s="2749"/>
      <c r="U34" s="2750"/>
      <c r="V34" s="1935"/>
      <c r="W34" s="1484"/>
      <c r="X34" s="1484"/>
      <c r="Y34" s="1484"/>
      <c r="Z34" s="1484"/>
      <c r="AA34" s="1484"/>
      <c r="AB34" s="1484"/>
      <c r="AC34" s="1484"/>
      <c r="AD34" s="1484"/>
      <c r="AE34" s="1484"/>
      <c r="AF34" s="1484"/>
    </row>
    <row r="35" spans="1:32" ht="6" customHeight="1">
      <c r="A35" s="1297"/>
      <c r="B35" s="1930"/>
      <c r="C35" s="1930"/>
      <c r="D35" s="1930"/>
      <c r="E35" s="1930"/>
      <c r="F35" s="1930"/>
      <c r="G35" s="2575"/>
      <c r="H35" s="2575"/>
      <c r="I35" s="2575"/>
      <c r="J35" s="2575"/>
      <c r="K35" s="2575"/>
      <c r="L35" s="2575"/>
      <c r="M35" s="1930"/>
      <c r="N35" s="1930"/>
      <c r="O35" s="1930"/>
      <c r="P35" s="1930"/>
      <c r="Q35" s="1930"/>
      <c r="R35" s="1930"/>
      <c r="S35" s="1930"/>
      <c r="T35" s="1930"/>
      <c r="U35" s="1930"/>
      <c r="V35" s="1935"/>
      <c r="W35" s="1484"/>
      <c r="X35" s="1484"/>
      <c r="Y35" s="1484"/>
      <c r="Z35" s="1484"/>
      <c r="AA35" s="1484"/>
      <c r="AB35" s="1484"/>
      <c r="AC35" s="1484"/>
      <c r="AD35" s="1484"/>
      <c r="AE35" s="1484"/>
      <c r="AF35" s="1484"/>
    </row>
    <row r="36" spans="1:32" ht="18" customHeight="1">
      <c r="A36" s="1297"/>
      <c r="B36" s="1930"/>
      <c r="C36" s="1930"/>
      <c r="D36" s="1930"/>
      <c r="E36" s="1930"/>
      <c r="F36" s="1930"/>
      <c r="G36" s="1930"/>
      <c r="H36" s="1492" t="s">
        <v>1627</v>
      </c>
      <c r="I36" s="2748"/>
      <c r="J36" s="2749"/>
      <c r="K36" s="2749"/>
      <c r="L36" s="2749"/>
      <c r="M36" s="2749"/>
      <c r="N36" s="2749"/>
      <c r="O36" s="2749"/>
      <c r="P36" s="2749"/>
      <c r="Q36" s="2749"/>
      <c r="R36" s="2749"/>
      <c r="S36" s="2749"/>
      <c r="T36" s="2749"/>
      <c r="U36" s="2750"/>
      <c r="V36" s="1935"/>
      <c r="W36" s="1484"/>
      <c r="X36" s="1484"/>
      <c r="Y36" s="1484"/>
      <c r="Z36" s="1484"/>
      <c r="AA36" s="1484"/>
      <c r="AB36" s="1484"/>
      <c r="AC36" s="1484"/>
      <c r="AD36" s="1484"/>
      <c r="AE36" s="1484"/>
      <c r="AF36" s="1484"/>
    </row>
    <row r="37" spans="1:32" ht="13.5" customHeight="1">
      <c r="A37" s="1297"/>
      <c r="B37" s="1930"/>
      <c r="C37" s="1930"/>
      <c r="D37" s="1930"/>
      <c r="E37" s="1930"/>
      <c r="F37" s="1930"/>
      <c r="G37" s="1394"/>
      <c r="H37" s="1394"/>
      <c r="I37" s="2751" t="s">
        <v>1513</v>
      </c>
      <c r="J37" s="2751"/>
      <c r="K37" s="2751"/>
      <c r="L37" s="2751"/>
      <c r="M37" s="2751"/>
      <c r="N37" s="2751"/>
      <c r="O37" s="2751"/>
      <c r="P37" s="2751"/>
      <c r="Q37" s="2751"/>
      <c r="R37" s="2751"/>
      <c r="S37" s="2751"/>
      <c r="T37" s="2751"/>
      <c r="U37" s="2751"/>
      <c r="V37" s="1935"/>
      <c r="W37" s="1484"/>
      <c r="X37" s="1484"/>
      <c r="Y37" s="1484"/>
      <c r="Z37" s="1484"/>
      <c r="AA37" s="1484"/>
      <c r="AB37" s="1484"/>
      <c r="AC37" s="1484"/>
      <c r="AD37" s="1484"/>
      <c r="AE37" s="1484"/>
      <c r="AF37" s="1484"/>
    </row>
    <row r="38" spans="1:32" ht="15" customHeight="1">
      <c r="A38" s="1297"/>
      <c r="B38" s="1930"/>
      <c r="C38" s="1488" t="s">
        <v>1510</v>
      </c>
      <c r="D38" s="1930"/>
      <c r="E38" s="1930"/>
      <c r="F38" s="1930"/>
      <c r="G38" s="1394"/>
      <c r="H38" s="1394"/>
      <c r="I38" s="1493"/>
      <c r="J38" s="1493"/>
      <c r="K38" s="1494" t="s">
        <v>1672</v>
      </c>
      <c r="L38" s="1493"/>
      <c r="M38" s="1493"/>
      <c r="N38" s="1493"/>
      <c r="O38" s="1493"/>
      <c r="P38" s="1493"/>
      <c r="Q38" s="1493"/>
      <c r="R38" s="1493"/>
      <c r="S38" s="1493"/>
      <c r="T38" s="1493"/>
      <c r="U38" s="1493"/>
      <c r="V38" s="1935"/>
      <c r="W38" s="1484"/>
      <c r="X38" s="1484"/>
      <c r="Y38" s="1484"/>
      <c r="Z38" s="1484"/>
      <c r="AA38" s="1484"/>
      <c r="AB38" s="1484"/>
      <c r="AC38" s="1484"/>
      <c r="AD38" s="1484"/>
      <c r="AE38" s="1484"/>
      <c r="AF38" s="1484"/>
    </row>
    <row r="39" spans="1:32" ht="6" customHeight="1">
      <c r="A39" s="1297"/>
      <c r="B39" s="1488"/>
      <c r="C39" s="1930"/>
      <c r="D39" s="1930"/>
      <c r="E39" s="1930"/>
      <c r="F39" s="1930"/>
      <c r="G39" s="1394"/>
      <c r="H39" s="1394"/>
      <c r="I39" s="1493"/>
      <c r="J39" s="1493"/>
      <c r="K39" s="1493"/>
      <c r="L39" s="1493"/>
      <c r="M39" s="1493"/>
      <c r="N39" s="1493"/>
      <c r="O39" s="1493"/>
      <c r="P39" s="1493"/>
      <c r="Q39" s="1493"/>
      <c r="R39" s="1493"/>
      <c r="S39" s="1493"/>
      <c r="T39" s="1493"/>
      <c r="U39" s="1493"/>
      <c r="V39" s="1935"/>
      <c r="W39" s="1484"/>
      <c r="X39" s="1484"/>
      <c r="Y39" s="1484"/>
      <c r="Z39" s="1484"/>
      <c r="AA39" s="1484"/>
      <c r="AB39" s="1484"/>
      <c r="AC39" s="1484"/>
      <c r="AD39" s="1484"/>
      <c r="AE39" s="1484"/>
      <c r="AF39" s="1484"/>
    </row>
    <row r="40" spans="1:32" ht="18" customHeight="1">
      <c r="A40" s="1297"/>
      <c r="B40" s="1930"/>
      <c r="C40" s="1930"/>
      <c r="D40" s="1930"/>
      <c r="E40" s="1930"/>
      <c r="F40" s="1930"/>
      <c r="G40" s="1930"/>
      <c r="H40" s="2576" t="s">
        <v>312</v>
      </c>
      <c r="I40" s="2752"/>
      <c r="J40" s="2753"/>
      <c r="K40" s="1930" t="s">
        <v>313</v>
      </c>
      <c r="L40" s="1930"/>
      <c r="M40" s="1930"/>
      <c r="N40" s="1930"/>
      <c r="O40" s="1930"/>
      <c r="P40" s="2575"/>
      <c r="Q40" s="1944" t="s">
        <v>1683</v>
      </c>
      <c r="R40" s="2759"/>
      <c r="S40" s="2760"/>
      <c r="T40" s="2760"/>
      <c r="U40" s="2761"/>
      <c r="V40" s="1935"/>
      <c r="W40" s="1484"/>
      <c r="X40" s="1484"/>
      <c r="Y40" s="1484"/>
      <c r="Z40" s="1484"/>
      <c r="AA40" s="1484"/>
      <c r="AB40" s="1484"/>
      <c r="AC40" s="1484"/>
      <c r="AD40" s="1484"/>
      <c r="AE40" s="1484"/>
      <c r="AF40" s="1484"/>
    </row>
    <row r="41" spans="1:32" ht="6" customHeight="1">
      <c r="A41" s="1297"/>
      <c r="B41" s="1930"/>
      <c r="C41" s="1930"/>
      <c r="D41" s="1930"/>
      <c r="E41" s="1930"/>
      <c r="F41" s="1930"/>
      <c r="G41" s="1394"/>
      <c r="H41" s="1394"/>
      <c r="I41" s="1394"/>
      <c r="J41" s="1394"/>
      <c r="K41" s="1930"/>
      <c r="L41" s="1930"/>
      <c r="M41" s="1930"/>
      <c r="N41" s="1930"/>
      <c r="O41" s="1930"/>
      <c r="P41" s="2575"/>
      <c r="Q41" s="2575"/>
      <c r="R41" s="1930"/>
      <c r="S41" s="1930"/>
      <c r="T41" s="1930"/>
      <c r="U41" s="1930"/>
      <c r="V41" s="1935"/>
      <c r="W41" s="1484"/>
      <c r="X41" s="1484"/>
      <c r="Y41" s="1484"/>
      <c r="Z41" s="1484"/>
      <c r="AA41" s="1484"/>
      <c r="AB41" s="1484"/>
      <c r="AC41" s="1484"/>
      <c r="AD41" s="1484"/>
      <c r="AE41" s="1484"/>
      <c r="AF41" s="1484"/>
    </row>
    <row r="42" spans="1:32" ht="18" customHeight="1">
      <c r="A42" s="1297"/>
      <c r="B42" s="1930"/>
      <c r="C42" s="1930"/>
      <c r="D42" s="1930"/>
      <c r="E42" s="1930"/>
      <c r="F42" s="1930"/>
      <c r="G42" s="1930"/>
      <c r="H42" s="2576" t="s">
        <v>1129</v>
      </c>
      <c r="I42" s="2754" t="str">
        <f>IF(R40="residential","&lt;170",IF(R40="Other Est. - Resid.","&lt;170"," "))</f>
        <v xml:space="preserve"> </v>
      </c>
      <c r="J42" s="2755"/>
      <c r="K42" s="1930" t="s">
        <v>1130</v>
      </c>
      <c r="L42" s="2576" t="s">
        <v>356</v>
      </c>
      <c r="M42" s="2754" t="str">
        <f>IF(R40="residential","&lt;60",IF(R40="Other Est. - Resid.","&lt;60"," "))</f>
        <v xml:space="preserve"> </v>
      </c>
      <c r="N42" s="2755"/>
      <c r="O42" s="1930" t="s">
        <v>1130</v>
      </c>
      <c r="P42" s="2575"/>
      <c r="Q42" s="1930"/>
      <c r="R42" s="2576" t="s">
        <v>1802</v>
      </c>
      <c r="S42" s="2754" t="str">
        <f>IF(R40="residential","&lt;25",IF(R40="Other Est. - Resid.","&lt;25"," "))</f>
        <v xml:space="preserve"> </v>
      </c>
      <c r="T42" s="2755"/>
      <c r="U42" s="1930" t="s">
        <v>1130</v>
      </c>
      <c r="V42" s="1935"/>
      <c r="W42" s="1484"/>
      <c r="X42" s="1484"/>
      <c r="Y42" s="1484"/>
      <c r="Z42" s="1484"/>
      <c r="AA42" s="1484"/>
      <c r="AB42" s="1484"/>
      <c r="AC42" s="1484"/>
      <c r="AD42" s="1484"/>
      <c r="AE42" s="1484"/>
      <c r="AF42" s="1484"/>
    </row>
    <row r="43" spans="1:32" ht="6" customHeight="1">
      <c r="A43" s="1297"/>
      <c r="B43" s="1283"/>
      <c r="C43" s="1283"/>
      <c r="D43" s="1283"/>
      <c r="E43" s="1283"/>
      <c r="F43" s="1283"/>
      <c r="G43" s="1495"/>
      <c r="H43" s="1495"/>
      <c r="I43" s="1495"/>
      <c r="J43" s="1495"/>
      <c r="K43" s="1283"/>
      <c r="L43" s="1283"/>
      <c r="M43" s="1283"/>
      <c r="N43" s="1283"/>
      <c r="O43" s="1283"/>
      <c r="P43" s="1282"/>
      <c r="Q43" s="2575"/>
      <c r="R43" s="2588"/>
      <c r="S43" s="1930"/>
      <c r="T43" s="1930"/>
      <c r="U43" s="1930"/>
      <c r="V43" s="1935"/>
      <c r="W43" s="1484"/>
      <c r="X43" s="1484"/>
      <c r="Y43" s="1484"/>
      <c r="Z43" s="1484"/>
      <c r="AA43" s="1484"/>
      <c r="AB43" s="1484"/>
      <c r="AC43" s="1484"/>
      <c r="AD43" s="1484"/>
      <c r="AE43" s="1484"/>
      <c r="AF43" s="1484"/>
    </row>
    <row r="44" spans="1:32" ht="15.75" customHeight="1">
      <c r="A44" s="2146" t="s">
        <v>1861</v>
      </c>
      <c r="B44" s="2145"/>
      <c r="C44" s="2145"/>
      <c r="D44" s="2145"/>
      <c r="E44" s="2145"/>
      <c r="F44" s="2145"/>
      <c r="G44" s="2145"/>
      <c r="H44" s="2145"/>
      <c r="I44" s="2145"/>
      <c r="J44" s="2145"/>
      <c r="K44" s="2145"/>
      <c r="L44" s="2145"/>
      <c r="M44" s="2145"/>
      <c r="N44" s="2145"/>
      <c r="O44" s="2145"/>
      <c r="P44" s="2145"/>
      <c r="Q44" s="2145"/>
      <c r="R44" s="2145"/>
      <c r="S44" s="2145"/>
      <c r="T44" s="2145"/>
      <c r="U44" s="2145"/>
      <c r="V44" s="1709"/>
      <c r="W44" s="1484"/>
      <c r="X44" s="1484"/>
      <c r="Y44" s="1484"/>
      <c r="Z44" s="1484"/>
      <c r="AA44" s="1484"/>
      <c r="AB44" s="1484"/>
      <c r="AC44" s="1484"/>
      <c r="AD44" s="1484"/>
      <c r="AE44" s="1484"/>
      <c r="AF44" s="1484"/>
    </row>
    <row r="45" spans="1:32" s="1279" customFormat="1" ht="18" customHeight="1">
      <c r="A45" s="1933" t="s">
        <v>1860</v>
      </c>
      <c r="B45" s="2575"/>
      <c r="C45" s="1496"/>
      <c r="D45" s="1940"/>
      <c r="E45" s="2575"/>
      <c r="F45" s="2575"/>
      <c r="G45" s="2575"/>
      <c r="H45" s="2575"/>
      <c r="I45" s="2575"/>
      <c r="J45" s="2575"/>
      <c r="K45" s="2575"/>
      <c r="L45" s="2575"/>
      <c r="M45" s="2575"/>
      <c r="N45" s="2575"/>
      <c r="O45" s="2575"/>
      <c r="P45" s="2575"/>
      <c r="Q45" s="2575"/>
      <c r="R45" s="2588"/>
      <c r="S45" s="2575"/>
      <c r="T45" s="2575"/>
      <c r="U45" s="2575"/>
      <c r="V45" s="1409"/>
      <c r="W45" s="1484"/>
      <c r="X45" s="1484"/>
      <c r="Y45" s="1484"/>
      <c r="Z45" s="1484"/>
      <c r="AA45" s="1484"/>
      <c r="AB45" s="1484"/>
      <c r="AC45" s="1484"/>
      <c r="AD45" s="1484"/>
      <c r="AE45" s="1484"/>
      <c r="AF45" s="1484"/>
    </row>
    <row r="46" spans="1:32" ht="18" customHeight="1">
      <c r="A46" s="1297"/>
      <c r="B46" s="1930"/>
      <c r="C46" s="2756" t="s">
        <v>1486</v>
      </c>
      <c r="D46" s="2757" t="s">
        <v>1673</v>
      </c>
      <c r="E46" s="2757"/>
      <c r="F46" s="2757"/>
      <c r="G46" s="2757"/>
      <c r="H46" s="2757"/>
      <c r="I46" s="2757" t="s">
        <v>1674</v>
      </c>
      <c r="J46" s="2757"/>
      <c r="K46" s="2757" t="s">
        <v>1677</v>
      </c>
      <c r="L46" s="2757"/>
      <c r="M46" s="2757" t="s">
        <v>1676</v>
      </c>
      <c r="N46" s="2757"/>
      <c r="O46" s="2756" t="s">
        <v>1675</v>
      </c>
      <c r="P46" s="2756"/>
      <c r="Q46" s="2757" t="s">
        <v>1678</v>
      </c>
      <c r="R46" s="2757"/>
      <c r="S46" s="2757" t="s">
        <v>1679</v>
      </c>
      <c r="T46" s="2757"/>
      <c r="U46" s="2757"/>
      <c r="V46" s="1935"/>
      <c r="W46" s="1484"/>
      <c r="X46" s="1528"/>
      <c r="Y46" s="1528"/>
      <c r="Z46" s="1528"/>
      <c r="AA46" s="1484"/>
      <c r="AB46" s="1484"/>
      <c r="AC46" s="1484"/>
      <c r="AD46" s="1484"/>
      <c r="AE46" s="1484"/>
      <c r="AF46" s="1484"/>
    </row>
    <row r="47" spans="1:32" ht="18" customHeight="1">
      <c r="A47" s="1297"/>
      <c r="B47" s="1930"/>
      <c r="C47" s="2756"/>
      <c r="D47" s="2757"/>
      <c r="E47" s="2757"/>
      <c r="F47" s="2757"/>
      <c r="G47" s="2757"/>
      <c r="H47" s="2757"/>
      <c r="I47" s="2757"/>
      <c r="J47" s="2757"/>
      <c r="K47" s="2757"/>
      <c r="L47" s="2757"/>
      <c r="M47" s="2757"/>
      <c r="N47" s="2757"/>
      <c r="O47" s="2756"/>
      <c r="P47" s="2756"/>
      <c r="Q47" s="2757"/>
      <c r="R47" s="2757"/>
      <c r="S47" s="2757"/>
      <c r="T47" s="2757"/>
      <c r="U47" s="2757"/>
      <c r="V47" s="1935"/>
      <c r="W47" s="1484"/>
      <c r="X47" s="1529"/>
      <c r="Y47" s="1529"/>
      <c r="Z47" s="1529"/>
      <c r="AA47" s="1484"/>
      <c r="AB47" s="1484"/>
      <c r="AC47" s="1484"/>
      <c r="AD47" s="1484"/>
      <c r="AE47" s="1484"/>
      <c r="AF47" s="1484"/>
    </row>
    <row r="48" spans="1:32" ht="18" customHeight="1">
      <c r="A48" s="1297"/>
      <c r="B48" s="1930"/>
      <c r="C48" s="1537">
        <v>1</v>
      </c>
      <c r="D48" s="2758"/>
      <c r="E48" s="2758"/>
      <c r="F48" s="2758"/>
      <c r="G48" s="2758"/>
      <c r="H48" s="2758"/>
      <c r="I48" s="2758"/>
      <c r="J48" s="2758"/>
      <c r="K48" s="2758"/>
      <c r="L48" s="2758"/>
      <c r="M48" s="2758"/>
      <c r="N48" s="2758"/>
      <c r="O48" s="2758"/>
      <c r="P48" s="2758"/>
      <c r="Q48" s="2758"/>
      <c r="R48" s="2758"/>
      <c r="S48" s="2758"/>
      <c r="T48" s="2758"/>
      <c r="U48" s="2758"/>
      <c r="V48" s="1935"/>
      <c r="W48" s="1484"/>
      <c r="X48" s="1484"/>
      <c r="Y48" s="1484"/>
      <c r="Z48" s="1484"/>
      <c r="AA48" s="1484"/>
      <c r="AB48" s="1484"/>
      <c r="AC48" s="1484"/>
      <c r="AD48" s="1484"/>
      <c r="AE48" s="1484"/>
      <c r="AF48" s="1484"/>
    </row>
    <row r="49" spans="1:32" s="1287" customFormat="1" ht="18" customHeight="1">
      <c r="A49" s="1297"/>
      <c r="B49" s="1930"/>
      <c r="C49" s="1537">
        <v>2</v>
      </c>
      <c r="D49" s="2758"/>
      <c r="E49" s="2758"/>
      <c r="F49" s="2758"/>
      <c r="G49" s="2758"/>
      <c r="H49" s="2758"/>
      <c r="I49" s="2758"/>
      <c r="J49" s="2758"/>
      <c r="K49" s="2758"/>
      <c r="L49" s="2758"/>
      <c r="M49" s="2758"/>
      <c r="N49" s="2758"/>
      <c r="O49" s="2758"/>
      <c r="P49" s="2758"/>
      <c r="Q49" s="2758"/>
      <c r="R49" s="2758"/>
      <c r="S49" s="2758"/>
      <c r="T49" s="2758"/>
      <c r="U49" s="2758"/>
      <c r="V49" s="1935"/>
      <c r="W49" s="1484"/>
      <c r="X49" s="1484"/>
      <c r="Y49" s="1484"/>
      <c r="Z49" s="1484"/>
      <c r="AA49" s="1484"/>
      <c r="AB49" s="1484"/>
      <c r="AC49" s="1484"/>
      <c r="AD49" s="1484"/>
      <c r="AE49" s="1484"/>
      <c r="AF49" s="1484"/>
    </row>
    <row r="50" spans="1:32" s="1484" customFormat="1" ht="18" customHeight="1">
      <c r="A50" s="1297"/>
      <c r="B50" s="1930"/>
      <c r="C50" s="1537">
        <v>3</v>
      </c>
      <c r="D50" s="2758"/>
      <c r="E50" s="2758"/>
      <c r="F50" s="2758"/>
      <c r="G50" s="2758"/>
      <c r="H50" s="2758"/>
      <c r="I50" s="2758"/>
      <c r="J50" s="2758"/>
      <c r="K50" s="2758"/>
      <c r="L50" s="2758"/>
      <c r="M50" s="2758"/>
      <c r="N50" s="2758"/>
      <c r="O50" s="2758"/>
      <c r="P50" s="2758"/>
      <c r="Q50" s="2758"/>
      <c r="R50" s="2758"/>
      <c r="S50" s="2758"/>
      <c r="T50" s="2758"/>
      <c r="U50" s="2758"/>
      <c r="V50" s="1935"/>
    </row>
    <row r="51" spans="1:32" s="1484" customFormat="1" ht="18" customHeight="1">
      <c r="A51" s="1297"/>
      <c r="B51" s="1930"/>
      <c r="C51" s="1537">
        <v>4</v>
      </c>
      <c r="D51" s="2758"/>
      <c r="E51" s="2758"/>
      <c r="F51" s="2758"/>
      <c r="G51" s="2758"/>
      <c r="H51" s="2758"/>
      <c r="I51" s="2758"/>
      <c r="J51" s="2758"/>
      <c r="K51" s="2758"/>
      <c r="L51" s="2758"/>
      <c r="M51" s="2758"/>
      <c r="N51" s="2758"/>
      <c r="O51" s="2758"/>
      <c r="P51" s="2758"/>
      <c r="Q51" s="2758"/>
      <c r="R51" s="2758"/>
      <c r="S51" s="2758"/>
      <c r="T51" s="2758"/>
      <c r="U51" s="2758"/>
      <c r="V51" s="1935"/>
    </row>
    <row r="52" spans="1:32" s="1484" customFormat="1" ht="18" customHeight="1">
      <c r="A52" s="1297"/>
      <c r="B52" s="1930"/>
      <c r="C52" s="2588"/>
      <c r="D52" s="2775" t="s">
        <v>1735</v>
      </c>
      <c r="E52" s="2775"/>
      <c r="F52" s="2775"/>
      <c r="G52" s="2775"/>
      <c r="H52" s="2775"/>
      <c r="I52" s="2748"/>
      <c r="J52" s="2749"/>
      <c r="K52" s="2749"/>
      <c r="L52" s="2749"/>
      <c r="M52" s="2749"/>
      <c r="N52" s="2749"/>
      <c r="O52" s="2749"/>
      <c r="P52" s="2749"/>
      <c r="Q52" s="2749"/>
      <c r="R52" s="2749"/>
      <c r="S52" s="2749"/>
      <c r="T52" s="2749"/>
      <c r="U52" s="2750"/>
      <c r="V52" s="1935"/>
    </row>
    <row r="53" spans="1:32" ht="6" customHeight="1" thickBot="1">
      <c r="A53" s="1309"/>
      <c r="B53" s="1938"/>
      <c r="C53" s="1938"/>
      <c r="D53" s="1498"/>
      <c r="E53" s="1498"/>
      <c r="F53" s="1498"/>
      <c r="G53" s="1498"/>
      <c r="H53" s="1498"/>
      <c r="I53" s="1498"/>
      <c r="J53" s="1498"/>
      <c r="K53" s="1498"/>
      <c r="L53" s="1498"/>
      <c r="M53" s="1498"/>
      <c r="N53" s="1498"/>
      <c r="O53" s="1498"/>
      <c r="P53" s="1498"/>
      <c r="Q53" s="1498"/>
      <c r="R53" s="1538"/>
      <c r="S53" s="1498"/>
      <c r="T53" s="1498"/>
      <c r="U53" s="1498"/>
      <c r="V53" s="1941"/>
      <c r="W53" s="1484"/>
      <c r="X53" s="1484"/>
      <c r="Y53" s="1484"/>
      <c r="Z53" s="1484"/>
      <c r="AA53" s="1484"/>
      <c r="AB53" s="1484"/>
      <c r="AC53" s="1484"/>
      <c r="AD53" s="1484"/>
      <c r="AE53" s="1484"/>
      <c r="AF53" s="1484"/>
    </row>
    <row r="54" spans="1:32" ht="6" customHeight="1">
      <c r="A54" s="1288"/>
      <c r="B54" s="1289"/>
      <c r="C54" s="1289"/>
      <c r="D54" s="1289"/>
      <c r="E54" s="1499"/>
      <c r="F54" s="1499"/>
      <c r="G54" s="1499"/>
      <c r="H54" s="1499"/>
      <c r="I54" s="1499"/>
      <c r="J54" s="1499"/>
      <c r="K54" s="1289"/>
      <c r="L54" s="1289"/>
      <c r="M54" s="1289"/>
      <c r="N54" s="1289"/>
      <c r="O54" s="1289"/>
      <c r="P54" s="1289"/>
      <c r="Q54" s="1289"/>
      <c r="R54" s="1289"/>
      <c r="S54" s="1289"/>
      <c r="T54" s="1289"/>
      <c r="U54" s="1289"/>
      <c r="V54" s="1291"/>
      <c r="W54" s="1484"/>
      <c r="X54" s="1484"/>
      <c r="Y54" s="1484"/>
      <c r="Z54" s="1484"/>
      <c r="AA54" s="1484"/>
      <c r="AB54" s="1484"/>
      <c r="AC54" s="1484"/>
      <c r="AD54" s="1484"/>
      <c r="AE54" s="1484"/>
      <c r="AF54" s="1484"/>
    </row>
    <row r="55" spans="1:32" ht="18" customHeight="1">
      <c r="A55" s="1297"/>
      <c r="B55" s="1930"/>
      <c r="C55" s="1930"/>
      <c r="D55" s="1930"/>
      <c r="E55" s="1930"/>
      <c r="F55" s="1930"/>
      <c r="G55" s="1930"/>
      <c r="H55" s="1930"/>
      <c r="I55" s="1930"/>
      <c r="J55" s="1311"/>
      <c r="K55" s="1930"/>
      <c r="L55" s="1930"/>
      <c r="M55" s="2592" t="s">
        <v>1629</v>
      </c>
      <c r="N55" s="2752"/>
      <c r="O55" s="2753"/>
      <c r="P55" s="2575"/>
      <c r="Q55" s="1930"/>
      <c r="R55" s="1481" t="s">
        <v>1600</v>
      </c>
      <c r="S55" s="2752"/>
      <c r="T55" s="2769"/>
      <c r="U55" s="2753"/>
      <c r="V55" s="1935"/>
      <c r="W55" s="1484"/>
      <c r="X55" s="1484"/>
      <c r="Y55" s="1484"/>
      <c r="Z55" s="1484"/>
      <c r="AA55" s="1484"/>
      <c r="AB55" s="1484"/>
      <c r="AC55" s="1484"/>
      <c r="AD55" s="1484"/>
      <c r="AE55" s="1484"/>
      <c r="AF55" s="1484"/>
    </row>
    <row r="56" spans="1:32" ht="6" customHeight="1">
      <c r="A56" s="1297"/>
      <c r="B56" s="1930"/>
      <c r="C56" s="1930"/>
      <c r="D56" s="1930"/>
      <c r="E56" s="2575"/>
      <c r="F56" s="2575"/>
      <c r="G56" s="2575"/>
      <c r="H56" s="1930"/>
      <c r="I56" s="1930"/>
      <c r="J56" s="2575"/>
      <c r="K56" s="1930"/>
      <c r="L56" s="1930"/>
      <c r="M56" s="2592"/>
      <c r="N56" s="1930"/>
      <c r="O56" s="1930"/>
      <c r="P56" s="2575"/>
      <c r="Q56" s="2575"/>
      <c r="R56" s="2575"/>
      <c r="S56" s="1930"/>
      <c r="T56" s="1930"/>
      <c r="U56" s="1930"/>
      <c r="V56" s="1935"/>
      <c r="W56" s="1484"/>
      <c r="X56" s="1484"/>
      <c r="Y56" s="1484"/>
      <c r="Z56" s="1484"/>
      <c r="AA56" s="1484"/>
      <c r="AB56" s="1484"/>
      <c r="AC56" s="1484"/>
      <c r="AD56" s="1484"/>
      <c r="AE56" s="1484"/>
      <c r="AF56" s="1484"/>
    </row>
    <row r="57" spans="1:32" ht="18" customHeight="1">
      <c r="A57" s="1297"/>
      <c r="B57" s="1930"/>
      <c r="C57" s="1930"/>
      <c r="D57" s="1930"/>
      <c r="E57" s="1930"/>
      <c r="F57" s="1930"/>
      <c r="G57" s="1930"/>
      <c r="H57" s="1930"/>
      <c r="I57" s="1930"/>
      <c r="J57" s="2575"/>
      <c r="K57" s="1930"/>
      <c r="L57" s="1930"/>
      <c r="M57" s="2592" t="s">
        <v>1630</v>
      </c>
      <c r="N57" s="2752"/>
      <c r="O57" s="2753"/>
      <c r="P57" s="2575"/>
      <c r="Q57" s="1930"/>
      <c r="R57" s="1960" t="s">
        <v>1600</v>
      </c>
      <c r="S57" s="2752"/>
      <c r="T57" s="2769"/>
      <c r="U57" s="2753"/>
      <c r="V57" s="1935"/>
      <c r="W57" s="1484"/>
      <c r="X57" s="1484"/>
      <c r="Y57" s="1484"/>
      <c r="Z57" s="1484"/>
      <c r="AA57" s="1484"/>
      <c r="AB57" s="1484"/>
      <c r="AC57" s="1484"/>
      <c r="AD57" s="1484"/>
      <c r="AE57" s="1484"/>
      <c r="AF57" s="1484"/>
    </row>
    <row r="58" spans="1:32" ht="6" customHeight="1">
      <c r="A58" s="1297"/>
      <c r="B58" s="1930"/>
      <c r="C58" s="1930"/>
      <c r="D58" s="1930"/>
      <c r="E58" s="1930"/>
      <c r="F58" s="1930"/>
      <c r="G58" s="1930"/>
      <c r="H58" s="1930"/>
      <c r="I58" s="1930"/>
      <c r="J58" s="2575"/>
      <c r="K58" s="1930"/>
      <c r="L58" s="1930"/>
      <c r="M58" s="2592"/>
      <c r="N58" s="1930"/>
      <c r="O58" s="1930"/>
      <c r="P58" s="2575"/>
      <c r="Q58" s="1334"/>
      <c r="R58" s="2576"/>
      <c r="S58" s="1930"/>
      <c r="T58" s="1930"/>
      <c r="U58" s="1930"/>
      <c r="V58" s="1935"/>
      <c r="W58" s="1484"/>
      <c r="X58" s="1484"/>
      <c r="Y58" s="1484"/>
      <c r="Z58" s="1484"/>
      <c r="AA58" s="1484"/>
      <c r="AB58" s="1484"/>
      <c r="AC58" s="1484"/>
      <c r="AD58" s="1484"/>
      <c r="AE58" s="1484"/>
      <c r="AF58" s="1484"/>
    </row>
    <row r="59" spans="1:32" ht="18" customHeight="1">
      <c r="A59" s="1297"/>
      <c r="B59" s="1930"/>
      <c r="C59" s="1930"/>
      <c r="D59" s="1930"/>
      <c r="E59" s="1930"/>
      <c r="F59" s="1930"/>
      <c r="G59" s="1930"/>
      <c r="H59" s="1930"/>
      <c r="I59" s="1930"/>
      <c r="J59" s="2575"/>
      <c r="K59" s="1930"/>
      <c r="L59" s="1930"/>
      <c r="M59" s="2592" t="s">
        <v>1983</v>
      </c>
      <c r="N59" s="2752"/>
      <c r="O59" s="2753"/>
      <c r="P59" s="2575"/>
      <c r="Q59" s="1930"/>
      <c r="R59" s="1960" t="s">
        <v>1600</v>
      </c>
      <c r="S59" s="2752"/>
      <c r="T59" s="2769"/>
      <c r="U59" s="2753"/>
      <c r="V59" s="1935"/>
      <c r="W59" s="1484"/>
      <c r="X59" s="1484"/>
      <c r="Y59" s="1484"/>
      <c r="Z59" s="1484"/>
      <c r="AA59" s="1484"/>
      <c r="AB59" s="1484"/>
      <c r="AC59" s="1484"/>
      <c r="AD59" s="1484"/>
      <c r="AE59" s="1484"/>
      <c r="AF59" s="1484"/>
    </row>
    <row r="60" spans="1:32" ht="6" customHeight="1">
      <c r="A60" s="1297"/>
      <c r="B60" s="1930"/>
      <c r="C60" s="1930"/>
      <c r="D60" s="1930"/>
      <c r="E60" s="1930"/>
      <c r="F60" s="1930"/>
      <c r="G60" s="1930"/>
      <c r="H60" s="1930"/>
      <c r="I60" s="1930"/>
      <c r="J60" s="2575"/>
      <c r="K60" s="1930"/>
      <c r="L60" s="1930"/>
      <c r="M60" s="2592"/>
      <c r="N60" s="1930"/>
      <c r="O60" s="1930"/>
      <c r="P60" s="2575"/>
      <c r="Q60" s="2575"/>
      <c r="R60" s="2588"/>
      <c r="S60" s="1930"/>
      <c r="T60" s="1930"/>
      <c r="U60" s="1930"/>
      <c r="V60" s="1935"/>
      <c r="W60" s="1484"/>
      <c r="X60" s="1484"/>
      <c r="Y60" s="1484"/>
      <c r="Z60" s="1484"/>
      <c r="AA60" s="1484"/>
      <c r="AB60" s="1484"/>
      <c r="AC60" s="1484"/>
      <c r="AD60" s="1484"/>
      <c r="AE60" s="1484"/>
      <c r="AF60" s="1484"/>
    </row>
    <row r="61" spans="1:32" ht="18" customHeight="1">
      <c r="A61" s="1297"/>
      <c r="B61" s="1930"/>
      <c r="C61" s="1930"/>
      <c r="D61" s="1930"/>
      <c r="E61" s="1930"/>
      <c r="F61" s="1930"/>
      <c r="G61" s="1930"/>
      <c r="H61" s="1930"/>
      <c r="I61" s="1930"/>
      <c r="J61" s="2575"/>
      <c r="K61" s="1930"/>
      <c r="L61" s="1930"/>
      <c r="M61" s="2592" t="s">
        <v>1777</v>
      </c>
      <c r="N61" s="2752"/>
      <c r="O61" s="2753"/>
      <c r="P61" s="2575"/>
      <c r="Q61" s="2575"/>
      <c r="R61" s="2588"/>
      <c r="S61" s="1930"/>
      <c r="T61" s="1930"/>
      <c r="U61" s="1930"/>
      <c r="V61" s="1935"/>
      <c r="W61" s="1484"/>
      <c r="X61" s="1484"/>
      <c r="Y61" s="1484"/>
      <c r="Z61" s="1484"/>
      <c r="AA61" s="1484"/>
      <c r="AB61" s="1484"/>
      <c r="AC61" s="1484"/>
      <c r="AD61" s="1484"/>
      <c r="AE61" s="1484"/>
      <c r="AF61" s="1484"/>
    </row>
    <row r="62" spans="1:32" s="919" customFormat="1" ht="6" customHeight="1">
      <c r="A62" s="1942"/>
      <c r="B62" s="2575"/>
      <c r="C62" s="1311"/>
      <c r="D62" s="1311"/>
      <c r="E62" s="2590"/>
      <c r="F62" s="2575"/>
      <c r="G62" s="2575"/>
      <c r="H62" s="2575"/>
      <c r="I62" s="2575"/>
      <c r="J62" s="2575"/>
      <c r="K62" s="2575"/>
      <c r="L62" s="2575"/>
      <c r="M62" s="2575"/>
      <c r="N62" s="2575"/>
      <c r="O62" s="2575"/>
      <c r="P62" s="2588"/>
      <c r="Q62" s="2588"/>
      <c r="R62" s="1486"/>
      <c r="S62" s="2575"/>
      <c r="T62" s="2575"/>
      <c r="U62" s="2575"/>
      <c r="V62" s="1409"/>
      <c r="W62" s="1484"/>
      <c r="X62" s="1484"/>
      <c r="Y62" s="1484"/>
      <c r="Z62" s="1484"/>
      <c r="AA62" s="1484"/>
      <c r="AB62" s="1484"/>
      <c r="AC62" s="1484"/>
      <c r="AD62" s="1484"/>
      <c r="AE62" s="1484"/>
      <c r="AF62" s="1484"/>
    </row>
    <row r="63" spans="1:32" ht="18" customHeight="1">
      <c r="A63" s="1297"/>
      <c r="B63" s="1930"/>
      <c r="C63" s="1488" t="s">
        <v>1631</v>
      </c>
      <c r="D63" s="1930"/>
      <c r="E63" s="1930"/>
      <c r="F63" s="1930"/>
      <c r="G63" s="1930"/>
      <c r="H63" s="1930"/>
      <c r="I63" s="1930"/>
      <c r="J63" s="1930"/>
      <c r="K63" s="1930"/>
      <c r="L63" s="1930"/>
      <c r="M63" s="1930"/>
      <c r="N63" s="2752"/>
      <c r="O63" s="2753"/>
      <c r="P63" s="1930"/>
      <c r="Q63" s="2575"/>
      <c r="R63" s="1481" t="s">
        <v>1601</v>
      </c>
      <c r="S63" s="2771"/>
      <c r="T63" s="2772"/>
      <c r="U63" s="2773"/>
      <c r="V63" s="1935"/>
      <c r="W63" s="1484"/>
      <c r="X63" s="1484"/>
      <c r="Y63" s="1484"/>
      <c r="Z63" s="1484"/>
      <c r="AA63" s="1484"/>
      <c r="AB63" s="1484"/>
      <c r="AC63" s="1484"/>
      <c r="AD63" s="1484"/>
      <c r="AE63" s="1484"/>
      <c r="AF63" s="1484"/>
    </row>
    <row r="64" spans="1:32" ht="6" customHeight="1">
      <c r="A64" s="1297"/>
      <c r="B64" s="1930"/>
      <c r="C64" s="1488"/>
      <c r="D64" s="1930"/>
      <c r="E64" s="1930"/>
      <c r="F64" s="1930"/>
      <c r="G64" s="1930"/>
      <c r="H64" s="1930"/>
      <c r="I64" s="1930"/>
      <c r="J64" s="1930"/>
      <c r="K64" s="1930"/>
      <c r="L64" s="1930"/>
      <c r="M64" s="1930"/>
      <c r="N64" s="1930"/>
      <c r="O64" s="2588"/>
      <c r="P64" s="2575"/>
      <c r="Q64" s="2575"/>
      <c r="R64" s="2574"/>
      <c r="S64" s="2588"/>
      <c r="T64" s="2588"/>
      <c r="U64" s="2588"/>
      <c r="V64" s="1935"/>
      <c r="W64" s="1484"/>
      <c r="X64" s="1484"/>
      <c r="Y64" s="1484"/>
      <c r="Z64" s="1484"/>
      <c r="AA64" s="1484"/>
      <c r="AB64" s="1484"/>
      <c r="AC64" s="1484"/>
      <c r="AD64" s="1484"/>
      <c r="AE64" s="1484"/>
      <c r="AF64" s="1484"/>
    </row>
    <row r="65" spans="1:32" ht="18" customHeight="1">
      <c r="A65" s="1297"/>
      <c r="B65" s="1930"/>
      <c r="C65" s="1930"/>
      <c r="D65" s="1930"/>
      <c r="E65" s="1930"/>
      <c r="F65" s="1930"/>
      <c r="G65" s="1930"/>
      <c r="H65" s="1930"/>
      <c r="I65" s="1930"/>
      <c r="J65" s="1930"/>
      <c r="K65" s="1930"/>
      <c r="L65" s="2576" t="s">
        <v>1633</v>
      </c>
      <c r="M65" s="1930"/>
      <c r="N65" s="2771"/>
      <c r="O65" s="2773"/>
      <c r="P65" s="1930" t="s">
        <v>92</v>
      </c>
      <c r="Q65" s="2575"/>
      <c r="R65" s="2576" t="s">
        <v>1582</v>
      </c>
      <c r="S65" s="2771"/>
      <c r="T65" s="2772"/>
      <c r="U65" s="2773"/>
      <c r="V65" s="1935"/>
      <c r="W65" s="1484"/>
      <c r="X65" s="1484"/>
      <c r="Y65" s="1484"/>
      <c r="Z65" s="1484"/>
      <c r="AA65" s="1484"/>
      <c r="AB65" s="1484"/>
      <c r="AC65" s="1484"/>
      <c r="AD65" s="1484"/>
      <c r="AE65" s="1484"/>
      <c r="AF65" s="1484"/>
    </row>
    <row r="66" spans="1:32" ht="6" customHeight="1">
      <c r="A66" s="1297"/>
      <c r="B66" s="1930"/>
      <c r="C66" s="1930"/>
      <c r="D66" s="1930"/>
      <c r="E66" s="1930"/>
      <c r="F66" s="1930"/>
      <c r="G66" s="1930"/>
      <c r="H66" s="1930"/>
      <c r="I66" s="1930"/>
      <c r="J66" s="1930"/>
      <c r="K66" s="1930"/>
      <c r="L66" s="2576"/>
      <c r="M66" s="1930"/>
      <c r="N66" s="2588"/>
      <c r="O66" s="2588"/>
      <c r="P66" s="2575"/>
      <c r="Q66" s="2575"/>
      <c r="R66" s="2574"/>
      <c r="S66" s="2588"/>
      <c r="T66" s="2588"/>
      <c r="U66" s="2588"/>
      <c r="V66" s="1935"/>
      <c r="W66" s="1484"/>
      <c r="X66" s="1484"/>
      <c r="Y66" s="1484"/>
      <c r="Z66" s="1484"/>
      <c r="AA66" s="1484"/>
      <c r="AB66" s="1484"/>
      <c r="AC66" s="1484"/>
      <c r="AD66" s="1484"/>
      <c r="AE66" s="1484"/>
      <c r="AF66" s="1484"/>
    </row>
    <row r="67" spans="1:32" ht="18" customHeight="1">
      <c r="A67" s="1297"/>
      <c r="B67" s="1930"/>
      <c r="C67" s="1488"/>
      <c r="D67" s="1930"/>
      <c r="E67" s="2576" t="s">
        <v>1635</v>
      </c>
      <c r="F67" s="2752"/>
      <c r="G67" s="2769"/>
      <c r="H67" s="2769"/>
      <c r="I67" s="2769"/>
      <c r="J67" s="2753"/>
      <c r="K67" s="1930"/>
      <c r="L67" s="1930"/>
      <c r="M67" s="2576" t="s">
        <v>1634</v>
      </c>
      <c r="N67" s="2752"/>
      <c r="O67" s="2753"/>
      <c r="P67" s="1930" t="s">
        <v>1636</v>
      </c>
      <c r="Q67" s="2575"/>
      <c r="R67" s="1960" t="s">
        <v>1831</v>
      </c>
      <c r="S67" s="2771"/>
      <c r="T67" s="2773"/>
      <c r="U67" s="1497" t="s">
        <v>1636</v>
      </c>
      <c r="V67" s="1935"/>
      <c r="W67" s="1484"/>
      <c r="X67" s="1484"/>
      <c r="Y67" s="1484"/>
      <c r="Z67" s="1484"/>
      <c r="AA67" s="1484"/>
      <c r="AB67" s="1484"/>
      <c r="AC67" s="1484"/>
      <c r="AD67" s="1484"/>
      <c r="AE67" s="1484"/>
      <c r="AF67" s="1484"/>
    </row>
    <row r="68" spans="1:32" s="919" customFormat="1" ht="6" customHeight="1">
      <c r="A68" s="1942"/>
      <c r="B68" s="2575"/>
      <c r="C68" s="1311"/>
      <c r="D68" s="1311"/>
      <c r="E68" s="2590"/>
      <c r="F68" s="2575"/>
      <c r="G68" s="2575"/>
      <c r="H68" s="2575"/>
      <c r="I68" s="2575"/>
      <c r="J68" s="2575"/>
      <c r="K68" s="2575"/>
      <c r="L68" s="2575"/>
      <c r="M68" s="2575"/>
      <c r="N68" s="2575"/>
      <c r="O68" s="2575"/>
      <c r="P68" s="2588"/>
      <c r="Q68" s="2588"/>
      <c r="R68" s="1486"/>
      <c r="S68" s="2575"/>
      <c r="T68" s="2575"/>
      <c r="U68" s="2575"/>
      <c r="V68" s="1409"/>
      <c r="W68" s="1484"/>
      <c r="X68" s="1484"/>
      <c r="Y68" s="1484"/>
      <c r="Z68" s="1484"/>
      <c r="AA68" s="1484"/>
      <c r="AB68" s="1484"/>
      <c r="AC68" s="1484"/>
      <c r="AD68" s="1484"/>
      <c r="AE68" s="1484"/>
      <c r="AF68" s="1484"/>
    </row>
    <row r="69" spans="1:32" s="1480" customFormat="1" ht="6" customHeight="1">
      <c r="A69" s="1942"/>
      <c r="B69" s="2575"/>
      <c r="C69" s="1311"/>
      <c r="D69" s="1311"/>
      <c r="E69" s="2590"/>
      <c r="F69" s="2575"/>
      <c r="G69" s="2575"/>
      <c r="H69" s="2575"/>
      <c r="I69" s="2575"/>
      <c r="J69" s="2575"/>
      <c r="K69" s="2575"/>
      <c r="L69" s="2575"/>
      <c r="M69" s="2575"/>
      <c r="N69" s="2575"/>
      <c r="O69" s="2575"/>
      <c r="P69" s="2588"/>
      <c r="Q69" s="2588"/>
      <c r="R69" s="1486"/>
      <c r="S69" s="2575"/>
      <c r="T69" s="2575"/>
      <c r="U69" s="2575"/>
      <c r="V69" s="1409"/>
      <c r="W69" s="1484"/>
      <c r="X69" s="1484"/>
      <c r="Y69" s="1484"/>
      <c r="Z69" s="1484"/>
      <c r="AA69" s="1484"/>
      <c r="AB69" s="1484"/>
      <c r="AC69" s="1484"/>
      <c r="AD69" s="1484"/>
      <c r="AE69" s="1484"/>
      <c r="AF69" s="1484"/>
    </row>
    <row r="70" spans="1:32" ht="18" customHeight="1">
      <c r="A70" s="1297"/>
      <c r="B70" s="1930"/>
      <c r="C70" s="1488" t="s">
        <v>1632</v>
      </c>
      <c r="D70" s="1930"/>
      <c r="E70" s="1930"/>
      <c r="F70" s="1930"/>
      <c r="G70" s="1930"/>
      <c r="H70" s="1930"/>
      <c r="I70" s="1930"/>
      <c r="J70" s="1930"/>
      <c r="K70" s="1930"/>
      <c r="L70" s="1334"/>
      <c r="M70" s="1930"/>
      <c r="N70" s="2752"/>
      <c r="O70" s="2753"/>
      <c r="P70" s="1930"/>
      <c r="Q70" s="2575"/>
      <c r="R70" s="1481" t="s">
        <v>1680</v>
      </c>
      <c r="S70" s="2771" t="str">
        <f>IF(N70="No","N/A"," ")</f>
        <v xml:space="preserve"> </v>
      </c>
      <c r="T70" s="2772"/>
      <c r="U70" s="2773"/>
      <c r="V70" s="1935"/>
      <c r="W70" s="1484"/>
      <c r="X70" s="1484"/>
      <c r="Y70" s="1484"/>
      <c r="Z70" s="1484"/>
      <c r="AA70" s="1484"/>
      <c r="AB70" s="1484"/>
      <c r="AC70" s="1484"/>
      <c r="AD70" s="1484"/>
      <c r="AE70" s="1484"/>
      <c r="AF70" s="1484"/>
    </row>
    <row r="71" spans="1:32" s="1410" customFormat="1" ht="6" customHeight="1">
      <c r="A71" s="1942"/>
      <c r="B71" s="2575"/>
      <c r="C71" s="1311"/>
      <c r="D71" s="1311"/>
      <c r="E71" s="2590"/>
      <c r="F71" s="2575"/>
      <c r="G71" s="2575"/>
      <c r="H71" s="2575"/>
      <c r="I71" s="2575"/>
      <c r="J71" s="2575"/>
      <c r="K71" s="2575"/>
      <c r="L71" s="2575"/>
      <c r="M71" s="2575"/>
      <c r="N71" s="2575"/>
      <c r="O71" s="2575"/>
      <c r="P71" s="2588"/>
      <c r="Q71" s="2588"/>
      <c r="R71" s="1486"/>
      <c r="S71" s="2575"/>
      <c r="T71" s="2575"/>
      <c r="U71" s="2575"/>
      <c r="V71" s="1409"/>
      <c r="W71" s="1484"/>
      <c r="X71" s="1484"/>
      <c r="Y71" s="1484"/>
      <c r="Z71" s="1484"/>
      <c r="AA71" s="1484"/>
      <c r="AB71" s="1484"/>
      <c r="AC71" s="1484"/>
      <c r="AD71" s="1484"/>
      <c r="AE71" s="1484"/>
      <c r="AF71" s="1484"/>
    </row>
    <row r="72" spans="1:32" ht="18" customHeight="1">
      <c r="A72" s="1297"/>
      <c r="B72" s="1930"/>
      <c r="C72" s="1930"/>
      <c r="D72" s="1930"/>
      <c r="E72" s="1930"/>
      <c r="F72" s="1930"/>
      <c r="G72" s="1334"/>
      <c r="H72" s="1334"/>
      <c r="I72" s="1930"/>
      <c r="J72" s="1930"/>
      <c r="K72" s="1930"/>
      <c r="L72" s="2576" t="s">
        <v>1832</v>
      </c>
      <c r="M72" s="1930"/>
      <c r="N72" s="2771" t="str">
        <f>IF(N70="no","N/A"," ")</f>
        <v xml:space="preserve"> </v>
      </c>
      <c r="O72" s="2773"/>
      <c r="P72" s="1930" t="s">
        <v>92</v>
      </c>
      <c r="Q72" s="2575"/>
      <c r="R72" s="2576" t="s">
        <v>1582</v>
      </c>
      <c r="S72" s="2771" t="str">
        <f>IF(N70="No","N/A"," ")</f>
        <v xml:space="preserve"> </v>
      </c>
      <c r="T72" s="2772"/>
      <c r="U72" s="2773"/>
      <c r="V72" s="1935"/>
      <c r="W72" s="1484"/>
      <c r="X72" s="1484"/>
      <c r="Y72" s="1484"/>
      <c r="Z72" s="1484"/>
      <c r="AA72" s="1484"/>
      <c r="AB72" s="1484"/>
      <c r="AC72" s="1484"/>
      <c r="AD72" s="1484"/>
      <c r="AE72" s="1484"/>
      <c r="AF72" s="1484"/>
    </row>
    <row r="73" spans="1:32" s="1355" customFormat="1" ht="6" customHeight="1">
      <c r="A73" s="1942"/>
      <c r="B73" s="2575"/>
      <c r="C73" s="1311"/>
      <c r="D73" s="1311"/>
      <c r="E73" s="2590"/>
      <c r="F73" s="2575"/>
      <c r="G73" s="2575"/>
      <c r="H73" s="2575"/>
      <c r="I73" s="2575"/>
      <c r="J73" s="2575"/>
      <c r="K73" s="2575"/>
      <c r="L73" s="2575"/>
      <c r="M73" s="2575"/>
      <c r="N73" s="2575"/>
      <c r="O73" s="2575"/>
      <c r="P73" s="2588"/>
      <c r="Q73" s="2588"/>
      <c r="R73" s="1486"/>
      <c r="S73" s="2575"/>
      <c r="T73" s="2575"/>
      <c r="U73" s="2575"/>
      <c r="V73" s="1409"/>
      <c r="W73" s="1484"/>
      <c r="X73" s="1484"/>
      <c r="Y73" s="1484"/>
      <c r="Z73" s="1484"/>
      <c r="AA73" s="1484"/>
      <c r="AB73" s="1484"/>
      <c r="AC73" s="1484"/>
      <c r="AD73" s="1484"/>
      <c r="AE73" s="1484"/>
      <c r="AF73" s="1484"/>
    </row>
    <row r="74" spans="1:32" s="1280" customFormat="1" ht="18" customHeight="1">
      <c r="A74" s="1401"/>
      <c r="B74" s="1334"/>
      <c r="C74" s="1334"/>
      <c r="D74" s="1334"/>
      <c r="E74" s="1334"/>
      <c r="F74" s="1334"/>
      <c r="G74" s="1334"/>
      <c r="H74" s="1334"/>
      <c r="I74" s="1334"/>
      <c r="J74" s="1334"/>
      <c r="K74" s="1334"/>
      <c r="L74" s="2576" t="s">
        <v>1833</v>
      </c>
      <c r="M74" s="1334"/>
      <c r="N74" s="2771" t="str">
        <f>IF(N70="no","N/A"," ")</f>
        <v xml:space="preserve"> </v>
      </c>
      <c r="O74" s="2773"/>
      <c r="P74" s="1930" t="s">
        <v>92</v>
      </c>
      <c r="Q74" s="1334"/>
      <c r="R74" s="2576" t="s">
        <v>1582</v>
      </c>
      <c r="S74" s="2771" t="str">
        <f>IF(N70="No","N/A"," ")</f>
        <v xml:space="preserve"> </v>
      </c>
      <c r="T74" s="2772"/>
      <c r="U74" s="2773"/>
      <c r="V74" s="1402"/>
      <c r="W74" s="1484"/>
      <c r="X74" s="1484"/>
      <c r="Y74" s="1484"/>
      <c r="Z74" s="1484"/>
      <c r="AA74" s="1484"/>
      <c r="AB74" s="1484"/>
      <c r="AC74" s="1484"/>
      <c r="AD74" s="1484"/>
      <c r="AE74" s="1484"/>
      <c r="AF74" s="1484"/>
    </row>
    <row r="75" spans="1:32" s="919" customFormat="1" ht="6" customHeight="1">
      <c r="A75" s="1942"/>
      <c r="B75" s="2575"/>
      <c r="C75" s="1311"/>
      <c r="D75" s="1311"/>
      <c r="E75" s="2590"/>
      <c r="F75" s="2575"/>
      <c r="G75" s="2575"/>
      <c r="H75" s="2575"/>
      <c r="I75" s="2575"/>
      <c r="J75" s="2575"/>
      <c r="K75" s="2575"/>
      <c r="L75" s="2575"/>
      <c r="M75" s="2575"/>
      <c r="N75" s="2575"/>
      <c r="O75" s="2575"/>
      <c r="P75" s="2588"/>
      <c r="Q75" s="2588"/>
      <c r="R75" s="1486"/>
      <c r="S75" s="2575"/>
      <c r="T75" s="2575"/>
      <c r="U75" s="2575"/>
      <c r="V75" s="1409"/>
      <c r="W75" s="1484"/>
      <c r="X75" s="1484"/>
      <c r="Y75" s="1484"/>
      <c r="Z75" s="1484"/>
      <c r="AA75" s="1484"/>
      <c r="AB75" s="1484"/>
      <c r="AC75" s="1484"/>
      <c r="AD75" s="1484"/>
      <c r="AE75" s="1484"/>
      <c r="AF75" s="1484"/>
    </row>
    <row r="76" spans="1:32" ht="18" customHeight="1">
      <c r="A76" s="1297"/>
      <c r="B76" s="1930"/>
      <c r="C76" s="1488" t="s">
        <v>1644</v>
      </c>
      <c r="D76" s="1930"/>
      <c r="E76" s="1930"/>
      <c r="F76" s="1930"/>
      <c r="G76" s="1930"/>
      <c r="H76" s="1334"/>
      <c r="I76" s="2588"/>
      <c r="J76" s="2575"/>
      <c r="K76" s="1930"/>
      <c r="L76" s="1930"/>
      <c r="M76" s="1930"/>
      <c r="N76" s="1930"/>
      <c r="O76" s="1930"/>
      <c r="P76" s="2575"/>
      <c r="Q76" s="2575"/>
      <c r="R76" s="2575"/>
      <c r="S76" s="2771"/>
      <c r="T76" s="2772"/>
      <c r="U76" s="2773"/>
      <c r="V76" s="1935"/>
      <c r="W76" s="1484"/>
      <c r="X76" s="1484"/>
      <c r="Y76" s="1484"/>
      <c r="Z76" s="1484"/>
      <c r="AA76" s="1484"/>
      <c r="AB76" s="1484"/>
      <c r="AC76" s="1484"/>
      <c r="AD76" s="1484"/>
      <c r="AE76" s="1484"/>
      <c r="AF76" s="1484"/>
    </row>
    <row r="77" spans="1:32" ht="6" customHeight="1">
      <c r="A77" s="1297"/>
      <c r="B77" s="1930"/>
      <c r="C77" s="1488"/>
      <c r="D77" s="1488"/>
      <c r="E77" s="2575"/>
      <c r="F77" s="1940"/>
      <c r="G77" s="1937"/>
      <c r="H77" s="1930"/>
      <c r="I77" s="2577"/>
      <c r="J77" s="1930"/>
      <c r="K77" s="1937"/>
      <c r="L77" s="1930"/>
      <c r="M77" s="1930"/>
      <c r="N77" s="1930"/>
      <c r="O77" s="1930"/>
      <c r="P77" s="2575"/>
      <c r="Q77" s="2575"/>
      <c r="R77" s="2588"/>
      <c r="S77" s="1930"/>
      <c r="T77" s="1930"/>
      <c r="U77" s="1930"/>
      <c r="V77" s="1935"/>
      <c r="W77" s="1484"/>
      <c r="X77" s="1484"/>
      <c r="Y77" s="1484"/>
      <c r="Z77" s="1484"/>
      <c r="AA77" s="1484"/>
      <c r="AB77" s="1484"/>
      <c r="AC77" s="1484"/>
      <c r="AD77" s="1484"/>
      <c r="AE77" s="1484"/>
      <c r="AF77" s="1484"/>
    </row>
    <row r="78" spans="1:32" ht="18" customHeight="1">
      <c r="A78" s="1297"/>
      <c r="B78" s="1930"/>
      <c r="C78" s="1488" t="s">
        <v>1565</v>
      </c>
      <c r="D78" s="1488"/>
      <c r="E78" s="2575"/>
      <c r="F78" s="1940"/>
      <c r="G78" s="1487"/>
      <c r="H78" s="1940"/>
      <c r="I78" s="2591"/>
      <c r="J78" s="1940"/>
      <c r="K78" s="1487"/>
      <c r="L78" s="1940"/>
      <c r="M78" s="1940"/>
      <c r="N78" s="1940"/>
      <c r="O78" s="1930"/>
      <c r="P78" s="2575"/>
      <c r="Q78" s="2575"/>
      <c r="R78" s="2588"/>
      <c r="S78" s="1930"/>
      <c r="T78" s="1930"/>
      <c r="U78" s="1930"/>
      <c r="V78" s="1935"/>
      <c r="W78" s="1484"/>
      <c r="X78" s="1484"/>
      <c r="Y78" s="1484"/>
      <c r="Z78" s="1484"/>
      <c r="AA78" s="1484"/>
      <c r="AB78" s="1484"/>
      <c r="AC78" s="1484"/>
      <c r="AD78" s="1484"/>
      <c r="AE78" s="1484"/>
      <c r="AF78" s="1484"/>
    </row>
    <row r="79" spans="1:32" ht="18" customHeight="1">
      <c r="A79" s="1297"/>
      <c r="B79" s="1930"/>
      <c r="C79" s="1488"/>
      <c r="D79" s="1488"/>
      <c r="E79" s="2575"/>
      <c r="F79" s="1940"/>
      <c r="G79" s="1937"/>
      <c r="H79" s="1930"/>
      <c r="I79" s="2577"/>
      <c r="J79" s="1930"/>
      <c r="K79" s="1937"/>
      <c r="L79" s="1930"/>
      <c r="M79" s="1930"/>
      <c r="N79" s="2575"/>
      <c r="O79" s="2575"/>
      <c r="P79" s="2575"/>
      <c r="Q79" s="2575"/>
      <c r="R79" s="2588"/>
      <c r="S79" s="2771"/>
      <c r="T79" s="2772"/>
      <c r="U79" s="2773"/>
      <c r="V79" s="1935"/>
      <c r="W79" s="1484"/>
      <c r="X79" s="1484"/>
      <c r="Y79" s="1484"/>
      <c r="Z79" s="1484"/>
      <c r="AA79" s="1484"/>
      <c r="AB79" s="1484"/>
      <c r="AC79" s="1484"/>
      <c r="AD79" s="1484"/>
      <c r="AE79" s="1484"/>
      <c r="AF79" s="1484"/>
    </row>
    <row r="80" spans="1:32" ht="6" customHeight="1">
      <c r="A80" s="1297"/>
      <c r="B80" s="1930"/>
      <c r="C80" s="1488"/>
      <c r="D80" s="1488"/>
      <c r="E80" s="2575"/>
      <c r="F80" s="1940"/>
      <c r="G80" s="1937"/>
      <c r="H80" s="1930"/>
      <c r="I80" s="2577"/>
      <c r="J80" s="1930"/>
      <c r="K80" s="1937"/>
      <c r="L80" s="1930"/>
      <c r="M80" s="1930"/>
      <c r="N80" s="1930"/>
      <c r="O80" s="1930"/>
      <c r="P80" s="2575"/>
      <c r="Q80" s="2575"/>
      <c r="R80" s="2588"/>
      <c r="S80" s="1930"/>
      <c r="T80" s="1930"/>
      <c r="U80" s="1930"/>
      <c r="V80" s="1935"/>
      <c r="W80" s="1484"/>
      <c r="X80" s="1484"/>
      <c r="Y80" s="1484"/>
      <c r="Z80" s="1484"/>
      <c r="AA80" s="1484"/>
      <c r="AB80" s="1484"/>
      <c r="AC80" s="1484"/>
      <c r="AD80" s="1484"/>
      <c r="AE80" s="1484"/>
      <c r="AF80" s="1484"/>
    </row>
    <row r="81" spans="1:32" ht="15.75" customHeight="1">
      <c r="A81" s="1708"/>
      <c r="B81" s="2790" t="s">
        <v>1637</v>
      </c>
      <c r="C81" s="2790"/>
      <c r="D81" s="2790"/>
      <c r="E81" s="2790"/>
      <c r="F81" s="2790"/>
      <c r="G81" s="2790"/>
      <c r="H81" s="2790"/>
      <c r="I81" s="2790"/>
      <c r="J81" s="2790"/>
      <c r="K81" s="2790"/>
      <c r="L81" s="2790"/>
      <c r="M81" s="2790"/>
      <c r="N81" s="2790"/>
      <c r="O81" s="2790"/>
      <c r="P81" s="2790"/>
      <c r="Q81" s="2790"/>
      <c r="R81" s="2790"/>
      <c r="S81" s="2790"/>
      <c r="T81" s="2790"/>
      <c r="U81" s="2790"/>
      <c r="V81" s="1709"/>
      <c r="W81" s="1484"/>
      <c r="X81" s="1484"/>
      <c r="Y81" s="1484"/>
      <c r="Z81" s="1484"/>
      <c r="AA81" s="1484"/>
      <c r="AB81" s="1484"/>
      <c r="AC81" s="1484"/>
      <c r="AD81" s="1484"/>
      <c r="AE81" s="1484"/>
      <c r="AF81" s="1484"/>
    </row>
    <row r="82" spans="1:32" ht="6" customHeight="1">
      <c r="A82" s="1297"/>
      <c r="B82" s="1930"/>
      <c r="C82" s="1488"/>
      <c r="D82" s="1488"/>
      <c r="E82" s="2575"/>
      <c r="F82" s="1940"/>
      <c r="G82" s="1937"/>
      <c r="H82" s="1930"/>
      <c r="I82" s="2577"/>
      <c r="J82" s="1930"/>
      <c r="K82" s="1937"/>
      <c r="L82" s="1319"/>
      <c r="M82" s="1319"/>
      <c r="N82" s="1319"/>
      <c r="O82" s="1319"/>
      <c r="P82" s="2575"/>
      <c r="Q82" s="2575"/>
      <c r="R82" s="2588"/>
      <c r="S82" s="1930"/>
      <c r="T82" s="1930"/>
      <c r="U82" s="1930"/>
      <c r="V82" s="1935"/>
      <c r="W82" s="1484"/>
      <c r="X82" s="1484"/>
      <c r="Y82" s="1484"/>
      <c r="Z82" s="1484"/>
      <c r="AA82" s="1484"/>
      <c r="AB82" s="1484"/>
      <c r="AC82" s="1484"/>
      <c r="AD82" s="1484"/>
      <c r="AE82" s="1484"/>
      <c r="AF82" s="1484"/>
    </row>
    <row r="83" spans="1:32" ht="18" customHeight="1">
      <c r="A83" s="1297"/>
      <c r="B83" s="1500"/>
      <c r="C83" s="1930"/>
      <c r="D83" s="1930"/>
      <c r="E83" s="1930"/>
      <c r="F83" s="2576" t="s">
        <v>1584</v>
      </c>
      <c r="G83" s="2748"/>
      <c r="H83" s="2749"/>
      <c r="I83" s="2749"/>
      <c r="J83" s="2749"/>
      <c r="K83" s="2749"/>
      <c r="L83" s="2749"/>
      <c r="M83" s="2749"/>
      <c r="N83" s="2749"/>
      <c r="O83" s="2750"/>
      <c r="P83" s="1501"/>
      <c r="Q83" s="1501"/>
      <c r="R83" s="2576" t="s">
        <v>1585</v>
      </c>
      <c r="S83" s="2777"/>
      <c r="T83" s="2778"/>
      <c r="U83" s="1497" t="s">
        <v>630</v>
      </c>
      <c r="V83" s="1409"/>
      <c r="W83" s="1484"/>
      <c r="X83" s="1484"/>
      <c r="Y83" s="1484"/>
      <c r="Z83" s="1484"/>
      <c r="AA83" s="1484"/>
      <c r="AB83" s="1484"/>
      <c r="AC83" s="1484"/>
      <c r="AD83" s="1484"/>
      <c r="AE83" s="1484"/>
      <c r="AF83" s="1484"/>
    </row>
    <row r="84" spans="1:32" s="919" customFormat="1" ht="6" customHeight="1">
      <c r="A84" s="1942"/>
      <c r="B84" s="2575"/>
      <c r="C84" s="1311"/>
      <c r="D84" s="1311"/>
      <c r="E84" s="2590"/>
      <c r="F84" s="2575"/>
      <c r="G84" s="2575"/>
      <c r="H84" s="2575"/>
      <c r="I84" s="2575"/>
      <c r="J84" s="2575"/>
      <c r="K84" s="2575"/>
      <c r="L84" s="2575"/>
      <c r="M84" s="2575"/>
      <c r="N84" s="2575"/>
      <c r="O84" s="2575"/>
      <c r="P84" s="1501"/>
      <c r="Q84" s="2588"/>
      <c r="R84" s="1486"/>
      <c r="S84" s="2575"/>
      <c r="T84" s="2575"/>
      <c r="U84" s="2575"/>
      <c r="V84" s="1409"/>
      <c r="W84" s="1484"/>
      <c r="X84" s="1484"/>
      <c r="Y84" s="1484"/>
      <c r="Z84" s="1484"/>
      <c r="AA84" s="1484"/>
      <c r="AB84" s="1484"/>
      <c r="AC84" s="1484"/>
      <c r="AD84" s="1484"/>
      <c r="AE84" s="1484"/>
      <c r="AF84" s="1484"/>
    </row>
    <row r="85" spans="1:32" ht="18" customHeight="1">
      <c r="A85" s="1297"/>
      <c r="B85" s="1930"/>
      <c r="C85" s="1488"/>
      <c r="D85" s="1930"/>
      <c r="E85" s="1930"/>
      <c r="F85" s="2576" t="s">
        <v>1583</v>
      </c>
      <c r="G85" s="2748"/>
      <c r="H85" s="2749"/>
      <c r="I85" s="2749"/>
      <c r="J85" s="2749"/>
      <c r="K85" s="2749"/>
      <c r="L85" s="2749"/>
      <c r="M85" s="2749"/>
      <c r="N85" s="2749"/>
      <c r="O85" s="2749"/>
      <c r="P85" s="2749"/>
      <c r="Q85" s="2749"/>
      <c r="R85" s="2749"/>
      <c r="S85" s="2749"/>
      <c r="T85" s="2750"/>
      <c r="U85" s="1930"/>
      <c r="V85" s="1409"/>
      <c r="W85" s="1484"/>
      <c r="X85" s="1484"/>
      <c r="Y85" s="1484"/>
      <c r="Z85" s="1484"/>
      <c r="AA85" s="1484"/>
      <c r="AB85" s="1484"/>
      <c r="AC85" s="1484"/>
      <c r="AD85" s="1484"/>
      <c r="AE85" s="1484"/>
      <c r="AF85" s="1484"/>
    </row>
    <row r="86" spans="1:32" ht="6" customHeight="1">
      <c r="A86" s="1297"/>
      <c r="B86" s="1930"/>
      <c r="C86" s="1488"/>
      <c r="D86" s="1930"/>
      <c r="E86" s="2575"/>
      <c r="F86" s="2575"/>
      <c r="G86" s="2575"/>
      <c r="H86" s="2575"/>
      <c r="I86" s="2575"/>
      <c r="J86" s="2574"/>
      <c r="K86" s="2574"/>
      <c r="L86" s="2575"/>
      <c r="M86" s="1930"/>
      <c r="N86" s="1930"/>
      <c r="O86" s="1930"/>
      <c r="P86" s="1930"/>
      <c r="Q86" s="1930"/>
      <c r="R86" s="1930"/>
      <c r="S86" s="1930"/>
      <c r="T86" s="1930"/>
      <c r="U86" s="1930"/>
      <c r="V86" s="1409"/>
      <c r="W86" s="1484"/>
      <c r="X86" s="1484"/>
      <c r="Y86" s="1484"/>
      <c r="Z86" s="1484"/>
      <c r="AA86" s="1484"/>
      <c r="AB86" s="1484"/>
      <c r="AC86" s="1484"/>
      <c r="AD86" s="1484"/>
      <c r="AE86" s="1484"/>
      <c r="AF86" s="1484"/>
    </row>
    <row r="87" spans="1:32" ht="18" customHeight="1">
      <c r="A87" s="1297"/>
      <c r="B87" s="1930"/>
      <c r="C87" s="1488"/>
      <c r="D87" s="1930"/>
      <c r="E87" s="1930"/>
      <c r="F87" s="2576" t="s">
        <v>1586</v>
      </c>
      <c r="G87" s="2786"/>
      <c r="H87" s="2787"/>
      <c r="I87" s="2787"/>
      <c r="J87" s="2787"/>
      <c r="K87" s="2787"/>
      <c r="L87" s="2787"/>
      <c r="M87" s="2787"/>
      <c r="N87" s="2787"/>
      <c r="O87" s="2787"/>
      <c r="P87" s="2787"/>
      <c r="Q87" s="2787"/>
      <c r="R87" s="2787"/>
      <c r="S87" s="2787"/>
      <c r="T87" s="2788"/>
      <c r="U87" s="1501"/>
      <c r="V87" s="1409"/>
      <c r="W87" s="1484"/>
      <c r="X87" s="1484"/>
      <c r="Y87" s="1484"/>
      <c r="Z87" s="1484"/>
      <c r="AA87" s="1484"/>
      <c r="AB87" s="1484"/>
      <c r="AC87" s="1484"/>
      <c r="AD87" s="1484"/>
      <c r="AE87" s="1484"/>
      <c r="AF87" s="1484"/>
    </row>
    <row r="88" spans="1:32" ht="6" customHeight="1">
      <c r="A88" s="1297"/>
      <c r="B88" s="1930"/>
      <c r="C88" s="1488"/>
      <c r="D88" s="1930"/>
      <c r="E88" s="2575"/>
      <c r="F88" s="2575"/>
      <c r="G88" s="1930"/>
      <c r="H88" s="1930"/>
      <c r="I88" s="1930"/>
      <c r="J88" s="1930"/>
      <c r="K88" s="1930"/>
      <c r="L88" s="1930"/>
      <c r="M88" s="1930"/>
      <c r="N88" s="1930"/>
      <c r="O88" s="1930"/>
      <c r="P88" s="1930"/>
      <c r="Q88" s="1930"/>
      <c r="R88" s="1930"/>
      <c r="S88" s="1930"/>
      <c r="T88" s="1930"/>
      <c r="U88" s="1501"/>
      <c r="V88" s="1409"/>
      <c r="W88" s="1484"/>
      <c r="X88" s="1484"/>
      <c r="Y88" s="1484"/>
      <c r="Z88" s="1484"/>
      <c r="AA88" s="1484"/>
      <c r="AB88" s="1484"/>
      <c r="AC88" s="1484"/>
      <c r="AD88" s="1484"/>
      <c r="AE88" s="1484"/>
      <c r="AF88" s="1484"/>
    </row>
    <row r="89" spans="1:32" ht="18" customHeight="1">
      <c r="A89" s="1297"/>
      <c r="B89" s="1930"/>
      <c r="C89" s="1930"/>
      <c r="D89" s="1334"/>
      <c r="E89" s="1930"/>
      <c r="F89" s="1960" t="s">
        <v>1587</v>
      </c>
      <c r="G89" s="2786"/>
      <c r="H89" s="2787"/>
      <c r="I89" s="2787"/>
      <c r="J89" s="2787"/>
      <c r="K89" s="2787"/>
      <c r="L89" s="2787"/>
      <c r="M89" s="2787"/>
      <c r="N89" s="2787"/>
      <c r="O89" s="2787"/>
      <c r="P89" s="2787"/>
      <c r="Q89" s="2787"/>
      <c r="R89" s="2787"/>
      <c r="S89" s="2787"/>
      <c r="T89" s="2788"/>
      <c r="U89" s="1501"/>
      <c r="V89" s="1409"/>
      <c r="W89" s="1484"/>
      <c r="X89" s="1484"/>
      <c r="Y89" s="1484"/>
      <c r="Z89" s="1484"/>
      <c r="AA89" s="1484"/>
      <c r="AB89" s="1484"/>
      <c r="AC89" s="1484"/>
      <c r="AD89" s="1484"/>
      <c r="AE89" s="1484"/>
      <c r="AF89" s="1484"/>
    </row>
    <row r="90" spans="1:32" ht="6" customHeight="1">
      <c r="A90" s="1297"/>
      <c r="B90" s="1930"/>
      <c r="C90" s="1488"/>
      <c r="D90" s="1930"/>
      <c r="E90" s="2575"/>
      <c r="F90" s="2575"/>
      <c r="G90" s="2575"/>
      <c r="H90" s="2575"/>
      <c r="I90" s="2575"/>
      <c r="J90" s="1930"/>
      <c r="K90" s="1930"/>
      <c r="L90" s="1930"/>
      <c r="M90" s="1930"/>
      <c r="N90" s="1930"/>
      <c r="O90" s="1930"/>
      <c r="P90" s="1930"/>
      <c r="Q90" s="1930"/>
      <c r="R90" s="1930"/>
      <c r="S90" s="1930"/>
      <c r="T90" s="1930"/>
      <c r="U90" s="1501"/>
      <c r="V90" s="1409"/>
      <c r="W90" s="1484"/>
      <c r="X90" s="1484"/>
      <c r="Y90" s="1484"/>
      <c r="Z90" s="1484"/>
      <c r="AA90" s="1484"/>
      <c r="AB90" s="1484"/>
      <c r="AC90" s="1484"/>
      <c r="AD90" s="1484"/>
      <c r="AE90" s="1484"/>
      <c r="AF90" s="1484"/>
    </row>
    <row r="91" spans="1:32" ht="18" customHeight="1">
      <c r="A91" s="1297"/>
      <c r="B91" s="1930"/>
      <c r="C91" s="1930"/>
      <c r="D91" s="1930"/>
      <c r="E91" s="1930"/>
      <c r="F91" s="1930"/>
      <c r="G91" s="1930"/>
      <c r="H91" s="1930"/>
      <c r="I91" s="1930"/>
      <c r="J91" s="1930"/>
      <c r="K91" s="2576" t="s">
        <v>1610</v>
      </c>
      <c r="L91" s="2771"/>
      <c r="M91" s="2773"/>
      <c r="N91" s="1930" t="s">
        <v>94</v>
      </c>
      <c r="O91" s="1930"/>
      <c r="P91" s="1930"/>
      <c r="Q91" s="2575"/>
      <c r="R91" s="2576" t="s">
        <v>1611</v>
      </c>
      <c r="S91" s="2752"/>
      <c r="T91" s="2753"/>
      <c r="U91" s="1930" t="s">
        <v>94</v>
      </c>
      <c r="V91" s="1935"/>
      <c r="W91" s="1484"/>
      <c r="X91" s="1484"/>
      <c r="Y91" s="1484"/>
      <c r="Z91" s="1484"/>
      <c r="AA91" s="1484"/>
      <c r="AB91" s="1484"/>
      <c r="AC91" s="1484"/>
      <c r="AD91" s="1484"/>
      <c r="AE91" s="1484"/>
      <c r="AF91" s="1484"/>
    </row>
    <row r="92" spans="1:32" s="919" customFormat="1" ht="6" customHeight="1">
      <c r="A92" s="1942"/>
      <c r="B92" s="2575"/>
      <c r="C92" s="2574"/>
      <c r="D92" s="2574"/>
      <c r="E92" s="2575"/>
      <c r="F92" s="2575"/>
      <c r="G92" s="2574"/>
      <c r="H92" s="2574"/>
      <c r="I92" s="2574"/>
      <c r="J92" s="2575"/>
      <c r="K92" s="2575"/>
      <c r="L92" s="2575"/>
      <c r="M92" s="2590"/>
      <c r="N92" s="2575"/>
      <c r="O92" s="2575"/>
      <c r="P92" s="2575"/>
      <c r="Q92" s="2575"/>
      <c r="R92" s="2588"/>
      <c r="S92" s="2575"/>
      <c r="T92" s="2575"/>
      <c r="U92" s="2575"/>
      <c r="V92" s="1409"/>
      <c r="W92" s="1484"/>
      <c r="X92" s="1484"/>
      <c r="Y92" s="1484"/>
      <c r="Z92" s="1484"/>
      <c r="AA92" s="1484"/>
      <c r="AB92" s="1484"/>
      <c r="AC92" s="1484"/>
      <c r="AD92" s="1484"/>
      <c r="AE92" s="1484"/>
      <c r="AF92" s="1484"/>
    </row>
    <row r="93" spans="1:32" ht="18" customHeight="1">
      <c r="A93" s="1297"/>
      <c r="B93" s="2779" t="s">
        <v>1641</v>
      </c>
      <c r="C93" s="2779"/>
      <c r="D93" s="2805"/>
      <c r="E93" s="1535"/>
      <c r="F93" s="1930"/>
      <c r="G93" s="1930"/>
      <c r="H93" s="1930"/>
      <c r="I93" s="1930"/>
      <c r="J93" s="1930"/>
      <c r="K93" s="2576" t="s">
        <v>1638</v>
      </c>
      <c r="L93" s="2748"/>
      <c r="M93" s="2749"/>
      <c r="N93" s="2749"/>
      <c r="O93" s="2749"/>
      <c r="P93" s="2749"/>
      <c r="Q93" s="2749"/>
      <c r="R93" s="2749"/>
      <c r="S93" s="2749"/>
      <c r="T93" s="2749"/>
      <c r="U93" s="2750"/>
      <c r="V93" s="1935"/>
      <c r="W93" s="1484"/>
      <c r="X93" s="1484"/>
      <c r="Y93" s="1484"/>
      <c r="Z93" s="1484"/>
      <c r="AA93" s="1484"/>
      <c r="AB93" s="1484"/>
      <c r="AC93" s="1484"/>
      <c r="AD93" s="1484"/>
      <c r="AE93" s="1484"/>
      <c r="AF93" s="1484"/>
    </row>
    <row r="94" spans="1:32" ht="6" customHeight="1">
      <c r="A94" s="1297"/>
      <c r="B94" s="2779"/>
      <c r="C94" s="2779"/>
      <c r="D94" s="2805"/>
      <c r="E94" s="1930"/>
      <c r="F94" s="1488"/>
      <c r="G94" s="1937"/>
      <c r="H94" s="1930"/>
      <c r="I94" s="2577"/>
      <c r="J94" s="1930"/>
      <c r="K94" s="1937"/>
      <c r="L94" s="1930"/>
      <c r="M94" s="1930"/>
      <c r="N94" s="1930"/>
      <c r="O94" s="1930"/>
      <c r="P94" s="1930"/>
      <c r="Q94" s="1930"/>
      <c r="R94" s="1930"/>
      <c r="S94" s="1930"/>
      <c r="T94" s="1930"/>
      <c r="U94" s="1930"/>
      <c r="V94" s="1935"/>
      <c r="W94" s="1484"/>
      <c r="X94" s="1484"/>
      <c r="Y94" s="1484"/>
      <c r="Z94" s="1484"/>
      <c r="AA94" s="1484"/>
      <c r="AB94" s="1484"/>
      <c r="AC94" s="1484"/>
      <c r="AD94" s="1484"/>
      <c r="AE94" s="1484"/>
      <c r="AF94" s="1484"/>
    </row>
    <row r="95" spans="1:32" ht="18" customHeight="1">
      <c r="A95" s="1297"/>
      <c r="B95" s="2779"/>
      <c r="C95" s="2779"/>
      <c r="D95" s="2805"/>
      <c r="E95" s="1930"/>
      <c r="F95" s="1930"/>
      <c r="G95" s="1930"/>
      <c r="H95" s="1930"/>
      <c r="I95" s="1930"/>
      <c r="J95" s="1930"/>
      <c r="K95" s="2576" t="s">
        <v>1640</v>
      </c>
      <c r="L95" s="2748"/>
      <c r="M95" s="2749"/>
      <c r="N95" s="2749"/>
      <c r="O95" s="2749"/>
      <c r="P95" s="2749"/>
      <c r="Q95" s="2749"/>
      <c r="R95" s="2749"/>
      <c r="S95" s="2749"/>
      <c r="T95" s="2749"/>
      <c r="U95" s="2750"/>
      <c r="V95" s="1935"/>
      <c r="W95" s="1484"/>
      <c r="X95" s="1484"/>
      <c r="Y95" s="1484"/>
      <c r="Z95" s="1484"/>
      <c r="AA95" s="1484"/>
      <c r="AB95" s="1484"/>
      <c r="AC95" s="1484"/>
      <c r="AD95" s="1484"/>
      <c r="AE95" s="1484"/>
      <c r="AF95" s="1484"/>
    </row>
    <row r="96" spans="1:32" ht="6" customHeight="1">
      <c r="A96" s="1297"/>
      <c r="B96" s="2779"/>
      <c r="C96" s="2779"/>
      <c r="D96" s="2805"/>
      <c r="E96" s="1930"/>
      <c r="F96" s="1488"/>
      <c r="G96" s="1937"/>
      <c r="H96" s="1930"/>
      <c r="I96" s="2577"/>
      <c r="J96" s="1930"/>
      <c r="K96" s="1937"/>
      <c r="L96" s="1930"/>
      <c r="M96" s="1930"/>
      <c r="N96" s="1930"/>
      <c r="O96" s="1930"/>
      <c r="P96" s="1930"/>
      <c r="Q96" s="1930"/>
      <c r="R96" s="1930"/>
      <c r="S96" s="1930"/>
      <c r="T96" s="1930"/>
      <c r="U96" s="1930"/>
      <c r="V96" s="1935"/>
      <c r="W96" s="1484"/>
      <c r="X96" s="1484"/>
      <c r="Y96" s="1484"/>
      <c r="Z96" s="1484"/>
      <c r="AA96" s="1484"/>
      <c r="AB96" s="1484"/>
      <c r="AC96" s="1484"/>
      <c r="AD96" s="1484"/>
      <c r="AE96" s="1484"/>
      <c r="AF96" s="1484"/>
    </row>
    <row r="97" spans="1:32" ht="18" customHeight="1">
      <c r="A97" s="1297"/>
      <c r="B97" s="2779"/>
      <c r="C97" s="2779"/>
      <c r="D97" s="2805"/>
      <c r="E97" s="1536"/>
      <c r="F97" s="1930"/>
      <c r="G97" s="1930"/>
      <c r="H97" s="1930"/>
      <c r="I97" s="1930"/>
      <c r="J97" s="1930"/>
      <c r="K97" s="2576" t="s">
        <v>1639</v>
      </c>
      <c r="L97" s="2748"/>
      <c r="M97" s="2749"/>
      <c r="N97" s="2749"/>
      <c r="O97" s="2749"/>
      <c r="P97" s="2749"/>
      <c r="Q97" s="2749"/>
      <c r="R97" s="2749"/>
      <c r="S97" s="2749"/>
      <c r="T97" s="2749"/>
      <c r="U97" s="2750"/>
      <c r="V97" s="1935"/>
      <c r="W97" s="1484"/>
      <c r="X97" s="1484"/>
      <c r="Y97" s="1484"/>
      <c r="Z97" s="1484"/>
      <c r="AA97" s="1484"/>
      <c r="AB97" s="1484"/>
      <c r="AC97" s="1484"/>
      <c r="AD97" s="1484"/>
      <c r="AE97" s="1484"/>
      <c r="AF97" s="1484"/>
    </row>
    <row r="98" spans="1:32" ht="6" customHeight="1">
      <c r="A98" s="1297"/>
      <c r="B98" s="1930"/>
      <c r="C98" s="1930"/>
      <c r="D98" s="1488"/>
      <c r="E98" s="1930"/>
      <c r="F98" s="1488"/>
      <c r="G98" s="1937"/>
      <c r="H98" s="1930"/>
      <c r="I98" s="2577"/>
      <c r="J98" s="1930"/>
      <c r="K98" s="1937"/>
      <c r="L98" s="1930"/>
      <c r="M98" s="1930"/>
      <c r="N98" s="1930"/>
      <c r="O98" s="1930"/>
      <c r="P98" s="1930"/>
      <c r="Q98" s="1930"/>
      <c r="R98" s="1930"/>
      <c r="S98" s="1930"/>
      <c r="T98" s="1930"/>
      <c r="U98" s="1930"/>
      <c r="V98" s="1935"/>
      <c r="W98" s="1484"/>
      <c r="X98" s="1484"/>
      <c r="Y98" s="1484"/>
      <c r="Z98" s="1484"/>
      <c r="AA98" s="1484"/>
      <c r="AB98" s="1484"/>
      <c r="AC98" s="1484"/>
      <c r="AD98" s="1484"/>
      <c r="AE98" s="1484"/>
      <c r="AF98" s="1484"/>
    </row>
    <row r="99" spans="1:32" ht="15.75" customHeight="1">
      <c r="A99" s="1708"/>
      <c r="B99" s="2790" t="s">
        <v>1131</v>
      </c>
      <c r="C99" s="2790"/>
      <c r="D99" s="2790"/>
      <c r="E99" s="2790"/>
      <c r="F99" s="2790"/>
      <c r="G99" s="2790"/>
      <c r="H99" s="2790"/>
      <c r="I99" s="2790"/>
      <c r="J99" s="2790"/>
      <c r="K99" s="2790"/>
      <c r="L99" s="2790"/>
      <c r="M99" s="2790"/>
      <c r="N99" s="2790"/>
      <c r="O99" s="2790"/>
      <c r="P99" s="2790"/>
      <c r="Q99" s="2790"/>
      <c r="R99" s="2790"/>
      <c r="S99" s="2790"/>
      <c r="T99" s="2790"/>
      <c r="U99" s="2790"/>
      <c r="V99" s="1709"/>
      <c r="W99" s="1484"/>
      <c r="X99" s="1484"/>
      <c r="Y99" s="1484"/>
      <c r="Z99" s="1484"/>
      <c r="AA99" s="1484"/>
      <c r="AB99" s="1484"/>
      <c r="AC99" s="1484"/>
      <c r="AD99" s="1484"/>
      <c r="AE99" s="1484"/>
      <c r="AF99" s="1484"/>
    </row>
    <row r="100" spans="1:32" ht="6" customHeight="1">
      <c r="A100" s="1297"/>
      <c r="B100" s="1930"/>
      <c r="C100" s="1940"/>
      <c r="D100" s="1940"/>
      <c r="E100" s="1940"/>
      <c r="F100" s="1940"/>
      <c r="G100" s="1311"/>
      <c r="H100" s="2575"/>
      <c r="I100" s="2588"/>
      <c r="J100" s="2575"/>
      <c r="K100" s="1311"/>
      <c r="L100" s="2575"/>
      <c r="M100" s="2575"/>
      <c r="N100" s="2575"/>
      <c r="O100" s="2575"/>
      <c r="P100" s="2575"/>
      <c r="Q100" s="2575"/>
      <c r="R100" s="2588"/>
      <c r="S100" s="1930"/>
      <c r="T100" s="1930"/>
      <c r="U100" s="1930"/>
      <c r="V100" s="1935"/>
      <c r="W100" s="1484"/>
      <c r="X100" s="1484"/>
      <c r="Y100" s="1484"/>
      <c r="Z100" s="1484"/>
      <c r="AA100" s="1484"/>
      <c r="AB100" s="1484"/>
      <c r="AC100" s="1484"/>
      <c r="AD100" s="1484"/>
      <c r="AE100" s="1484"/>
      <c r="AF100" s="1484"/>
    </row>
    <row r="101" spans="1:32" s="1277" customFormat="1" ht="18" customHeight="1">
      <c r="A101" s="1297"/>
      <c r="B101" s="1930"/>
      <c r="C101" s="1930"/>
      <c r="D101" s="1930"/>
      <c r="E101" s="1930"/>
      <c r="F101" s="1930"/>
      <c r="G101" s="1930"/>
      <c r="H101" s="2576" t="s">
        <v>1519</v>
      </c>
      <c r="I101" s="2748"/>
      <c r="J101" s="2749"/>
      <c r="K101" s="2749"/>
      <c r="L101" s="2749"/>
      <c r="M101" s="2749"/>
      <c r="N101" s="2749"/>
      <c r="O101" s="2749"/>
      <c r="P101" s="2749"/>
      <c r="Q101" s="2749"/>
      <c r="R101" s="2749"/>
      <c r="S101" s="2749"/>
      <c r="T101" s="2749"/>
      <c r="U101" s="2750"/>
      <c r="V101" s="1935"/>
      <c r="W101" s="1484"/>
      <c r="X101" s="1484"/>
      <c r="Y101" s="1484"/>
      <c r="Z101" s="1484"/>
      <c r="AA101" s="1484"/>
      <c r="AB101" s="1484"/>
      <c r="AC101" s="1484"/>
      <c r="AD101" s="1484"/>
      <c r="AE101" s="1484"/>
      <c r="AF101" s="1484"/>
    </row>
    <row r="102" spans="1:32" s="1277" customFormat="1" ht="6" customHeight="1">
      <c r="A102" s="1297"/>
      <c r="B102" s="1930"/>
      <c r="C102" s="1930"/>
      <c r="D102" s="1488"/>
      <c r="E102" s="1930"/>
      <c r="F102" s="1488"/>
      <c r="G102" s="1937"/>
      <c r="H102" s="1930"/>
      <c r="I102" s="2577"/>
      <c r="J102" s="1930"/>
      <c r="K102" s="1937"/>
      <c r="L102" s="1930"/>
      <c r="M102" s="1930"/>
      <c r="N102" s="1930"/>
      <c r="O102" s="1930"/>
      <c r="P102" s="2575"/>
      <c r="Q102" s="2575"/>
      <c r="R102" s="2588"/>
      <c r="S102" s="1930"/>
      <c r="T102" s="1930"/>
      <c r="U102" s="1930"/>
      <c r="V102" s="1935"/>
      <c r="W102" s="1484"/>
      <c r="X102" s="1484"/>
      <c r="Y102" s="1484"/>
      <c r="Z102" s="1484"/>
      <c r="AA102" s="1484"/>
      <c r="AB102" s="1484"/>
      <c r="AC102" s="1484"/>
      <c r="AD102" s="1484"/>
      <c r="AE102" s="1484"/>
      <c r="AF102" s="1484"/>
    </row>
    <row r="103" spans="1:32" s="1277" customFormat="1" ht="18" customHeight="1">
      <c r="A103" s="1297"/>
      <c r="B103" s="1930"/>
      <c r="C103" s="1930"/>
      <c r="D103" s="1930"/>
      <c r="E103" s="1930"/>
      <c r="F103" s="1930"/>
      <c r="G103" s="1930"/>
      <c r="H103" s="2576" t="s">
        <v>1518</v>
      </c>
      <c r="I103" s="2748"/>
      <c r="J103" s="2749"/>
      <c r="K103" s="2749"/>
      <c r="L103" s="2749"/>
      <c r="M103" s="2749"/>
      <c r="N103" s="2749"/>
      <c r="O103" s="2749"/>
      <c r="P103" s="2749"/>
      <c r="Q103" s="2749"/>
      <c r="R103" s="2749"/>
      <c r="S103" s="2749"/>
      <c r="T103" s="2749"/>
      <c r="U103" s="2750"/>
      <c r="V103" s="1935"/>
      <c r="W103" s="1484"/>
      <c r="X103" s="1484"/>
      <c r="Y103" s="1484"/>
      <c r="Z103" s="1484"/>
      <c r="AA103" s="1484"/>
      <c r="AB103" s="1484"/>
      <c r="AC103" s="1484"/>
      <c r="AD103" s="1484"/>
      <c r="AE103" s="1484"/>
      <c r="AF103" s="1484"/>
    </row>
    <row r="104" spans="1:32" s="1277" customFormat="1" ht="6" customHeight="1">
      <c r="A104" s="1297"/>
      <c r="B104" s="1930"/>
      <c r="C104" s="1930"/>
      <c r="D104" s="1488"/>
      <c r="E104" s="1930"/>
      <c r="F104" s="1488"/>
      <c r="G104" s="1937"/>
      <c r="H104" s="1930"/>
      <c r="I104" s="2577"/>
      <c r="J104" s="1930"/>
      <c r="K104" s="1937"/>
      <c r="L104" s="1930"/>
      <c r="M104" s="1930"/>
      <c r="N104" s="1930"/>
      <c r="O104" s="1930"/>
      <c r="P104" s="2575"/>
      <c r="Q104" s="2575"/>
      <c r="R104" s="2588"/>
      <c r="S104" s="1930"/>
      <c r="T104" s="1930"/>
      <c r="U104" s="1930"/>
      <c r="V104" s="1935"/>
      <c r="W104" s="1484"/>
      <c r="X104" s="1484"/>
      <c r="Y104" s="1484"/>
      <c r="Z104" s="1484"/>
      <c r="AA104" s="1484"/>
      <c r="AB104" s="1484"/>
      <c r="AC104" s="1484"/>
      <c r="AD104" s="1484"/>
      <c r="AE104" s="1484"/>
      <c r="AF104" s="1484"/>
    </row>
    <row r="105" spans="1:32" s="1277" customFormat="1" ht="18" customHeight="1">
      <c r="A105" s="1297"/>
      <c r="B105" s="1930"/>
      <c r="C105" s="1930"/>
      <c r="D105" s="1930"/>
      <c r="E105" s="1930"/>
      <c r="F105" s="1930"/>
      <c r="G105" s="1930"/>
      <c r="H105" s="2576" t="s">
        <v>1517</v>
      </c>
      <c r="I105" s="2748"/>
      <c r="J105" s="2749"/>
      <c r="K105" s="2749"/>
      <c r="L105" s="2749"/>
      <c r="M105" s="2749"/>
      <c r="N105" s="2749"/>
      <c r="O105" s="2749"/>
      <c r="P105" s="2749"/>
      <c r="Q105" s="2749"/>
      <c r="R105" s="2749"/>
      <c r="S105" s="2749"/>
      <c r="T105" s="2749"/>
      <c r="U105" s="2750"/>
      <c r="V105" s="1935"/>
      <c r="W105" s="1484"/>
      <c r="X105" s="1484"/>
      <c r="Y105" s="1484"/>
      <c r="Z105" s="1484"/>
      <c r="AA105" s="1484"/>
      <c r="AB105" s="1484"/>
      <c r="AC105" s="1484"/>
      <c r="AD105" s="1484"/>
      <c r="AE105" s="1484"/>
      <c r="AF105" s="1484"/>
    </row>
    <row r="106" spans="1:32" s="1277" customFormat="1" ht="6" customHeight="1">
      <c r="A106" s="1297"/>
      <c r="B106" s="1930"/>
      <c r="C106" s="1930"/>
      <c r="D106" s="1488"/>
      <c r="E106" s="1930"/>
      <c r="F106" s="1488"/>
      <c r="G106" s="1937"/>
      <c r="H106" s="1930"/>
      <c r="I106" s="2577"/>
      <c r="J106" s="1930"/>
      <c r="K106" s="1937"/>
      <c r="L106" s="1930"/>
      <c r="M106" s="1930"/>
      <c r="N106" s="1930"/>
      <c r="O106" s="1930"/>
      <c r="P106" s="2575"/>
      <c r="Q106" s="2575"/>
      <c r="R106" s="2588"/>
      <c r="S106" s="1930"/>
      <c r="T106" s="1930"/>
      <c r="U106" s="1930"/>
      <c r="V106" s="1935"/>
      <c r="W106" s="1484"/>
      <c r="X106" s="1484"/>
      <c r="Y106" s="1484"/>
      <c r="Z106" s="1484"/>
      <c r="AA106" s="1484"/>
      <c r="AB106" s="1484"/>
      <c r="AC106" s="1484"/>
      <c r="AD106" s="1484"/>
      <c r="AE106" s="1484"/>
      <c r="AF106" s="1484"/>
    </row>
    <row r="107" spans="1:32" s="1277" customFormat="1" ht="18" customHeight="1">
      <c r="A107" s="1297"/>
      <c r="B107" s="1930"/>
      <c r="C107" s="1930"/>
      <c r="D107" s="1930"/>
      <c r="E107" s="1930"/>
      <c r="F107" s="1930"/>
      <c r="G107" s="1930"/>
      <c r="H107" s="2576" t="s">
        <v>1516</v>
      </c>
      <c r="I107" s="2748"/>
      <c r="J107" s="2749"/>
      <c r="K107" s="2749"/>
      <c r="L107" s="2749"/>
      <c r="M107" s="2749"/>
      <c r="N107" s="2749"/>
      <c r="O107" s="2749"/>
      <c r="P107" s="2749"/>
      <c r="Q107" s="2749"/>
      <c r="R107" s="2749"/>
      <c r="S107" s="2749"/>
      <c r="T107" s="2749"/>
      <c r="U107" s="2750"/>
      <c r="V107" s="1935"/>
      <c r="W107" s="1484"/>
      <c r="X107" s="1484"/>
      <c r="Y107" s="1484"/>
      <c r="Z107" s="1484"/>
      <c r="AA107" s="1484"/>
      <c r="AB107" s="1484"/>
      <c r="AC107" s="1484"/>
      <c r="AD107" s="1484"/>
      <c r="AE107" s="1484"/>
      <c r="AF107" s="1484"/>
    </row>
    <row r="108" spans="1:32" s="1277" customFormat="1" ht="6" customHeight="1">
      <c r="A108" s="1297"/>
      <c r="B108" s="1930"/>
      <c r="C108" s="1930"/>
      <c r="D108" s="1930"/>
      <c r="E108" s="1930"/>
      <c r="F108" s="1930"/>
      <c r="G108" s="1937"/>
      <c r="H108" s="1930"/>
      <c r="I108" s="1930"/>
      <c r="J108" s="1930"/>
      <c r="K108" s="1930"/>
      <c r="L108" s="1930"/>
      <c r="M108" s="1930"/>
      <c r="N108" s="1930"/>
      <c r="O108" s="1930"/>
      <c r="P108" s="1930"/>
      <c r="Q108" s="2575"/>
      <c r="R108" s="2588"/>
      <c r="S108" s="1930"/>
      <c r="T108" s="1930"/>
      <c r="U108" s="1930"/>
      <c r="V108" s="1935"/>
      <c r="W108" s="1484"/>
      <c r="X108" s="1484"/>
      <c r="Y108" s="1484"/>
      <c r="Z108" s="1484"/>
      <c r="AA108" s="1484"/>
      <c r="AB108" s="1484"/>
      <c r="AC108" s="1484"/>
      <c r="AD108" s="1484"/>
      <c r="AE108" s="1484"/>
      <c r="AF108" s="1484"/>
    </row>
    <row r="109" spans="1:32" ht="18" customHeight="1">
      <c r="A109" s="1297"/>
      <c r="B109" s="1930"/>
      <c r="C109" s="1930"/>
      <c r="D109" s="1930"/>
      <c r="E109" s="2577"/>
      <c r="F109" s="1937"/>
      <c r="G109" s="2577"/>
      <c r="H109" s="2576" t="s">
        <v>1514</v>
      </c>
      <c r="I109" s="2748"/>
      <c r="J109" s="2749"/>
      <c r="K109" s="2749"/>
      <c r="L109" s="2749"/>
      <c r="M109" s="2749"/>
      <c r="N109" s="2749"/>
      <c r="O109" s="2749"/>
      <c r="P109" s="2749"/>
      <c r="Q109" s="2749"/>
      <c r="R109" s="2749"/>
      <c r="S109" s="2749"/>
      <c r="T109" s="2749"/>
      <c r="U109" s="2750"/>
      <c r="V109" s="1935"/>
      <c r="W109" s="1484"/>
      <c r="X109" s="1484"/>
      <c r="Y109" s="1484"/>
      <c r="Z109" s="1484"/>
      <c r="AA109" s="1484"/>
      <c r="AB109" s="1484"/>
      <c r="AC109" s="1484"/>
      <c r="AD109" s="1484"/>
      <c r="AE109" s="1484"/>
      <c r="AF109" s="1484"/>
    </row>
    <row r="110" spans="1:32" ht="6" customHeight="1">
      <c r="A110" s="1297"/>
      <c r="B110" s="1930"/>
      <c r="C110" s="1930"/>
      <c r="D110" s="1930"/>
      <c r="E110" s="2577"/>
      <c r="F110" s="1930"/>
      <c r="G110" s="2577"/>
      <c r="H110" s="1930"/>
      <c r="I110" s="1930"/>
      <c r="J110" s="1930"/>
      <c r="K110" s="2577"/>
      <c r="L110" s="1930"/>
      <c r="M110" s="2577"/>
      <c r="N110" s="1930"/>
      <c r="O110" s="1930"/>
      <c r="P110" s="2575"/>
      <c r="Q110" s="2575"/>
      <c r="R110" s="1930"/>
      <c r="S110" s="1930"/>
      <c r="T110" s="1930"/>
      <c r="U110" s="1930"/>
      <c r="V110" s="1935"/>
      <c r="W110" s="1484"/>
      <c r="X110" s="1484"/>
      <c r="Y110" s="1484"/>
      <c r="Z110" s="1484"/>
      <c r="AA110" s="1484"/>
      <c r="AB110" s="1484"/>
      <c r="AC110" s="1484"/>
      <c r="AD110" s="1484"/>
      <c r="AE110" s="1484"/>
      <c r="AF110" s="1484"/>
    </row>
    <row r="111" spans="1:32" ht="17.25" customHeight="1">
      <c r="A111" s="1297"/>
      <c r="B111" s="2576" t="s">
        <v>1642</v>
      </c>
      <c r="C111" s="2799"/>
      <c r="D111" s="2800"/>
      <c r="E111" s="2800"/>
      <c r="F111" s="2800"/>
      <c r="G111" s="2800"/>
      <c r="H111" s="2800"/>
      <c r="I111" s="2800"/>
      <c r="J111" s="2800"/>
      <c r="K111" s="2800"/>
      <c r="L111" s="2800"/>
      <c r="M111" s="2800"/>
      <c r="N111" s="2800"/>
      <c r="O111" s="2800"/>
      <c r="P111" s="2800"/>
      <c r="Q111" s="2800"/>
      <c r="R111" s="2800"/>
      <c r="S111" s="2800"/>
      <c r="T111" s="2800"/>
      <c r="U111" s="2801"/>
      <c r="V111" s="1935"/>
      <c r="W111" s="1484"/>
      <c r="X111" s="1484"/>
      <c r="Y111" s="1484"/>
      <c r="Z111" s="1484"/>
      <c r="AA111" s="1484"/>
      <c r="AB111" s="1484"/>
      <c r="AC111" s="1484"/>
      <c r="AD111" s="1484"/>
      <c r="AE111" s="1484"/>
      <c r="AF111" s="1484"/>
    </row>
    <row r="112" spans="1:32" ht="18" customHeight="1">
      <c r="A112" s="1297"/>
      <c r="B112" s="1930"/>
      <c r="C112" s="2802"/>
      <c r="D112" s="2803"/>
      <c r="E112" s="2803"/>
      <c r="F112" s="2803"/>
      <c r="G112" s="2803"/>
      <c r="H112" s="2803"/>
      <c r="I112" s="2803"/>
      <c r="J112" s="2803"/>
      <c r="K112" s="2803"/>
      <c r="L112" s="2803"/>
      <c r="M112" s="2803"/>
      <c r="N112" s="2803"/>
      <c r="O112" s="2803"/>
      <c r="P112" s="2803"/>
      <c r="Q112" s="2803"/>
      <c r="R112" s="2803"/>
      <c r="S112" s="2803"/>
      <c r="T112" s="2803"/>
      <c r="U112" s="2804"/>
      <c r="V112" s="1935"/>
      <c r="W112" s="1484"/>
      <c r="X112" s="1484"/>
      <c r="Y112" s="1484"/>
      <c r="Z112" s="1484"/>
      <c r="AA112" s="1484"/>
      <c r="AB112" s="1484"/>
      <c r="AC112" s="1484"/>
      <c r="AD112" s="1484"/>
      <c r="AE112" s="1484"/>
      <c r="AF112" s="1484"/>
    </row>
    <row r="113" spans="1:32" ht="6" customHeight="1" thickBot="1">
      <c r="A113" s="1309"/>
      <c r="B113" s="1938"/>
      <c r="C113" s="1938"/>
      <c r="D113" s="1502"/>
      <c r="E113" s="1502"/>
      <c r="F113" s="1503"/>
      <c r="G113" s="1945"/>
      <c r="H113" s="1938"/>
      <c r="I113" s="1503"/>
      <c r="J113" s="1938"/>
      <c r="K113" s="1938"/>
      <c r="L113" s="1498"/>
      <c r="M113" s="1498"/>
      <c r="N113" s="1498"/>
      <c r="O113" s="1938"/>
      <c r="P113" s="1938"/>
      <c r="Q113" s="1938"/>
      <c r="R113" s="1938"/>
      <c r="S113" s="1938"/>
      <c r="T113" s="1938"/>
      <c r="U113" s="1938"/>
      <c r="V113" s="1941"/>
      <c r="W113" s="1484"/>
      <c r="X113" s="1484"/>
      <c r="Y113" s="1484"/>
      <c r="Z113" s="1484"/>
      <c r="AA113" s="1484"/>
      <c r="AB113" s="1484"/>
      <c r="AC113" s="1484"/>
      <c r="AD113" s="1484"/>
      <c r="AE113" s="1484"/>
      <c r="AF113" s="1484"/>
    </row>
    <row r="114" spans="1:32">
      <c r="C114" s="1484"/>
      <c r="D114" s="1478"/>
      <c r="E114" s="1478"/>
      <c r="F114" s="1479"/>
      <c r="G114" s="1482"/>
      <c r="H114" s="1484"/>
      <c r="I114" s="1479"/>
      <c r="J114" s="1484"/>
      <c r="K114" s="1484"/>
      <c r="L114" s="1480"/>
      <c r="M114" s="1480"/>
      <c r="N114" s="1480"/>
      <c r="O114" s="1484"/>
      <c r="P114" s="1484"/>
      <c r="Q114" s="1484"/>
      <c r="R114" s="1484"/>
      <c r="S114" s="1484"/>
      <c r="T114" s="1484"/>
      <c r="U114" s="1484"/>
    </row>
    <row r="115" spans="1:32">
      <c r="C115" s="1484"/>
      <c r="D115" s="1478"/>
      <c r="E115" s="1478"/>
      <c r="F115" s="1479"/>
      <c r="G115" s="1482"/>
      <c r="H115" s="1484"/>
      <c r="I115" s="1479"/>
      <c r="J115" s="1484"/>
      <c r="K115" s="1484"/>
      <c r="L115" s="1480"/>
      <c r="M115" s="1480"/>
      <c r="N115" s="1480"/>
      <c r="O115" s="1484"/>
      <c r="P115" s="1484"/>
      <c r="Q115" s="1484"/>
      <c r="R115" s="1484"/>
      <c r="S115" s="1484"/>
      <c r="T115" s="1484"/>
      <c r="U115" s="1484"/>
    </row>
    <row r="116" spans="1:32">
      <c r="C116" s="1484"/>
      <c r="D116" s="1478"/>
      <c r="E116" s="1478"/>
      <c r="F116" s="1479"/>
      <c r="G116" s="1482"/>
      <c r="H116" s="1484"/>
      <c r="I116" s="1479"/>
      <c r="J116" s="1484"/>
      <c r="K116" s="1484"/>
      <c r="L116" s="1480"/>
      <c r="M116" s="1480"/>
      <c r="N116" s="1480"/>
      <c r="O116" s="1484"/>
      <c r="P116" s="1484"/>
      <c r="Q116" s="1484"/>
      <c r="R116" s="1484"/>
      <c r="S116" s="1484"/>
      <c r="T116" s="1484"/>
      <c r="U116" s="1484"/>
    </row>
    <row r="117" spans="1:32">
      <c r="C117" s="1484"/>
      <c r="D117" s="1484"/>
      <c r="E117" s="1478"/>
      <c r="F117" s="1479"/>
      <c r="G117" s="1482"/>
      <c r="H117" s="1484"/>
      <c r="I117" s="1479"/>
      <c r="J117" s="1484"/>
      <c r="K117" s="1484"/>
      <c r="L117" s="1480"/>
      <c r="M117" s="1480"/>
      <c r="N117" s="1480"/>
      <c r="O117" s="1484"/>
      <c r="P117" s="1484"/>
      <c r="Q117" s="1484"/>
      <c r="R117" s="1484"/>
      <c r="S117" s="1484"/>
      <c r="T117" s="1484"/>
      <c r="U117" s="1484"/>
    </row>
    <row r="118" spans="1:32">
      <c r="C118" s="1484"/>
      <c r="D118" s="1478"/>
      <c r="E118" s="1478"/>
      <c r="F118" s="1479"/>
      <c r="G118" s="1482"/>
      <c r="H118" s="1484"/>
      <c r="I118" s="1479"/>
      <c r="J118" s="1484"/>
      <c r="K118" s="1484"/>
      <c r="L118" s="1480"/>
      <c r="M118" s="1480"/>
      <c r="N118" s="1480"/>
      <c r="O118" s="1484"/>
      <c r="P118" s="1484"/>
      <c r="Q118" s="1484"/>
      <c r="R118" s="1484"/>
      <c r="S118" s="1484"/>
      <c r="T118" s="1484"/>
      <c r="U118" s="1484"/>
    </row>
    <row r="119" spans="1:32">
      <c r="C119" s="1484"/>
      <c r="D119" s="1478"/>
      <c r="E119" s="1478"/>
      <c r="F119" s="1479"/>
      <c r="G119" s="1482"/>
      <c r="H119" s="1484"/>
      <c r="I119" s="1479"/>
      <c r="J119" s="1484"/>
      <c r="K119" s="1484"/>
      <c r="L119" s="1480"/>
      <c r="M119" s="1480"/>
      <c r="N119" s="1480"/>
      <c r="O119" s="1484"/>
      <c r="P119" s="1484"/>
      <c r="Q119" s="1484"/>
      <c r="R119" s="1484"/>
      <c r="S119" s="1484"/>
      <c r="T119" s="1484"/>
      <c r="U119" s="1484"/>
    </row>
    <row r="120" spans="1:32">
      <c r="C120" s="1484"/>
      <c r="D120" s="1478"/>
      <c r="E120" s="1479"/>
      <c r="F120" s="1482"/>
      <c r="G120" s="1484"/>
      <c r="H120" s="1484"/>
      <c r="I120" s="1482"/>
      <c r="J120" s="1484"/>
      <c r="K120" s="1482"/>
      <c r="L120" s="1482"/>
      <c r="M120" s="1482"/>
      <c r="N120" s="1484"/>
      <c r="O120" s="1484"/>
      <c r="P120" s="1480"/>
      <c r="Q120" s="1480"/>
      <c r="R120" s="1484"/>
      <c r="S120" s="1484"/>
      <c r="T120" s="1484"/>
      <c r="U120" s="1484"/>
      <c r="V120" s="1484"/>
      <c r="W120" s="1277"/>
      <c r="X120" s="1277"/>
      <c r="Y120" s="1277"/>
      <c r="Z120" s="1277"/>
    </row>
    <row r="121" spans="1:32">
      <c r="C121" s="1484"/>
      <c r="D121" s="1484"/>
      <c r="E121" s="1479"/>
      <c r="F121" s="1484"/>
      <c r="G121" s="1479"/>
      <c r="H121" s="1484"/>
      <c r="I121" s="1479"/>
      <c r="J121" s="1484"/>
      <c r="K121" s="1482"/>
      <c r="L121" s="1482"/>
      <c r="M121" s="1482"/>
      <c r="N121" s="1484"/>
      <c r="O121" s="1484"/>
      <c r="P121" s="1480"/>
      <c r="Q121" s="1480"/>
      <c r="R121" s="1484"/>
      <c r="S121" s="1484"/>
      <c r="T121" s="1484"/>
      <c r="U121" s="1484"/>
      <c r="V121" s="1484"/>
      <c r="W121" s="1277"/>
      <c r="X121" s="1277"/>
      <c r="Y121" s="1277"/>
      <c r="Z121" s="1277"/>
    </row>
    <row r="122" spans="1:32">
      <c r="C122" s="1278"/>
      <c r="D122" s="1484"/>
      <c r="E122" s="1479"/>
      <c r="F122" s="1482"/>
      <c r="G122" s="1479"/>
      <c r="H122" s="1484"/>
      <c r="I122" s="1479"/>
      <c r="J122" s="1482"/>
      <c r="K122" s="1479"/>
      <c r="L122" s="1484"/>
      <c r="M122" s="1479"/>
      <c r="N122" s="1482"/>
      <c r="O122" s="1484"/>
      <c r="P122" s="1484"/>
      <c r="Q122" s="1480"/>
      <c r="R122" s="1484"/>
      <c r="S122" s="1484"/>
      <c r="T122" s="1479"/>
      <c r="U122" s="1484"/>
      <c r="V122" s="1484"/>
      <c r="W122" s="1277"/>
      <c r="X122" s="1277"/>
      <c r="Y122" s="1277"/>
      <c r="Z122" s="1277"/>
    </row>
    <row r="123" spans="1:32">
      <c r="C123" s="971"/>
      <c r="D123" s="1484"/>
      <c r="E123" s="1479"/>
      <c r="F123" s="1483"/>
      <c r="G123" s="1479"/>
      <c r="H123" s="1484"/>
      <c r="I123" s="1479"/>
      <c r="J123" s="1485"/>
      <c r="K123" s="1484"/>
      <c r="L123" s="1484"/>
      <c r="M123" s="1479"/>
      <c r="N123" s="1482"/>
      <c r="O123" s="1484"/>
      <c r="P123" s="1484"/>
      <c r="Q123" s="1480"/>
      <c r="R123" s="1484"/>
      <c r="S123" s="1484"/>
      <c r="T123" s="1484"/>
      <c r="U123" s="1484"/>
      <c r="V123" s="1484"/>
      <c r="W123" s="1277"/>
      <c r="X123" s="1277"/>
      <c r="Y123" s="1277"/>
      <c r="Z123" s="1277"/>
    </row>
    <row r="124" spans="1:32">
      <c r="C124" s="1284"/>
      <c r="F124" s="1285"/>
      <c r="G124" s="972"/>
      <c r="H124" s="1478"/>
      <c r="I124" s="1479"/>
      <c r="J124" s="1285"/>
      <c r="K124" s="972"/>
      <c r="L124" s="1285"/>
      <c r="M124" s="1285"/>
      <c r="N124" s="1479"/>
      <c r="O124" s="1478"/>
      <c r="P124" s="1484"/>
      <c r="Q124" s="1480"/>
      <c r="R124" s="1484"/>
      <c r="S124" s="1484"/>
      <c r="T124" s="1484"/>
      <c r="U124" s="1484"/>
      <c r="V124" s="1484"/>
      <c r="W124" s="1277"/>
      <c r="X124" s="1277"/>
      <c r="Y124" s="1277"/>
      <c r="Z124" s="1277"/>
    </row>
    <row r="125" spans="1:32">
      <c r="C125" s="1484"/>
      <c r="D125" s="1484"/>
      <c r="E125" s="1484"/>
      <c r="F125" s="1484"/>
      <c r="G125" s="1479"/>
      <c r="H125" s="1484"/>
      <c r="I125" s="1479"/>
      <c r="J125" s="1484"/>
      <c r="K125" s="1479"/>
      <c r="L125" s="1484"/>
      <c r="M125" s="1484"/>
      <c r="N125" s="1484"/>
      <c r="O125" s="1484"/>
      <c r="P125" s="1484"/>
      <c r="Q125" s="1480"/>
      <c r="R125" s="1484"/>
      <c r="S125" s="1484"/>
      <c r="T125" s="1484"/>
      <c r="U125" s="1484"/>
      <c r="V125" s="1484"/>
      <c r="W125" s="1277"/>
      <c r="X125" s="1277"/>
      <c r="Y125" s="1277"/>
      <c r="Z125" s="1277"/>
    </row>
    <row r="126" spans="1:32">
      <c r="C126" s="1484"/>
      <c r="D126" s="1484"/>
      <c r="E126" s="1484"/>
      <c r="F126" s="1484"/>
      <c r="G126" s="1479"/>
      <c r="H126" s="1484"/>
      <c r="I126" s="1479"/>
      <c r="J126" s="1484"/>
      <c r="K126" s="1479"/>
      <c r="L126" s="1484"/>
      <c r="M126" s="1484"/>
      <c r="N126" s="1484"/>
      <c r="O126" s="1484"/>
      <c r="P126" s="1484"/>
      <c r="Q126" s="1480"/>
      <c r="R126" s="1484"/>
      <c r="S126" s="1484"/>
      <c r="T126" s="1484"/>
      <c r="U126" s="1484"/>
      <c r="V126" s="1484"/>
      <c r="W126" s="1277"/>
      <c r="X126" s="1277"/>
      <c r="Y126" s="1277"/>
      <c r="Z126" s="1277"/>
    </row>
    <row r="127" spans="1:32">
      <c r="C127" s="1484"/>
      <c r="D127" s="1484"/>
      <c r="E127" s="1484"/>
      <c r="F127" s="1484"/>
      <c r="G127" s="1479"/>
      <c r="H127" s="1484"/>
      <c r="I127" s="1479"/>
      <c r="J127" s="1484"/>
      <c r="K127" s="1479"/>
      <c r="L127" s="1484"/>
      <c r="M127" s="1484"/>
      <c r="N127" s="1484"/>
      <c r="O127" s="1484"/>
      <c r="P127" s="1484"/>
      <c r="Q127" s="1480"/>
      <c r="R127" s="1484"/>
      <c r="S127" s="1484"/>
      <c r="T127" s="1484"/>
      <c r="U127" s="1484"/>
      <c r="V127" s="1484"/>
      <c r="W127" s="1277"/>
      <c r="X127" s="1277"/>
      <c r="Y127" s="1277"/>
      <c r="Z127" s="1277"/>
    </row>
    <row r="128" spans="1:32">
      <c r="C128" s="1484"/>
      <c r="D128" s="1484"/>
      <c r="E128" s="1484"/>
      <c r="F128" s="1484"/>
      <c r="G128" s="1479"/>
      <c r="H128" s="1484"/>
      <c r="I128" s="1479"/>
      <c r="J128" s="1484"/>
      <c r="K128" s="1479"/>
      <c r="L128" s="1484"/>
      <c r="M128" s="1484"/>
      <c r="N128" s="1484"/>
      <c r="O128" s="1484"/>
      <c r="P128" s="1480"/>
      <c r="Q128" s="1480"/>
      <c r="R128" s="1484"/>
      <c r="S128" s="1484"/>
      <c r="T128" s="1484"/>
      <c r="U128" s="1484"/>
      <c r="V128" s="1484"/>
      <c r="W128" s="1277"/>
      <c r="X128" s="1277"/>
      <c r="Y128" s="1277"/>
      <c r="Z128" s="1277"/>
    </row>
    <row r="129" spans="3:26">
      <c r="C129" s="1484"/>
      <c r="D129" s="1484"/>
      <c r="E129" s="1484"/>
      <c r="F129" s="1484"/>
      <c r="G129" s="1479"/>
      <c r="H129" s="1484"/>
      <c r="I129" s="1479"/>
      <c r="J129" s="1484"/>
      <c r="K129" s="1479"/>
      <c r="L129" s="1484"/>
      <c r="M129" s="1484"/>
      <c r="N129" s="1484"/>
      <c r="O129" s="1484"/>
      <c r="P129" s="1480"/>
      <c r="Q129" s="1480"/>
      <c r="R129" s="1484"/>
      <c r="S129" s="1484"/>
      <c r="T129" s="1484"/>
      <c r="U129" s="1484"/>
      <c r="V129" s="1484"/>
      <c r="W129" s="1277"/>
      <c r="X129" s="1277"/>
      <c r="Y129" s="1277"/>
      <c r="Z129" s="1277"/>
    </row>
    <row r="130" spans="3:26">
      <c r="C130" s="1278"/>
      <c r="D130" s="1484"/>
      <c r="E130" s="1484"/>
      <c r="F130" s="1484"/>
      <c r="G130" s="1479"/>
      <c r="H130" s="1484"/>
      <c r="I130" s="1479"/>
      <c r="J130" s="1484"/>
      <c r="K130" s="1479"/>
      <c r="L130" s="1484"/>
      <c r="M130" s="1484"/>
      <c r="N130" s="1484"/>
      <c r="O130" s="1484"/>
      <c r="P130" s="1480"/>
      <c r="Q130" s="1480"/>
      <c r="R130" s="1484"/>
      <c r="S130" s="1484"/>
      <c r="T130" s="1484"/>
      <c r="U130" s="1484"/>
      <c r="V130" s="1484"/>
      <c r="W130" s="1277"/>
      <c r="X130" s="1277"/>
      <c r="Y130" s="1277"/>
      <c r="Z130" s="1277"/>
    </row>
    <row r="131" spans="3:26">
      <c r="C131" s="1484"/>
      <c r="D131" s="1484"/>
      <c r="E131" s="1484"/>
      <c r="F131" s="1484"/>
      <c r="G131" s="1479"/>
      <c r="H131" s="1484"/>
      <c r="I131" s="1479"/>
      <c r="J131" s="1484"/>
      <c r="K131" s="1479"/>
      <c r="L131" s="1484"/>
      <c r="M131" s="1484"/>
      <c r="N131" s="1484"/>
      <c r="O131" s="1484"/>
      <c r="P131" s="1480"/>
      <c r="Q131" s="1480"/>
    </row>
    <row r="132" spans="3:26">
      <c r="C132" s="1484"/>
      <c r="D132" s="1484"/>
      <c r="E132" s="1484"/>
      <c r="F132" s="1484"/>
      <c r="G132" s="1479"/>
      <c r="H132" s="1484"/>
      <c r="I132" s="1479"/>
      <c r="J132" s="1484"/>
      <c r="K132" s="1479"/>
      <c r="L132" s="1484"/>
      <c r="M132" s="1484"/>
      <c r="N132" s="1484"/>
      <c r="O132" s="1484"/>
      <c r="P132" s="1480"/>
      <c r="Q132" s="1480"/>
    </row>
    <row r="133" spans="3:26">
      <c r="C133" s="1484"/>
      <c r="D133" s="1484"/>
      <c r="E133" s="1484"/>
      <c r="F133" s="1484"/>
      <c r="G133" s="1479"/>
      <c r="H133" s="1484"/>
      <c r="I133" s="1479"/>
      <c r="J133" s="1484"/>
      <c r="K133" s="1479"/>
      <c r="L133" s="1484"/>
      <c r="M133" s="1484"/>
      <c r="N133" s="1484"/>
      <c r="O133" s="1484"/>
      <c r="P133" s="1480"/>
      <c r="Q133" s="1480"/>
    </row>
    <row r="134" spans="3:26">
      <c r="C134" s="1484"/>
      <c r="D134" s="1484"/>
      <c r="E134" s="1484"/>
      <c r="F134" s="1484"/>
      <c r="G134" s="1479"/>
      <c r="H134" s="1484"/>
      <c r="I134" s="1479"/>
      <c r="J134" s="1484"/>
      <c r="K134" s="1479"/>
      <c r="L134" s="1484"/>
      <c r="M134" s="1484"/>
      <c r="N134" s="1484"/>
      <c r="O134" s="1484"/>
      <c r="P134" s="1480"/>
      <c r="Q134" s="1480"/>
    </row>
    <row r="135" spans="3:26">
      <c r="C135" s="1484"/>
      <c r="D135" s="1484"/>
      <c r="E135" s="1484"/>
      <c r="F135" s="1484"/>
      <c r="G135" s="1479"/>
      <c r="H135" s="1484"/>
      <c r="I135" s="1479"/>
      <c r="J135" s="1484"/>
      <c r="K135" s="1479"/>
      <c r="L135" s="1484"/>
      <c r="M135" s="1484"/>
      <c r="N135" s="1484"/>
      <c r="O135" s="1484"/>
      <c r="P135" s="1480"/>
      <c r="Q135" s="1480"/>
    </row>
    <row r="136" spans="3:26">
      <c r="C136" s="1484"/>
      <c r="D136" s="1484"/>
      <c r="E136" s="1484"/>
      <c r="F136" s="1484"/>
      <c r="G136" s="1479"/>
      <c r="H136" s="1484"/>
      <c r="I136" s="1479"/>
      <c r="J136" s="1484"/>
      <c r="K136" s="1479"/>
      <c r="L136" s="1484"/>
      <c r="M136" s="1484"/>
      <c r="N136" s="1484"/>
      <c r="O136" s="1484"/>
      <c r="P136" s="1480"/>
      <c r="Q136" s="1480"/>
    </row>
    <row r="137" spans="3:26">
      <c r="C137" s="1484"/>
      <c r="D137" s="1484"/>
      <c r="E137" s="1484"/>
      <c r="F137" s="1484"/>
      <c r="G137" s="1479"/>
      <c r="H137" s="1484"/>
      <c r="I137" s="1479"/>
      <c r="J137" s="1484"/>
      <c r="K137" s="1479"/>
      <c r="L137" s="1484"/>
      <c r="M137" s="1484"/>
      <c r="N137" s="1484"/>
      <c r="O137" s="1484"/>
      <c r="P137" s="1480"/>
      <c r="Q137" s="1480"/>
    </row>
    <row r="138" spans="3:26">
      <c r="C138" s="1484"/>
      <c r="D138" s="1484"/>
      <c r="E138" s="1484"/>
      <c r="F138" s="1484"/>
      <c r="G138" s="1479"/>
      <c r="H138" s="1484"/>
      <c r="I138" s="1479"/>
      <c r="J138" s="1484"/>
      <c r="K138" s="1479"/>
      <c r="L138" s="1484"/>
      <c r="M138" s="1484"/>
      <c r="N138" s="1484"/>
      <c r="O138" s="1484"/>
      <c r="P138" s="1480"/>
      <c r="Q138" s="1480"/>
    </row>
    <row r="139" spans="3:26">
      <c r="C139" s="1484"/>
      <c r="D139" s="1484"/>
      <c r="E139" s="1484"/>
      <c r="F139" s="1484"/>
      <c r="G139" s="1479"/>
      <c r="H139" s="1484"/>
      <c r="I139" s="1479"/>
      <c r="J139" s="1484"/>
      <c r="K139" s="1479"/>
      <c r="L139" s="1484"/>
      <c r="M139" s="1484"/>
      <c r="N139" s="1484"/>
      <c r="O139" s="1484"/>
      <c r="P139" s="1480"/>
      <c r="Q139" s="1480"/>
    </row>
    <row r="140" spans="3:26">
      <c r="C140" s="1484"/>
      <c r="D140" s="1484"/>
      <c r="E140" s="1484"/>
      <c r="F140" s="1484"/>
      <c r="G140" s="1479"/>
      <c r="H140" s="1484"/>
      <c r="I140" s="1479"/>
      <c r="J140" s="1484"/>
      <c r="K140" s="1479"/>
      <c r="L140" s="1484"/>
      <c r="M140" s="1484"/>
      <c r="N140" s="1484"/>
      <c r="O140" s="1484"/>
      <c r="P140" s="1480"/>
      <c r="Q140" s="1480"/>
    </row>
    <row r="141" spans="3:26">
      <c r="C141" s="1484"/>
      <c r="D141" s="1484"/>
      <c r="E141" s="1484"/>
      <c r="F141" s="1484"/>
      <c r="G141" s="1479"/>
      <c r="H141" s="1484"/>
      <c r="I141" s="1479"/>
      <c r="J141" s="1484"/>
      <c r="K141" s="1479"/>
      <c r="L141" s="1484"/>
      <c r="M141" s="1484"/>
      <c r="N141" s="1484"/>
      <c r="O141" s="1484"/>
      <c r="P141" s="1480"/>
      <c r="Q141" s="1480"/>
    </row>
    <row r="142" spans="3:26">
      <c r="C142" s="1484"/>
      <c r="D142" s="1484"/>
      <c r="E142" s="1484"/>
      <c r="F142" s="1484"/>
      <c r="G142" s="1479"/>
      <c r="H142" s="1484"/>
      <c r="I142" s="1479"/>
      <c r="J142" s="1484"/>
      <c r="K142" s="1479"/>
      <c r="L142" s="1484"/>
      <c r="M142" s="1484"/>
      <c r="N142" s="1484"/>
      <c r="O142" s="1484"/>
      <c r="P142" s="1480"/>
      <c r="Q142" s="1480"/>
    </row>
    <row r="143" spans="3:26">
      <c r="C143" s="1484"/>
      <c r="D143" s="1484"/>
      <c r="E143" s="1484"/>
      <c r="F143" s="1484"/>
      <c r="G143" s="1479"/>
      <c r="H143" s="1484"/>
      <c r="I143" s="1479"/>
      <c r="J143" s="1484"/>
      <c r="K143" s="1479"/>
      <c r="L143" s="1484"/>
      <c r="M143" s="1484"/>
      <c r="N143" s="1484"/>
      <c r="O143" s="1484"/>
      <c r="P143" s="1480"/>
      <c r="Q143" s="1480"/>
    </row>
    <row r="144" spans="3:26">
      <c r="C144" s="1484"/>
      <c r="D144" s="1484"/>
      <c r="E144" s="1484"/>
      <c r="F144" s="1484"/>
      <c r="G144" s="1479"/>
      <c r="H144" s="1484"/>
      <c r="I144" s="1479"/>
      <c r="J144" s="1484"/>
      <c r="K144" s="1479"/>
      <c r="L144" s="1484"/>
      <c r="M144" s="1484"/>
      <c r="N144" s="1484"/>
      <c r="O144" s="1484"/>
      <c r="P144" s="1480"/>
      <c r="Q144" s="1480"/>
    </row>
    <row r="145" spans="3:26">
      <c r="C145" s="1484"/>
      <c r="D145" s="1484"/>
      <c r="E145" s="1484"/>
      <c r="F145" s="1484"/>
      <c r="G145" s="1479"/>
      <c r="H145" s="1484"/>
      <c r="I145" s="1479"/>
      <c r="J145" s="1484"/>
      <c r="K145" s="1479"/>
      <c r="L145" s="1484"/>
      <c r="M145" s="1484"/>
      <c r="N145" s="1484"/>
      <c r="O145" s="1484"/>
      <c r="P145" s="1480"/>
      <c r="Q145" s="1480"/>
    </row>
    <row r="146" spans="3:26">
      <c r="C146" s="1484"/>
      <c r="D146" s="1484"/>
      <c r="E146" s="1484"/>
      <c r="F146" s="1484"/>
      <c r="G146" s="1479"/>
      <c r="H146" s="1484"/>
      <c r="I146" s="1479"/>
      <c r="J146" s="1484"/>
      <c r="K146" s="1479"/>
      <c r="L146" s="1484"/>
      <c r="M146" s="1484"/>
      <c r="N146" s="1484"/>
      <c r="O146" s="1484"/>
      <c r="P146" s="1480"/>
      <c r="Q146" s="1480"/>
    </row>
    <row r="147" spans="3:26">
      <c r="C147" s="1484"/>
      <c r="D147" s="1484"/>
      <c r="E147" s="1484"/>
      <c r="F147" s="1484"/>
      <c r="G147" s="1479"/>
      <c r="H147" s="1484"/>
      <c r="I147" s="1479"/>
      <c r="J147" s="1484"/>
      <c r="K147" s="1479"/>
      <c r="L147" s="1484"/>
      <c r="M147" s="1484"/>
      <c r="N147" s="1484"/>
      <c r="O147" s="1484"/>
      <c r="P147" s="1480"/>
      <c r="Q147" s="1480"/>
      <c r="R147" s="1484"/>
      <c r="S147" s="1484"/>
      <c r="T147" s="1484"/>
      <c r="U147" s="1484"/>
      <c r="V147" s="1484"/>
      <c r="W147" s="1277"/>
      <c r="X147" s="1277"/>
      <c r="Y147" s="1277"/>
      <c r="Z147" s="1277"/>
    </row>
    <row r="148" spans="3:26">
      <c r="C148" s="1484"/>
      <c r="D148" s="1484"/>
      <c r="E148" s="1484"/>
      <c r="F148" s="1484"/>
      <c r="G148" s="1479"/>
      <c r="H148" s="1484"/>
      <c r="I148" s="1479"/>
      <c r="J148" s="1484"/>
      <c r="K148" s="1479"/>
      <c r="L148" s="1484"/>
      <c r="M148" s="1484"/>
      <c r="N148" s="1484"/>
      <c r="O148" s="1484"/>
      <c r="P148" s="1480"/>
      <c r="Q148" s="1480"/>
      <c r="R148" s="1484"/>
      <c r="S148" s="1484"/>
      <c r="T148" s="1484"/>
      <c r="U148" s="1484"/>
      <c r="V148" s="1484"/>
      <c r="W148" s="1277"/>
      <c r="X148" s="1277"/>
      <c r="Y148" s="1277"/>
      <c r="Z148" s="1277"/>
    </row>
    <row r="149" spans="3:26">
      <c r="C149" s="1484"/>
      <c r="D149" s="1484"/>
      <c r="E149" s="1484"/>
      <c r="F149" s="1484"/>
      <c r="G149" s="1479"/>
      <c r="H149" s="1484"/>
      <c r="I149" s="1479"/>
      <c r="J149" s="1484"/>
      <c r="K149" s="1479"/>
      <c r="L149" s="1484"/>
      <c r="M149" s="1484"/>
      <c r="N149" s="1484"/>
      <c r="O149" s="1484"/>
      <c r="P149" s="1480"/>
      <c r="Q149" s="1480"/>
      <c r="R149" s="1484"/>
      <c r="S149" s="1484"/>
      <c r="T149" s="1484"/>
      <c r="U149" s="1484"/>
      <c r="V149" s="1484"/>
      <c r="W149" s="1277"/>
      <c r="X149" s="1277"/>
      <c r="Y149" s="1277"/>
      <c r="Z149" s="1277"/>
    </row>
    <row r="150" spans="3:26">
      <c r="C150" s="1484"/>
      <c r="D150" s="1484"/>
      <c r="E150" s="1484"/>
      <c r="F150" s="1484"/>
      <c r="G150" s="1479"/>
      <c r="H150" s="1484"/>
      <c r="I150" s="1479"/>
      <c r="J150" s="1484"/>
      <c r="K150" s="1479"/>
      <c r="L150" s="1484"/>
      <c r="M150" s="1484"/>
      <c r="N150" s="1484"/>
      <c r="O150" s="1484"/>
      <c r="P150" s="1480"/>
      <c r="Q150" s="1480"/>
      <c r="R150" s="1484"/>
      <c r="S150" s="1484"/>
      <c r="T150" s="1484"/>
      <c r="U150" s="1484"/>
      <c r="V150" s="1484"/>
      <c r="W150" s="1277"/>
      <c r="X150" s="1277"/>
      <c r="Y150" s="1277"/>
      <c r="Z150" s="1277"/>
    </row>
    <row r="151" spans="3:26">
      <c r="C151" s="1484"/>
      <c r="D151" s="1484"/>
      <c r="E151" s="1484"/>
      <c r="F151" s="1484"/>
      <c r="G151" s="1479"/>
      <c r="H151" s="1484"/>
      <c r="I151" s="1479"/>
      <c r="J151" s="1484"/>
      <c r="K151" s="1479"/>
      <c r="L151" s="1484"/>
      <c r="M151" s="1484"/>
      <c r="N151" s="1484"/>
      <c r="O151" s="1484"/>
      <c r="P151" s="1480"/>
      <c r="Q151" s="1480"/>
      <c r="R151" s="1484"/>
      <c r="S151" s="1484"/>
      <c r="T151" s="1484"/>
      <c r="U151" s="1484"/>
      <c r="V151" s="1484"/>
      <c r="W151" s="1277"/>
      <c r="X151" s="1277"/>
      <c r="Y151" s="1277"/>
      <c r="Z151" s="1277"/>
    </row>
    <row r="152" spans="3:26">
      <c r="C152" s="1484"/>
      <c r="D152" s="1484"/>
      <c r="E152" s="1484"/>
      <c r="F152" s="1484"/>
      <c r="G152" s="1479"/>
      <c r="H152" s="1484"/>
      <c r="I152" s="1479"/>
      <c r="J152" s="1484"/>
      <c r="K152" s="1479"/>
      <c r="L152" s="1484"/>
      <c r="M152" s="1484"/>
      <c r="N152" s="1484"/>
      <c r="O152" s="1484"/>
      <c r="P152" s="1480"/>
      <c r="Q152" s="1480"/>
      <c r="R152" s="1484"/>
      <c r="S152" s="1484"/>
      <c r="T152" s="1484"/>
      <c r="U152" s="1484"/>
      <c r="V152" s="1484"/>
      <c r="W152" s="1277"/>
      <c r="X152" s="1277"/>
      <c r="Y152" s="1277"/>
      <c r="Z152" s="1277"/>
    </row>
    <row r="153" spans="3:26">
      <c r="C153" s="1484"/>
      <c r="D153" s="1484"/>
      <c r="E153" s="1484"/>
      <c r="F153" s="1484"/>
      <c r="G153" s="1479"/>
      <c r="H153" s="1484"/>
      <c r="I153" s="1479"/>
      <c r="J153" s="1484"/>
      <c r="K153" s="1479"/>
      <c r="L153" s="1484"/>
      <c r="M153" s="1484"/>
      <c r="N153" s="1484"/>
      <c r="O153" s="1484"/>
      <c r="P153" s="1480"/>
      <c r="Q153" s="1480"/>
      <c r="R153" s="1484"/>
      <c r="S153" s="1484"/>
      <c r="T153" s="1484"/>
      <c r="U153" s="1484"/>
      <c r="V153" s="1484"/>
      <c r="W153" s="1277"/>
      <c r="X153" s="1277"/>
      <c r="Y153" s="1277"/>
      <c r="Z153" s="1277"/>
    </row>
    <row r="154" spans="3:26">
      <c r="C154" s="1484"/>
      <c r="D154" s="1484"/>
      <c r="E154" s="1484"/>
      <c r="F154" s="1484"/>
      <c r="G154" s="1479"/>
      <c r="H154" s="1484"/>
      <c r="I154" s="1479"/>
      <c r="J154" s="1484"/>
      <c r="K154" s="1479"/>
      <c r="L154" s="1484"/>
      <c r="M154" s="1484"/>
      <c r="N154" s="1484"/>
      <c r="O154" s="1484"/>
      <c r="P154" s="1480"/>
      <c r="Q154" s="1480"/>
      <c r="R154" s="1484"/>
      <c r="S154" s="1484"/>
      <c r="T154" s="1484"/>
      <c r="U154" s="1484"/>
      <c r="V154" s="1484"/>
      <c r="W154" s="1277"/>
      <c r="X154" s="1277"/>
      <c r="Y154" s="1277"/>
      <c r="Z154" s="1277"/>
    </row>
    <row r="155" spans="3:26">
      <c r="C155" s="1484"/>
      <c r="D155" s="1484"/>
      <c r="E155" s="1484"/>
      <c r="F155" s="1484"/>
      <c r="G155" s="1479"/>
      <c r="H155" s="1484"/>
      <c r="I155" s="1479"/>
      <c r="J155" s="1484"/>
      <c r="K155" s="1479"/>
      <c r="L155" s="1484"/>
      <c r="M155" s="1484"/>
      <c r="N155" s="1484"/>
      <c r="O155" s="1484"/>
      <c r="P155" s="1480"/>
      <c r="Q155" s="1480"/>
      <c r="R155" s="1484"/>
      <c r="S155" s="1484"/>
      <c r="T155" s="1484"/>
      <c r="U155" s="1484"/>
      <c r="V155" s="1484"/>
      <c r="W155" s="1277"/>
      <c r="X155" s="1277"/>
      <c r="Y155" s="1277"/>
      <c r="Z155" s="1277"/>
    </row>
    <row r="156" spans="3:26">
      <c r="C156" s="1484"/>
      <c r="D156" s="1484"/>
      <c r="E156" s="1484"/>
      <c r="F156" s="1484"/>
      <c r="G156" s="1479"/>
      <c r="H156" s="1484"/>
      <c r="I156" s="1479"/>
      <c r="J156" s="1484"/>
      <c r="K156" s="1479"/>
      <c r="L156" s="1484"/>
      <c r="M156" s="1484"/>
      <c r="N156" s="1484"/>
      <c r="O156" s="1484"/>
      <c r="P156" s="1480"/>
      <c r="Q156" s="1480"/>
      <c r="R156" s="1484"/>
      <c r="S156" s="1484"/>
      <c r="T156" s="1484"/>
      <c r="U156" s="1484"/>
      <c r="V156" s="1484"/>
      <c r="W156" s="1277"/>
      <c r="X156" s="1277"/>
      <c r="Y156" s="1277"/>
      <c r="Z156" s="1277"/>
    </row>
    <row r="157" spans="3:26">
      <c r="C157" s="1484"/>
      <c r="D157" s="1484"/>
      <c r="E157" s="1484"/>
      <c r="F157" s="1484"/>
      <c r="G157" s="1479"/>
      <c r="H157" s="1484"/>
      <c r="I157" s="1479"/>
      <c r="J157" s="1484"/>
      <c r="K157" s="1479"/>
      <c r="L157" s="1484"/>
      <c r="M157" s="1484"/>
      <c r="N157" s="1484"/>
      <c r="O157" s="1484"/>
      <c r="P157" s="1480"/>
      <c r="Q157" s="1480"/>
      <c r="R157" s="1484"/>
      <c r="S157" s="1484"/>
      <c r="T157" s="1484"/>
      <c r="U157" s="1484"/>
      <c r="V157" s="1484"/>
      <c r="W157" s="1277"/>
      <c r="X157" s="1277"/>
      <c r="Y157" s="1277"/>
      <c r="Z157" s="1277"/>
    </row>
    <row r="158" spans="3:26">
      <c r="C158" s="1484"/>
      <c r="D158" s="1484"/>
      <c r="E158" s="1484"/>
      <c r="F158" s="1484"/>
      <c r="G158" s="1479"/>
      <c r="H158" s="1484"/>
      <c r="I158" s="1479"/>
      <c r="J158" s="1484"/>
      <c r="K158" s="1479"/>
      <c r="L158" s="1484"/>
      <c r="M158" s="1484"/>
      <c r="N158" s="1484"/>
      <c r="O158" s="1484"/>
      <c r="P158" s="1480"/>
      <c r="Q158" s="1480"/>
      <c r="R158" s="1484"/>
      <c r="S158" s="1484"/>
      <c r="T158" s="1484"/>
      <c r="U158" s="1484"/>
      <c r="V158" s="1484"/>
      <c r="W158" s="1277"/>
      <c r="X158" s="1277"/>
      <c r="Y158" s="1277"/>
      <c r="Z158" s="1277"/>
    </row>
    <row r="159" spans="3:26">
      <c r="C159" s="1484"/>
      <c r="D159" s="1484"/>
      <c r="E159" s="1484"/>
      <c r="F159" s="1484"/>
      <c r="G159" s="1479"/>
      <c r="H159" s="1484"/>
      <c r="I159" s="1479"/>
      <c r="J159" s="1484"/>
      <c r="K159" s="1479"/>
      <c r="L159" s="1484"/>
      <c r="M159" s="1484"/>
      <c r="N159" s="1484"/>
      <c r="O159" s="1484"/>
      <c r="P159" s="1480"/>
      <c r="Q159" s="1480"/>
      <c r="R159" s="1484"/>
      <c r="S159" s="1484"/>
      <c r="T159" s="1484"/>
      <c r="U159" s="1484"/>
      <c r="V159" s="1484"/>
      <c r="W159" s="1277"/>
      <c r="X159" s="1277"/>
      <c r="Y159" s="1277"/>
      <c r="Z159" s="1277"/>
    </row>
    <row r="160" spans="3:26">
      <c r="C160" s="1484"/>
      <c r="D160" s="1484"/>
      <c r="E160" s="1484"/>
      <c r="F160" s="1484"/>
      <c r="G160" s="1479"/>
      <c r="H160" s="1484"/>
      <c r="I160" s="1479"/>
      <c r="J160" s="1484"/>
      <c r="K160" s="1479"/>
      <c r="L160" s="1484"/>
      <c r="M160" s="1484"/>
      <c r="N160" s="1484"/>
      <c r="O160" s="1484"/>
      <c r="P160" s="1480"/>
      <c r="Q160" s="1480"/>
      <c r="R160" s="1484"/>
      <c r="S160" s="1484"/>
      <c r="T160" s="1484"/>
      <c r="U160" s="1484"/>
      <c r="V160" s="1484"/>
      <c r="W160" s="1277"/>
      <c r="X160" s="1277"/>
      <c r="Y160" s="1277"/>
      <c r="Z160" s="1277"/>
    </row>
    <row r="161" spans="3:26">
      <c r="C161" s="1277"/>
      <c r="D161" s="1277"/>
      <c r="E161" s="1277"/>
      <c r="F161" s="1277"/>
      <c r="G161" s="921"/>
      <c r="H161" s="1277"/>
      <c r="I161" s="921"/>
      <c r="J161" s="1277"/>
      <c r="K161" s="921"/>
      <c r="L161" s="1277"/>
      <c r="M161" s="1277"/>
      <c r="N161" s="1277"/>
      <c r="O161" s="1277"/>
      <c r="P161" s="919"/>
      <c r="Q161" s="919"/>
      <c r="R161" s="1277"/>
      <c r="S161" s="1277"/>
      <c r="T161" s="1277"/>
      <c r="U161" s="1277"/>
      <c r="V161" s="1277"/>
      <c r="W161" s="1277"/>
      <c r="X161" s="1277"/>
      <c r="Y161" s="1277"/>
      <c r="Z161" s="1277"/>
    </row>
    <row r="162" spans="3:26">
      <c r="C162" s="1277"/>
      <c r="D162" s="1277"/>
      <c r="E162" s="1277"/>
      <c r="F162" s="1277"/>
      <c r="G162" s="921"/>
      <c r="H162" s="1277"/>
      <c r="I162" s="921"/>
      <c r="J162" s="1277"/>
      <c r="K162" s="921"/>
      <c r="L162" s="1277"/>
      <c r="M162" s="1277"/>
      <c r="N162" s="1277"/>
      <c r="O162" s="1277"/>
      <c r="P162" s="919"/>
      <c r="Q162" s="919"/>
      <c r="R162" s="1277"/>
      <c r="S162" s="1277"/>
      <c r="T162" s="1277"/>
      <c r="U162" s="1277"/>
      <c r="V162" s="1277"/>
      <c r="W162" s="1277"/>
      <c r="X162" s="1277"/>
      <c r="Y162" s="1277"/>
      <c r="Z162" s="1277"/>
    </row>
    <row r="163" spans="3:26">
      <c r="G163" s="921"/>
      <c r="H163" s="1277"/>
      <c r="I163" s="921"/>
      <c r="J163" s="1277"/>
      <c r="K163" s="921"/>
      <c r="L163" s="1277"/>
      <c r="M163" s="1277"/>
      <c r="N163" s="1277"/>
      <c r="O163" s="1277"/>
      <c r="P163" s="919"/>
      <c r="Q163" s="919"/>
    </row>
    <row r="164" spans="3:26">
      <c r="G164" s="921"/>
      <c r="H164" s="1277"/>
      <c r="I164" s="921"/>
      <c r="J164" s="1277"/>
      <c r="K164" s="921"/>
      <c r="L164" s="1277"/>
      <c r="M164" s="1277"/>
      <c r="N164" s="1277"/>
      <c r="O164" s="1277"/>
      <c r="P164" s="919"/>
      <c r="Q164" s="919"/>
    </row>
    <row r="165" spans="3:26">
      <c r="G165" s="921"/>
      <c r="H165" s="1277"/>
      <c r="I165" s="921"/>
      <c r="J165" s="1277"/>
      <c r="K165" s="921"/>
      <c r="L165" s="1277"/>
      <c r="M165" s="1277"/>
      <c r="N165" s="1277"/>
      <c r="O165" s="1277"/>
      <c r="P165" s="919"/>
      <c r="Q165" s="919"/>
    </row>
    <row r="166" spans="3:26">
      <c r="G166" s="921"/>
      <c r="H166" s="1277"/>
      <c r="I166" s="921"/>
      <c r="J166" s="1277"/>
      <c r="K166" s="921"/>
      <c r="L166" s="1277"/>
      <c r="M166" s="1277"/>
      <c r="N166" s="1277"/>
      <c r="O166" s="1277"/>
      <c r="P166" s="919"/>
      <c r="Q166" s="919"/>
    </row>
    <row r="167" spans="3:26">
      <c r="G167" s="921"/>
      <c r="H167" s="1277"/>
      <c r="I167" s="921"/>
      <c r="J167" s="1277"/>
      <c r="K167" s="921"/>
      <c r="L167" s="1277"/>
      <c r="M167" s="1277"/>
      <c r="N167" s="1277"/>
      <c r="O167" s="1277"/>
      <c r="P167" s="919"/>
      <c r="Q167" s="919"/>
    </row>
    <row r="168" spans="3:26">
      <c r="G168" s="921"/>
      <c r="H168" s="1277"/>
      <c r="I168" s="921"/>
      <c r="J168" s="1277"/>
      <c r="K168" s="921"/>
      <c r="L168" s="1277"/>
      <c r="M168" s="1277"/>
      <c r="N168" s="1277"/>
      <c r="O168" s="1277"/>
      <c r="P168" s="919"/>
      <c r="Q168" s="919"/>
    </row>
    <row r="169" spans="3:26">
      <c r="G169" s="921"/>
      <c r="H169" s="1277"/>
      <c r="I169" s="921"/>
      <c r="J169" s="1277"/>
      <c r="K169" s="921"/>
      <c r="L169" s="1277"/>
      <c r="M169" s="1277"/>
      <c r="N169" s="1277"/>
      <c r="O169" s="1277"/>
      <c r="P169" s="919"/>
      <c r="Q169" s="919"/>
    </row>
    <row r="170" spans="3:26">
      <c r="G170" s="921"/>
      <c r="H170" s="1277"/>
      <c r="I170" s="921"/>
      <c r="J170" s="1277"/>
      <c r="K170" s="921"/>
      <c r="L170" s="1277"/>
      <c r="M170" s="1277"/>
      <c r="N170" s="1277"/>
      <c r="O170" s="1277"/>
      <c r="P170" s="919"/>
      <c r="Q170" s="919"/>
    </row>
    <row r="171" spans="3:26">
      <c r="G171" s="921"/>
      <c r="H171" s="1277"/>
      <c r="I171" s="921"/>
      <c r="J171" s="1277"/>
      <c r="K171" s="921"/>
      <c r="L171" s="1277"/>
      <c r="M171" s="1277"/>
      <c r="N171" s="1277"/>
      <c r="O171" s="1277"/>
      <c r="P171" s="919"/>
      <c r="Q171" s="919"/>
    </row>
    <row r="172" spans="3:26">
      <c r="G172" s="921"/>
      <c r="H172" s="1277"/>
      <c r="I172" s="921"/>
      <c r="J172" s="1277"/>
      <c r="K172" s="921"/>
      <c r="L172" s="1277"/>
      <c r="M172" s="1277"/>
      <c r="N172" s="1277"/>
      <c r="O172" s="1277"/>
      <c r="P172" s="919"/>
      <c r="Q172" s="919"/>
    </row>
    <row r="173" spans="3:26">
      <c r="G173" s="921"/>
      <c r="H173" s="1277"/>
      <c r="I173" s="921"/>
      <c r="J173" s="1277"/>
      <c r="K173" s="921"/>
      <c r="L173" s="1277"/>
      <c r="M173" s="1277"/>
      <c r="N173" s="1277"/>
      <c r="O173" s="1277"/>
      <c r="P173" s="919"/>
      <c r="Q173" s="919"/>
    </row>
    <row r="174" spans="3:26">
      <c r="G174" s="921"/>
      <c r="H174" s="1277"/>
      <c r="I174" s="921"/>
      <c r="J174" s="1277"/>
      <c r="K174" s="921"/>
      <c r="L174" s="1277"/>
      <c r="M174" s="1277"/>
      <c r="N174" s="1277"/>
      <c r="O174" s="1277"/>
      <c r="P174" s="919"/>
      <c r="Q174" s="919"/>
    </row>
    <row r="175" spans="3:26">
      <c r="G175" s="921"/>
      <c r="H175" s="1277"/>
      <c r="I175" s="921"/>
      <c r="J175" s="1277"/>
      <c r="K175" s="921"/>
      <c r="L175" s="1277"/>
      <c r="M175" s="1277"/>
      <c r="N175" s="1277"/>
      <c r="O175" s="1277"/>
      <c r="P175" s="919"/>
      <c r="Q175" s="919"/>
    </row>
    <row r="176" spans="3:26">
      <c r="G176" s="921"/>
      <c r="H176" s="1277"/>
      <c r="I176" s="921"/>
      <c r="J176" s="1277"/>
      <c r="K176" s="921"/>
      <c r="L176" s="1277"/>
      <c r="M176" s="1277"/>
      <c r="N176" s="1277"/>
      <c r="O176" s="1277"/>
      <c r="P176" s="919"/>
      <c r="Q176" s="919"/>
    </row>
    <row r="177" spans="7:17">
      <c r="G177" s="921"/>
      <c r="H177" s="1277"/>
      <c r="I177" s="921"/>
      <c r="J177" s="1277"/>
      <c r="K177" s="921"/>
      <c r="L177" s="1277"/>
      <c r="M177" s="1277"/>
      <c r="N177" s="1277"/>
      <c r="O177" s="1277"/>
      <c r="P177" s="919"/>
      <c r="Q177" s="919"/>
    </row>
    <row r="178" spans="7:17">
      <c r="G178" s="921"/>
      <c r="H178" s="1277"/>
      <c r="I178" s="921"/>
      <c r="J178" s="1277"/>
      <c r="K178" s="921"/>
      <c r="L178" s="1277"/>
      <c r="M178" s="1277"/>
      <c r="N178" s="1277"/>
      <c r="O178" s="1277"/>
      <c r="P178" s="919"/>
      <c r="Q178" s="919"/>
    </row>
    <row r="179" spans="7:17">
      <c r="G179" s="921"/>
      <c r="H179" s="1277"/>
      <c r="I179" s="921"/>
      <c r="J179" s="1277"/>
      <c r="K179" s="921"/>
      <c r="L179" s="1277"/>
      <c r="M179" s="1277"/>
      <c r="N179" s="1277"/>
      <c r="O179" s="1277"/>
      <c r="P179" s="919"/>
      <c r="Q179" s="919"/>
    </row>
    <row r="180" spans="7:17">
      <c r="G180" s="921"/>
      <c r="H180" s="1277"/>
      <c r="I180" s="921"/>
      <c r="J180" s="1277"/>
      <c r="K180" s="921"/>
      <c r="L180" s="1277"/>
      <c r="M180" s="1277"/>
      <c r="N180" s="1277"/>
      <c r="O180" s="1277"/>
      <c r="P180" s="919"/>
      <c r="Q180" s="919"/>
    </row>
    <row r="181" spans="7:17">
      <c r="G181" s="921"/>
      <c r="H181" s="1277"/>
      <c r="I181" s="921"/>
      <c r="J181" s="1277"/>
      <c r="K181" s="921"/>
      <c r="L181" s="1277"/>
      <c r="M181" s="1277"/>
      <c r="N181" s="1277"/>
      <c r="O181" s="1277"/>
      <c r="P181" s="919"/>
      <c r="Q181" s="919"/>
    </row>
    <row r="182" spans="7:17">
      <c r="G182" s="921"/>
      <c r="H182" s="1277"/>
      <c r="I182" s="921"/>
      <c r="J182" s="1277"/>
      <c r="K182" s="921"/>
      <c r="L182" s="1277"/>
      <c r="M182" s="1277"/>
      <c r="N182" s="1277"/>
      <c r="O182" s="1277"/>
      <c r="P182" s="919"/>
      <c r="Q182" s="919"/>
    </row>
    <row r="183" spans="7:17">
      <c r="G183" s="921"/>
      <c r="H183" s="1277"/>
      <c r="I183" s="921"/>
      <c r="J183" s="1277"/>
      <c r="K183" s="921"/>
      <c r="L183" s="1277"/>
      <c r="M183" s="1277"/>
      <c r="N183" s="1277"/>
      <c r="O183" s="1277"/>
      <c r="P183" s="919"/>
      <c r="Q183" s="919"/>
    </row>
    <row r="184" spans="7:17">
      <c r="G184" s="921"/>
      <c r="H184" s="1277"/>
      <c r="I184" s="921"/>
      <c r="J184" s="1277"/>
      <c r="K184" s="921"/>
      <c r="L184" s="1277"/>
      <c r="M184" s="1277"/>
      <c r="N184" s="1277"/>
      <c r="O184" s="1277"/>
      <c r="P184" s="919"/>
      <c r="Q184" s="919"/>
    </row>
    <row r="185" spans="7:17">
      <c r="G185" s="921"/>
      <c r="H185" s="1277"/>
      <c r="I185" s="921"/>
      <c r="J185" s="1277"/>
      <c r="K185" s="921"/>
      <c r="L185" s="1277"/>
      <c r="M185" s="1277"/>
      <c r="N185" s="1277"/>
      <c r="O185" s="1277"/>
      <c r="P185" s="919"/>
      <c r="Q185" s="919"/>
    </row>
    <row r="186" spans="7:17">
      <c r="G186" s="921"/>
      <c r="H186" s="1277"/>
      <c r="I186" s="921"/>
      <c r="J186" s="1277"/>
      <c r="K186" s="921"/>
      <c r="L186" s="1277"/>
      <c r="M186" s="1277"/>
      <c r="N186" s="1277"/>
      <c r="O186" s="1277"/>
      <c r="P186" s="919"/>
      <c r="Q186" s="919"/>
    </row>
    <row r="187" spans="7:17">
      <c r="G187" s="921"/>
      <c r="H187" s="1277"/>
      <c r="I187" s="921"/>
      <c r="J187" s="1277"/>
      <c r="K187" s="921"/>
      <c r="L187" s="1277"/>
      <c r="M187" s="1277"/>
      <c r="N187" s="1277"/>
      <c r="O187" s="1277"/>
      <c r="P187" s="919"/>
      <c r="Q187" s="919"/>
    </row>
    <row r="188" spans="7:17">
      <c r="G188" s="921"/>
      <c r="H188" s="1277"/>
      <c r="I188" s="921"/>
      <c r="J188" s="1277"/>
      <c r="K188" s="921"/>
      <c r="L188" s="1277"/>
      <c r="M188" s="1277"/>
      <c r="N188" s="1277"/>
      <c r="O188" s="1277"/>
      <c r="P188" s="919"/>
      <c r="Q188" s="919"/>
    </row>
    <row r="189" spans="7:17">
      <c r="G189" s="921"/>
      <c r="H189" s="1277"/>
      <c r="I189" s="921"/>
      <c r="J189" s="1277"/>
      <c r="K189" s="921"/>
      <c r="L189" s="1277"/>
      <c r="M189" s="1277"/>
      <c r="N189" s="1277"/>
      <c r="O189" s="1277"/>
      <c r="P189" s="919"/>
      <c r="Q189" s="919"/>
    </row>
    <row r="190" spans="7:17">
      <c r="G190" s="921"/>
      <c r="H190" s="1277"/>
      <c r="I190" s="921"/>
      <c r="J190" s="1277"/>
      <c r="K190" s="921"/>
      <c r="L190" s="1277"/>
      <c r="M190" s="1277"/>
      <c r="N190" s="1277"/>
      <c r="O190" s="1277"/>
      <c r="P190" s="919"/>
      <c r="Q190" s="919"/>
    </row>
    <row r="191" spans="7:17">
      <c r="G191" s="921"/>
      <c r="H191" s="1277"/>
      <c r="I191" s="921"/>
      <c r="J191" s="1277"/>
      <c r="K191" s="921"/>
      <c r="L191" s="1277"/>
      <c r="M191" s="1277"/>
      <c r="N191" s="1277"/>
      <c r="O191" s="1277"/>
      <c r="P191" s="919"/>
      <c r="Q191" s="919"/>
    </row>
    <row r="192" spans="7:17">
      <c r="G192" s="921"/>
      <c r="H192" s="1277"/>
      <c r="I192" s="921"/>
      <c r="J192" s="1277"/>
      <c r="K192" s="921"/>
      <c r="L192" s="1277"/>
      <c r="M192" s="1277"/>
      <c r="N192" s="1277"/>
      <c r="O192" s="1277"/>
      <c r="P192" s="919"/>
      <c r="Q192" s="919"/>
    </row>
    <row r="193" spans="7:17">
      <c r="G193" s="921"/>
      <c r="H193" s="1277"/>
      <c r="I193" s="921"/>
      <c r="J193" s="1277"/>
      <c r="K193" s="921"/>
      <c r="L193" s="1277"/>
      <c r="M193" s="1277"/>
      <c r="N193" s="1277"/>
      <c r="O193" s="1277"/>
      <c r="P193" s="919"/>
      <c r="Q193" s="919"/>
    </row>
    <row r="194" spans="7:17">
      <c r="G194" s="921"/>
      <c r="H194" s="1277"/>
      <c r="I194" s="921"/>
      <c r="J194" s="1277"/>
      <c r="K194" s="921"/>
      <c r="L194" s="1277"/>
      <c r="M194" s="1277"/>
      <c r="N194" s="1277"/>
      <c r="O194" s="1277"/>
      <c r="P194" s="919"/>
      <c r="Q194" s="919"/>
    </row>
    <row r="195" spans="7:17">
      <c r="G195" s="921"/>
      <c r="H195" s="1277"/>
      <c r="I195" s="921"/>
      <c r="J195" s="1277"/>
      <c r="K195" s="921"/>
      <c r="L195" s="1277"/>
      <c r="M195" s="1277"/>
      <c r="N195" s="1277"/>
      <c r="O195" s="1277"/>
      <c r="P195" s="919"/>
      <c r="Q195" s="919"/>
    </row>
    <row r="196" spans="7:17">
      <c r="G196" s="921"/>
      <c r="H196" s="1277"/>
      <c r="I196" s="921"/>
      <c r="J196" s="1277"/>
      <c r="K196" s="921"/>
      <c r="L196" s="1277"/>
      <c r="M196" s="1277"/>
      <c r="N196" s="1277"/>
      <c r="O196" s="1277"/>
      <c r="P196" s="919"/>
      <c r="Q196" s="919"/>
    </row>
    <row r="197" spans="7:17">
      <c r="G197" s="921"/>
      <c r="H197" s="1277"/>
      <c r="I197" s="921"/>
      <c r="J197" s="1277"/>
      <c r="K197" s="921"/>
      <c r="L197" s="1277"/>
      <c r="M197" s="1277"/>
      <c r="N197" s="1277"/>
      <c r="O197" s="1277"/>
      <c r="P197" s="919"/>
      <c r="Q197" s="919"/>
    </row>
    <row r="198" spans="7:17">
      <c r="G198" s="921"/>
      <c r="H198" s="1277"/>
      <c r="I198" s="921"/>
      <c r="J198" s="1277"/>
      <c r="K198" s="921"/>
      <c r="L198" s="1277"/>
      <c r="M198" s="1277"/>
      <c r="N198" s="1277"/>
      <c r="O198" s="1277"/>
      <c r="P198" s="919"/>
      <c r="Q198" s="919"/>
    </row>
    <row r="199" spans="7:17">
      <c r="G199" s="921"/>
      <c r="H199" s="1277"/>
      <c r="I199" s="921"/>
      <c r="J199" s="1277"/>
      <c r="K199" s="921"/>
      <c r="L199" s="1277"/>
      <c r="M199" s="1277"/>
      <c r="N199" s="1277"/>
      <c r="O199" s="1277"/>
      <c r="P199" s="919"/>
      <c r="Q199" s="919"/>
    </row>
    <row r="200" spans="7:17">
      <c r="G200" s="921"/>
      <c r="H200" s="1277"/>
      <c r="I200" s="921"/>
      <c r="J200" s="1277"/>
      <c r="K200" s="921"/>
      <c r="L200" s="1277"/>
      <c r="M200" s="1277"/>
      <c r="N200" s="1277"/>
      <c r="O200" s="1277"/>
      <c r="P200" s="919"/>
      <c r="Q200" s="919"/>
    </row>
    <row r="201" spans="7:17">
      <c r="G201" s="921"/>
      <c r="H201" s="1277"/>
      <c r="I201" s="921"/>
      <c r="J201" s="1277"/>
      <c r="K201" s="921"/>
      <c r="L201" s="1277"/>
      <c r="M201" s="1277"/>
      <c r="N201" s="1277"/>
      <c r="O201" s="1277"/>
      <c r="P201" s="919"/>
      <c r="Q201" s="919"/>
    </row>
    <row r="202" spans="7:17">
      <c r="G202" s="921"/>
      <c r="H202" s="1277"/>
      <c r="I202" s="921"/>
      <c r="J202" s="1277"/>
      <c r="K202" s="921"/>
      <c r="L202" s="1277"/>
      <c r="M202" s="1277"/>
      <c r="N202" s="1277"/>
      <c r="O202" s="1277"/>
      <c r="P202" s="919"/>
      <c r="Q202" s="919"/>
    </row>
    <row r="203" spans="7:17">
      <c r="G203" s="921"/>
      <c r="H203" s="1277"/>
      <c r="I203" s="921"/>
      <c r="J203" s="1277"/>
      <c r="K203" s="921"/>
      <c r="L203" s="1277"/>
      <c r="M203" s="1277"/>
      <c r="N203" s="1277"/>
      <c r="O203" s="1277"/>
      <c r="P203" s="919"/>
      <c r="Q203" s="919"/>
    </row>
    <row r="204" spans="7:17">
      <c r="G204" s="921"/>
      <c r="H204" s="1277"/>
      <c r="I204" s="921"/>
      <c r="J204" s="1277"/>
      <c r="K204" s="921"/>
      <c r="L204" s="1277"/>
      <c r="M204" s="1277"/>
      <c r="N204" s="1277"/>
      <c r="O204" s="1277"/>
      <c r="P204" s="919"/>
      <c r="Q204" s="919"/>
    </row>
    <row r="205" spans="7:17">
      <c r="G205" s="921"/>
      <c r="H205" s="1277"/>
      <c r="I205" s="921"/>
      <c r="J205" s="1277"/>
      <c r="K205" s="921"/>
      <c r="L205" s="1277"/>
      <c r="M205" s="1277"/>
      <c r="N205" s="1277"/>
      <c r="O205" s="1277"/>
      <c r="P205" s="919"/>
      <c r="Q205" s="919"/>
    </row>
    <row r="206" spans="7:17">
      <c r="G206" s="921"/>
      <c r="H206" s="1277"/>
      <c r="I206" s="921"/>
      <c r="J206" s="1277"/>
      <c r="K206" s="921"/>
      <c r="L206" s="1277"/>
      <c r="M206" s="1277"/>
      <c r="N206" s="1277"/>
      <c r="O206" s="1277"/>
      <c r="P206" s="919"/>
      <c r="Q206" s="919"/>
    </row>
    <row r="207" spans="7:17">
      <c r="G207" s="921"/>
      <c r="H207" s="1277"/>
      <c r="I207" s="921"/>
      <c r="J207" s="1277"/>
      <c r="K207" s="921"/>
      <c r="L207" s="1277"/>
      <c r="M207" s="1277"/>
      <c r="N207" s="1277"/>
      <c r="O207" s="1277"/>
      <c r="P207" s="919"/>
      <c r="Q207" s="919"/>
    </row>
    <row r="208" spans="7:17">
      <c r="G208" s="921"/>
      <c r="H208" s="1277"/>
      <c r="I208" s="921"/>
      <c r="J208" s="1277"/>
      <c r="K208" s="921"/>
      <c r="L208" s="1277"/>
      <c r="M208" s="1277"/>
      <c r="N208" s="1277"/>
      <c r="O208" s="1277"/>
      <c r="P208" s="919"/>
      <c r="Q208" s="919"/>
    </row>
    <row r="209" spans="7:17">
      <c r="G209" s="921"/>
      <c r="H209" s="1277"/>
      <c r="I209" s="921"/>
      <c r="J209" s="1277"/>
      <c r="K209" s="921"/>
      <c r="L209" s="1277"/>
      <c r="M209" s="1277"/>
      <c r="N209" s="1277"/>
      <c r="O209" s="1277"/>
      <c r="P209" s="919"/>
      <c r="Q209" s="919"/>
    </row>
    <row r="210" spans="7:17">
      <c r="G210" s="921"/>
      <c r="H210" s="1277"/>
      <c r="I210" s="921"/>
      <c r="J210" s="1277"/>
      <c r="K210" s="921"/>
      <c r="L210" s="1277"/>
      <c r="M210" s="1277"/>
      <c r="N210" s="1277"/>
      <c r="O210" s="1277"/>
      <c r="P210" s="919"/>
      <c r="Q210" s="919"/>
    </row>
    <row r="211" spans="7:17">
      <c r="G211" s="921"/>
      <c r="H211" s="1277"/>
      <c r="I211" s="921"/>
      <c r="J211" s="1277"/>
      <c r="K211" s="921"/>
      <c r="L211" s="1277"/>
      <c r="M211" s="1277"/>
      <c r="N211" s="1277"/>
      <c r="O211" s="1277"/>
      <c r="P211" s="919"/>
      <c r="Q211" s="919"/>
    </row>
    <row r="212" spans="7:17">
      <c r="G212" s="921"/>
      <c r="H212" s="1277"/>
      <c r="I212" s="921"/>
      <c r="J212" s="1277"/>
      <c r="K212" s="921"/>
      <c r="L212" s="1277"/>
      <c r="M212" s="1277"/>
      <c r="N212" s="1277"/>
      <c r="O212" s="1277"/>
      <c r="P212" s="919"/>
      <c r="Q212" s="919"/>
    </row>
    <row r="213" spans="7:17">
      <c r="G213" s="921"/>
      <c r="H213" s="1277"/>
      <c r="I213" s="921"/>
      <c r="J213" s="1277"/>
      <c r="K213" s="921"/>
      <c r="L213" s="1277"/>
      <c r="M213" s="1277"/>
      <c r="N213" s="1277"/>
      <c r="O213" s="1277"/>
      <c r="P213" s="919"/>
      <c r="Q213" s="919"/>
    </row>
    <row r="214" spans="7:17">
      <c r="G214" s="921"/>
      <c r="H214" s="1277"/>
      <c r="I214" s="921"/>
      <c r="J214" s="1277"/>
      <c r="K214" s="921"/>
      <c r="L214" s="1277"/>
      <c r="M214" s="1277"/>
      <c r="N214" s="1277"/>
      <c r="O214" s="1277"/>
      <c r="P214" s="919"/>
      <c r="Q214" s="919"/>
    </row>
    <row r="215" spans="7:17">
      <c r="G215" s="921"/>
      <c r="H215" s="1277"/>
      <c r="I215" s="921"/>
      <c r="J215" s="1277"/>
      <c r="K215" s="921"/>
      <c r="L215" s="1277"/>
      <c r="M215" s="1277"/>
      <c r="N215" s="1277"/>
      <c r="O215" s="1277"/>
      <c r="P215" s="919"/>
      <c r="Q215" s="919"/>
    </row>
    <row r="216" spans="7:17">
      <c r="G216" s="921"/>
      <c r="H216" s="1277"/>
      <c r="I216" s="921"/>
      <c r="J216" s="1277"/>
      <c r="K216" s="921"/>
      <c r="L216" s="1277"/>
      <c r="M216" s="1277"/>
      <c r="N216" s="1277"/>
      <c r="O216" s="1277"/>
      <c r="P216" s="919"/>
      <c r="Q216" s="919"/>
    </row>
    <row r="217" spans="7:17">
      <c r="G217" s="921"/>
      <c r="H217" s="1277"/>
      <c r="I217" s="921"/>
      <c r="J217" s="1277"/>
      <c r="K217" s="921"/>
      <c r="L217" s="1277"/>
      <c r="M217" s="1277"/>
      <c r="N217" s="1277"/>
      <c r="O217" s="1277"/>
      <c r="P217" s="919"/>
      <c r="Q217" s="919"/>
    </row>
    <row r="218" spans="7:17">
      <c r="G218" s="921"/>
      <c r="H218" s="1277"/>
      <c r="I218" s="921"/>
      <c r="J218" s="1277"/>
      <c r="K218" s="921"/>
      <c r="L218" s="1277"/>
      <c r="M218" s="1277"/>
      <c r="N218" s="1277"/>
      <c r="O218" s="1277"/>
      <c r="P218" s="919"/>
      <c r="Q218" s="919"/>
    </row>
    <row r="219" spans="7:17">
      <c r="G219" s="921"/>
      <c r="H219" s="1277"/>
      <c r="I219" s="921"/>
      <c r="J219" s="1277"/>
      <c r="K219" s="921"/>
      <c r="L219" s="1277"/>
      <c r="M219" s="1277"/>
      <c r="N219" s="1277"/>
      <c r="O219" s="1277"/>
      <c r="P219" s="919"/>
      <c r="Q219" s="919"/>
    </row>
    <row r="220" spans="7:17">
      <c r="G220" s="921"/>
      <c r="H220" s="1277"/>
      <c r="I220" s="921"/>
      <c r="J220" s="1277"/>
      <c r="K220" s="921"/>
      <c r="L220" s="1277"/>
      <c r="M220" s="1277"/>
      <c r="N220" s="1277"/>
      <c r="O220" s="1277"/>
      <c r="P220" s="919"/>
      <c r="Q220" s="919"/>
    </row>
    <row r="221" spans="7:17">
      <c r="G221" s="921"/>
      <c r="H221" s="1277"/>
      <c r="I221" s="921"/>
      <c r="J221" s="1277"/>
      <c r="K221" s="921"/>
      <c r="L221" s="1277"/>
      <c r="M221" s="1277"/>
      <c r="N221" s="1277"/>
      <c r="O221" s="1277"/>
      <c r="P221" s="919"/>
      <c r="Q221" s="919"/>
    </row>
    <row r="222" spans="7:17">
      <c r="G222" s="921"/>
      <c r="H222" s="1277"/>
      <c r="I222" s="921"/>
      <c r="J222" s="1277"/>
      <c r="K222" s="921"/>
      <c r="L222" s="1277"/>
      <c r="M222" s="1277"/>
      <c r="N222" s="1277"/>
      <c r="O222" s="1277"/>
      <c r="P222" s="919"/>
      <c r="Q222" s="919"/>
    </row>
    <row r="223" spans="7:17">
      <c r="G223" s="921"/>
      <c r="H223" s="1277"/>
      <c r="I223" s="921"/>
      <c r="J223" s="1277"/>
      <c r="K223" s="921"/>
      <c r="L223" s="1277"/>
      <c r="M223" s="1277"/>
      <c r="N223" s="1277"/>
      <c r="O223" s="1277"/>
      <c r="P223" s="919"/>
      <c r="Q223" s="919"/>
    </row>
    <row r="224" spans="7:17">
      <c r="G224" s="921"/>
      <c r="H224" s="1277"/>
      <c r="I224" s="921"/>
      <c r="J224" s="1277"/>
      <c r="K224" s="921"/>
      <c r="L224" s="1277"/>
      <c r="M224" s="1277"/>
      <c r="N224" s="1277"/>
      <c r="O224" s="1277"/>
      <c r="P224" s="919"/>
      <c r="Q224" s="919"/>
    </row>
    <row r="225" spans="7:26">
      <c r="G225" s="921"/>
      <c r="H225" s="1277"/>
      <c r="I225" s="921"/>
      <c r="J225" s="1277"/>
      <c r="K225" s="921"/>
      <c r="L225" s="1277"/>
      <c r="M225" s="1277"/>
      <c r="N225" s="1277"/>
      <c r="O225" s="1277"/>
      <c r="P225" s="919"/>
      <c r="Q225" s="919"/>
    </row>
    <row r="226" spans="7:26">
      <c r="G226" s="921"/>
      <c r="H226" s="1277"/>
      <c r="I226" s="921"/>
      <c r="J226" s="1277"/>
      <c r="K226" s="921"/>
      <c r="L226" s="1277"/>
      <c r="M226" s="1277"/>
      <c r="N226" s="1277"/>
      <c r="O226" s="1277"/>
      <c r="P226" s="919"/>
      <c r="Q226" s="919"/>
    </row>
    <row r="227" spans="7:26">
      <c r="G227" s="921"/>
      <c r="H227" s="1277"/>
      <c r="I227" s="921"/>
      <c r="J227" s="1277"/>
      <c r="K227" s="921"/>
      <c r="L227" s="1277"/>
      <c r="M227" s="1277"/>
      <c r="N227" s="1277"/>
      <c r="O227" s="1277"/>
      <c r="P227" s="919"/>
      <c r="Q227" s="919"/>
      <c r="R227" s="1277"/>
      <c r="S227" s="1277"/>
      <c r="T227" s="1277"/>
      <c r="U227" s="1277"/>
      <c r="V227" s="1277"/>
      <c r="W227" s="1277"/>
      <c r="X227" s="1277"/>
      <c r="Y227" s="1277"/>
      <c r="Z227" s="1277"/>
    </row>
    <row r="228" spans="7:26">
      <c r="G228" s="921"/>
      <c r="H228" s="1277"/>
      <c r="I228" s="921"/>
      <c r="J228" s="1277"/>
      <c r="K228" s="921"/>
      <c r="L228" s="1277"/>
      <c r="M228" s="1277"/>
      <c r="N228" s="1277"/>
      <c r="O228" s="1277"/>
      <c r="P228" s="919"/>
      <c r="Q228" s="919"/>
      <c r="R228" s="1277"/>
      <c r="S228" s="1277"/>
      <c r="T228" s="1277"/>
      <c r="U228" s="1277"/>
      <c r="V228" s="1277"/>
      <c r="W228" s="1277"/>
      <c r="X228" s="1277"/>
      <c r="Y228" s="1277"/>
      <c r="Z228" s="1277"/>
    </row>
    <row r="229" spans="7:26">
      <c r="G229" s="921"/>
      <c r="H229" s="1277"/>
      <c r="I229" s="921"/>
      <c r="J229" s="1277"/>
      <c r="K229" s="921"/>
      <c r="L229" s="1277"/>
      <c r="M229" s="1277"/>
      <c r="N229" s="1277"/>
      <c r="O229" s="1277"/>
      <c r="P229" s="919"/>
      <c r="Q229" s="919"/>
      <c r="R229" s="1277"/>
      <c r="S229" s="1277"/>
      <c r="T229" s="1277"/>
      <c r="U229" s="1277"/>
      <c r="V229" s="1277"/>
      <c r="W229" s="1277"/>
      <c r="X229" s="1277"/>
      <c r="Y229" s="1277"/>
      <c r="Z229" s="1277"/>
    </row>
    <row r="230" spans="7:26">
      <c r="G230" s="921"/>
      <c r="H230" s="1277"/>
      <c r="I230" s="921"/>
      <c r="J230" s="1277"/>
      <c r="K230" s="921"/>
      <c r="L230" s="1277"/>
      <c r="M230" s="1277"/>
      <c r="N230" s="1277"/>
      <c r="O230" s="1277"/>
      <c r="P230" s="919"/>
      <c r="Q230" s="919"/>
      <c r="R230" s="1277"/>
      <c r="S230" s="1277"/>
      <c r="T230" s="1277"/>
      <c r="U230" s="1277"/>
      <c r="V230" s="1277"/>
      <c r="W230" s="1277"/>
      <c r="X230" s="1277"/>
      <c r="Y230" s="1277"/>
      <c r="Z230" s="1277"/>
    </row>
    <row r="231" spans="7:26">
      <c r="G231" s="921"/>
      <c r="H231" s="1277"/>
      <c r="I231" s="921"/>
      <c r="J231" s="1277"/>
      <c r="K231" s="921"/>
      <c r="L231" s="1277"/>
      <c r="M231" s="1277"/>
      <c r="N231" s="1277"/>
      <c r="O231" s="1277"/>
      <c r="P231" s="919"/>
      <c r="Q231" s="919"/>
      <c r="R231" s="1277"/>
      <c r="S231" s="1277"/>
      <c r="T231" s="1277"/>
      <c r="U231" s="1277"/>
      <c r="V231" s="1277"/>
      <c r="W231" s="1277"/>
      <c r="X231" s="1277"/>
      <c r="Y231" s="1277"/>
      <c r="Z231" s="1277"/>
    </row>
    <row r="232" spans="7:26">
      <c r="G232" s="921"/>
      <c r="H232" s="1277"/>
      <c r="I232" s="921"/>
      <c r="J232" s="1277"/>
      <c r="K232" s="921"/>
      <c r="L232" s="1277"/>
      <c r="M232" s="1277"/>
      <c r="N232" s="1277"/>
      <c r="O232" s="1277"/>
      <c r="P232" s="919"/>
      <c r="Q232" s="919"/>
      <c r="R232" s="1277"/>
      <c r="S232" s="1277"/>
      <c r="T232" s="1277"/>
      <c r="U232" s="1277"/>
      <c r="V232" s="1277"/>
      <c r="W232" s="1277"/>
      <c r="X232" s="1277"/>
      <c r="Y232" s="1277"/>
      <c r="Z232" s="1277"/>
    </row>
    <row r="233" spans="7:26">
      <c r="G233" s="921"/>
      <c r="H233" s="1277"/>
      <c r="I233" s="921"/>
      <c r="J233" s="1277"/>
      <c r="K233" s="921"/>
      <c r="L233" s="1277"/>
      <c r="M233" s="1277"/>
      <c r="N233" s="1277"/>
      <c r="O233" s="1277"/>
      <c r="P233" s="919"/>
      <c r="Q233" s="919"/>
      <c r="R233" s="1277"/>
      <c r="S233" s="1277"/>
      <c r="T233" s="1277"/>
      <c r="U233" s="1277"/>
      <c r="V233" s="1277"/>
      <c r="W233" s="1277"/>
      <c r="X233" s="1277"/>
      <c r="Y233" s="1277"/>
      <c r="Z233" s="1277"/>
    </row>
    <row r="234" spans="7:26">
      <c r="G234" s="921"/>
      <c r="H234" s="1277"/>
      <c r="I234" s="921"/>
      <c r="J234" s="1277"/>
      <c r="K234" s="921"/>
      <c r="L234" s="1277"/>
      <c r="M234" s="1277"/>
      <c r="N234" s="1277"/>
      <c r="O234" s="1277"/>
      <c r="P234" s="919"/>
      <c r="Q234" s="919"/>
      <c r="R234" s="1277"/>
      <c r="S234" s="1277"/>
      <c r="T234" s="1277"/>
      <c r="U234" s="1277"/>
      <c r="V234" s="1277"/>
      <c r="W234" s="1277"/>
      <c r="X234" s="1277"/>
      <c r="Y234" s="1277"/>
      <c r="Z234" s="1277"/>
    </row>
    <row r="235" spans="7:26">
      <c r="G235" s="921"/>
      <c r="H235" s="1277"/>
      <c r="I235" s="921"/>
      <c r="J235" s="1277"/>
      <c r="K235" s="921"/>
      <c r="L235" s="1277"/>
      <c r="M235" s="1277"/>
      <c r="N235" s="1277"/>
      <c r="O235" s="1277"/>
      <c r="P235" s="919"/>
      <c r="Q235" s="919"/>
      <c r="R235" s="1277"/>
      <c r="S235" s="1277"/>
      <c r="T235" s="1277"/>
      <c r="U235" s="1277"/>
      <c r="V235" s="1277"/>
      <c r="W235" s="1277"/>
      <c r="X235" s="1277"/>
      <c r="Y235" s="1277"/>
      <c r="Z235" s="1277"/>
    </row>
    <row r="236" spans="7:26">
      <c r="G236" s="921"/>
      <c r="H236" s="1277"/>
      <c r="I236" s="921"/>
      <c r="J236" s="1277"/>
      <c r="K236" s="921"/>
      <c r="L236" s="1277"/>
      <c r="M236" s="1277"/>
      <c r="N236" s="1277"/>
      <c r="O236" s="1277"/>
      <c r="P236" s="919"/>
      <c r="Q236" s="919"/>
      <c r="R236" s="1277"/>
      <c r="S236" s="1277"/>
      <c r="T236" s="1277"/>
      <c r="U236" s="1277"/>
      <c r="V236" s="1277"/>
      <c r="W236" s="1277"/>
      <c r="X236" s="1277"/>
      <c r="Y236" s="1277"/>
      <c r="Z236" s="1277"/>
    </row>
    <row r="237" spans="7:26">
      <c r="G237" s="921"/>
      <c r="H237" s="1277"/>
      <c r="I237" s="921"/>
      <c r="J237" s="1277"/>
      <c r="K237" s="921"/>
      <c r="L237" s="1277"/>
      <c r="M237" s="1277"/>
      <c r="N237" s="1277"/>
      <c r="O237" s="1277"/>
      <c r="P237" s="919"/>
      <c r="Q237" s="919"/>
      <c r="R237" s="1277"/>
      <c r="S237" s="1277"/>
      <c r="T237" s="1277"/>
      <c r="U237" s="1277"/>
      <c r="V237" s="1277"/>
      <c r="W237" s="1277"/>
      <c r="X237" s="1277"/>
      <c r="Y237" s="1277"/>
      <c r="Z237" s="1277"/>
    </row>
    <row r="238" spans="7:26">
      <c r="G238" s="921"/>
      <c r="H238" s="1277"/>
      <c r="I238" s="921"/>
      <c r="J238" s="1277"/>
      <c r="K238" s="921"/>
      <c r="L238" s="1277"/>
      <c r="M238" s="1277"/>
      <c r="N238" s="1277"/>
      <c r="O238" s="1277"/>
      <c r="P238" s="919"/>
      <c r="Q238" s="919"/>
      <c r="R238" s="1277"/>
      <c r="S238" s="1277"/>
      <c r="T238" s="1277"/>
      <c r="U238" s="1277"/>
      <c r="V238" s="1277"/>
      <c r="W238" s="1277"/>
      <c r="X238" s="1277"/>
      <c r="Y238" s="1277"/>
      <c r="Z238" s="1277"/>
    </row>
    <row r="239" spans="7:26">
      <c r="G239" s="921"/>
      <c r="H239" s="1277"/>
      <c r="I239" s="921"/>
      <c r="J239" s="1277"/>
      <c r="K239" s="921"/>
      <c r="L239" s="1277"/>
      <c r="M239" s="1277"/>
      <c r="N239" s="1277"/>
      <c r="O239" s="1277"/>
      <c r="P239" s="919"/>
      <c r="Q239" s="919"/>
      <c r="R239" s="1277"/>
      <c r="S239" s="1277"/>
      <c r="T239" s="1277"/>
      <c r="U239" s="1277"/>
      <c r="V239" s="1277"/>
      <c r="W239" s="1277"/>
      <c r="X239" s="1277"/>
      <c r="Y239" s="1277"/>
      <c r="Z239" s="1277"/>
    </row>
    <row r="240" spans="7:26">
      <c r="G240" s="921"/>
      <c r="H240" s="1277"/>
      <c r="I240" s="921"/>
      <c r="J240" s="1277"/>
      <c r="K240" s="921"/>
      <c r="L240" s="1277"/>
      <c r="M240" s="1277"/>
      <c r="N240" s="1277"/>
      <c r="O240" s="1277"/>
      <c r="P240" s="919"/>
      <c r="Q240" s="919"/>
      <c r="R240" s="1277"/>
      <c r="S240" s="1277"/>
      <c r="T240" s="1277"/>
      <c r="U240" s="1277"/>
      <c r="V240" s="1277"/>
      <c r="W240" s="1277"/>
      <c r="X240" s="1277"/>
      <c r="Y240" s="1277"/>
      <c r="Z240" s="1277"/>
    </row>
    <row r="241" spans="3:26">
      <c r="G241" s="921"/>
      <c r="H241" s="1277"/>
      <c r="I241" s="921"/>
      <c r="J241" s="1277"/>
      <c r="K241" s="921"/>
      <c r="L241" s="1277"/>
      <c r="M241" s="1277"/>
      <c r="N241" s="1277"/>
      <c r="O241" s="1277"/>
      <c r="P241" s="919"/>
      <c r="Q241" s="919"/>
      <c r="R241" s="1277"/>
      <c r="S241" s="1277"/>
      <c r="T241" s="1277"/>
      <c r="U241" s="1277"/>
      <c r="V241" s="1277"/>
      <c r="W241" s="1277"/>
      <c r="X241" s="1277"/>
      <c r="Y241" s="1277"/>
      <c r="Z241" s="1277"/>
    </row>
    <row r="242" spans="3:26">
      <c r="G242" s="921"/>
      <c r="H242" s="1277"/>
      <c r="I242" s="921"/>
      <c r="J242" s="1277"/>
      <c r="K242" s="921"/>
      <c r="L242" s="1277"/>
      <c r="M242" s="1277"/>
      <c r="N242" s="1277"/>
      <c r="O242" s="1277"/>
      <c r="P242" s="919"/>
      <c r="Q242" s="919"/>
      <c r="R242" s="1277"/>
      <c r="S242" s="1277"/>
      <c r="T242" s="1277"/>
      <c r="U242" s="1277"/>
      <c r="V242" s="1277"/>
      <c r="W242" s="1277"/>
      <c r="X242" s="1277"/>
      <c r="Y242" s="1277"/>
      <c r="Z242" s="1277"/>
    </row>
    <row r="243" spans="3:26">
      <c r="C243" s="1277"/>
      <c r="D243" s="1277"/>
      <c r="E243" s="1277"/>
      <c r="F243" s="1277"/>
      <c r="G243" s="921"/>
      <c r="H243" s="1277"/>
      <c r="I243" s="921"/>
      <c r="J243" s="1277"/>
      <c r="K243" s="921"/>
      <c r="L243" s="1277"/>
      <c r="M243" s="1277"/>
      <c r="N243" s="1277"/>
      <c r="O243" s="1277"/>
      <c r="P243" s="919"/>
      <c r="Q243" s="919"/>
      <c r="R243" s="1277"/>
      <c r="S243" s="1277"/>
      <c r="T243" s="1277"/>
      <c r="U243" s="1277"/>
      <c r="V243" s="1277"/>
      <c r="W243" s="1277"/>
      <c r="X243" s="1277"/>
      <c r="Y243" s="1277"/>
      <c r="Z243" s="1277"/>
    </row>
    <row r="244" spans="3:26">
      <c r="C244" s="1277"/>
      <c r="D244" s="1277"/>
      <c r="E244" s="1277"/>
      <c r="F244" s="1277"/>
      <c r="G244" s="921"/>
      <c r="H244" s="1277"/>
      <c r="I244" s="921"/>
      <c r="J244" s="1277"/>
      <c r="K244" s="921"/>
      <c r="L244" s="1277"/>
      <c r="M244" s="1277"/>
      <c r="N244" s="1277"/>
      <c r="O244" s="1277"/>
      <c r="P244" s="919"/>
      <c r="Q244" s="919"/>
      <c r="R244" s="1277"/>
      <c r="S244" s="1277"/>
      <c r="T244" s="1277"/>
      <c r="U244" s="1277"/>
      <c r="V244" s="1277"/>
      <c r="W244" s="1277"/>
      <c r="X244" s="1277"/>
      <c r="Y244" s="1277"/>
      <c r="Z244" s="1277"/>
    </row>
    <row r="245" spans="3:26">
      <c r="C245" s="1277"/>
      <c r="D245" s="1277"/>
      <c r="E245" s="1277"/>
      <c r="F245" s="1277"/>
      <c r="G245" s="921"/>
      <c r="H245" s="1277"/>
      <c r="I245" s="921"/>
      <c r="J245" s="1277"/>
      <c r="K245" s="921"/>
      <c r="L245" s="1277"/>
      <c r="M245" s="1277"/>
      <c r="N245" s="1277"/>
      <c r="O245" s="1277"/>
      <c r="P245" s="919"/>
      <c r="Q245" s="919"/>
      <c r="R245" s="1277"/>
      <c r="S245" s="1277"/>
      <c r="T245" s="1277"/>
      <c r="U245" s="1277"/>
      <c r="V245" s="1277"/>
      <c r="W245" s="1277"/>
      <c r="X245" s="1277"/>
      <c r="Y245" s="1277"/>
      <c r="Z245" s="1277"/>
    </row>
    <row r="246" spans="3:26">
      <c r="C246" s="1277"/>
      <c r="D246" s="1277"/>
      <c r="E246" s="1277"/>
      <c r="F246" s="1277"/>
      <c r="G246" s="921"/>
      <c r="H246" s="1277"/>
      <c r="I246" s="921"/>
      <c r="J246" s="1277"/>
      <c r="K246" s="921"/>
      <c r="L246" s="1277"/>
      <c r="M246" s="1277"/>
      <c r="N246" s="1277"/>
      <c r="O246" s="1277"/>
      <c r="P246" s="919"/>
      <c r="Q246" s="919"/>
      <c r="R246" s="1277"/>
      <c r="S246" s="1277"/>
      <c r="T246" s="1277"/>
      <c r="U246" s="1277"/>
      <c r="V246" s="1277"/>
      <c r="W246" s="1277"/>
      <c r="X246" s="1277"/>
      <c r="Y246" s="1277"/>
      <c r="Z246" s="1277"/>
    </row>
    <row r="247" spans="3:26">
      <c r="C247" s="1277"/>
      <c r="D247" s="1277"/>
      <c r="E247" s="1277"/>
      <c r="F247" s="1277"/>
      <c r="G247" s="921"/>
      <c r="H247" s="1277"/>
      <c r="I247" s="921"/>
      <c r="J247" s="1277"/>
      <c r="K247" s="921"/>
      <c r="L247" s="1277"/>
      <c r="M247" s="1277"/>
      <c r="N247" s="1277"/>
      <c r="O247" s="1277"/>
      <c r="P247" s="919"/>
      <c r="Q247" s="919"/>
      <c r="R247" s="1277"/>
      <c r="S247" s="1277"/>
      <c r="T247" s="1277"/>
      <c r="U247" s="1277"/>
      <c r="V247" s="1277"/>
      <c r="W247" s="1277"/>
      <c r="X247" s="1277"/>
      <c r="Y247" s="1277"/>
      <c r="Z247" s="1277"/>
    </row>
    <row r="248" spans="3:26">
      <c r="C248" s="1277"/>
      <c r="D248" s="1277"/>
      <c r="E248" s="1277"/>
      <c r="F248" s="1277"/>
      <c r="G248" s="921"/>
      <c r="H248" s="1277"/>
      <c r="I248" s="921"/>
      <c r="J248" s="1277"/>
      <c r="K248" s="921"/>
      <c r="L248" s="1277"/>
      <c r="M248" s="1277"/>
      <c r="N248" s="1277"/>
      <c r="O248" s="1277"/>
      <c r="P248" s="919"/>
      <c r="Q248" s="919"/>
      <c r="R248" s="1277"/>
      <c r="S248" s="1277"/>
      <c r="T248" s="1277"/>
      <c r="U248" s="1277"/>
      <c r="V248" s="1277"/>
      <c r="W248" s="1277"/>
      <c r="X248" s="1277"/>
      <c r="Y248" s="1277"/>
      <c r="Z248" s="1277"/>
    </row>
    <row r="249" spans="3:26">
      <c r="C249" s="1277"/>
      <c r="D249" s="1277"/>
      <c r="E249" s="1277"/>
      <c r="F249" s="1277"/>
      <c r="G249" s="921"/>
      <c r="H249" s="1277"/>
      <c r="I249" s="921"/>
      <c r="J249" s="1277"/>
      <c r="K249" s="921"/>
      <c r="L249" s="1277"/>
      <c r="M249" s="1277"/>
      <c r="N249" s="1277"/>
      <c r="O249" s="1277"/>
      <c r="P249" s="919"/>
      <c r="Q249" s="919"/>
      <c r="R249" s="1277"/>
      <c r="S249" s="1277"/>
      <c r="T249" s="1277"/>
      <c r="U249" s="1277"/>
      <c r="V249" s="1277"/>
      <c r="W249" s="1277"/>
      <c r="X249" s="1277"/>
      <c r="Y249" s="1277"/>
      <c r="Z249" s="1277"/>
    </row>
    <row r="250" spans="3:26">
      <c r="C250" s="1277"/>
      <c r="D250" s="1277"/>
      <c r="E250" s="1277"/>
      <c r="F250" s="1277"/>
      <c r="G250" s="921"/>
      <c r="H250" s="1277"/>
      <c r="I250" s="921"/>
      <c r="J250" s="1277"/>
      <c r="K250" s="921"/>
      <c r="L250" s="1277"/>
      <c r="M250" s="1277"/>
      <c r="N250" s="1277"/>
      <c r="O250" s="1277"/>
      <c r="P250" s="919"/>
      <c r="Q250" s="919"/>
      <c r="R250" s="1277"/>
      <c r="S250" s="1277"/>
      <c r="T250" s="1277"/>
      <c r="U250" s="1277"/>
      <c r="V250" s="1277"/>
      <c r="W250" s="1277"/>
      <c r="X250" s="1277"/>
      <c r="Y250" s="1277"/>
      <c r="Z250" s="1277"/>
    </row>
    <row r="251" spans="3:26">
      <c r="C251" s="1277"/>
      <c r="D251" s="1277"/>
      <c r="E251" s="1277"/>
      <c r="F251" s="1277"/>
      <c r="G251" s="921"/>
      <c r="H251" s="1277"/>
      <c r="I251" s="921"/>
      <c r="J251" s="1277"/>
      <c r="K251" s="921"/>
      <c r="L251" s="1277"/>
      <c r="M251" s="1277"/>
      <c r="N251" s="1277"/>
      <c r="O251" s="1277"/>
      <c r="P251" s="919"/>
      <c r="Q251" s="919"/>
      <c r="R251" s="1277"/>
      <c r="S251" s="1277"/>
      <c r="T251" s="1277"/>
      <c r="U251" s="1277"/>
      <c r="V251" s="1277"/>
      <c r="W251" s="1277"/>
      <c r="X251" s="1277"/>
      <c r="Y251" s="1277"/>
      <c r="Z251" s="1277"/>
    </row>
    <row r="252" spans="3:26">
      <c r="C252" s="1277"/>
      <c r="D252" s="1277"/>
      <c r="E252" s="1277"/>
      <c r="F252" s="1277"/>
      <c r="G252" s="921"/>
      <c r="H252" s="1277"/>
      <c r="I252" s="921"/>
      <c r="J252" s="1277"/>
      <c r="K252" s="921"/>
      <c r="L252" s="1277"/>
      <c r="M252" s="1277"/>
      <c r="N252" s="1277"/>
      <c r="O252" s="1277"/>
      <c r="P252" s="919"/>
      <c r="Q252" s="919"/>
      <c r="R252" s="1277"/>
      <c r="S252" s="1277"/>
      <c r="T252" s="1277"/>
      <c r="U252" s="1277"/>
      <c r="V252" s="1277"/>
      <c r="W252" s="1277"/>
      <c r="X252" s="1277"/>
      <c r="Y252" s="1277"/>
      <c r="Z252" s="1277"/>
    </row>
    <row r="253" spans="3:26">
      <c r="C253" s="1277"/>
      <c r="D253" s="1277"/>
      <c r="E253" s="1277"/>
      <c r="F253" s="1277"/>
      <c r="G253" s="921"/>
      <c r="H253" s="1277"/>
      <c r="I253" s="921"/>
      <c r="J253" s="1277"/>
      <c r="K253" s="921"/>
      <c r="L253" s="1277"/>
      <c r="M253" s="1277"/>
      <c r="N253" s="1277"/>
      <c r="O253" s="1277"/>
      <c r="P253" s="919"/>
      <c r="Q253" s="919"/>
      <c r="R253" s="1277"/>
      <c r="S253" s="1277"/>
      <c r="T253" s="1277"/>
      <c r="U253" s="1277"/>
      <c r="V253" s="1277"/>
      <c r="W253" s="1277"/>
      <c r="X253" s="1277"/>
      <c r="Y253" s="1277"/>
      <c r="Z253" s="1277"/>
    </row>
    <row r="254" spans="3:26">
      <c r="C254" s="1277"/>
      <c r="D254" s="1277"/>
      <c r="E254" s="1277"/>
      <c r="F254" s="1277"/>
      <c r="G254" s="921"/>
      <c r="H254" s="1277"/>
      <c r="I254" s="921"/>
      <c r="J254" s="1277"/>
      <c r="K254" s="921"/>
      <c r="L254" s="1277"/>
      <c r="M254" s="1277"/>
      <c r="N254" s="1277"/>
      <c r="O254" s="1277"/>
      <c r="P254" s="919"/>
      <c r="Q254" s="919"/>
      <c r="R254" s="1277"/>
      <c r="S254" s="1277"/>
      <c r="T254" s="1277"/>
      <c r="U254" s="1277"/>
      <c r="V254" s="1277"/>
      <c r="W254" s="1277"/>
      <c r="X254" s="1277"/>
      <c r="Y254" s="1277"/>
      <c r="Z254" s="1277"/>
    </row>
    <row r="255" spans="3:26">
      <c r="C255" s="1277"/>
      <c r="D255" s="1277"/>
      <c r="E255" s="1277"/>
      <c r="F255" s="1277"/>
      <c r="G255" s="921"/>
      <c r="H255" s="1277"/>
      <c r="I255" s="921"/>
      <c r="J255" s="1277"/>
      <c r="K255" s="921"/>
      <c r="L255" s="1277"/>
      <c r="M255" s="1277"/>
      <c r="N255" s="1277"/>
      <c r="O255" s="1277"/>
      <c r="P255" s="919"/>
      <c r="Q255" s="919"/>
      <c r="R255" s="1277"/>
      <c r="S255" s="1277"/>
      <c r="T255" s="1277"/>
      <c r="U255" s="1277"/>
      <c r="V255" s="1277"/>
      <c r="W255" s="1277"/>
      <c r="X255" s="1277"/>
      <c r="Y255" s="1277"/>
      <c r="Z255" s="1277"/>
    </row>
    <row r="256" spans="3:26">
      <c r="C256" s="1277"/>
      <c r="D256" s="1277"/>
      <c r="E256" s="1277"/>
      <c r="F256" s="1277"/>
      <c r="G256" s="921"/>
      <c r="H256" s="1277"/>
      <c r="I256" s="921"/>
      <c r="J256" s="1277"/>
      <c r="K256" s="921"/>
      <c r="L256" s="1277"/>
      <c r="M256" s="1277"/>
      <c r="N256" s="1277"/>
      <c r="O256" s="1277"/>
      <c r="P256" s="919"/>
      <c r="Q256" s="919"/>
      <c r="R256" s="1277"/>
      <c r="S256" s="1277"/>
      <c r="T256" s="1277"/>
      <c r="U256" s="1277"/>
      <c r="V256" s="1277"/>
      <c r="W256" s="1277"/>
      <c r="X256" s="1277"/>
      <c r="Y256" s="1277"/>
      <c r="Z256" s="1277"/>
    </row>
    <row r="257" spans="3:26">
      <c r="C257" s="1277"/>
      <c r="D257" s="1277"/>
      <c r="E257" s="1277"/>
      <c r="F257" s="1277"/>
      <c r="G257" s="921"/>
      <c r="H257" s="1277"/>
      <c r="I257" s="921"/>
      <c r="J257" s="1277"/>
      <c r="K257" s="921"/>
      <c r="L257" s="1277"/>
      <c r="M257" s="1277"/>
      <c r="N257" s="1277"/>
      <c r="O257" s="1277"/>
      <c r="P257" s="919"/>
      <c r="Q257" s="919"/>
      <c r="R257" s="1277"/>
      <c r="S257" s="1277"/>
      <c r="T257" s="1277"/>
      <c r="U257" s="1277"/>
      <c r="V257" s="1277"/>
      <c r="W257" s="1277"/>
      <c r="X257" s="1277"/>
      <c r="Y257" s="1277"/>
      <c r="Z257" s="1277"/>
    </row>
    <row r="258" spans="3:26">
      <c r="C258" s="1277"/>
      <c r="D258" s="1277"/>
      <c r="E258" s="1277"/>
      <c r="F258" s="1277"/>
      <c r="G258" s="921"/>
      <c r="H258" s="1277"/>
      <c r="I258" s="921"/>
      <c r="J258" s="1277"/>
      <c r="K258" s="921"/>
      <c r="L258" s="1277"/>
      <c r="M258" s="1277"/>
      <c r="N258" s="1277"/>
      <c r="O258" s="1277"/>
      <c r="P258" s="919"/>
      <c r="Q258" s="919"/>
      <c r="R258" s="1277"/>
      <c r="S258" s="1277"/>
      <c r="T258" s="1277"/>
      <c r="U258" s="1277"/>
      <c r="V258" s="1277"/>
      <c r="W258" s="1277"/>
      <c r="X258" s="1277"/>
      <c r="Y258" s="1277"/>
      <c r="Z258" s="1277"/>
    </row>
    <row r="259" spans="3:26">
      <c r="C259" s="1277"/>
      <c r="D259" s="1277"/>
      <c r="E259" s="1277"/>
      <c r="F259" s="1277"/>
      <c r="G259" s="921"/>
      <c r="H259" s="1277"/>
      <c r="I259" s="921"/>
      <c r="J259" s="1277"/>
      <c r="K259" s="921"/>
      <c r="L259" s="1277"/>
      <c r="M259" s="1277"/>
      <c r="N259" s="1277"/>
      <c r="O259" s="1277"/>
    </row>
    <row r="260" spans="3:26">
      <c r="C260" s="1277"/>
      <c r="D260" s="1277"/>
      <c r="E260" s="1277"/>
      <c r="F260" s="1277"/>
      <c r="G260" s="921"/>
      <c r="H260" s="1277"/>
      <c r="I260" s="921"/>
      <c r="J260" s="1277"/>
      <c r="K260" s="921"/>
      <c r="L260" s="1277"/>
      <c r="M260" s="1277"/>
      <c r="N260" s="1277"/>
      <c r="O260" s="1277"/>
    </row>
    <row r="261" spans="3:26">
      <c r="C261" s="1277"/>
      <c r="D261" s="1277"/>
      <c r="E261" s="1277"/>
      <c r="F261" s="1277"/>
      <c r="G261" s="921"/>
      <c r="H261" s="1277"/>
      <c r="I261" s="921"/>
      <c r="J261" s="1277"/>
      <c r="K261" s="921"/>
      <c r="L261" s="1277"/>
      <c r="M261" s="1277"/>
      <c r="N261" s="1277"/>
      <c r="O261" s="1277"/>
    </row>
    <row r="262" spans="3:26">
      <c r="C262" s="1277"/>
      <c r="D262" s="1277"/>
      <c r="E262" s="1277"/>
      <c r="F262" s="1277"/>
      <c r="G262" s="921"/>
      <c r="H262" s="1277"/>
      <c r="I262" s="921"/>
      <c r="J262" s="1277"/>
      <c r="K262" s="921"/>
      <c r="L262" s="1277"/>
      <c r="M262" s="1277"/>
      <c r="N262" s="1277"/>
      <c r="O262" s="1277"/>
    </row>
    <row r="263" spans="3:26">
      <c r="C263" s="1277"/>
      <c r="D263" s="1277"/>
      <c r="E263" s="1277"/>
      <c r="F263" s="1277"/>
      <c r="G263" s="921"/>
      <c r="H263" s="1277"/>
      <c r="I263" s="921"/>
      <c r="J263" s="1277"/>
      <c r="K263" s="921"/>
      <c r="L263" s="1277"/>
      <c r="M263" s="1277"/>
      <c r="N263" s="1277"/>
      <c r="O263" s="1277"/>
    </row>
    <row r="264" spans="3:26">
      <c r="C264" s="1277"/>
      <c r="D264" s="1277"/>
      <c r="E264" s="1277"/>
      <c r="F264" s="1277"/>
      <c r="G264" s="921"/>
      <c r="H264" s="1277"/>
      <c r="I264" s="921"/>
      <c r="J264" s="1277"/>
      <c r="K264" s="921"/>
      <c r="L264" s="1277"/>
      <c r="M264" s="1277"/>
      <c r="N264" s="1277"/>
      <c r="O264" s="1277"/>
    </row>
    <row r="265" spans="3:26">
      <c r="C265" s="1277"/>
      <c r="D265" s="1277"/>
      <c r="E265" s="1277"/>
      <c r="F265" s="1277"/>
      <c r="G265" s="921"/>
      <c r="H265" s="1277"/>
      <c r="I265" s="921"/>
      <c r="J265" s="1277"/>
      <c r="K265" s="921"/>
      <c r="L265" s="1277"/>
      <c r="M265" s="1277"/>
      <c r="N265" s="1277"/>
      <c r="O265" s="1277"/>
    </row>
    <row r="266" spans="3:26">
      <c r="C266" s="1277"/>
      <c r="D266" s="1277"/>
      <c r="E266" s="1277"/>
      <c r="F266" s="1277"/>
      <c r="G266" s="921"/>
      <c r="H266" s="1277"/>
      <c r="I266" s="921"/>
      <c r="J266" s="1277"/>
      <c r="K266" s="921"/>
      <c r="L266" s="1277"/>
      <c r="M266" s="1277"/>
      <c r="N266" s="1277"/>
      <c r="O266" s="1277"/>
    </row>
    <row r="267" spans="3:26">
      <c r="C267" s="1277"/>
      <c r="D267" s="1277"/>
      <c r="E267" s="1277"/>
      <c r="F267" s="1277"/>
      <c r="G267" s="921"/>
      <c r="H267" s="1277"/>
      <c r="I267" s="921"/>
      <c r="J267" s="1277"/>
      <c r="K267" s="921"/>
      <c r="L267" s="1277"/>
      <c r="M267" s="1277"/>
      <c r="N267" s="1277"/>
      <c r="O267" s="1277"/>
    </row>
    <row r="268" spans="3:26">
      <c r="C268" s="1277"/>
      <c r="D268" s="1277"/>
      <c r="E268" s="1277"/>
      <c r="F268" s="1277"/>
      <c r="G268" s="921"/>
      <c r="H268" s="1277"/>
      <c r="I268" s="921"/>
      <c r="J268" s="1277"/>
      <c r="K268" s="921"/>
      <c r="L268" s="1277"/>
      <c r="M268" s="1277"/>
      <c r="N268" s="1277"/>
      <c r="O268" s="1277"/>
    </row>
    <row r="269" spans="3:26">
      <c r="C269" s="1277"/>
      <c r="D269" s="1277"/>
      <c r="E269" s="1277"/>
      <c r="F269" s="1277"/>
      <c r="G269" s="921"/>
      <c r="H269" s="1277"/>
      <c r="I269" s="921"/>
      <c r="J269" s="1277"/>
      <c r="K269" s="921"/>
      <c r="L269" s="1277"/>
      <c r="M269" s="1277"/>
      <c r="N269" s="1277"/>
      <c r="O269" s="1277"/>
    </row>
    <row r="270" spans="3:26">
      <c r="C270" s="1277"/>
      <c r="D270" s="1277"/>
      <c r="E270" s="1277"/>
      <c r="F270" s="1277"/>
      <c r="G270" s="921"/>
      <c r="H270" s="1277"/>
      <c r="I270" s="921"/>
      <c r="J270" s="1277"/>
      <c r="K270" s="921"/>
      <c r="L270" s="1277"/>
      <c r="M270" s="1277"/>
      <c r="N270" s="1277"/>
      <c r="O270" s="1277"/>
    </row>
    <row r="271" spans="3:26">
      <c r="C271" s="1277"/>
      <c r="D271" s="1277"/>
      <c r="E271" s="1277"/>
      <c r="F271" s="1277"/>
      <c r="G271" s="921"/>
      <c r="H271" s="1277"/>
      <c r="I271" s="921"/>
      <c r="J271" s="1277"/>
      <c r="K271" s="921"/>
      <c r="L271" s="1277"/>
      <c r="M271" s="1277"/>
      <c r="N271" s="1277"/>
      <c r="O271" s="1277"/>
    </row>
    <row r="272" spans="3:26">
      <c r="C272" s="1277"/>
      <c r="D272" s="1277"/>
      <c r="E272" s="1277"/>
      <c r="F272" s="1277"/>
      <c r="G272" s="921"/>
      <c r="H272" s="1277"/>
      <c r="I272" s="921"/>
      <c r="J272" s="1277"/>
      <c r="K272" s="921"/>
      <c r="L272" s="1277"/>
      <c r="M272" s="1277"/>
      <c r="N272" s="1277"/>
      <c r="O272" s="1277"/>
    </row>
    <row r="273" spans="3:15">
      <c r="C273" s="1277"/>
      <c r="D273" s="1277"/>
      <c r="E273" s="1277"/>
      <c r="F273" s="1277"/>
      <c r="G273" s="921"/>
      <c r="H273" s="1277"/>
      <c r="I273" s="921"/>
      <c r="J273" s="1277"/>
      <c r="K273" s="921"/>
      <c r="L273" s="1277"/>
      <c r="M273" s="1277"/>
      <c r="N273" s="1277"/>
      <c r="O273" s="1277"/>
    </row>
    <row r="274" spans="3:15">
      <c r="C274" s="1277"/>
      <c r="D274" s="1277"/>
      <c r="E274" s="1277"/>
      <c r="F274" s="1277"/>
      <c r="G274" s="921"/>
      <c r="H274" s="1277"/>
      <c r="I274" s="921"/>
      <c r="J274" s="1277"/>
      <c r="K274" s="921"/>
      <c r="L274" s="1277"/>
      <c r="M274" s="1277"/>
      <c r="N274" s="1277"/>
      <c r="O274" s="1277"/>
    </row>
    <row r="275" spans="3:15">
      <c r="C275" s="1277"/>
      <c r="D275" s="1277"/>
      <c r="E275" s="1277"/>
      <c r="F275" s="1277"/>
      <c r="G275" s="921"/>
      <c r="H275" s="1277"/>
      <c r="I275" s="921"/>
      <c r="J275" s="1277"/>
      <c r="K275" s="921"/>
      <c r="L275" s="1277"/>
      <c r="M275" s="1277"/>
      <c r="N275" s="1277"/>
      <c r="O275" s="1277"/>
    </row>
    <row r="276" spans="3:15">
      <c r="C276" s="1277"/>
      <c r="D276" s="1277"/>
      <c r="E276" s="1277"/>
      <c r="F276" s="1277"/>
      <c r="G276" s="921"/>
      <c r="H276" s="1277"/>
      <c r="I276" s="921"/>
      <c r="J276" s="1277"/>
      <c r="K276" s="921"/>
      <c r="L276" s="1277"/>
      <c r="M276" s="1277"/>
      <c r="N276" s="1277"/>
      <c r="O276" s="1277"/>
    </row>
    <row r="277" spans="3:15">
      <c r="C277" s="1277"/>
      <c r="D277" s="1277"/>
      <c r="E277" s="1277"/>
      <c r="F277" s="1277"/>
      <c r="G277" s="921"/>
      <c r="H277" s="1277"/>
      <c r="I277" s="921"/>
      <c r="J277" s="1277"/>
      <c r="K277" s="921"/>
      <c r="L277" s="1277"/>
      <c r="M277" s="1277"/>
      <c r="N277" s="1277"/>
      <c r="O277" s="1277"/>
    </row>
    <row r="278" spans="3:15">
      <c r="C278" s="1277"/>
      <c r="D278" s="1277"/>
      <c r="E278" s="1277"/>
      <c r="F278" s="1277"/>
      <c r="G278" s="921"/>
      <c r="H278" s="1277"/>
      <c r="I278" s="921"/>
      <c r="J278" s="1277"/>
      <c r="K278" s="921"/>
      <c r="L278" s="1277"/>
      <c r="M278" s="1277"/>
      <c r="N278" s="1277"/>
      <c r="O278" s="1277"/>
    </row>
    <row r="279" spans="3:15">
      <c r="C279" s="1277"/>
      <c r="D279" s="1277"/>
      <c r="E279" s="1277"/>
      <c r="F279" s="1277"/>
      <c r="G279" s="921"/>
      <c r="H279" s="1277"/>
      <c r="I279" s="921"/>
      <c r="J279" s="1277"/>
      <c r="K279" s="921"/>
      <c r="L279" s="1277"/>
      <c r="M279" s="1277"/>
      <c r="N279" s="1277"/>
      <c r="O279" s="1277"/>
    </row>
    <row r="280" spans="3:15">
      <c r="C280" s="1277"/>
      <c r="D280" s="1277"/>
      <c r="E280" s="1277"/>
      <c r="F280" s="1277"/>
      <c r="G280" s="921"/>
      <c r="H280" s="1277"/>
      <c r="I280" s="921"/>
      <c r="J280" s="1277"/>
      <c r="K280" s="921"/>
      <c r="L280" s="1277"/>
      <c r="M280" s="1277"/>
      <c r="N280" s="1277"/>
      <c r="O280" s="1277"/>
    </row>
    <row r="281" spans="3:15">
      <c r="C281" s="1277"/>
      <c r="D281" s="1277"/>
      <c r="E281" s="1277"/>
      <c r="F281" s="1277"/>
      <c r="G281" s="921"/>
      <c r="H281" s="1277"/>
      <c r="I281" s="921"/>
      <c r="J281" s="1277"/>
      <c r="K281" s="921"/>
      <c r="L281" s="1277"/>
      <c r="M281" s="1277"/>
      <c r="N281" s="1277"/>
      <c r="O281" s="1277"/>
    </row>
    <row r="282" spans="3:15">
      <c r="C282" s="1277"/>
      <c r="D282" s="1277"/>
      <c r="E282" s="1277"/>
      <c r="F282" s="1277"/>
      <c r="G282" s="921"/>
      <c r="H282" s="1277"/>
      <c r="I282" s="921"/>
      <c r="J282" s="1277"/>
      <c r="K282" s="921"/>
      <c r="L282" s="1277"/>
      <c r="M282" s="1277"/>
      <c r="N282" s="1277"/>
      <c r="O282" s="1277"/>
    </row>
    <row r="283" spans="3:15">
      <c r="C283" s="1277"/>
      <c r="D283" s="1277"/>
      <c r="E283" s="1277"/>
      <c r="F283" s="1277"/>
      <c r="G283" s="921"/>
      <c r="H283" s="1277"/>
      <c r="I283" s="921"/>
      <c r="J283" s="1277"/>
      <c r="K283" s="921"/>
      <c r="L283" s="1277"/>
      <c r="M283" s="1277"/>
      <c r="N283" s="1277"/>
      <c r="O283" s="1277"/>
    </row>
    <row r="284" spans="3:15">
      <c r="C284" s="1277"/>
      <c r="D284" s="1277"/>
      <c r="E284" s="1277"/>
      <c r="F284" s="1277"/>
      <c r="G284" s="921"/>
      <c r="H284" s="1277"/>
      <c r="I284" s="921"/>
      <c r="J284" s="1277"/>
      <c r="K284" s="921"/>
      <c r="L284" s="1277"/>
      <c r="M284" s="1277"/>
      <c r="N284" s="1277"/>
      <c r="O284" s="1277"/>
    </row>
    <row r="285" spans="3:15">
      <c r="C285" s="1277"/>
      <c r="D285" s="1277"/>
      <c r="E285" s="1277"/>
      <c r="F285" s="1277"/>
      <c r="G285" s="921"/>
      <c r="H285" s="1277"/>
      <c r="I285" s="921"/>
      <c r="J285" s="1277"/>
      <c r="K285" s="921"/>
      <c r="L285" s="1277"/>
      <c r="M285" s="1277"/>
      <c r="N285" s="1277"/>
      <c r="O285" s="1277"/>
    </row>
    <row r="286" spans="3:15">
      <c r="C286" s="1277"/>
      <c r="D286" s="1277"/>
      <c r="E286" s="1277"/>
      <c r="F286" s="1277"/>
      <c r="G286" s="921"/>
      <c r="H286" s="1277"/>
      <c r="I286" s="921"/>
      <c r="J286" s="1277"/>
      <c r="K286" s="921"/>
      <c r="L286" s="1277"/>
      <c r="M286" s="1277"/>
      <c r="N286" s="1277"/>
      <c r="O286" s="1277"/>
    </row>
    <row r="287" spans="3:15">
      <c r="C287" s="1277"/>
      <c r="D287" s="1277"/>
      <c r="E287" s="1277"/>
      <c r="F287" s="1277"/>
      <c r="G287" s="921"/>
      <c r="H287" s="1277"/>
      <c r="I287" s="921"/>
      <c r="J287" s="1277"/>
      <c r="K287" s="921"/>
      <c r="L287" s="1277"/>
      <c r="M287" s="1277"/>
      <c r="N287" s="1277"/>
      <c r="O287" s="1277"/>
    </row>
    <row r="288" spans="3:15">
      <c r="C288" s="1277"/>
      <c r="D288" s="1277"/>
      <c r="E288" s="1277"/>
      <c r="F288" s="1277"/>
      <c r="G288" s="921"/>
      <c r="H288" s="1277"/>
      <c r="I288" s="921"/>
      <c r="J288" s="1277"/>
      <c r="K288" s="921"/>
      <c r="L288" s="1277"/>
      <c r="M288" s="1277"/>
      <c r="N288" s="1277"/>
      <c r="O288" s="1277"/>
    </row>
    <row r="289" spans="3:15">
      <c r="C289" s="1277"/>
      <c r="D289" s="1277"/>
      <c r="E289" s="1277"/>
      <c r="F289" s="1277"/>
      <c r="G289" s="921"/>
      <c r="H289" s="1277"/>
      <c r="I289" s="921"/>
      <c r="J289" s="1277"/>
      <c r="K289" s="921"/>
      <c r="L289" s="1277"/>
      <c r="M289" s="1277"/>
      <c r="N289" s="1277"/>
      <c r="O289" s="1277"/>
    </row>
    <row r="290" spans="3:15">
      <c r="C290" s="1277"/>
      <c r="D290" s="1277"/>
      <c r="E290" s="1277"/>
      <c r="F290" s="1277"/>
      <c r="G290" s="921"/>
      <c r="H290" s="1277"/>
      <c r="I290" s="921"/>
      <c r="J290" s="1277"/>
      <c r="K290" s="921"/>
      <c r="L290" s="1277"/>
      <c r="M290" s="1277"/>
      <c r="N290" s="1277"/>
      <c r="O290" s="1277"/>
    </row>
    <row r="291" spans="3:15">
      <c r="C291" s="1277"/>
      <c r="D291" s="1277"/>
      <c r="E291" s="1277"/>
      <c r="F291" s="1277"/>
      <c r="G291" s="921"/>
      <c r="H291" s="1277"/>
      <c r="I291" s="921"/>
      <c r="J291" s="1277"/>
      <c r="K291" s="921"/>
      <c r="L291" s="1277"/>
      <c r="M291" s="1277"/>
      <c r="N291" s="1277"/>
      <c r="O291" s="1277"/>
    </row>
    <row r="292" spans="3:15">
      <c r="C292" s="1277"/>
      <c r="D292" s="1277"/>
      <c r="E292" s="1277"/>
      <c r="F292" s="1277"/>
      <c r="G292" s="921"/>
      <c r="H292" s="1277"/>
      <c r="I292" s="921"/>
      <c r="J292" s="1277"/>
      <c r="K292" s="921"/>
      <c r="L292" s="1277"/>
      <c r="M292" s="1277"/>
      <c r="N292" s="1277"/>
      <c r="O292" s="1277"/>
    </row>
    <row r="293" spans="3:15">
      <c r="C293" s="1277"/>
      <c r="D293" s="1277"/>
      <c r="E293" s="1277"/>
      <c r="F293" s="1277"/>
      <c r="G293" s="921"/>
      <c r="H293" s="1277"/>
      <c r="I293" s="921"/>
      <c r="J293" s="1277"/>
      <c r="K293" s="921"/>
      <c r="L293" s="1277"/>
      <c r="M293" s="1277"/>
      <c r="N293" s="1277"/>
      <c r="O293" s="1277"/>
    </row>
    <row r="294" spans="3:15">
      <c r="C294" s="1277"/>
      <c r="D294" s="1277"/>
      <c r="E294" s="1277"/>
      <c r="F294" s="1277"/>
      <c r="G294" s="921"/>
      <c r="H294" s="1277"/>
      <c r="I294" s="921"/>
      <c r="J294" s="1277"/>
      <c r="K294" s="921"/>
      <c r="L294" s="1277"/>
      <c r="M294" s="1277"/>
      <c r="N294" s="1277"/>
      <c r="O294" s="1277"/>
    </row>
    <row r="295" spans="3:15">
      <c r="C295" s="1277"/>
      <c r="D295" s="1277"/>
      <c r="E295" s="1277"/>
      <c r="F295" s="1277"/>
      <c r="G295" s="921"/>
      <c r="H295" s="1277"/>
      <c r="I295" s="921"/>
      <c r="J295" s="1277"/>
      <c r="K295" s="921"/>
      <c r="L295" s="1277"/>
      <c r="M295" s="1277"/>
      <c r="N295" s="1277"/>
      <c r="O295" s="1277"/>
    </row>
    <row r="296" spans="3:15">
      <c r="C296" s="1277"/>
      <c r="D296" s="1277"/>
      <c r="E296" s="1277"/>
      <c r="F296" s="1277"/>
      <c r="G296" s="921"/>
      <c r="H296" s="1277"/>
      <c r="I296" s="921"/>
      <c r="J296" s="1277"/>
      <c r="K296" s="921"/>
      <c r="L296" s="1277"/>
      <c r="M296" s="1277"/>
      <c r="N296" s="1277"/>
      <c r="O296" s="1277"/>
    </row>
    <row r="297" spans="3:15">
      <c r="C297" s="1277"/>
      <c r="D297" s="1277"/>
      <c r="E297" s="1277"/>
      <c r="F297" s="1277"/>
      <c r="G297" s="921"/>
      <c r="H297" s="1277"/>
      <c r="I297" s="921"/>
      <c r="J297" s="1277"/>
      <c r="K297" s="921"/>
      <c r="L297" s="1277"/>
      <c r="M297" s="1277"/>
      <c r="N297" s="1277"/>
      <c r="O297" s="1277"/>
    </row>
    <row r="298" spans="3:15">
      <c r="C298" s="1277"/>
      <c r="D298" s="1277"/>
      <c r="E298" s="1277"/>
      <c r="F298" s="1277"/>
      <c r="G298" s="921"/>
      <c r="H298" s="1277"/>
      <c r="I298" s="921"/>
      <c r="J298" s="1277"/>
      <c r="K298" s="921"/>
      <c r="L298" s="1277"/>
      <c r="M298" s="1277"/>
      <c r="N298" s="1277"/>
      <c r="O298" s="1277"/>
    </row>
    <row r="299" spans="3:15">
      <c r="C299" s="1277"/>
      <c r="D299" s="1277"/>
      <c r="E299" s="1277"/>
      <c r="F299" s="1277"/>
      <c r="G299" s="921"/>
      <c r="H299" s="1277"/>
      <c r="I299" s="921"/>
      <c r="J299" s="1277"/>
      <c r="K299" s="921"/>
      <c r="L299" s="1277"/>
      <c r="M299" s="1277"/>
      <c r="N299" s="1277"/>
      <c r="O299" s="1277"/>
    </row>
    <row r="300" spans="3:15">
      <c r="C300" s="1277"/>
      <c r="D300" s="1277"/>
      <c r="E300" s="1277"/>
      <c r="F300" s="1277"/>
      <c r="G300" s="921"/>
      <c r="H300" s="1277"/>
      <c r="I300" s="921"/>
      <c r="J300" s="1277"/>
      <c r="K300" s="921"/>
      <c r="L300" s="1277"/>
      <c r="M300" s="1277"/>
      <c r="N300" s="1277"/>
      <c r="O300" s="1277"/>
    </row>
    <row r="301" spans="3:15">
      <c r="C301" s="1277"/>
      <c r="D301" s="1277"/>
      <c r="E301" s="1277"/>
      <c r="F301" s="1277"/>
      <c r="G301" s="921"/>
      <c r="H301" s="1277"/>
      <c r="I301" s="921"/>
      <c r="J301" s="1277"/>
      <c r="K301" s="921"/>
      <c r="L301" s="1277"/>
      <c r="M301" s="1277"/>
      <c r="N301" s="1277"/>
      <c r="O301" s="1277"/>
    </row>
    <row r="302" spans="3:15">
      <c r="C302" s="1277"/>
      <c r="D302" s="1277"/>
      <c r="E302" s="1277"/>
      <c r="F302" s="1277"/>
      <c r="G302" s="921"/>
      <c r="H302" s="1277"/>
      <c r="I302" s="921"/>
      <c r="J302" s="1277"/>
      <c r="K302" s="921"/>
      <c r="L302" s="1277"/>
      <c r="M302" s="1277"/>
      <c r="N302" s="1277"/>
      <c r="O302" s="1277"/>
    </row>
    <row r="303" spans="3:15">
      <c r="C303" s="1277"/>
      <c r="D303" s="1277"/>
      <c r="E303" s="1277"/>
      <c r="F303" s="1277"/>
      <c r="G303" s="921"/>
      <c r="H303" s="1277"/>
      <c r="I303" s="921"/>
      <c r="J303" s="1277"/>
      <c r="K303" s="921"/>
      <c r="L303" s="1277"/>
      <c r="M303" s="1277"/>
      <c r="N303" s="1277"/>
      <c r="O303" s="1277"/>
    </row>
    <row r="304" spans="3:15">
      <c r="C304" s="1277"/>
      <c r="D304" s="1277"/>
      <c r="E304" s="1277"/>
      <c r="F304" s="1277"/>
      <c r="G304" s="921"/>
      <c r="H304" s="1277"/>
      <c r="I304" s="921"/>
      <c r="J304" s="1277"/>
      <c r="K304" s="921"/>
      <c r="L304" s="1277"/>
      <c r="M304" s="1277"/>
      <c r="N304" s="1277"/>
      <c r="O304" s="1277"/>
    </row>
    <row r="305" spans="3:15">
      <c r="C305" s="1277"/>
      <c r="D305" s="1277"/>
      <c r="E305" s="1277"/>
      <c r="F305" s="1277"/>
      <c r="G305" s="921"/>
      <c r="H305" s="1277"/>
      <c r="I305" s="921"/>
      <c r="J305" s="1277"/>
      <c r="K305" s="921"/>
      <c r="L305" s="1277"/>
      <c r="M305" s="1277"/>
      <c r="N305" s="1277"/>
      <c r="O305" s="1277"/>
    </row>
    <row r="306" spans="3:15">
      <c r="C306" s="1277"/>
      <c r="D306" s="1277"/>
      <c r="E306" s="1277"/>
      <c r="F306" s="1277"/>
      <c r="G306" s="921"/>
      <c r="H306" s="1277"/>
      <c r="I306" s="921"/>
      <c r="J306" s="1277"/>
      <c r="K306" s="921"/>
      <c r="L306" s="1277"/>
      <c r="M306" s="1277"/>
      <c r="N306" s="1277"/>
      <c r="O306" s="1277"/>
    </row>
    <row r="307" spans="3:15">
      <c r="C307" s="1277"/>
      <c r="D307" s="1277"/>
      <c r="E307" s="1277"/>
      <c r="F307" s="1277"/>
      <c r="G307" s="921"/>
      <c r="H307" s="1277"/>
      <c r="I307" s="921"/>
      <c r="J307" s="1277"/>
      <c r="K307" s="921"/>
      <c r="L307" s="1277"/>
      <c r="M307" s="1277"/>
      <c r="N307" s="1277"/>
      <c r="O307" s="1277"/>
    </row>
    <row r="308" spans="3:15">
      <c r="C308" s="1277"/>
      <c r="D308" s="1277"/>
      <c r="E308" s="1277"/>
      <c r="F308" s="1277"/>
      <c r="G308" s="921"/>
      <c r="H308" s="1277"/>
      <c r="I308" s="921"/>
      <c r="J308" s="1277"/>
      <c r="K308" s="921"/>
      <c r="L308" s="1277"/>
      <c r="M308" s="1277"/>
      <c r="N308" s="1277"/>
      <c r="O308" s="1277"/>
    </row>
    <row r="309" spans="3:15">
      <c r="C309" s="1277"/>
      <c r="D309" s="1277"/>
      <c r="E309" s="1277"/>
      <c r="F309" s="1277"/>
      <c r="G309" s="921"/>
      <c r="H309" s="1277"/>
      <c r="I309" s="921"/>
      <c r="J309" s="1277"/>
      <c r="K309" s="921"/>
      <c r="L309" s="1277"/>
      <c r="M309" s="1277"/>
      <c r="N309" s="1277"/>
      <c r="O309" s="1277"/>
    </row>
    <row r="310" spans="3:15">
      <c r="C310" s="1277"/>
      <c r="D310" s="1277"/>
      <c r="E310" s="1277"/>
      <c r="F310" s="1277"/>
      <c r="G310" s="921"/>
      <c r="H310" s="1277"/>
      <c r="I310" s="921"/>
      <c r="J310" s="1277"/>
      <c r="K310" s="921"/>
      <c r="L310" s="1277"/>
      <c r="M310" s="1277"/>
      <c r="N310" s="1277"/>
      <c r="O310" s="1277"/>
    </row>
    <row r="311" spans="3:15">
      <c r="C311" s="1277"/>
      <c r="D311" s="1277"/>
      <c r="E311" s="1277"/>
      <c r="F311" s="1277"/>
      <c r="G311" s="921"/>
      <c r="H311" s="1277"/>
      <c r="I311" s="921"/>
      <c r="J311" s="1277"/>
      <c r="K311" s="921"/>
      <c r="L311" s="1277"/>
      <c r="M311" s="1277"/>
      <c r="N311" s="1277"/>
      <c r="O311" s="1277"/>
    </row>
    <row r="312" spans="3:15">
      <c r="C312" s="1277"/>
      <c r="D312" s="1277"/>
      <c r="E312" s="1277"/>
      <c r="F312" s="1277"/>
      <c r="G312" s="921"/>
      <c r="H312" s="1277"/>
      <c r="I312" s="921"/>
      <c r="J312" s="1277"/>
      <c r="K312" s="921"/>
      <c r="L312" s="1277"/>
      <c r="M312" s="1277"/>
      <c r="N312" s="1277"/>
      <c r="O312" s="1277"/>
    </row>
    <row r="313" spans="3:15">
      <c r="C313" s="1277"/>
      <c r="D313" s="1277"/>
      <c r="E313" s="1277"/>
      <c r="F313" s="1277"/>
      <c r="G313" s="921"/>
      <c r="H313" s="1277"/>
      <c r="I313" s="921"/>
      <c r="J313" s="1277"/>
      <c r="K313" s="921"/>
      <c r="L313" s="1277"/>
      <c r="M313" s="1277"/>
      <c r="N313" s="1277"/>
      <c r="O313" s="1277"/>
    </row>
    <row r="314" spans="3:15">
      <c r="C314" s="1277"/>
      <c r="D314" s="1277"/>
      <c r="E314" s="1277"/>
      <c r="F314" s="1277"/>
      <c r="G314" s="921"/>
      <c r="H314" s="1277"/>
      <c r="I314" s="921"/>
      <c r="J314" s="1277"/>
      <c r="K314" s="921"/>
      <c r="L314" s="1277"/>
      <c r="M314" s="1277"/>
      <c r="N314" s="1277"/>
      <c r="O314" s="1277"/>
    </row>
    <row r="315" spans="3:15">
      <c r="C315" s="1277"/>
      <c r="D315" s="1277"/>
      <c r="E315" s="1277"/>
      <c r="F315" s="1277"/>
      <c r="G315" s="921"/>
      <c r="H315" s="1277"/>
      <c r="I315" s="921"/>
      <c r="J315" s="1277"/>
      <c r="K315" s="921"/>
      <c r="L315" s="1277"/>
      <c r="M315" s="1277"/>
      <c r="N315" s="1277"/>
      <c r="O315" s="1277"/>
    </row>
    <row r="316" spans="3:15">
      <c r="C316" s="1277"/>
      <c r="D316" s="1277"/>
      <c r="E316" s="1277"/>
      <c r="F316" s="1277"/>
      <c r="G316" s="921"/>
      <c r="H316" s="1277"/>
      <c r="I316" s="921"/>
      <c r="J316" s="1277"/>
      <c r="K316" s="921"/>
      <c r="L316" s="1277"/>
      <c r="M316" s="1277"/>
      <c r="N316" s="1277"/>
      <c r="O316" s="1277"/>
    </row>
    <row r="317" spans="3:15">
      <c r="C317" s="1277"/>
      <c r="D317" s="1277"/>
      <c r="E317" s="1277"/>
      <c r="F317" s="1277"/>
      <c r="G317" s="921"/>
      <c r="H317" s="1277"/>
      <c r="I317" s="921"/>
      <c r="J317" s="1277"/>
      <c r="K317" s="921"/>
      <c r="L317" s="1277"/>
      <c r="M317" s="1277"/>
      <c r="N317" s="1277"/>
      <c r="O317" s="1277"/>
    </row>
    <row r="318" spans="3:15">
      <c r="C318" s="1277"/>
      <c r="D318" s="1277"/>
      <c r="E318" s="1277"/>
      <c r="F318" s="1277"/>
      <c r="G318" s="921"/>
      <c r="H318" s="1277"/>
      <c r="I318" s="921"/>
      <c r="J318" s="1277"/>
      <c r="K318" s="921"/>
      <c r="L318" s="1277"/>
      <c r="M318" s="1277"/>
      <c r="N318" s="1277"/>
      <c r="O318" s="1277"/>
    </row>
    <row r="319" spans="3:15">
      <c r="C319" s="1277"/>
      <c r="D319" s="1277"/>
      <c r="E319" s="1277"/>
      <c r="F319" s="1277"/>
      <c r="G319" s="921"/>
      <c r="H319" s="1277"/>
      <c r="I319" s="921"/>
      <c r="J319" s="1277"/>
      <c r="K319" s="921"/>
      <c r="L319" s="1277"/>
      <c r="M319" s="1277"/>
      <c r="N319" s="1277"/>
      <c r="O319" s="1277"/>
    </row>
    <row r="320" spans="3:15">
      <c r="C320" s="1277"/>
      <c r="D320" s="1277"/>
      <c r="E320" s="1277"/>
      <c r="F320" s="1277"/>
      <c r="G320" s="921"/>
      <c r="H320" s="1277"/>
      <c r="I320" s="921"/>
      <c r="J320" s="1277"/>
      <c r="K320" s="921"/>
      <c r="L320" s="1277"/>
      <c r="M320" s="1277"/>
      <c r="N320" s="1277"/>
      <c r="O320" s="1277"/>
    </row>
    <row r="321" spans="3:15">
      <c r="C321" s="1277"/>
      <c r="D321" s="1277"/>
      <c r="E321" s="1277"/>
      <c r="F321" s="1277"/>
      <c r="G321" s="921"/>
      <c r="H321" s="1277"/>
      <c r="I321" s="921"/>
      <c r="J321" s="1277"/>
      <c r="K321" s="921"/>
      <c r="L321" s="1277"/>
      <c r="M321" s="1277"/>
      <c r="N321" s="1277"/>
      <c r="O321" s="1277"/>
    </row>
    <row r="322" spans="3:15">
      <c r="C322" s="1277"/>
      <c r="D322" s="1277"/>
      <c r="E322" s="1277"/>
      <c r="F322" s="1277"/>
      <c r="G322" s="921"/>
      <c r="H322" s="1277"/>
      <c r="I322" s="921"/>
      <c r="J322" s="1277"/>
      <c r="K322" s="921"/>
      <c r="L322" s="1277"/>
      <c r="M322" s="1277"/>
      <c r="N322" s="1277"/>
      <c r="O322" s="1277"/>
    </row>
    <row r="323" spans="3:15">
      <c r="C323" s="1277"/>
      <c r="D323" s="1277"/>
      <c r="E323" s="1277"/>
      <c r="F323" s="1277"/>
      <c r="G323" s="921"/>
      <c r="H323" s="1277"/>
      <c r="I323" s="921"/>
      <c r="J323" s="1277"/>
      <c r="K323" s="921"/>
      <c r="L323" s="1277"/>
      <c r="M323" s="1277"/>
      <c r="N323" s="1277"/>
      <c r="O323" s="1277"/>
    </row>
    <row r="324" spans="3:15">
      <c r="C324" s="1277"/>
      <c r="D324" s="1277"/>
      <c r="E324" s="1277"/>
      <c r="F324" s="1277"/>
      <c r="G324" s="921"/>
      <c r="H324" s="1277"/>
      <c r="I324" s="921"/>
      <c r="J324" s="1277"/>
      <c r="K324" s="921"/>
      <c r="L324" s="1277"/>
      <c r="M324" s="1277"/>
      <c r="N324" s="1277"/>
      <c r="O324" s="1277"/>
    </row>
    <row r="325" spans="3:15">
      <c r="C325" s="1277"/>
      <c r="D325" s="1277"/>
      <c r="E325" s="1277"/>
      <c r="F325" s="1277"/>
      <c r="G325" s="921"/>
      <c r="H325" s="1277"/>
      <c r="I325" s="921"/>
      <c r="J325" s="1277"/>
      <c r="K325" s="921"/>
      <c r="L325" s="1277"/>
      <c r="M325" s="1277"/>
      <c r="N325" s="1277"/>
      <c r="O325" s="1277"/>
    </row>
    <row r="326" spans="3:15">
      <c r="C326" s="1277"/>
      <c r="D326" s="1277"/>
      <c r="E326" s="1277"/>
      <c r="F326" s="1277"/>
      <c r="G326" s="921"/>
      <c r="H326" s="1277"/>
      <c r="I326" s="921"/>
      <c r="J326" s="1277"/>
      <c r="K326" s="921"/>
      <c r="L326" s="1277"/>
      <c r="M326" s="1277"/>
      <c r="N326" s="1277"/>
      <c r="O326" s="1277"/>
    </row>
    <row r="327" spans="3:15">
      <c r="C327" s="1277"/>
      <c r="D327" s="1277"/>
      <c r="E327" s="1277"/>
      <c r="F327" s="1277"/>
      <c r="G327" s="921"/>
      <c r="H327" s="1277"/>
      <c r="I327" s="921"/>
      <c r="J327" s="1277"/>
      <c r="K327" s="921"/>
      <c r="L327" s="1277"/>
      <c r="M327" s="1277"/>
      <c r="N327" s="1277"/>
      <c r="O327" s="1277"/>
    </row>
    <row r="328" spans="3:15">
      <c r="C328" s="1277"/>
      <c r="D328" s="1277"/>
      <c r="E328" s="1277"/>
      <c r="F328" s="1277"/>
      <c r="G328" s="921"/>
      <c r="H328" s="1277"/>
      <c r="I328" s="921"/>
      <c r="J328" s="1277"/>
      <c r="K328" s="921"/>
      <c r="L328" s="1277"/>
      <c r="M328" s="1277"/>
      <c r="N328" s="1277"/>
      <c r="O328" s="1277"/>
    </row>
    <row r="329" spans="3:15">
      <c r="C329" s="1277"/>
      <c r="D329" s="1277"/>
      <c r="E329" s="1277"/>
      <c r="F329" s="1277"/>
      <c r="G329" s="921"/>
      <c r="H329" s="1277"/>
      <c r="I329" s="921"/>
      <c r="J329" s="1277"/>
      <c r="K329" s="921"/>
      <c r="L329" s="1277"/>
      <c r="M329" s="1277"/>
      <c r="N329" s="1277"/>
      <c r="O329" s="1277"/>
    </row>
    <row r="330" spans="3:15">
      <c r="C330" s="1277"/>
      <c r="D330" s="1277"/>
      <c r="E330" s="1277"/>
      <c r="F330" s="1277"/>
      <c r="G330" s="921"/>
      <c r="H330" s="1277"/>
      <c r="I330" s="921"/>
      <c r="J330" s="1277"/>
      <c r="K330" s="921"/>
      <c r="L330" s="1277"/>
      <c r="M330" s="1277"/>
      <c r="N330" s="1277"/>
      <c r="O330" s="1277"/>
    </row>
    <row r="331" spans="3:15">
      <c r="C331" s="1277"/>
      <c r="D331" s="1277"/>
      <c r="E331" s="1277"/>
      <c r="F331" s="1277"/>
      <c r="G331" s="921"/>
      <c r="H331" s="1277"/>
      <c r="I331" s="921"/>
      <c r="J331" s="1277"/>
      <c r="K331" s="921"/>
      <c r="L331" s="1277"/>
      <c r="M331" s="1277"/>
      <c r="N331" s="1277"/>
      <c r="O331" s="1277"/>
    </row>
    <row r="332" spans="3:15">
      <c r="C332" s="1277"/>
      <c r="D332" s="1277"/>
      <c r="E332" s="1277"/>
      <c r="F332" s="1277"/>
      <c r="G332" s="921"/>
      <c r="H332" s="1277"/>
      <c r="I332" s="921"/>
      <c r="J332" s="1277"/>
      <c r="K332" s="921"/>
      <c r="L332" s="1277"/>
      <c r="M332" s="1277"/>
      <c r="N332" s="1277"/>
      <c r="O332" s="1277"/>
    </row>
    <row r="333" spans="3:15">
      <c r="C333" s="1277"/>
      <c r="D333" s="1277"/>
      <c r="E333" s="1277"/>
      <c r="F333" s="1277"/>
      <c r="G333" s="921"/>
      <c r="H333" s="1277"/>
      <c r="I333" s="921"/>
      <c r="J333" s="1277"/>
      <c r="K333" s="921"/>
      <c r="L333" s="1277"/>
      <c r="M333" s="1277"/>
      <c r="N333" s="1277"/>
      <c r="O333" s="1277"/>
    </row>
    <row r="334" spans="3:15">
      <c r="C334" s="1277"/>
      <c r="D334" s="1277"/>
      <c r="E334" s="1277"/>
      <c r="F334" s="1277"/>
      <c r="G334" s="921"/>
      <c r="H334" s="1277"/>
      <c r="I334" s="921"/>
      <c r="J334" s="1277"/>
      <c r="K334" s="921"/>
      <c r="L334" s="1277"/>
      <c r="M334" s="1277"/>
      <c r="N334" s="1277"/>
      <c r="O334" s="1277"/>
    </row>
    <row r="335" spans="3:15">
      <c r="C335" s="1277"/>
      <c r="D335" s="1277"/>
      <c r="E335" s="1277"/>
      <c r="F335" s="1277"/>
      <c r="G335" s="921"/>
      <c r="H335" s="1277"/>
      <c r="I335" s="921"/>
      <c r="J335" s="1277"/>
      <c r="K335" s="921"/>
      <c r="L335" s="1277"/>
      <c r="M335" s="1277"/>
      <c r="N335" s="1277"/>
      <c r="O335" s="1277"/>
    </row>
    <row r="336" spans="3:15">
      <c r="C336" s="1277"/>
      <c r="D336" s="1277"/>
      <c r="E336" s="1277"/>
      <c r="F336" s="1277"/>
      <c r="G336" s="921"/>
      <c r="H336" s="1277"/>
      <c r="I336" s="921"/>
      <c r="J336" s="1277"/>
      <c r="K336" s="921"/>
      <c r="L336" s="1277"/>
      <c r="M336" s="1277"/>
      <c r="N336" s="1277"/>
      <c r="O336" s="1277"/>
    </row>
    <row r="337" spans="3:15">
      <c r="C337" s="1277"/>
      <c r="D337" s="1277"/>
      <c r="E337" s="1277"/>
      <c r="F337" s="1277"/>
      <c r="G337" s="921"/>
      <c r="H337" s="1277"/>
      <c r="I337" s="921"/>
      <c r="J337" s="1277"/>
      <c r="K337" s="921"/>
      <c r="L337" s="1277"/>
      <c r="M337" s="1277"/>
      <c r="N337" s="1277"/>
      <c r="O337" s="1277"/>
    </row>
    <row r="338" spans="3:15">
      <c r="C338" s="1277"/>
      <c r="D338" s="1277"/>
      <c r="E338" s="1277"/>
      <c r="F338" s="1277"/>
      <c r="G338" s="921"/>
      <c r="H338" s="1277"/>
      <c r="I338" s="921"/>
      <c r="J338" s="1277"/>
      <c r="K338" s="921"/>
      <c r="L338" s="1277"/>
      <c r="M338" s="1277"/>
      <c r="N338" s="1277"/>
      <c r="O338" s="1277"/>
    </row>
    <row r="339" spans="3:15">
      <c r="C339" s="1277"/>
      <c r="D339" s="1277"/>
      <c r="E339" s="1277"/>
      <c r="F339" s="1277"/>
      <c r="G339" s="921"/>
      <c r="H339" s="1277"/>
      <c r="I339" s="921"/>
      <c r="J339" s="1277"/>
      <c r="K339" s="921"/>
      <c r="L339" s="1277"/>
      <c r="M339" s="1277"/>
      <c r="N339" s="1277"/>
      <c r="O339" s="1277"/>
    </row>
    <row r="340" spans="3:15">
      <c r="C340" s="1277"/>
      <c r="D340" s="1277"/>
      <c r="E340" s="1277"/>
      <c r="F340" s="1277"/>
      <c r="G340" s="921"/>
      <c r="H340" s="1277"/>
      <c r="I340" s="921"/>
      <c r="J340" s="1277"/>
      <c r="K340" s="921"/>
      <c r="L340" s="1277"/>
      <c r="M340" s="1277"/>
      <c r="N340" s="1277"/>
      <c r="O340" s="1277"/>
    </row>
    <row r="341" spans="3:15">
      <c r="C341" s="1277"/>
      <c r="D341" s="1277"/>
      <c r="E341" s="1277"/>
      <c r="F341" s="1277"/>
      <c r="G341" s="921"/>
      <c r="H341" s="1277"/>
      <c r="I341" s="921"/>
      <c r="J341" s="1277"/>
      <c r="K341" s="921"/>
      <c r="L341" s="1277"/>
      <c r="M341" s="1277"/>
      <c r="N341" s="1277"/>
      <c r="O341" s="1277"/>
    </row>
    <row r="342" spans="3:15">
      <c r="C342" s="1277"/>
      <c r="D342" s="1277"/>
      <c r="E342" s="1277"/>
      <c r="F342" s="1277"/>
      <c r="G342" s="921"/>
      <c r="H342" s="1277"/>
      <c r="I342" s="921"/>
      <c r="J342" s="1277"/>
      <c r="K342" s="921"/>
      <c r="L342" s="1277"/>
      <c r="M342" s="1277"/>
      <c r="N342" s="1277"/>
      <c r="O342" s="1277"/>
    </row>
    <row r="343" spans="3:15">
      <c r="C343" s="1277"/>
      <c r="D343" s="1277"/>
      <c r="E343" s="1277"/>
      <c r="F343" s="1277"/>
      <c r="G343" s="921"/>
      <c r="H343" s="1277"/>
      <c r="I343" s="921"/>
      <c r="J343" s="1277"/>
      <c r="K343" s="921"/>
      <c r="L343" s="1277"/>
      <c r="M343" s="1277"/>
      <c r="N343" s="1277"/>
      <c r="O343" s="1277"/>
    </row>
    <row r="344" spans="3:15">
      <c r="C344" s="1277"/>
      <c r="D344" s="1277"/>
      <c r="E344" s="1277"/>
      <c r="F344" s="1277"/>
      <c r="G344" s="921"/>
      <c r="H344" s="1277"/>
      <c r="I344" s="921"/>
      <c r="J344" s="1277"/>
      <c r="K344" s="921"/>
      <c r="L344" s="1277"/>
      <c r="M344" s="1277"/>
      <c r="N344" s="1277"/>
      <c r="O344" s="1277"/>
    </row>
    <row r="345" spans="3:15">
      <c r="C345" s="1277"/>
      <c r="D345" s="1277"/>
      <c r="E345" s="1277"/>
      <c r="F345" s="1277"/>
      <c r="G345" s="921"/>
      <c r="H345" s="1277"/>
      <c r="I345" s="921"/>
      <c r="J345" s="1277"/>
      <c r="K345" s="921"/>
      <c r="L345" s="1277"/>
      <c r="M345" s="1277"/>
      <c r="N345" s="1277"/>
      <c r="O345" s="1277"/>
    </row>
    <row r="346" spans="3:15">
      <c r="C346" s="1277"/>
      <c r="D346" s="1277"/>
      <c r="E346" s="1277"/>
      <c r="F346" s="1277"/>
      <c r="G346" s="921"/>
      <c r="H346" s="1277"/>
      <c r="I346" s="921"/>
      <c r="J346" s="1277"/>
      <c r="K346" s="921"/>
      <c r="L346" s="1277"/>
      <c r="M346" s="1277"/>
      <c r="N346" s="1277"/>
      <c r="O346" s="1277"/>
    </row>
    <row r="347" spans="3:15">
      <c r="C347" s="1277"/>
      <c r="D347" s="1277"/>
      <c r="E347" s="1277"/>
      <c r="F347" s="1277"/>
      <c r="G347" s="921"/>
      <c r="H347" s="1277"/>
      <c r="I347" s="921"/>
      <c r="J347" s="1277"/>
      <c r="K347" s="921"/>
      <c r="L347" s="1277"/>
      <c r="M347" s="1277"/>
      <c r="N347" s="1277"/>
      <c r="O347" s="1277"/>
    </row>
    <row r="348" spans="3:15">
      <c r="C348" s="1277"/>
      <c r="D348" s="1277"/>
      <c r="E348" s="1277"/>
      <c r="F348" s="1277"/>
      <c r="G348" s="921"/>
      <c r="H348" s="1277"/>
      <c r="I348" s="921"/>
      <c r="J348" s="1277"/>
      <c r="K348" s="921"/>
      <c r="L348" s="1277"/>
      <c r="M348" s="1277"/>
      <c r="N348" s="1277"/>
      <c r="O348" s="1277"/>
    </row>
    <row r="349" spans="3:15">
      <c r="C349" s="1277"/>
      <c r="D349" s="1277"/>
      <c r="E349" s="1277"/>
      <c r="F349" s="1277"/>
      <c r="G349" s="921"/>
      <c r="H349" s="1277"/>
      <c r="I349" s="921"/>
      <c r="J349" s="1277"/>
      <c r="K349" s="921"/>
      <c r="L349" s="1277"/>
      <c r="M349" s="1277"/>
      <c r="N349" s="1277"/>
      <c r="O349" s="1277"/>
    </row>
    <row r="350" spans="3:15">
      <c r="C350" s="1277"/>
      <c r="D350" s="1277"/>
      <c r="E350" s="1277"/>
      <c r="F350" s="1277"/>
      <c r="G350" s="921"/>
      <c r="H350" s="1277"/>
      <c r="I350" s="921"/>
      <c r="J350" s="1277"/>
      <c r="K350" s="921"/>
      <c r="L350" s="1277"/>
      <c r="M350" s="1277"/>
      <c r="N350" s="1277"/>
      <c r="O350" s="1277"/>
    </row>
    <row r="351" spans="3:15">
      <c r="C351" s="1277"/>
      <c r="D351" s="1277"/>
      <c r="E351" s="1277"/>
      <c r="F351" s="1277"/>
      <c r="G351" s="921"/>
      <c r="H351" s="1277"/>
      <c r="I351" s="921"/>
      <c r="J351" s="1277"/>
      <c r="K351" s="921"/>
      <c r="L351" s="1277"/>
      <c r="M351" s="1277"/>
      <c r="N351" s="1277"/>
      <c r="O351" s="1277"/>
    </row>
    <row r="352" spans="3:15">
      <c r="C352" s="1277"/>
      <c r="D352" s="1277"/>
      <c r="E352" s="1277"/>
      <c r="F352" s="1277"/>
      <c r="G352" s="921"/>
      <c r="H352" s="1277"/>
      <c r="I352" s="921"/>
      <c r="J352" s="1277"/>
      <c r="K352" s="921"/>
      <c r="L352" s="1277"/>
      <c r="M352" s="1277"/>
      <c r="N352" s="1277"/>
      <c r="O352" s="1277"/>
    </row>
    <row r="353" spans="3:15">
      <c r="C353" s="1277"/>
      <c r="D353" s="1277"/>
      <c r="E353" s="1277"/>
      <c r="F353" s="1277"/>
      <c r="G353" s="921"/>
      <c r="H353" s="1277"/>
      <c r="I353" s="921"/>
      <c r="J353" s="1277"/>
      <c r="K353" s="921"/>
      <c r="L353" s="1277"/>
      <c r="M353" s="1277"/>
      <c r="N353" s="1277"/>
      <c r="O353" s="1277"/>
    </row>
    <row r="354" spans="3:15">
      <c r="C354" s="1277"/>
      <c r="D354" s="1277"/>
      <c r="E354" s="1277"/>
      <c r="F354" s="1277"/>
      <c r="G354" s="921"/>
      <c r="H354" s="1277"/>
      <c r="I354" s="921"/>
      <c r="J354" s="1277"/>
      <c r="K354" s="921"/>
      <c r="L354" s="1277"/>
      <c r="M354" s="1277"/>
      <c r="N354" s="1277"/>
      <c r="O354" s="1277"/>
    </row>
    <row r="355" spans="3:15">
      <c r="C355" s="1277"/>
      <c r="D355" s="1277"/>
      <c r="E355" s="1277"/>
      <c r="F355" s="1277"/>
      <c r="G355" s="921"/>
      <c r="H355" s="1277"/>
      <c r="I355" s="921"/>
      <c r="J355" s="1277"/>
      <c r="K355" s="921"/>
      <c r="L355" s="1277"/>
      <c r="M355" s="1277"/>
      <c r="N355" s="1277"/>
      <c r="O355" s="1277"/>
    </row>
    <row r="356" spans="3:15">
      <c r="C356" s="1277"/>
      <c r="D356" s="1277"/>
      <c r="E356" s="1277"/>
      <c r="F356" s="1277"/>
      <c r="G356" s="921"/>
      <c r="H356" s="1277"/>
      <c r="I356" s="921"/>
      <c r="J356" s="1277"/>
      <c r="K356" s="921"/>
      <c r="L356" s="1277"/>
      <c r="M356" s="1277"/>
      <c r="N356" s="1277"/>
      <c r="O356" s="1277"/>
    </row>
    <row r="357" spans="3:15">
      <c r="C357" s="1277"/>
      <c r="D357" s="1277"/>
      <c r="E357" s="1277"/>
      <c r="F357" s="1277"/>
      <c r="G357" s="921"/>
      <c r="H357" s="1277"/>
      <c r="I357" s="921"/>
      <c r="J357" s="1277"/>
      <c r="K357" s="921"/>
      <c r="L357" s="1277"/>
      <c r="M357" s="1277"/>
      <c r="N357" s="1277"/>
      <c r="O357" s="1277"/>
    </row>
    <row r="358" spans="3:15">
      <c r="C358" s="1277"/>
      <c r="D358" s="1277"/>
      <c r="E358" s="1277"/>
      <c r="F358" s="1277"/>
      <c r="G358" s="921"/>
      <c r="H358" s="1277"/>
      <c r="I358" s="921"/>
      <c r="J358" s="1277"/>
      <c r="K358" s="921"/>
      <c r="L358" s="1277"/>
      <c r="M358" s="1277"/>
      <c r="N358" s="1277"/>
      <c r="O358" s="1277"/>
    </row>
    <row r="359" spans="3:15">
      <c r="C359" s="1277"/>
      <c r="D359" s="1277"/>
      <c r="E359" s="1277"/>
      <c r="F359" s="1277"/>
      <c r="G359" s="921"/>
      <c r="H359" s="1277"/>
      <c r="I359" s="921"/>
      <c r="J359" s="1277"/>
      <c r="K359" s="921"/>
      <c r="L359" s="1277"/>
      <c r="M359" s="1277"/>
      <c r="N359" s="1277"/>
      <c r="O359" s="1277"/>
    </row>
    <row r="360" spans="3:15">
      <c r="C360" s="1277"/>
      <c r="D360" s="1277"/>
      <c r="E360" s="1277"/>
      <c r="F360" s="1277"/>
      <c r="G360" s="921"/>
      <c r="H360" s="1277"/>
      <c r="I360" s="921"/>
      <c r="J360" s="1277"/>
      <c r="K360" s="921"/>
      <c r="L360" s="1277"/>
      <c r="M360" s="1277"/>
      <c r="N360" s="1277"/>
      <c r="O360" s="1277"/>
    </row>
    <row r="361" spans="3:15">
      <c r="C361" s="1277"/>
      <c r="D361" s="1277"/>
      <c r="E361" s="1277"/>
      <c r="F361" s="1277"/>
      <c r="G361" s="921"/>
      <c r="H361" s="1277"/>
      <c r="I361" s="921"/>
      <c r="J361" s="1277"/>
      <c r="K361" s="921"/>
      <c r="L361" s="1277"/>
      <c r="M361" s="1277"/>
      <c r="N361" s="1277"/>
      <c r="O361" s="1277"/>
    </row>
    <row r="362" spans="3:15">
      <c r="C362" s="1277"/>
      <c r="D362" s="1277"/>
      <c r="E362" s="1277"/>
      <c r="F362" s="1277"/>
      <c r="G362" s="921"/>
      <c r="H362" s="1277"/>
      <c r="I362" s="921"/>
      <c r="J362" s="1277"/>
      <c r="K362" s="921"/>
      <c r="L362" s="1277"/>
      <c r="M362" s="1277"/>
      <c r="N362" s="1277"/>
      <c r="O362" s="1277"/>
    </row>
    <row r="363" spans="3:15">
      <c r="C363" s="1277"/>
      <c r="D363" s="1277"/>
      <c r="E363" s="1277"/>
      <c r="F363" s="1277"/>
      <c r="G363" s="921"/>
      <c r="H363" s="1277"/>
      <c r="I363" s="921"/>
      <c r="J363" s="1277"/>
      <c r="K363" s="921"/>
      <c r="L363" s="1277"/>
      <c r="M363" s="1277"/>
      <c r="N363" s="1277"/>
      <c r="O363" s="1277"/>
    </row>
    <row r="364" spans="3:15">
      <c r="C364" s="1277"/>
      <c r="D364" s="1277"/>
      <c r="E364" s="1277"/>
      <c r="F364" s="1277"/>
      <c r="G364" s="921"/>
      <c r="H364" s="1277"/>
      <c r="I364" s="921"/>
      <c r="J364" s="1277"/>
      <c r="K364" s="921"/>
      <c r="L364" s="1277"/>
      <c r="M364" s="1277"/>
      <c r="N364" s="1277"/>
      <c r="O364" s="1277"/>
    </row>
    <row r="365" spans="3:15">
      <c r="C365" s="1277"/>
      <c r="D365" s="1277"/>
      <c r="E365" s="1277"/>
      <c r="F365" s="1277"/>
      <c r="G365" s="921"/>
      <c r="H365" s="1277"/>
      <c r="I365" s="921"/>
      <c r="J365" s="1277"/>
      <c r="K365" s="921"/>
      <c r="L365" s="1277"/>
      <c r="M365" s="1277"/>
      <c r="N365" s="1277"/>
      <c r="O365" s="1277"/>
    </row>
    <row r="366" spans="3:15">
      <c r="C366" s="1277"/>
      <c r="D366" s="1277"/>
      <c r="E366" s="1277"/>
      <c r="F366" s="1277"/>
      <c r="G366" s="921"/>
      <c r="H366" s="1277"/>
      <c r="I366" s="921"/>
      <c r="J366" s="1277"/>
      <c r="K366" s="921"/>
      <c r="L366" s="1277"/>
      <c r="M366" s="1277"/>
      <c r="N366" s="1277"/>
      <c r="O366" s="1277"/>
    </row>
    <row r="367" spans="3:15">
      <c r="C367" s="1277"/>
      <c r="D367" s="1277"/>
      <c r="E367" s="1277"/>
      <c r="F367" s="1277"/>
      <c r="G367" s="921"/>
      <c r="H367" s="1277"/>
      <c r="I367" s="921"/>
      <c r="J367" s="1277"/>
      <c r="K367" s="921"/>
      <c r="L367" s="1277"/>
      <c r="M367" s="1277"/>
      <c r="N367" s="1277"/>
      <c r="O367" s="1277"/>
    </row>
    <row r="368" spans="3:15">
      <c r="C368" s="1277"/>
      <c r="D368" s="1277"/>
      <c r="E368" s="1277"/>
      <c r="F368" s="1277"/>
      <c r="G368" s="921"/>
      <c r="H368" s="1277"/>
      <c r="I368" s="921"/>
      <c r="J368" s="1277"/>
      <c r="K368" s="921"/>
      <c r="L368" s="1277"/>
      <c r="M368" s="1277"/>
      <c r="N368" s="1277"/>
      <c r="O368" s="1277"/>
    </row>
    <row r="369" spans="3:15">
      <c r="C369" s="1277"/>
      <c r="D369" s="1277"/>
      <c r="E369" s="1277"/>
      <c r="F369" s="1277"/>
      <c r="G369" s="921"/>
      <c r="H369" s="1277"/>
      <c r="I369" s="921"/>
      <c r="J369" s="1277"/>
      <c r="K369" s="921"/>
      <c r="L369" s="1277"/>
      <c r="M369" s="1277"/>
      <c r="N369" s="1277"/>
      <c r="O369" s="1277"/>
    </row>
    <row r="370" spans="3:15">
      <c r="C370" s="1277"/>
      <c r="D370" s="1277"/>
      <c r="E370" s="1277"/>
      <c r="F370" s="1277"/>
      <c r="G370" s="921"/>
      <c r="H370" s="1277"/>
      <c r="I370" s="921"/>
      <c r="J370" s="1277"/>
      <c r="K370" s="921"/>
      <c r="L370" s="1277"/>
      <c r="M370" s="1277"/>
      <c r="N370" s="1277"/>
      <c r="O370" s="1277"/>
    </row>
    <row r="371" spans="3:15">
      <c r="C371" s="1277"/>
      <c r="D371" s="1277"/>
      <c r="E371" s="1277"/>
      <c r="F371" s="1277"/>
      <c r="G371" s="921"/>
      <c r="H371" s="1277"/>
      <c r="I371" s="921"/>
      <c r="J371" s="1277"/>
      <c r="K371" s="921"/>
      <c r="L371" s="1277"/>
      <c r="M371" s="1277"/>
      <c r="N371" s="1277"/>
      <c r="O371" s="1277"/>
    </row>
    <row r="372" spans="3:15">
      <c r="C372" s="1277"/>
      <c r="D372" s="1277"/>
      <c r="E372" s="1277"/>
      <c r="F372" s="1277"/>
      <c r="G372" s="921"/>
      <c r="H372" s="1277"/>
      <c r="I372" s="921"/>
      <c r="J372" s="1277"/>
      <c r="K372" s="921"/>
      <c r="L372" s="1277"/>
      <c r="M372" s="1277"/>
      <c r="N372" s="1277"/>
      <c r="O372" s="1277"/>
    </row>
    <row r="373" spans="3:15">
      <c r="C373" s="1277"/>
      <c r="D373" s="1277"/>
      <c r="E373" s="1277"/>
      <c r="F373" s="1277"/>
      <c r="G373" s="921"/>
      <c r="H373" s="1277"/>
      <c r="I373" s="921"/>
      <c r="J373" s="1277"/>
      <c r="K373" s="921"/>
      <c r="L373" s="1277"/>
      <c r="M373" s="1277"/>
      <c r="N373" s="1277"/>
      <c r="O373" s="1277"/>
    </row>
    <row r="374" spans="3:15">
      <c r="C374" s="1277"/>
      <c r="D374" s="1277"/>
      <c r="E374" s="1277"/>
      <c r="F374" s="1277"/>
      <c r="G374" s="921"/>
      <c r="H374" s="1277"/>
      <c r="I374" s="921"/>
      <c r="J374" s="1277"/>
      <c r="K374" s="921"/>
      <c r="L374" s="1277"/>
      <c r="M374" s="1277"/>
      <c r="N374" s="1277"/>
      <c r="O374" s="1277"/>
    </row>
    <row r="375" spans="3:15">
      <c r="C375" s="1277"/>
      <c r="D375" s="1277"/>
      <c r="E375" s="1277"/>
      <c r="F375" s="1277"/>
      <c r="G375" s="921"/>
      <c r="H375" s="1277"/>
      <c r="I375" s="921"/>
      <c r="J375" s="1277"/>
      <c r="K375" s="921"/>
      <c r="L375" s="1277"/>
      <c r="M375" s="1277"/>
      <c r="N375" s="1277"/>
      <c r="O375" s="1277"/>
    </row>
    <row r="376" spans="3:15">
      <c r="C376" s="1277"/>
      <c r="D376" s="1277"/>
      <c r="E376" s="1277"/>
      <c r="F376" s="1277"/>
      <c r="G376" s="921"/>
      <c r="H376" s="1277"/>
      <c r="I376" s="921"/>
      <c r="J376" s="1277"/>
      <c r="K376" s="921"/>
      <c r="L376" s="1277"/>
      <c r="M376" s="1277"/>
      <c r="N376" s="1277"/>
      <c r="O376" s="1277"/>
    </row>
    <row r="377" spans="3:15">
      <c r="C377" s="1277"/>
      <c r="D377" s="1277"/>
      <c r="E377" s="1277"/>
      <c r="F377" s="1277"/>
      <c r="G377" s="921"/>
      <c r="H377" s="1277"/>
      <c r="I377" s="921"/>
      <c r="J377" s="1277"/>
      <c r="K377" s="921"/>
      <c r="L377" s="1277"/>
      <c r="M377" s="1277"/>
      <c r="N377" s="1277"/>
      <c r="O377" s="1277"/>
    </row>
    <row r="378" spans="3:15">
      <c r="C378" s="1277"/>
      <c r="D378" s="1277"/>
      <c r="E378" s="1277"/>
      <c r="F378" s="1277"/>
      <c r="G378" s="921"/>
      <c r="H378" s="1277"/>
      <c r="I378" s="921"/>
      <c r="J378" s="1277"/>
      <c r="K378" s="921"/>
      <c r="L378" s="1277"/>
      <c r="M378" s="1277"/>
      <c r="N378" s="1277"/>
      <c r="O378" s="1277"/>
    </row>
    <row r="379" spans="3:15">
      <c r="C379" s="1277"/>
      <c r="D379" s="1277"/>
      <c r="E379" s="1277"/>
      <c r="F379" s="1277"/>
      <c r="G379" s="921"/>
      <c r="H379" s="1277"/>
      <c r="I379" s="921"/>
      <c r="J379" s="1277"/>
      <c r="K379" s="921"/>
      <c r="L379" s="1277"/>
      <c r="M379" s="1277"/>
      <c r="N379" s="1277"/>
      <c r="O379" s="1277"/>
    </row>
    <row r="380" spans="3:15">
      <c r="C380" s="1277"/>
      <c r="D380" s="1277"/>
      <c r="E380" s="1277"/>
      <c r="F380" s="1277"/>
      <c r="G380" s="921"/>
      <c r="H380" s="1277"/>
      <c r="I380" s="921"/>
      <c r="J380" s="1277"/>
      <c r="K380" s="921"/>
      <c r="L380" s="1277"/>
      <c r="M380" s="1277"/>
      <c r="N380" s="1277"/>
      <c r="O380" s="1277"/>
    </row>
    <row r="381" spans="3:15">
      <c r="C381" s="1277"/>
      <c r="D381" s="1277"/>
      <c r="E381" s="1277"/>
      <c r="F381" s="1277"/>
      <c r="G381" s="921"/>
      <c r="H381" s="1277"/>
      <c r="I381" s="921"/>
      <c r="J381" s="1277"/>
      <c r="K381" s="921"/>
      <c r="L381" s="1277"/>
      <c r="M381" s="1277"/>
      <c r="N381" s="1277"/>
      <c r="O381" s="1277"/>
    </row>
    <row r="382" spans="3:15">
      <c r="C382" s="1277"/>
      <c r="D382" s="1277"/>
      <c r="E382" s="1277"/>
      <c r="F382" s="1277"/>
      <c r="G382" s="921"/>
      <c r="H382" s="1277"/>
      <c r="I382" s="921"/>
      <c r="J382" s="1277"/>
      <c r="K382" s="921"/>
      <c r="L382" s="1277"/>
      <c r="M382" s="1277"/>
      <c r="N382" s="1277"/>
      <c r="O382" s="1277"/>
    </row>
    <row r="383" spans="3:15">
      <c r="C383" s="1277"/>
      <c r="D383" s="1277"/>
      <c r="E383" s="1277"/>
      <c r="F383" s="1277"/>
      <c r="G383" s="921"/>
      <c r="H383" s="1277"/>
      <c r="I383" s="921"/>
      <c r="J383" s="1277"/>
      <c r="K383" s="921"/>
      <c r="L383" s="1277"/>
      <c r="M383" s="1277"/>
      <c r="N383" s="1277"/>
      <c r="O383" s="1277"/>
    </row>
    <row r="384" spans="3:15">
      <c r="C384" s="1277"/>
      <c r="D384" s="1277"/>
      <c r="E384" s="1277"/>
      <c r="F384" s="1277"/>
      <c r="G384" s="921"/>
      <c r="H384" s="1277"/>
      <c r="I384" s="921"/>
      <c r="J384" s="1277"/>
      <c r="K384" s="921"/>
      <c r="L384" s="1277"/>
      <c r="M384" s="1277"/>
      <c r="N384" s="1277"/>
      <c r="O384" s="1277"/>
    </row>
    <row r="385" spans="3:15">
      <c r="C385" s="1277"/>
      <c r="D385" s="1277"/>
      <c r="E385" s="1277"/>
      <c r="F385" s="1277"/>
      <c r="G385" s="921"/>
      <c r="H385" s="1277"/>
      <c r="I385" s="921"/>
      <c r="J385" s="1277"/>
      <c r="K385" s="921"/>
      <c r="L385" s="1277"/>
      <c r="M385" s="1277"/>
      <c r="N385" s="1277"/>
      <c r="O385" s="1277"/>
    </row>
    <row r="386" spans="3:15">
      <c r="C386" s="1277"/>
      <c r="D386" s="1277"/>
      <c r="E386" s="1277"/>
      <c r="F386" s="1277"/>
      <c r="G386" s="921"/>
      <c r="H386" s="1277"/>
      <c r="I386" s="921"/>
      <c r="J386" s="1277"/>
      <c r="K386" s="921"/>
      <c r="L386" s="1277"/>
      <c r="M386" s="1277"/>
      <c r="N386" s="1277"/>
      <c r="O386" s="1277"/>
    </row>
    <row r="387" spans="3:15">
      <c r="C387" s="1277"/>
      <c r="D387" s="1277"/>
      <c r="E387" s="1277"/>
      <c r="F387" s="1277"/>
      <c r="G387" s="921"/>
      <c r="H387" s="1277"/>
      <c r="I387" s="921"/>
      <c r="J387" s="1277"/>
      <c r="K387" s="921"/>
      <c r="L387" s="1277"/>
      <c r="M387" s="1277"/>
      <c r="N387" s="1277"/>
      <c r="O387" s="1277"/>
    </row>
    <row r="388" spans="3:15">
      <c r="C388" s="1277"/>
      <c r="D388" s="1277"/>
      <c r="E388" s="1277"/>
      <c r="F388" s="1277"/>
      <c r="G388" s="921"/>
      <c r="H388" s="1277"/>
      <c r="I388" s="921"/>
      <c r="J388" s="1277"/>
      <c r="K388" s="921"/>
      <c r="L388" s="1277"/>
      <c r="M388" s="1277"/>
      <c r="N388" s="1277"/>
      <c r="O388" s="1277"/>
    </row>
    <row r="389" spans="3:15">
      <c r="C389" s="1277"/>
      <c r="D389" s="1277"/>
      <c r="E389" s="1277"/>
      <c r="F389" s="1277"/>
      <c r="G389" s="921"/>
      <c r="H389" s="1277"/>
      <c r="I389" s="921"/>
      <c r="J389" s="1277"/>
      <c r="K389" s="921"/>
      <c r="L389" s="1277"/>
      <c r="M389" s="1277"/>
      <c r="N389" s="1277"/>
      <c r="O389" s="1277"/>
    </row>
    <row r="390" spans="3:15">
      <c r="C390" s="1277"/>
      <c r="D390" s="1277"/>
      <c r="E390" s="1277"/>
      <c r="F390" s="1277"/>
      <c r="G390" s="921"/>
      <c r="H390" s="1277"/>
      <c r="I390" s="921"/>
      <c r="J390" s="1277"/>
      <c r="K390" s="921"/>
      <c r="L390" s="1277"/>
      <c r="M390" s="1277"/>
      <c r="N390" s="1277"/>
      <c r="O390" s="1277"/>
    </row>
    <row r="391" spans="3:15">
      <c r="C391" s="1277"/>
      <c r="D391" s="1277"/>
      <c r="E391" s="1277"/>
      <c r="F391" s="1277"/>
      <c r="G391" s="921"/>
      <c r="H391" s="1277"/>
      <c r="I391" s="921"/>
      <c r="J391" s="1277"/>
      <c r="K391" s="921"/>
      <c r="L391" s="1277"/>
      <c r="M391" s="1277"/>
      <c r="N391" s="1277"/>
      <c r="O391" s="1277"/>
    </row>
    <row r="392" spans="3:15">
      <c r="C392" s="1277"/>
      <c r="D392" s="1277"/>
      <c r="E392" s="1277"/>
      <c r="F392" s="1277"/>
      <c r="G392" s="921"/>
      <c r="H392" s="1277"/>
      <c r="I392" s="921"/>
      <c r="J392" s="1277"/>
      <c r="K392" s="921"/>
      <c r="L392" s="1277"/>
      <c r="M392" s="1277"/>
      <c r="N392" s="1277"/>
      <c r="O392" s="1277"/>
    </row>
    <row r="393" spans="3:15">
      <c r="C393" s="1277"/>
      <c r="D393" s="1277"/>
      <c r="E393" s="1277"/>
      <c r="F393" s="1277"/>
      <c r="G393" s="921"/>
      <c r="H393" s="1277"/>
      <c r="I393" s="921"/>
      <c r="J393" s="1277"/>
      <c r="K393" s="921"/>
      <c r="L393" s="1277"/>
      <c r="M393" s="1277"/>
      <c r="N393" s="1277"/>
      <c r="O393" s="1277"/>
    </row>
    <row r="394" spans="3:15">
      <c r="C394" s="1277"/>
      <c r="D394" s="1277"/>
      <c r="E394" s="1277"/>
      <c r="F394" s="1277"/>
      <c r="G394" s="921"/>
      <c r="H394" s="1277"/>
      <c r="I394" s="921"/>
      <c r="J394" s="1277"/>
      <c r="K394" s="921"/>
      <c r="L394" s="1277"/>
      <c r="M394" s="1277"/>
      <c r="N394" s="1277"/>
      <c r="O394" s="1277"/>
    </row>
    <row r="395" spans="3:15">
      <c r="C395" s="1277"/>
      <c r="D395" s="1277"/>
      <c r="E395" s="1277"/>
      <c r="F395" s="1277"/>
      <c r="G395" s="921"/>
      <c r="H395" s="1277"/>
      <c r="I395" s="921"/>
      <c r="J395" s="1277"/>
      <c r="K395" s="921"/>
      <c r="L395" s="1277"/>
      <c r="M395" s="1277"/>
      <c r="N395" s="1277"/>
      <c r="O395" s="1277"/>
    </row>
    <row r="396" spans="3:15">
      <c r="C396" s="1277"/>
      <c r="D396" s="1277"/>
      <c r="E396" s="1277"/>
      <c r="F396" s="1277"/>
      <c r="G396" s="921"/>
      <c r="H396" s="1277"/>
      <c r="I396" s="921"/>
      <c r="J396" s="1277"/>
      <c r="K396" s="921"/>
      <c r="L396" s="1277"/>
      <c r="M396" s="1277"/>
      <c r="N396" s="1277"/>
      <c r="O396" s="1277"/>
    </row>
    <row r="397" spans="3:15">
      <c r="C397" s="1277"/>
      <c r="D397" s="1277"/>
      <c r="E397" s="1277"/>
      <c r="F397" s="1277"/>
      <c r="G397" s="921"/>
      <c r="H397" s="1277"/>
      <c r="I397" s="921"/>
      <c r="J397" s="1277"/>
      <c r="K397" s="921"/>
      <c r="L397" s="1277"/>
      <c r="M397" s="1277"/>
      <c r="N397" s="1277"/>
      <c r="O397" s="1277"/>
    </row>
    <row r="398" spans="3:15">
      <c r="C398" s="1277"/>
      <c r="D398" s="1277"/>
      <c r="E398" s="1277"/>
      <c r="F398" s="1277"/>
      <c r="G398" s="921"/>
      <c r="H398" s="1277"/>
      <c r="I398" s="921"/>
      <c r="J398" s="1277"/>
      <c r="K398" s="921"/>
      <c r="L398" s="1277"/>
      <c r="M398" s="1277"/>
      <c r="N398" s="1277"/>
      <c r="O398" s="1277"/>
    </row>
    <row r="399" spans="3:15">
      <c r="C399" s="1277"/>
      <c r="D399" s="1277"/>
      <c r="E399" s="1277"/>
      <c r="F399" s="1277"/>
      <c r="G399" s="921"/>
      <c r="H399" s="1277"/>
      <c r="I399" s="921"/>
      <c r="J399" s="1277"/>
      <c r="K399" s="921"/>
      <c r="L399" s="1277"/>
      <c r="M399" s="1277"/>
      <c r="N399" s="1277"/>
      <c r="O399" s="1277"/>
    </row>
    <row r="400" spans="3:15">
      <c r="C400" s="1277"/>
      <c r="D400" s="1277"/>
      <c r="E400" s="1277"/>
      <c r="F400" s="1277"/>
      <c r="G400" s="921"/>
      <c r="H400" s="1277"/>
      <c r="I400" s="921"/>
      <c r="J400" s="1277"/>
      <c r="K400" s="921"/>
      <c r="L400" s="1277"/>
      <c r="M400" s="1277"/>
      <c r="N400" s="1277"/>
      <c r="O400" s="1277"/>
    </row>
    <row r="401" spans="3:15">
      <c r="C401" s="1277"/>
      <c r="D401" s="1277"/>
      <c r="E401" s="1277"/>
      <c r="F401" s="1277"/>
      <c r="G401" s="921"/>
      <c r="H401" s="1277"/>
      <c r="I401" s="921"/>
      <c r="J401" s="1277"/>
      <c r="K401" s="921"/>
      <c r="L401" s="1277"/>
      <c r="M401" s="1277"/>
      <c r="N401" s="1277"/>
      <c r="O401" s="1277"/>
    </row>
    <row r="402" spans="3:15">
      <c r="C402" s="1277"/>
      <c r="D402" s="1277"/>
      <c r="E402" s="1277"/>
      <c r="F402" s="1277"/>
      <c r="G402" s="921"/>
      <c r="H402" s="1277"/>
      <c r="I402" s="921"/>
      <c r="J402" s="1277"/>
      <c r="K402" s="921"/>
      <c r="L402" s="1277"/>
      <c r="M402" s="1277"/>
      <c r="N402" s="1277"/>
      <c r="O402" s="1277"/>
    </row>
    <row r="403" spans="3:15">
      <c r="C403" s="1277"/>
      <c r="D403" s="1277"/>
      <c r="E403" s="1277"/>
      <c r="F403" s="1277"/>
      <c r="G403" s="921"/>
      <c r="H403" s="1277"/>
      <c r="I403" s="921"/>
      <c r="J403" s="1277"/>
      <c r="K403" s="921"/>
      <c r="L403" s="1277"/>
      <c r="M403" s="1277"/>
      <c r="N403" s="1277"/>
      <c r="O403" s="1277"/>
    </row>
    <row r="404" spans="3:15">
      <c r="C404" s="1277"/>
      <c r="D404" s="1277"/>
      <c r="E404" s="1277"/>
      <c r="F404" s="1277"/>
      <c r="G404" s="921"/>
      <c r="H404" s="1277"/>
      <c r="I404" s="921"/>
      <c r="J404" s="1277"/>
      <c r="K404" s="921"/>
      <c r="L404" s="1277"/>
      <c r="M404" s="1277"/>
      <c r="N404" s="1277"/>
      <c r="O404" s="1277"/>
    </row>
    <row r="405" spans="3:15">
      <c r="C405" s="1277"/>
      <c r="D405" s="1277"/>
      <c r="E405" s="1277"/>
      <c r="F405" s="1277"/>
      <c r="G405" s="921"/>
      <c r="H405" s="1277"/>
      <c r="I405" s="921"/>
      <c r="J405" s="1277"/>
      <c r="K405" s="921"/>
      <c r="L405" s="1277"/>
      <c r="M405" s="1277"/>
      <c r="N405" s="1277"/>
      <c r="O405" s="1277"/>
    </row>
    <row r="406" spans="3:15">
      <c r="C406" s="1277"/>
      <c r="D406" s="1277"/>
      <c r="E406" s="1277"/>
      <c r="F406" s="1277"/>
      <c r="G406" s="921"/>
      <c r="H406" s="1277"/>
      <c r="I406" s="921"/>
      <c r="J406" s="1277"/>
      <c r="K406" s="921"/>
      <c r="L406" s="1277"/>
      <c r="M406" s="1277"/>
      <c r="N406" s="1277"/>
      <c r="O406" s="1277"/>
    </row>
    <row r="407" spans="3:15">
      <c r="C407" s="1277"/>
      <c r="D407" s="1277"/>
      <c r="E407" s="1277"/>
      <c r="F407" s="1277"/>
      <c r="G407" s="921"/>
      <c r="H407" s="1277"/>
      <c r="I407" s="921"/>
      <c r="J407" s="1277"/>
      <c r="K407" s="921"/>
      <c r="L407" s="1277"/>
      <c r="M407" s="1277"/>
      <c r="N407" s="1277"/>
      <c r="O407" s="1277"/>
    </row>
    <row r="408" spans="3:15">
      <c r="C408" s="1277"/>
      <c r="D408" s="1277"/>
      <c r="E408" s="1277"/>
      <c r="F408" s="1277"/>
      <c r="G408" s="921"/>
      <c r="H408" s="1277"/>
      <c r="I408" s="921"/>
      <c r="J408" s="1277"/>
      <c r="K408" s="921"/>
      <c r="L408" s="1277"/>
      <c r="M408" s="1277"/>
      <c r="N408" s="1277"/>
      <c r="O408" s="1277"/>
    </row>
    <row r="409" spans="3:15">
      <c r="C409" s="1277"/>
      <c r="D409" s="1277"/>
      <c r="E409" s="1277"/>
      <c r="F409" s="1277"/>
      <c r="G409" s="921"/>
      <c r="H409" s="1277"/>
      <c r="I409" s="921"/>
      <c r="J409" s="1277"/>
      <c r="K409" s="921"/>
      <c r="L409" s="1277"/>
      <c r="M409" s="1277"/>
      <c r="N409" s="1277"/>
      <c r="O409" s="1277"/>
    </row>
    <row r="410" spans="3:15">
      <c r="C410" s="1277"/>
      <c r="D410" s="1277"/>
      <c r="E410" s="1277"/>
      <c r="F410" s="1277"/>
      <c r="G410" s="921"/>
      <c r="H410" s="1277"/>
      <c r="I410" s="921"/>
      <c r="J410" s="1277"/>
      <c r="K410" s="921"/>
      <c r="L410" s="1277"/>
      <c r="M410" s="1277"/>
      <c r="N410" s="1277"/>
      <c r="O410" s="1277"/>
    </row>
    <row r="411" spans="3:15">
      <c r="C411" s="1277"/>
      <c r="D411" s="1277"/>
      <c r="E411" s="1277"/>
      <c r="F411" s="1277"/>
      <c r="G411" s="921"/>
      <c r="H411" s="1277"/>
      <c r="I411" s="921"/>
      <c r="J411" s="1277"/>
      <c r="K411" s="921"/>
      <c r="L411" s="1277"/>
      <c r="M411" s="1277"/>
      <c r="N411" s="1277"/>
      <c r="O411" s="1277"/>
    </row>
    <row r="412" spans="3:15">
      <c r="C412" s="1277"/>
      <c r="D412" s="1277"/>
      <c r="E412" s="1277"/>
      <c r="F412" s="1277"/>
      <c r="G412" s="921"/>
      <c r="H412" s="1277"/>
      <c r="I412" s="921"/>
      <c r="J412" s="1277"/>
      <c r="K412" s="921"/>
      <c r="L412" s="1277"/>
      <c r="M412" s="1277"/>
      <c r="N412" s="1277"/>
      <c r="O412" s="1277"/>
    </row>
    <row r="413" spans="3:15">
      <c r="C413" s="1277"/>
      <c r="D413" s="1277"/>
      <c r="E413" s="1277"/>
      <c r="F413" s="1277"/>
      <c r="G413" s="921"/>
      <c r="H413" s="1277"/>
      <c r="I413" s="921"/>
      <c r="J413" s="1277"/>
      <c r="K413" s="921"/>
      <c r="L413" s="1277"/>
      <c r="M413" s="1277"/>
      <c r="N413" s="1277"/>
      <c r="O413" s="1277"/>
    </row>
    <row r="414" spans="3:15">
      <c r="C414" s="1277"/>
      <c r="D414" s="1277"/>
      <c r="E414" s="1277"/>
      <c r="F414" s="1277"/>
      <c r="G414" s="921"/>
      <c r="H414" s="1277"/>
      <c r="I414" s="921"/>
      <c r="J414" s="1277"/>
      <c r="K414" s="921"/>
      <c r="L414" s="1277"/>
      <c r="M414" s="1277"/>
      <c r="N414" s="1277"/>
      <c r="O414" s="1277"/>
    </row>
    <row r="415" spans="3:15">
      <c r="C415" s="1277"/>
      <c r="D415" s="1277"/>
      <c r="E415" s="1277"/>
      <c r="F415" s="1277"/>
      <c r="G415" s="921"/>
      <c r="H415" s="1277"/>
      <c r="I415" s="921"/>
      <c r="J415" s="1277"/>
      <c r="K415" s="921"/>
      <c r="L415" s="1277"/>
      <c r="M415" s="1277"/>
      <c r="N415" s="1277"/>
      <c r="O415" s="1277"/>
    </row>
    <row r="416" spans="3:15">
      <c r="C416" s="1277"/>
      <c r="D416" s="1277"/>
      <c r="E416" s="1277"/>
      <c r="F416" s="1277"/>
      <c r="G416" s="921"/>
      <c r="H416" s="1277"/>
      <c r="I416" s="921"/>
      <c r="J416" s="1277"/>
      <c r="K416" s="921"/>
      <c r="L416" s="1277"/>
      <c r="M416" s="1277"/>
      <c r="N416" s="1277"/>
      <c r="O416" s="1277"/>
    </row>
    <row r="417" spans="3:24">
      <c r="C417" s="1277"/>
      <c r="D417" s="1277"/>
      <c r="E417" s="1277"/>
      <c r="F417" s="1277"/>
      <c r="G417" s="921"/>
      <c r="H417" s="1277"/>
      <c r="I417" s="921"/>
      <c r="J417" s="1277"/>
      <c r="K417" s="921"/>
      <c r="L417" s="1277"/>
      <c r="M417" s="1277"/>
      <c r="N417" s="1277"/>
      <c r="O417" s="1277"/>
    </row>
    <row r="418" spans="3:24">
      <c r="C418" s="1277"/>
      <c r="D418" s="1277"/>
      <c r="E418" s="1277"/>
      <c r="F418" s="1277"/>
      <c r="G418" s="921"/>
      <c r="H418" s="1277"/>
      <c r="I418" s="921"/>
      <c r="J418" s="1277"/>
      <c r="K418" s="921"/>
      <c r="L418" s="1277"/>
      <c r="M418" s="1277"/>
      <c r="N418" s="1277"/>
      <c r="O418" s="1277"/>
    </row>
    <row r="419" spans="3:24">
      <c r="G419" s="921"/>
      <c r="H419" s="1277"/>
      <c r="I419" s="921"/>
      <c r="J419" s="1277"/>
      <c r="K419" s="921"/>
      <c r="L419" s="1277"/>
      <c r="M419" s="1277"/>
      <c r="N419" s="1277"/>
      <c r="O419" s="1277"/>
      <c r="P419" s="919"/>
      <c r="Q419" s="919"/>
      <c r="R419" s="1277"/>
      <c r="S419" s="1277"/>
      <c r="T419" s="1277"/>
      <c r="U419" s="1277"/>
      <c r="V419" s="1277"/>
      <c r="W419" s="1277"/>
      <c r="X419" s="1277"/>
    </row>
    <row r="420" spans="3:24">
      <c r="G420" s="921"/>
      <c r="H420" s="1277"/>
      <c r="I420" s="921"/>
      <c r="J420" s="1277"/>
      <c r="K420" s="921"/>
      <c r="L420" s="1277"/>
      <c r="M420" s="1277"/>
      <c r="N420" s="1277"/>
      <c r="O420" s="1277"/>
      <c r="P420" s="919"/>
      <c r="Q420" s="919"/>
      <c r="R420" s="1277"/>
      <c r="S420" s="1277"/>
      <c r="T420" s="1277"/>
      <c r="U420" s="1277"/>
      <c r="V420" s="1277"/>
      <c r="W420" s="1277"/>
      <c r="X420" s="1277"/>
    </row>
    <row r="421" spans="3:24">
      <c r="G421" s="921"/>
      <c r="H421" s="1277"/>
      <c r="I421" s="921"/>
      <c r="J421" s="1277"/>
      <c r="K421" s="921"/>
      <c r="L421" s="1277"/>
      <c r="M421" s="1277"/>
      <c r="N421" s="1277"/>
      <c r="O421" s="1277"/>
      <c r="P421" s="919"/>
      <c r="Q421" s="919"/>
      <c r="R421" s="1277"/>
      <c r="S421" s="1277"/>
      <c r="T421" s="1277"/>
      <c r="U421" s="1277"/>
      <c r="V421" s="1277"/>
      <c r="W421" s="1277"/>
      <c r="X421" s="1277"/>
    </row>
    <row r="422" spans="3:24">
      <c r="G422" s="921"/>
      <c r="H422" s="1277"/>
      <c r="I422" s="921"/>
      <c r="J422" s="1277"/>
      <c r="K422" s="921"/>
      <c r="L422" s="1277"/>
      <c r="M422" s="1277"/>
      <c r="N422" s="1277"/>
      <c r="O422" s="1277"/>
      <c r="P422" s="919"/>
      <c r="Q422" s="919"/>
      <c r="R422" s="1277"/>
      <c r="S422" s="1277"/>
      <c r="T422" s="1277"/>
      <c r="U422" s="1277"/>
      <c r="V422" s="1277"/>
      <c r="W422" s="1277"/>
      <c r="X422" s="1277"/>
    </row>
    <row r="423" spans="3:24">
      <c r="G423" s="921"/>
      <c r="H423" s="1277"/>
      <c r="I423" s="921"/>
      <c r="J423" s="1277"/>
      <c r="K423" s="921"/>
      <c r="L423" s="1277"/>
      <c r="M423" s="1277"/>
      <c r="N423" s="1277"/>
      <c r="O423" s="1277"/>
      <c r="P423" s="919"/>
      <c r="Q423" s="919"/>
      <c r="R423" s="1277"/>
      <c r="S423" s="1277"/>
      <c r="T423" s="1277"/>
      <c r="U423" s="1277"/>
      <c r="V423" s="1277"/>
      <c r="W423" s="1277"/>
      <c r="X423" s="1277"/>
    </row>
    <row r="424" spans="3:24">
      <c r="G424" s="921"/>
      <c r="H424" s="1277"/>
      <c r="I424" s="921"/>
      <c r="J424" s="1277"/>
      <c r="K424" s="921"/>
      <c r="L424" s="1277"/>
      <c r="M424" s="1277"/>
      <c r="N424" s="1277"/>
      <c r="O424" s="1277"/>
      <c r="P424" s="919"/>
      <c r="Q424" s="919"/>
      <c r="R424" s="1277"/>
      <c r="S424" s="1277"/>
      <c r="T424" s="1277"/>
      <c r="U424" s="1277"/>
      <c r="V424" s="1277"/>
      <c r="W424" s="1277"/>
      <c r="X424" s="1277"/>
    </row>
    <row r="425" spans="3:24">
      <c r="G425" s="921"/>
      <c r="H425" s="1277"/>
      <c r="I425" s="921"/>
      <c r="J425" s="1277"/>
      <c r="K425" s="921"/>
      <c r="L425" s="1277"/>
      <c r="M425" s="1277"/>
      <c r="N425" s="1277"/>
      <c r="O425" s="1277"/>
      <c r="P425" s="919"/>
      <c r="Q425" s="919"/>
      <c r="R425" s="1277"/>
      <c r="S425" s="1277"/>
      <c r="T425" s="1277"/>
      <c r="U425" s="1277"/>
      <c r="V425" s="1277"/>
      <c r="W425" s="1277"/>
      <c r="X425" s="1277"/>
    </row>
    <row r="426" spans="3:24">
      <c r="G426" s="921"/>
      <c r="H426" s="1277"/>
      <c r="I426" s="921"/>
      <c r="J426" s="1277"/>
      <c r="K426" s="921"/>
      <c r="L426" s="1277"/>
      <c r="M426" s="1277"/>
      <c r="N426" s="1277"/>
      <c r="O426" s="1277"/>
      <c r="P426" s="919"/>
      <c r="Q426" s="919"/>
      <c r="R426" s="1277"/>
      <c r="S426" s="1277"/>
      <c r="T426" s="1277"/>
      <c r="U426" s="1277"/>
      <c r="V426" s="1277"/>
      <c r="W426" s="1277"/>
      <c r="X426" s="1277"/>
    </row>
    <row r="427" spans="3:24">
      <c r="G427" s="921"/>
      <c r="H427" s="1277"/>
      <c r="I427" s="921"/>
      <c r="J427" s="1277"/>
      <c r="K427" s="921"/>
      <c r="L427" s="1277"/>
      <c r="M427" s="1277"/>
      <c r="N427" s="1277"/>
      <c r="O427" s="1277"/>
      <c r="P427" s="919"/>
      <c r="Q427" s="919"/>
      <c r="R427" s="1277"/>
      <c r="S427" s="1277"/>
      <c r="T427" s="1277"/>
      <c r="U427" s="1277"/>
      <c r="V427" s="1277"/>
      <c r="W427" s="1277"/>
      <c r="X427" s="1277"/>
    </row>
    <row r="428" spans="3:24">
      <c r="G428" s="921"/>
      <c r="H428" s="1277"/>
      <c r="I428" s="921"/>
      <c r="J428" s="1277"/>
      <c r="K428" s="921"/>
      <c r="L428" s="1277"/>
      <c r="M428" s="1277"/>
      <c r="N428" s="1277"/>
      <c r="O428" s="1277"/>
      <c r="P428" s="919"/>
      <c r="Q428" s="919"/>
      <c r="R428" s="1277"/>
      <c r="S428" s="1277"/>
      <c r="T428" s="1277"/>
      <c r="U428" s="1277"/>
      <c r="V428" s="1277"/>
      <c r="W428" s="1277"/>
      <c r="X428" s="1277"/>
    </row>
    <row r="429" spans="3:24">
      <c r="G429" s="921"/>
      <c r="H429" s="1277"/>
      <c r="I429" s="921"/>
      <c r="J429" s="1277"/>
      <c r="K429" s="921"/>
      <c r="L429" s="1277"/>
      <c r="M429" s="1277"/>
      <c r="N429" s="1277"/>
      <c r="O429" s="1277"/>
      <c r="P429" s="919"/>
      <c r="Q429" s="919"/>
      <c r="R429" s="1277"/>
      <c r="S429" s="1277"/>
      <c r="T429" s="1277"/>
      <c r="U429" s="1277"/>
      <c r="V429" s="1277"/>
      <c r="W429" s="1277"/>
      <c r="X429" s="1277"/>
    </row>
    <row r="430" spans="3:24">
      <c r="G430" s="921"/>
      <c r="H430" s="1277"/>
      <c r="I430" s="921"/>
      <c r="J430" s="1277"/>
      <c r="K430" s="921"/>
      <c r="L430" s="1277"/>
      <c r="M430" s="1277"/>
      <c r="N430" s="1277"/>
      <c r="O430" s="1277"/>
      <c r="P430" s="919"/>
      <c r="Q430" s="919"/>
      <c r="R430" s="1277"/>
      <c r="S430" s="1277"/>
      <c r="T430" s="1277"/>
      <c r="U430" s="1277"/>
      <c r="V430" s="1277"/>
      <c r="W430" s="1277"/>
      <c r="X430" s="1277"/>
    </row>
    <row r="431" spans="3:24">
      <c r="G431" s="921"/>
      <c r="H431" s="1277"/>
      <c r="I431" s="921"/>
      <c r="J431" s="1277"/>
      <c r="K431" s="921"/>
      <c r="L431" s="1277"/>
      <c r="M431" s="1277"/>
      <c r="N431" s="1277"/>
      <c r="O431" s="1277"/>
      <c r="P431" s="919"/>
      <c r="Q431" s="919"/>
      <c r="R431" s="1277"/>
      <c r="S431" s="1277"/>
      <c r="T431" s="1277"/>
      <c r="U431" s="1277"/>
      <c r="V431" s="1277"/>
      <c r="W431" s="1277"/>
      <c r="X431" s="1277"/>
    </row>
    <row r="432" spans="3:24">
      <c r="G432" s="921"/>
      <c r="H432" s="1277"/>
      <c r="I432" s="921"/>
      <c r="J432" s="1277"/>
      <c r="K432" s="921"/>
      <c r="L432" s="1277"/>
      <c r="M432" s="1277"/>
      <c r="N432" s="1277"/>
      <c r="O432" s="1277"/>
      <c r="P432" s="919"/>
      <c r="Q432" s="919"/>
      <c r="R432" s="1277"/>
      <c r="S432" s="1277"/>
      <c r="T432" s="1277"/>
      <c r="U432" s="1277"/>
      <c r="V432" s="1277"/>
      <c r="W432" s="1277"/>
      <c r="X432" s="1277"/>
    </row>
    <row r="433" spans="7:24">
      <c r="G433" s="921"/>
      <c r="H433" s="1277"/>
      <c r="I433" s="921"/>
      <c r="J433" s="1277"/>
      <c r="K433" s="921"/>
      <c r="L433" s="1277"/>
      <c r="M433" s="1277"/>
      <c r="N433" s="1277"/>
      <c r="O433" s="1277"/>
      <c r="P433" s="919"/>
      <c r="Q433" s="919"/>
      <c r="R433" s="1277"/>
      <c r="S433" s="1277"/>
      <c r="T433" s="1277"/>
      <c r="U433" s="1277"/>
      <c r="V433" s="1277"/>
      <c r="W433" s="1277"/>
      <c r="X433" s="1277"/>
    </row>
    <row r="434" spans="7:24">
      <c r="G434" s="921"/>
      <c r="H434" s="1277"/>
      <c r="I434" s="921"/>
      <c r="J434" s="1277"/>
      <c r="K434" s="921"/>
      <c r="L434" s="1277"/>
      <c r="M434" s="1277"/>
      <c r="N434" s="1277"/>
      <c r="O434" s="1277"/>
      <c r="P434" s="919"/>
      <c r="Q434" s="919"/>
      <c r="R434" s="1277"/>
      <c r="S434" s="1277"/>
      <c r="T434" s="1277"/>
      <c r="U434" s="1277"/>
      <c r="V434" s="1277"/>
      <c r="W434" s="1277"/>
      <c r="X434" s="1277"/>
    </row>
    <row r="435" spans="7:24">
      <c r="G435" s="921"/>
      <c r="H435" s="1277"/>
      <c r="I435" s="921"/>
      <c r="J435" s="1277"/>
      <c r="K435" s="921"/>
      <c r="L435" s="1277"/>
      <c r="M435" s="1277"/>
      <c r="N435" s="1277"/>
      <c r="O435" s="1277"/>
      <c r="P435" s="919"/>
      <c r="Q435" s="919"/>
      <c r="R435" s="1277"/>
      <c r="S435" s="1277"/>
      <c r="T435" s="1277"/>
      <c r="U435" s="1277"/>
      <c r="V435" s="1277"/>
      <c r="W435" s="1277"/>
      <c r="X435" s="1277"/>
    </row>
    <row r="436" spans="7:24">
      <c r="G436" s="921"/>
      <c r="H436" s="1277"/>
      <c r="I436" s="921"/>
      <c r="J436" s="1277"/>
      <c r="K436" s="921"/>
      <c r="L436" s="1277"/>
      <c r="M436" s="1277"/>
      <c r="N436" s="1277"/>
      <c r="O436" s="1277"/>
      <c r="P436" s="919"/>
      <c r="Q436" s="919"/>
      <c r="R436" s="1277"/>
      <c r="S436" s="1277"/>
      <c r="T436" s="1277"/>
      <c r="U436" s="1277"/>
      <c r="V436" s="1277"/>
      <c r="W436" s="1277"/>
      <c r="X436" s="1277"/>
    </row>
    <row r="437" spans="7:24">
      <c r="G437" s="921"/>
      <c r="H437" s="1277"/>
      <c r="I437" s="921"/>
      <c r="J437" s="1277"/>
      <c r="K437" s="921"/>
      <c r="L437" s="1277"/>
      <c r="M437" s="1277"/>
      <c r="N437" s="1277"/>
      <c r="O437" s="1277"/>
      <c r="P437" s="919"/>
      <c r="Q437" s="919"/>
      <c r="R437" s="1277"/>
      <c r="S437" s="1277"/>
      <c r="T437" s="1277"/>
      <c r="U437" s="1277"/>
      <c r="V437" s="1277"/>
      <c r="W437" s="1277"/>
      <c r="X437" s="1277"/>
    </row>
    <row r="438" spans="7:24">
      <c r="G438" s="921"/>
      <c r="H438" s="1277"/>
      <c r="I438" s="921"/>
      <c r="J438" s="1277"/>
      <c r="K438" s="921"/>
      <c r="L438" s="1277"/>
      <c r="M438" s="1277"/>
      <c r="N438" s="1277"/>
      <c r="O438" s="1277"/>
      <c r="P438" s="919"/>
      <c r="Q438" s="919"/>
      <c r="R438" s="1277"/>
      <c r="S438" s="1277"/>
      <c r="T438" s="1277"/>
      <c r="U438" s="1277"/>
      <c r="V438" s="1277"/>
      <c r="W438" s="1277"/>
      <c r="X438" s="1277"/>
    </row>
    <row r="439" spans="7:24">
      <c r="G439" s="921"/>
      <c r="H439" s="1277"/>
      <c r="I439" s="921"/>
      <c r="J439" s="1277"/>
      <c r="K439" s="921"/>
      <c r="L439" s="1277"/>
      <c r="M439" s="1277"/>
      <c r="N439" s="1277"/>
      <c r="O439" s="1277"/>
      <c r="P439" s="919"/>
      <c r="Q439" s="919"/>
      <c r="R439" s="1277"/>
      <c r="S439" s="1277"/>
      <c r="T439" s="1277"/>
      <c r="U439" s="1277"/>
      <c r="V439" s="1277"/>
      <c r="W439" s="1277"/>
      <c r="X439" s="1277"/>
    </row>
    <row r="440" spans="7:24">
      <c r="G440" s="921"/>
      <c r="H440" s="1277"/>
      <c r="I440" s="921"/>
      <c r="J440" s="1277"/>
      <c r="K440" s="921"/>
      <c r="L440" s="1277"/>
      <c r="M440" s="1277"/>
      <c r="N440" s="1277"/>
      <c r="O440" s="1277"/>
      <c r="P440" s="919"/>
      <c r="Q440" s="919"/>
      <c r="R440" s="1277"/>
      <c r="S440" s="1277"/>
      <c r="T440" s="1277"/>
      <c r="U440" s="1277"/>
      <c r="V440" s="1277"/>
      <c r="W440" s="1277"/>
      <c r="X440" s="1277"/>
    </row>
    <row r="441" spans="7:24">
      <c r="G441" s="921"/>
      <c r="H441" s="1277"/>
      <c r="I441" s="921"/>
      <c r="J441" s="1277"/>
      <c r="K441" s="921"/>
      <c r="L441" s="1277"/>
      <c r="M441" s="1277"/>
      <c r="N441" s="1277"/>
      <c r="O441" s="1277"/>
      <c r="P441" s="919"/>
      <c r="Q441" s="919"/>
      <c r="R441" s="1277"/>
      <c r="S441" s="1277"/>
      <c r="T441" s="1277"/>
      <c r="U441" s="1277"/>
      <c r="V441" s="1277"/>
      <c r="W441" s="1277"/>
      <c r="X441" s="1277"/>
    </row>
    <row r="442" spans="7:24">
      <c r="G442" s="921"/>
      <c r="H442" s="1277"/>
      <c r="I442" s="921"/>
      <c r="J442" s="1277"/>
      <c r="K442" s="921"/>
      <c r="L442" s="1277"/>
      <c r="M442" s="1277"/>
      <c r="N442" s="1277"/>
      <c r="O442" s="1277"/>
      <c r="P442" s="919"/>
      <c r="Q442" s="919"/>
      <c r="R442" s="1277"/>
      <c r="S442" s="1277"/>
      <c r="T442" s="1277"/>
      <c r="U442" s="1277"/>
      <c r="V442" s="1277"/>
      <c r="W442" s="1277"/>
      <c r="X442" s="1277"/>
    </row>
    <row r="443" spans="7:24">
      <c r="G443" s="921"/>
      <c r="H443" s="1277"/>
      <c r="I443" s="921"/>
      <c r="J443" s="1277"/>
      <c r="K443" s="921"/>
      <c r="L443" s="1277"/>
      <c r="M443" s="1277"/>
      <c r="N443" s="1277"/>
      <c r="O443" s="1277"/>
      <c r="P443" s="919"/>
      <c r="Q443" s="919"/>
      <c r="R443" s="1277"/>
      <c r="S443" s="1277"/>
      <c r="T443" s="1277"/>
      <c r="U443" s="1277"/>
      <c r="V443" s="1277"/>
      <c r="W443" s="1277"/>
      <c r="X443" s="1277"/>
    </row>
    <row r="444" spans="7:24">
      <c r="G444" s="921"/>
      <c r="H444" s="1277"/>
      <c r="I444" s="921"/>
      <c r="J444" s="1277"/>
      <c r="K444" s="921"/>
      <c r="L444" s="1277"/>
      <c r="M444" s="1277"/>
      <c r="N444" s="1277"/>
      <c r="O444" s="1277"/>
      <c r="P444" s="919"/>
      <c r="Q444" s="919"/>
      <c r="R444" s="1277"/>
      <c r="S444" s="1277"/>
      <c r="T444" s="1277"/>
      <c r="U444" s="1277"/>
      <c r="V444" s="1277"/>
      <c r="W444" s="1277"/>
      <c r="X444" s="1277"/>
    </row>
    <row r="445" spans="7:24">
      <c r="G445" s="921"/>
      <c r="H445" s="1277"/>
      <c r="I445" s="921"/>
      <c r="J445" s="1277"/>
      <c r="K445" s="921"/>
      <c r="L445" s="1277"/>
      <c r="M445" s="1277"/>
      <c r="N445" s="1277"/>
      <c r="O445" s="1277"/>
      <c r="P445" s="919"/>
      <c r="Q445" s="919"/>
      <c r="R445" s="1277"/>
      <c r="S445" s="1277"/>
      <c r="T445" s="1277"/>
      <c r="U445" s="1277"/>
      <c r="V445" s="1277"/>
      <c r="W445" s="1277"/>
      <c r="X445" s="1277"/>
    </row>
    <row r="446" spans="7:24">
      <c r="G446" s="921"/>
      <c r="H446" s="1277"/>
      <c r="I446" s="921"/>
      <c r="J446" s="1277"/>
      <c r="K446" s="921"/>
      <c r="L446" s="1277"/>
      <c r="M446" s="1277"/>
      <c r="N446" s="1277"/>
      <c r="O446" s="1277"/>
      <c r="P446" s="919"/>
      <c r="Q446" s="919"/>
      <c r="R446" s="1277"/>
      <c r="S446" s="1277"/>
      <c r="T446" s="1277"/>
      <c r="U446" s="1277"/>
      <c r="V446" s="1277"/>
      <c r="W446" s="1277"/>
      <c r="X446" s="1277"/>
    </row>
    <row r="447" spans="7:24">
      <c r="G447" s="921"/>
      <c r="H447" s="1277"/>
      <c r="I447" s="921"/>
      <c r="J447" s="1277"/>
      <c r="K447" s="921"/>
      <c r="L447" s="1277"/>
      <c r="M447" s="1277"/>
      <c r="N447" s="1277"/>
      <c r="O447" s="1277"/>
      <c r="P447" s="919"/>
      <c r="Q447" s="919"/>
      <c r="R447" s="1277"/>
      <c r="S447" s="1277"/>
      <c r="T447" s="1277"/>
      <c r="U447" s="1277"/>
      <c r="V447" s="1277"/>
      <c r="W447" s="1277"/>
      <c r="X447" s="1277"/>
    </row>
    <row r="448" spans="7:24">
      <c r="G448" s="921"/>
      <c r="H448" s="1277"/>
      <c r="I448" s="921"/>
      <c r="J448" s="1277"/>
      <c r="K448" s="921"/>
      <c r="L448" s="1277"/>
      <c r="M448" s="1277"/>
      <c r="N448" s="1277"/>
      <c r="O448" s="1277"/>
      <c r="P448" s="919"/>
      <c r="Q448" s="919"/>
      <c r="R448" s="1277"/>
      <c r="S448" s="1277"/>
      <c r="T448" s="1277"/>
      <c r="U448" s="1277"/>
      <c r="V448" s="1277"/>
      <c r="W448" s="1277"/>
      <c r="X448" s="1277"/>
    </row>
    <row r="449" spans="7:24">
      <c r="G449" s="921"/>
      <c r="H449" s="1277"/>
      <c r="I449" s="921"/>
      <c r="J449" s="1277"/>
      <c r="K449" s="921"/>
      <c r="L449" s="1277"/>
      <c r="M449" s="1277"/>
      <c r="N449" s="1277"/>
      <c r="O449" s="1277"/>
      <c r="P449" s="919"/>
      <c r="Q449" s="919"/>
      <c r="R449" s="1277"/>
      <c r="S449" s="1277"/>
      <c r="T449" s="1277"/>
      <c r="U449" s="1277"/>
      <c r="V449" s="1277"/>
      <c r="W449" s="1277"/>
      <c r="X449" s="1277"/>
    </row>
    <row r="450" spans="7:24">
      <c r="G450" s="921"/>
      <c r="H450" s="1277"/>
      <c r="I450" s="921"/>
      <c r="J450" s="1277"/>
      <c r="K450" s="921"/>
      <c r="L450" s="1277"/>
      <c r="M450" s="1277"/>
      <c r="N450" s="1277"/>
      <c r="O450" s="1277"/>
      <c r="P450" s="919"/>
      <c r="Q450" s="919"/>
      <c r="R450" s="1277"/>
      <c r="S450" s="1277"/>
      <c r="T450" s="1277"/>
      <c r="U450" s="1277"/>
      <c r="V450" s="1277"/>
      <c r="W450" s="1277"/>
      <c r="X450" s="1277"/>
    </row>
    <row r="451" spans="7:24">
      <c r="G451" s="921"/>
      <c r="H451" s="1277"/>
      <c r="I451" s="921"/>
      <c r="J451" s="1277"/>
      <c r="K451" s="921"/>
      <c r="L451" s="1277"/>
      <c r="M451" s="1277"/>
      <c r="N451" s="1277"/>
      <c r="O451" s="1277"/>
      <c r="P451" s="919"/>
      <c r="Q451" s="919"/>
      <c r="R451" s="1277"/>
      <c r="S451" s="1277"/>
      <c r="T451" s="1277"/>
      <c r="U451" s="1277"/>
      <c r="V451" s="1277"/>
      <c r="W451" s="1277"/>
      <c r="X451" s="1277"/>
    </row>
    <row r="452" spans="7:24">
      <c r="G452" s="921"/>
      <c r="H452" s="1277"/>
      <c r="I452" s="921"/>
      <c r="J452" s="1277"/>
      <c r="K452" s="921"/>
      <c r="L452" s="1277"/>
      <c r="M452" s="1277"/>
      <c r="N452" s="1277"/>
      <c r="O452" s="1277"/>
      <c r="P452" s="919"/>
      <c r="Q452" s="919"/>
      <c r="R452" s="1277"/>
      <c r="S452" s="1277"/>
      <c r="T452" s="1277"/>
      <c r="U452" s="1277"/>
      <c r="V452" s="1277"/>
      <c r="W452" s="1277"/>
      <c r="X452" s="1277"/>
    </row>
    <row r="453" spans="7:24">
      <c r="G453" s="921"/>
      <c r="H453" s="1277"/>
      <c r="I453" s="921"/>
      <c r="J453" s="1277"/>
      <c r="K453" s="921"/>
      <c r="L453" s="1277"/>
      <c r="M453" s="1277"/>
      <c r="N453" s="1277"/>
      <c r="O453" s="1277"/>
      <c r="P453" s="919"/>
      <c r="Q453" s="919"/>
      <c r="R453" s="1277"/>
      <c r="S453" s="1277"/>
      <c r="T453" s="1277"/>
      <c r="U453" s="1277"/>
      <c r="V453" s="1277"/>
      <c r="W453" s="1277"/>
      <c r="X453" s="1277"/>
    </row>
    <row r="454" spans="7:24">
      <c r="G454" s="921"/>
      <c r="H454" s="1277"/>
      <c r="I454" s="921"/>
      <c r="J454" s="1277"/>
      <c r="K454" s="921"/>
      <c r="L454" s="1277"/>
      <c r="M454" s="1277"/>
      <c r="N454" s="1277"/>
      <c r="O454" s="1277"/>
      <c r="P454" s="919"/>
      <c r="Q454" s="919"/>
      <c r="R454" s="1277"/>
      <c r="S454" s="1277"/>
      <c r="T454" s="1277"/>
      <c r="U454" s="1277"/>
      <c r="V454" s="1277"/>
      <c r="W454" s="1277"/>
      <c r="X454" s="1277"/>
    </row>
    <row r="455" spans="7:24">
      <c r="G455" s="921"/>
      <c r="H455" s="1277"/>
      <c r="I455" s="921"/>
      <c r="J455" s="1277"/>
      <c r="K455" s="921"/>
      <c r="L455" s="1277"/>
      <c r="M455" s="1277"/>
      <c r="N455" s="1277"/>
      <c r="O455" s="1277"/>
      <c r="P455" s="919"/>
      <c r="Q455" s="919"/>
      <c r="R455" s="1277"/>
      <c r="S455" s="1277"/>
      <c r="T455" s="1277"/>
      <c r="U455" s="1277"/>
      <c r="V455" s="1277"/>
      <c r="W455" s="1277"/>
      <c r="X455" s="1277"/>
    </row>
    <row r="456" spans="7:24">
      <c r="G456" s="921"/>
      <c r="H456" s="1277"/>
      <c r="I456" s="921"/>
      <c r="J456" s="1277"/>
      <c r="K456" s="921"/>
      <c r="L456" s="1277"/>
      <c r="M456" s="1277"/>
      <c r="N456" s="1277"/>
      <c r="O456" s="1277"/>
      <c r="P456" s="919"/>
      <c r="Q456" s="919"/>
      <c r="R456" s="1277"/>
      <c r="S456" s="1277"/>
      <c r="T456" s="1277"/>
      <c r="U456" s="1277"/>
      <c r="V456" s="1277"/>
      <c r="W456" s="1277"/>
      <c r="X456" s="1277"/>
    </row>
    <row r="457" spans="7:24">
      <c r="G457" s="921"/>
      <c r="H457" s="1277"/>
      <c r="I457" s="921"/>
      <c r="J457" s="1277"/>
      <c r="K457" s="921"/>
      <c r="L457" s="1277"/>
      <c r="M457" s="1277"/>
      <c r="N457" s="1277"/>
      <c r="O457" s="1277"/>
      <c r="P457" s="919"/>
      <c r="Q457" s="919"/>
      <c r="R457" s="1277"/>
      <c r="S457" s="1277"/>
      <c r="T457" s="1277"/>
      <c r="U457" s="1277"/>
      <c r="V457" s="1277"/>
      <c r="W457" s="1277"/>
      <c r="X457" s="1277"/>
    </row>
    <row r="458" spans="7:24">
      <c r="G458" s="921"/>
      <c r="H458" s="1277"/>
      <c r="I458" s="921"/>
      <c r="J458" s="1277"/>
      <c r="K458" s="921"/>
      <c r="L458" s="1277"/>
      <c r="M458" s="1277"/>
      <c r="N458" s="1277"/>
      <c r="O458" s="1277"/>
      <c r="P458" s="919"/>
      <c r="Q458" s="919"/>
      <c r="R458" s="1277"/>
      <c r="S458" s="1277"/>
      <c r="T458" s="1277"/>
      <c r="U458" s="1277"/>
      <c r="V458" s="1277"/>
      <c r="W458" s="1277"/>
      <c r="X458" s="1277"/>
    </row>
    <row r="459" spans="7:24">
      <c r="G459" s="921"/>
      <c r="H459" s="1277"/>
      <c r="I459" s="921"/>
      <c r="J459" s="1277"/>
      <c r="K459" s="921"/>
      <c r="L459" s="1277"/>
      <c r="M459" s="1277"/>
      <c r="N459" s="1277"/>
      <c r="O459" s="1277"/>
      <c r="P459" s="919"/>
      <c r="Q459" s="919"/>
      <c r="R459" s="1277"/>
      <c r="S459" s="1277"/>
      <c r="T459" s="1277"/>
      <c r="U459" s="1277"/>
      <c r="V459" s="1277"/>
      <c r="W459" s="1277"/>
      <c r="X459" s="1277"/>
    </row>
    <row r="460" spans="7:24">
      <c r="G460" s="921"/>
      <c r="H460" s="1277"/>
      <c r="I460" s="921"/>
      <c r="J460" s="1277"/>
      <c r="K460" s="921"/>
      <c r="L460" s="1277"/>
      <c r="M460" s="1277"/>
      <c r="N460" s="1277"/>
      <c r="O460" s="1277"/>
      <c r="P460" s="919"/>
      <c r="Q460" s="919"/>
      <c r="R460" s="1277"/>
      <c r="S460" s="1277"/>
      <c r="T460" s="1277"/>
      <c r="U460" s="1277"/>
      <c r="V460" s="1277"/>
      <c r="W460" s="1277"/>
      <c r="X460" s="1277"/>
    </row>
    <row r="461" spans="7:24">
      <c r="G461" s="921"/>
      <c r="H461" s="1277"/>
      <c r="I461" s="921"/>
      <c r="J461" s="1277"/>
      <c r="K461" s="921"/>
      <c r="L461" s="1277"/>
      <c r="M461" s="1277"/>
      <c r="N461" s="1277"/>
      <c r="O461" s="1277"/>
      <c r="P461" s="919"/>
      <c r="Q461" s="919"/>
      <c r="R461" s="1277"/>
      <c r="S461" s="1277"/>
      <c r="T461" s="1277"/>
      <c r="U461" s="1277"/>
      <c r="V461" s="1277"/>
      <c r="W461" s="1277"/>
      <c r="X461" s="1277"/>
    </row>
    <row r="462" spans="7:24">
      <c r="G462" s="921"/>
      <c r="H462" s="1277"/>
      <c r="I462" s="921"/>
      <c r="J462" s="1277"/>
      <c r="K462" s="921"/>
      <c r="L462" s="1277"/>
      <c r="M462" s="1277"/>
      <c r="N462" s="1277"/>
      <c r="O462" s="1277"/>
      <c r="P462" s="919"/>
      <c r="Q462" s="919"/>
      <c r="R462" s="1277"/>
      <c r="S462" s="1277"/>
      <c r="T462" s="1277"/>
      <c r="U462" s="1277"/>
      <c r="V462" s="1277"/>
      <c r="W462" s="1277"/>
      <c r="X462" s="1277"/>
    </row>
    <row r="463" spans="7:24">
      <c r="G463" s="921"/>
      <c r="H463" s="1277"/>
      <c r="I463" s="921"/>
      <c r="J463" s="1277"/>
      <c r="K463" s="921"/>
      <c r="L463" s="1277"/>
      <c r="M463" s="1277"/>
      <c r="N463" s="1277"/>
      <c r="O463" s="1277"/>
      <c r="P463" s="919"/>
      <c r="Q463" s="919"/>
      <c r="R463" s="1277"/>
      <c r="S463" s="1277"/>
      <c r="T463" s="1277"/>
      <c r="U463" s="1277"/>
      <c r="V463" s="1277"/>
      <c r="W463" s="1277"/>
      <c r="X463" s="1277"/>
    </row>
    <row r="464" spans="7:24">
      <c r="G464" s="921"/>
      <c r="H464" s="1277"/>
      <c r="I464" s="921"/>
      <c r="J464" s="1277"/>
      <c r="K464" s="921"/>
      <c r="L464" s="1277"/>
      <c r="M464" s="1277"/>
      <c r="N464" s="1277"/>
      <c r="O464" s="1277"/>
      <c r="P464" s="919"/>
      <c r="Q464" s="919"/>
      <c r="R464" s="1277"/>
      <c r="S464" s="1277"/>
      <c r="T464" s="1277"/>
      <c r="U464" s="1277"/>
      <c r="V464" s="1277"/>
      <c r="W464" s="1277"/>
      <c r="X464" s="1277"/>
    </row>
    <row r="465" spans="7:24">
      <c r="G465" s="921"/>
      <c r="H465" s="1277"/>
      <c r="I465" s="921"/>
      <c r="J465" s="1277"/>
      <c r="K465" s="921"/>
      <c r="L465" s="1277"/>
      <c r="M465" s="1277"/>
      <c r="N465" s="1277"/>
      <c r="O465" s="1277"/>
      <c r="P465" s="919"/>
      <c r="Q465" s="919"/>
      <c r="R465" s="1277"/>
      <c r="S465" s="1277"/>
      <c r="T465" s="1277"/>
      <c r="U465" s="1277"/>
      <c r="V465" s="1277"/>
      <c r="W465" s="1277"/>
      <c r="X465" s="1277"/>
    </row>
    <row r="466" spans="7:24">
      <c r="G466" s="921"/>
      <c r="H466" s="1277"/>
      <c r="I466" s="921"/>
      <c r="J466" s="1277"/>
      <c r="K466" s="921"/>
      <c r="L466" s="1277"/>
      <c r="M466" s="1277"/>
      <c r="N466" s="1277"/>
      <c r="O466" s="1277"/>
      <c r="P466" s="919"/>
      <c r="Q466" s="919"/>
      <c r="R466" s="1277"/>
      <c r="S466" s="1277"/>
      <c r="T466" s="1277"/>
      <c r="U466" s="1277"/>
      <c r="V466" s="1277"/>
      <c r="W466" s="1277"/>
      <c r="X466" s="1277"/>
    </row>
    <row r="467" spans="7:24">
      <c r="G467" s="921"/>
      <c r="H467" s="1277"/>
      <c r="I467" s="921"/>
      <c r="J467" s="1277"/>
      <c r="K467" s="921"/>
      <c r="L467" s="1277"/>
      <c r="M467" s="1277"/>
      <c r="N467" s="1277"/>
      <c r="O467" s="1277"/>
      <c r="P467" s="919"/>
      <c r="Q467" s="919"/>
      <c r="R467" s="1277"/>
      <c r="S467" s="1277"/>
      <c r="T467" s="1277"/>
      <c r="U467" s="1277"/>
      <c r="V467" s="1277"/>
      <c r="W467" s="1277"/>
      <c r="X467" s="1277"/>
    </row>
    <row r="468" spans="7:24">
      <c r="G468" s="921"/>
      <c r="H468" s="1277"/>
      <c r="I468" s="921"/>
      <c r="J468" s="1277"/>
      <c r="K468" s="921"/>
      <c r="L468" s="1277"/>
      <c r="M468" s="1277"/>
      <c r="N468" s="1277"/>
      <c r="O468" s="1277"/>
      <c r="P468" s="919"/>
      <c r="Q468" s="919"/>
      <c r="R468" s="1277"/>
      <c r="S468" s="1277"/>
      <c r="T468" s="1277"/>
      <c r="U468" s="1277"/>
      <c r="V468" s="1277"/>
      <c r="W468" s="1277"/>
      <c r="X468" s="1277"/>
    </row>
    <row r="469" spans="7:24">
      <c r="G469" s="921"/>
      <c r="H469" s="1277"/>
      <c r="I469" s="921"/>
      <c r="J469" s="1277"/>
      <c r="K469" s="921"/>
      <c r="L469" s="1277"/>
      <c r="M469" s="1277"/>
      <c r="N469" s="1277"/>
      <c r="O469" s="1277"/>
      <c r="P469" s="919"/>
      <c r="Q469" s="919"/>
      <c r="R469" s="1277"/>
      <c r="S469" s="1277"/>
      <c r="T469" s="1277"/>
      <c r="U469" s="1277"/>
      <c r="V469" s="1277"/>
      <c r="W469" s="1277"/>
      <c r="X469" s="1277"/>
    </row>
    <row r="470" spans="7:24">
      <c r="G470" s="921"/>
      <c r="H470" s="1277"/>
      <c r="I470" s="921"/>
      <c r="J470" s="1277"/>
      <c r="K470" s="921"/>
      <c r="L470" s="1277"/>
      <c r="M470" s="1277"/>
      <c r="N470" s="1277"/>
      <c r="O470" s="1277"/>
      <c r="P470" s="919"/>
      <c r="Q470" s="919"/>
      <c r="R470" s="1277"/>
      <c r="S470" s="1277"/>
      <c r="T470" s="1277"/>
      <c r="U470" s="1277"/>
      <c r="V470" s="1277"/>
      <c r="W470" s="1277"/>
      <c r="X470" s="1277"/>
    </row>
    <row r="471" spans="7:24">
      <c r="G471" s="921"/>
      <c r="H471" s="1277"/>
      <c r="I471" s="921"/>
      <c r="J471" s="1277"/>
      <c r="K471" s="921"/>
      <c r="L471" s="1277"/>
      <c r="M471" s="1277"/>
      <c r="N471" s="1277"/>
      <c r="O471" s="1277"/>
      <c r="P471" s="919"/>
      <c r="Q471" s="919"/>
      <c r="R471" s="1277"/>
      <c r="S471" s="1277"/>
      <c r="T471" s="1277"/>
      <c r="U471" s="1277"/>
      <c r="V471" s="1277"/>
      <c r="W471" s="1277"/>
      <c r="X471" s="1277"/>
    </row>
    <row r="472" spans="7:24">
      <c r="G472" s="921"/>
      <c r="H472" s="1277"/>
      <c r="I472" s="921"/>
      <c r="J472" s="1277"/>
      <c r="K472" s="921"/>
      <c r="L472" s="1277"/>
      <c r="M472" s="1277"/>
      <c r="N472" s="1277"/>
      <c r="O472" s="1277"/>
      <c r="P472" s="919"/>
      <c r="Q472" s="919"/>
      <c r="R472" s="1277"/>
      <c r="S472" s="1277"/>
      <c r="T472" s="1277"/>
      <c r="U472" s="1277"/>
      <c r="V472" s="1277"/>
      <c r="W472" s="1277"/>
      <c r="X472" s="1277"/>
    </row>
    <row r="473" spans="7:24">
      <c r="G473" s="921"/>
      <c r="H473" s="1277"/>
      <c r="I473" s="921"/>
      <c r="J473" s="1277"/>
      <c r="K473" s="921"/>
      <c r="L473" s="1277"/>
      <c r="M473" s="1277"/>
      <c r="N473" s="1277"/>
      <c r="O473" s="1277"/>
      <c r="P473" s="919"/>
      <c r="Q473" s="919"/>
      <c r="R473" s="1277"/>
      <c r="S473" s="1277"/>
      <c r="T473" s="1277"/>
      <c r="U473" s="1277"/>
      <c r="V473" s="1277"/>
      <c r="W473" s="1277"/>
      <c r="X473" s="1277"/>
    </row>
    <row r="474" spans="7:24">
      <c r="G474" s="921"/>
      <c r="H474" s="1277"/>
      <c r="I474" s="921"/>
      <c r="J474" s="1277"/>
      <c r="K474" s="921"/>
      <c r="L474" s="1277"/>
      <c r="M474" s="1277"/>
      <c r="N474" s="1277"/>
      <c r="O474" s="1277"/>
      <c r="P474" s="919"/>
      <c r="Q474" s="919"/>
      <c r="R474" s="1277"/>
      <c r="S474" s="1277"/>
      <c r="T474" s="1277"/>
      <c r="U474" s="1277"/>
      <c r="V474" s="1277"/>
      <c r="W474" s="1277"/>
      <c r="X474" s="1277"/>
    </row>
    <row r="475" spans="7:24">
      <c r="G475" s="921"/>
      <c r="H475" s="1277"/>
      <c r="I475" s="921"/>
      <c r="J475" s="1277"/>
      <c r="K475" s="921"/>
      <c r="L475" s="1277"/>
      <c r="M475" s="1277"/>
      <c r="N475" s="1277"/>
      <c r="O475" s="1277"/>
      <c r="P475" s="919"/>
      <c r="Q475" s="919"/>
      <c r="R475" s="1277"/>
      <c r="S475" s="1277"/>
      <c r="T475" s="1277"/>
      <c r="U475" s="1277"/>
      <c r="V475" s="1277"/>
      <c r="W475" s="1277"/>
      <c r="X475" s="1277"/>
    </row>
    <row r="476" spans="7:24">
      <c r="G476" s="921"/>
      <c r="H476" s="1277"/>
      <c r="I476" s="921"/>
      <c r="J476" s="1277"/>
      <c r="K476" s="921"/>
      <c r="L476" s="1277"/>
      <c r="M476" s="1277"/>
      <c r="N476" s="1277"/>
      <c r="O476" s="1277"/>
      <c r="P476" s="919"/>
      <c r="Q476" s="919"/>
      <c r="R476" s="1277"/>
      <c r="S476" s="1277"/>
      <c r="T476" s="1277"/>
      <c r="U476" s="1277"/>
      <c r="V476" s="1277"/>
      <c r="W476" s="1277"/>
      <c r="X476" s="1277"/>
    </row>
    <row r="477" spans="7:24">
      <c r="G477" s="921"/>
      <c r="H477" s="1277"/>
      <c r="I477" s="921"/>
      <c r="J477" s="1277"/>
      <c r="K477" s="921"/>
      <c r="L477" s="1277"/>
      <c r="M477" s="1277"/>
      <c r="N477" s="1277"/>
      <c r="O477" s="1277"/>
      <c r="P477" s="919"/>
      <c r="Q477" s="919"/>
      <c r="R477" s="1277"/>
      <c r="S477" s="1277"/>
      <c r="T477" s="1277"/>
      <c r="U477" s="1277"/>
      <c r="V477" s="1277"/>
      <c r="W477" s="1277"/>
      <c r="X477" s="1277"/>
    </row>
    <row r="478" spans="7:24">
      <c r="G478" s="921"/>
      <c r="H478" s="1277"/>
      <c r="I478" s="921"/>
      <c r="J478" s="1277"/>
      <c r="K478" s="921"/>
      <c r="L478" s="1277"/>
      <c r="M478" s="1277"/>
      <c r="N478" s="1277"/>
      <c r="O478" s="1277"/>
      <c r="P478" s="919"/>
      <c r="Q478" s="919"/>
      <c r="R478" s="1277"/>
      <c r="S478" s="1277"/>
      <c r="T478" s="1277"/>
      <c r="U478" s="1277"/>
      <c r="V478" s="1277"/>
      <c r="W478" s="1277"/>
      <c r="X478" s="1277"/>
    </row>
    <row r="479" spans="7:24">
      <c r="G479" s="921"/>
      <c r="H479" s="1277"/>
      <c r="I479" s="921"/>
      <c r="J479" s="1277"/>
      <c r="K479" s="921"/>
      <c r="L479" s="1277"/>
      <c r="M479" s="1277"/>
      <c r="N479" s="1277"/>
      <c r="O479" s="1277"/>
      <c r="P479" s="919"/>
      <c r="Q479" s="919"/>
      <c r="R479" s="1277"/>
      <c r="S479" s="1277"/>
      <c r="T479" s="1277"/>
      <c r="U479" s="1277"/>
      <c r="V479" s="1277"/>
      <c r="W479" s="1277"/>
      <c r="X479" s="1277"/>
    </row>
    <row r="480" spans="7:24">
      <c r="G480" s="921"/>
      <c r="H480" s="1277"/>
      <c r="I480" s="921"/>
      <c r="J480" s="1277"/>
      <c r="K480" s="921"/>
      <c r="L480" s="1277"/>
      <c r="M480" s="1277"/>
      <c r="N480" s="1277"/>
      <c r="O480" s="1277"/>
      <c r="P480" s="919"/>
      <c r="Q480" s="919"/>
      <c r="R480" s="1277"/>
      <c r="S480" s="1277"/>
      <c r="T480" s="1277"/>
      <c r="U480" s="1277"/>
      <c r="V480" s="1277"/>
      <c r="W480" s="1277"/>
      <c r="X480" s="1277"/>
    </row>
    <row r="481" spans="7:24">
      <c r="G481" s="921"/>
      <c r="H481" s="1277"/>
      <c r="I481" s="921"/>
      <c r="J481" s="1277"/>
      <c r="K481" s="921"/>
      <c r="L481" s="1277"/>
      <c r="M481" s="1277"/>
      <c r="N481" s="1277"/>
      <c r="O481" s="1277"/>
      <c r="P481" s="919"/>
      <c r="Q481" s="919"/>
      <c r="R481" s="1277"/>
      <c r="S481" s="1277"/>
      <c r="T481" s="1277"/>
      <c r="U481" s="1277"/>
      <c r="V481" s="1277"/>
      <c r="W481" s="1277"/>
      <c r="X481" s="1277"/>
    </row>
    <row r="482" spans="7:24">
      <c r="G482" s="921"/>
      <c r="H482" s="1277"/>
      <c r="I482" s="921"/>
      <c r="J482" s="1277"/>
      <c r="K482" s="921"/>
      <c r="L482" s="1277"/>
      <c r="M482" s="1277"/>
      <c r="N482" s="1277"/>
      <c r="O482" s="1277"/>
      <c r="P482" s="919"/>
      <c r="Q482" s="919"/>
      <c r="R482" s="1277"/>
      <c r="S482" s="1277"/>
      <c r="T482" s="1277"/>
      <c r="U482" s="1277"/>
      <c r="V482" s="1277"/>
      <c r="W482" s="1277"/>
      <c r="X482" s="1277"/>
    </row>
    <row r="483" spans="7:24">
      <c r="G483" s="921"/>
      <c r="H483" s="1277"/>
      <c r="I483" s="921"/>
      <c r="J483" s="1277"/>
      <c r="K483" s="921"/>
      <c r="L483" s="1277"/>
      <c r="M483" s="1277"/>
      <c r="N483" s="1277"/>
      <c r="O483" s="1277"/>
      <c r="P483" s="919"/>
      <c r="Q483" s="919"/>
      <c r="R483" s="1277"/>
      <c r="S483" s="1277"/>
      <c r="T483" s="1277"/>
      <c r="U483" s="1277"/>
      <c r="V483" s="1277"/>
      <c r="W483" s="1277"/>
      <c r="X483" s="1277"/>
    </row>
    <row r="484" spans="7:24">
      <c r="G484" s="921"/>
      <c r="H484" s="1277"/>
      <c r="I484" s="921"/>
      <c r="J484" s="1277"/>
      <c r="K484" s="921"/>
      <c r="L484" s="1277"/>
      <c r="M484" s="1277"/>
      <c r="N484" s="1277"/>
      <c r="O484" s="1277"/>
      <c r="P484" s="919"/>
      <c r="Q484" s="919"/>
      <c r="R484" s="1277"/>
      <c r="S484" s="1277"/>
      <c r="T484" s="1277"/>
      <c r="U484" s="1277"/>
      <c r="V484" s="1277"/>
      <c r="W484" s="1277"/>
      <c r="X484" s="1277"/>
    </row>
    <row r="485" spans="7:24">
      <c r="G485" s="921"/>
      <c r="H485" s="1277"/>
      <c r="I485" s="921"/>
      <c r="J485" s="1277"/>
      <c r="K485" s="921"/>
      <c r="L485" s="1277"/>
      <c r="M485" s="1277"/>
      <c r="N485" s="1277"/>
      <c r="O485" s="1277"/>
      <c r="P485" s="919"/>
      <c r="Q485" s="919"/>
      <c r="R485" s="1277"/>
      <c r="S485" s="1277"/>
      <c r="T485" s="1277"/>
      <c r="U485" s="1277"/>
      <c r="V485" s="1277"/>
      <c r="W485" s="1277"/>
      <c r="X485" s="1277"/>
    </row>
    <row r="486" spans="7:24">
      <c r="G486" s="921"/>
      <c r="H486" s="1277"/>
      <c r="I486" s="921"/>
      <c r="J486" s="1277"/>
      <c r="K486" s="921"/>
      <c r="L486" s="1277"/>
      <c r="M486" s="1277"/>
      <c r="N486" s="1277"/>
      <c r="O486" s="1277"/>
      <c r="P486" s="919"/>
      <c r="Q486" s="919"/>
      <c r="R486" s="1277"/>
      <c r="S486" s="1277"/>
      <c r="T486" s="1277"/>
      <c r="U486" s="1277"/>
      <c r="V486" s="1277"/>
      <c r="W486" s="1277"/>
      <c r="X486" s="1277"/>
    </row>
    <row r="487" spans="7:24">
      <c r="G487" s="921"/>
      <c r="H487" s="1277"/>
      <c r="I487" s="921"/>
      <c r="J487" s="1277"/>
      <c r="K487" s="921"/>
      <c r="L487" s="1277"/>
      <c r="M487" s="1277"/>
      <c r="N487" s="1277"/>
      <c r="O487" s="1277"/>
      <c r="P487" s="919"/>
      <c r="Q487" s="919"/>
      <c r="R487" s="1277"/>
      <c r="S487" s="1277"/>
      <c r="T487" s="1277"/>
      <c r="U487" s="1277"/>
      <c r="V487" s="1277"/>
      <c r="W487" s="1277"/>
      <c r="X487" s="1277"/>
    </row>
    <row r="488" spans="7:24">
      <c r="G488" s="921"/>
      <c r="H488" s="1277"/>
      <c r="I488" s="921"/>
      <c r="J488" s="1277"/>
      <c r="K488" s="921"/>
      <c r="L488" s="1277"/>
      <c r="M488" s="1277"/>
      <c r="N488" s="1277"/>
      <c r="O488" s="1277"/>
      <c r="P488" s="919"/>
      <c r="Q488" s="919"/>
      <c r="R488" s="1277"/>
      <c r="S488" s="1277"/>
      <c r="T488" s="1277"/>
      <c r="U488" s="1277"/>
      <c r="V488" s="1277"/>
      <c r="W488" s="1277"/>
      <c r="X488" s="1277"/>
    </row>
    <row r="489" spans="7:24">
      <c r="G489" s="921"/>
      <c r="H489" s="1277"/>
      <c r="I489" s="921"/>
      <c r="J489" s="1277"/>
      <c r="K489" s="921"/>
      <c r="L489" s="1277"/>
      <c r="M489" s="1277"/>
      <c r="N489" s="1277"/>
      <c r="O489" s="1277"/>
      <c r="P489" s="919"/>
      <c r="Q489" s="919"/>
      <c r="R489" s="1277"/>
      <c r="S489" s="1277"/>
      <c r="T489" s="1277"/>
      <c r="U489" s="1277"/>
      <c r="V489" s="1277"/>
      <c r="W489" s="1277"/>
      <c r="X489" s="1277"/>
    </row>
    <row r="490" spans="7:24">
      <c r="G490" s="921"/>
      <c r="H490" s="1277"/>
      <c r="I490" s="921"/>
      <c r="J490" s="1277"/>
      <c r="K490" s="921"/>
      <c r="L490" s="1277"/>
      <c r="M490" s="1277"/>
      <c r="N490" s="1277"/>
      <c r="O490" s="1277"/>
      <c r="P490" s="919"/>
      <c r="Q490" s="919"/>
      <c r="R490" s="1277"/>
      <c r="S490" s="1277"/>
      <c r="T490" s="1277"/>
      <c r="U490" s="1277"/>
      <c r="V490" s="1277"/>
      <c r="W490" s="1277"/>
      <c r="X490" s="1277"/>
    </row>
    <row r="491" spans="7:24">
      <c r="G491" s="921"/>
      <c r="H491" s="1277"/>
      <c r="I491" s="921"/>
      <c r="J491" s="1277"/>
      <c r="K491" s="921"/>
      <c r="L491" s="1277"/>
      <c r="M491" s="1277"/>
      <c r="N491" s="1277"/>
      <c r="O491" s="1277"/>
      <c r="P491" s="919"/>
      <c r="Q491" s="919"/>
      <c r="R491" s="1277"/>
      <c r="S491" s="1277"/>
      <c r="T491" s="1277"/>
      <c r="U491" s="1277"/>
      <c r="V491" s="1277"/>
      <c r="W491" s="1277"/>
      <c r="X491" s="1277"/>
    </row>
    <row r="492" spans="7:24">
      <c r="G492" s="921"/>
      <c r="H492" s="1277"/>
      <c r="I492" s="921"/>
      <c r="J492" s="1277"/>
      <c r="K492" s="921"/>
      <c r="L492" s="1277"/>
      <c r="M492" s="1277"/>
      <c r="N492" s="1277"/>
      <c r="O492" s="1277"/>
      <c r="P492" s="919"/>
      <c r="Q492" s="919"/>
      <c r="R492" s="1277"/>
      <c r="S492" s="1277"/>
      <c r="T492" s="1277"/>
      <c r="U492" s="1277"/>
      <c r="V492" s="1277"/>
      <c r="W492" s="1277"/>
      <c r="X492" s="1277"/>
    </row>
    <row r="493" spans="7:24">
      <c r="G493" s="921"/>
      <c r="H493" s="1277"/>
      <c r="I493" s="921"/>
      <c r="J493" s="1277"/>
      <c r="K493" s="921"/>
      <c r="L493" s="1277"/>
      <c r="M493" s="1277"/>
      <c r="N493" s="1277"/>
      <c r="O493" s="1277"/>
      <c r="P493" s="919"/>
      <c r="Q493" s="919"/>
      <c r="R493" s="1277"/>
      <c r="S493" s="1277"/>
      <c r="T493" s="1277"/>
      <c r="U493" s="1277"/>
      <c r="V493" s="1277"/>
      <c r="W493" s="1277"/>
      <c r="X493" s="1277"/>
    </row>
    <row r="494" spans="7:24">
      <c r="G494" s="921"/>
      <c r="H494" s="1277"/>
      <c r="I494" s="921"/>
      <c r="J494" s="1277"/>
      <c r="K494" s="921"/>
      <c r="L494" s="1277"/>
      <c r="M494" s="1277"/>
      <c r="N494" s="1277"/>
      <c r="O494" s="1277"/>
      <c r="P494" s="919"/>
      <c r="Q494" s="919"/>
      <c r="R494" s="1277"/>
      <c r="S494" s="1277"/>
      <c r="T494" s="1277"/>
      <c r="U494" s="1277"/>
      <c r="V494" s="1277"/>
      <c r="W494" s="1277"/>
      <c r="X494" s="1277"/>
    </row>
    <row r="495" spans="7:24">
      <c r="G495" s="921"/>
      <c r="H495" s="1277"/>
      <c r="I495" s="921"/>
      <c r="J495" s="1277"/>
      <c r="K495" s="921"/>
      <c r="L495" s="1277"/>
      <c r="M495" s="1277"/>
      <c r="N495" s="1277"/>
      <c r="O495" s="1277"/>
      <c r="P495" s="919"/>
      <c r="Q495" s="919"/>
      <c r="R495" s="1277"/>
      <c r="S495" s="1277"/>
      <c r="T495" s="1277"/>
      <c r="U495" s="1277"/>
      <c r="V495" s="1277"/>
      <c r="W495" s="1277"/>
      <c r="X495" s="1277"/>
    </row>
    <row r="496" spans="7:24">
      <c r="G496" s="921"/>
      <c r="H496" s="1277"/>
      <c r="I496" s="921"/>
      <c r="J496" s="1277"/>
      <c r="K496" s="921"/>
      <c r="L496" s="1277"/>
      <c r="M496" s="1277"/>
      <c r="N496" s="1277"/>
      <c r="O496" s="1277"/>
      <c r="P496" s="919"/>
      <c r="Q496" s="919"/>
      <c r="R496" s="1277"/>
      <c r="S496" s="1277"/>
      <c r="T496" s="1277"/>
      <c r="U496" s="1277"/>
      <c r="V496" s="1277"/>
      <c r="W496" s="1277"/>
      <c r="X496" s="1277"/>
    </row>
    <row r="497" spans="7:24">
      <c r="G497" s="921"/>
      <c r="H497" s="1277"/>
      <c r="I497" s="921"/>
      <c r="J497" s="1277"/>
      <c r="K497" s="921"/>
      <c r="L497" s="1277"/>
      <c r="M497" s="1277"/>
      <c r="N497" s="1277"/>
      <c r="O497" s="1277"/>
      <c r="P497" s="919"/>
      <c r="Q497" s="919"/>
      <c r="R497" s="1277"/>
      <c r="S497" s="1277"/>
      <c r="T497" s="1277"/>
      <c r="U497" s="1277"/>
      <c r="V497" s="1277"/>
      <c r="W497" s="1277"/>
      <c r="X497" s="1277"/>
    </row>
    <row r="498" spans="7:24">
      <c r="G498" s="921"/>
      <c r="H498" s="1277"/>
      <c r="I498" s="921"/>
      <c r="J498" s="1277"/>
      <c r="K498" s="921"/>
      <c r="L498" s="1277"/>
      <c r="M498" s="1277"/>
      <c r="N498" s="1277"/>
      <c r="O498" s="1277"/>
      <c r="P498" s="919"/>
      <c r="Q498" s="919"/>
      <c r="R498" s="1277"/>
      <c r="S498" s="1277"/>
      <c r="T498" s="1277"/>
      <c r="U498" s="1277"/>
      <c r="V498" s="1277"/>
      <c r="W498" s="1277"/>
      <c r="X498" s="1277"/>
    </row>
    <row r="499" spans="7:24">
      <c r="G499" s="921"/>
      <c r="H499" s="1277"/>
      <c r="I499" s="921"/>
      <c r="J499" s="1277"/>
      <c r="K499" s="921"/>
      <c r="L499" s="1277"/>
      <c r="M499" s="1277"/>
      <c r="N499" s="1277"/>
      <c r="O499" s="1277"/>
      <c r="P499" s="919"/>
      <c r="Q499" s="919"/>
      <c r="R499" s="1277"/>
      <c r="S499" s="1277"/>
      <c r="T499" s="1277"/>
      <c r="U499" s="1277"/>
      <c r="V499" s="1277"/>
      <c r="W499" s="1277"/>
      <c r="X499" s="1277"/>
    </row>
    <row r="500" spans="7:24">
      <c r="G500" s="921"/>
      <c r="H500" s="1277"/>
      <c r="I500" s="921"/>
      <c r="J500" s="1277"/>
      <c r="K500" s="921"/>
      <c r="L500" s="1277"/>
      <c r="M500" s="1277"/>
      <c r="N500" s="1277"/>
      <c r="O500" s="1277"/>
      <c r="P500" s="919"/>
      <c r="Q500" s="919"/>
      <c r="R500" s="1277"/>
      <c r="S500" s="1277"/>
      <c r="T500" s="1277"/>
      <c r="U500" s="1277"/>
      <c r="V500" s="1277"/>
      <c r="W500" s="1277"/>
      <c r="X500" s="1277"/>
    </row>
    <row r="501" spans="7:24">
      <c r="G501" s="921"/>
      <c r="H501" s="1277"/>
      <c r="I501" s="921"/>
      <c r="J501" s="1277"/>
      <c r="K501" s="921"/>
      <c r="L501" s="1277"/>
      <c r="M501" s="1277"/>
      <c r="N501" s="1277"/>
      <c r="O501" s="1277"/>
      <c r="P501" s="919"/>
      <c r="Q501" s="919"/>
      <c r="R501" s="1277"/>
      <c r="S501" s="1277"/>
      <c r="T501" s="1277"/>
      <c r="U501" s="1277"/>
      <c r="V501" s="1277"/>
      <c r="W501" s="1277"/>
      <c r="X501" s="1277"/>
    </row>
    <row r="502" spans="7:24">
      <c r="G502" s="921"/>
      <c r="H502" s="1277"/>
      <c r="I502" s="921"/>
      <c r="J502" s="1277"/>
      <c r="K502" s="921"/>
      <c r="L502" s="1277"/>
      <c r="M502" s="1277"/>
      <c r="N502" s="1277"/>
      <c r="O502" s="1277"/>
      <c r="P502" s="919"/>
      <c r="Q502" s="919"/>
      <c r="R502" s="1277"/>
      <c r="S502" s="1277"/>
      <c r="T502" s="1277"/>
      <c r="U502" s="1277"/>
      <c r="V502" s="1277"/>
      <c r="W502" s="1277"/>
      <c r="X502" s="1277"/>
    </row>
    <row r="503" spans="7:24">
      <c r="G503" s="921"/>
      <c r="H503" s="1277"/>
      <c r="I503" s="921"/>
      <c r="J503" s="1277"/>
      <c r="K503" s="921"/>
      <c r="L503" s="1277"/>
      <c r="M503" s="1277"/>
      <c r="N503" s="1277"/>
      <c r="O503" s="1277"/>
      <c r="P503" s="919"/>
      <c r="Q503" s="919"/>
      <c r="R503" s="1277"/>
      <c r="S503" s="1277"/>
      <c r="T503" s="1277"/>
      <c r="U503" s="1277"/>
      <c r="V503" s="1277"/>
      <c r="W503" s="1277"/>
      <c r="X503" s="1277"/>
    </row>
    <row r="504" spans="7:24">
      <c r="G504" s="921"/>
      <c r="H504" s="1277"/>
      <c r="I504" s="921"/>
      <c r="J504" s="1277"/>
      <c r="K504" s="921"/>
      <c r="L504" s="1277"/>
      <c r="M504" s="1277"/>
      <c r="N504" s="1277"/>
      <c r="O504" s="1277"/>
      <c r="P504" s="919"/>
      <c r="Q504" s="919"/>
      <c r="R504" s="1277"/>
      <c r="S504" s="1277"/>
      <c r="T504" s="1277"/>
      <c r="U504" s="1277"/>
      <c r="V504" s="1277"/>
      <c r="W504" s="1277"/>
      <c r="X504" s="1277"/>
    </row>
    <row r="505" spans="7:24">
      <c r="G505" s="921"/>
      <c r="H505" s="1277"/>
      <c r="I505" s="921"/>
      <c r="J505" s="1277"/>
      <c r="K505" s="921"/>
      <c r="L505" s="1277"/>
      <c r="M505" s="1277"/>
      <c r="N505" s="1277"/>
      <c r="O505" s="1277"/>
      <c r="P505" s="919"/>
      <c r="Q505" s="919"/>
      <c r="R505" s="1277"/>
      <c r="S505" s="1277"/>
      <c r="T505" s="1277"/>
      <c r="U505" s="1277"/>
      <c r="V505" s="1277"/>
      <c r="W505" s="1277"/>
      <c r="X505" s="1277"/>
    </row>
    <row r="506" spans="7:24">
      <c r="G506" s="921"/>
      <c r="H506" s="1277"/>
      <c r="I506" s="921"/>
      <c r="J506" s="1277"/>
      <c r="K506" s="921"/>
      <c r="L506" s="1277"/>
      <c r="M506" s="1277"/>
      <c r="N506" s="1277"/>
      <c r="O506" s="1277"/>
      <c r="P506" s="919"/>
      <c r="Q506" s="919"/>
      <c r="R506" s="1277"/>
      <c r="S506" s="1277"/>
      <c r="T506" s="1277"/>
      <c r="U506" s="1277"/>
      <c r="V506" s="1277"/>
      <c r="W506" s="1277"/>
      <c r="X506" s="1277"/>
    </row>
    <row r="507" spans="7:24">
      <c r="G507" s="921"/>
      <c r="H507" s="1277"/>
      <c r="I507" s="921"/>
      <c r="J507" s="1277"/>
      <c r="K507" s="921"/>
      <c r="L507" s="1277"/>
      <c r="M507" s="1277"/>
      <c r="N507" s="1277"/>
      <c r="O507" s="1277"/>
      <c r="P507" s="919"/>
      <c r="Q507" s="919"/>
      <c r="R507" s="1277"/>
      <c r="S507" s="1277"/>
      <c r="T507" s="1277"/>
      <c r="U507" s="1277"/>
      <c r="V507" s="1277"/>
      <c r="W507" s="1277"/>
      <c r="X507" s="1277"/>
    </row>
    <row r="508" spans="7:24">
      <c r="G508" s="921"/>
      <c r="H508" s="1277"/>
      <c r="I508" s="921"/>
      <c r="J508" s="1277"/>
      <c r="K508" s="921"/>
      <c r="L508" s="1277"/>
      <c r="M508" s="1277"/>
      <c r="N508" s="1277"/>
      <c r="O508" s="1277"/>
      <c r="P508" s="919"/>
      <c r="Q508" s="919"/>
      <c r="R508" s="1277"/>
      <c r="S508" s="1277"/>
      <c r="T508" s="1277"/>
      <c r="U508" s="1277"/>
      <c r="V508" s="1277"/>
      <c r="W508" s="1277"/>
      <c r="X508" s="1277"/>
    </row>
    <row r="509" spans="7:24">
      <c r="G509" s="921"/>
      <c r="H509" s="1277"/>
      <c r="I509" s="921"/>
      <c r="J509" s="1277"/>
      <c r="K509" s="921"/>
      <c r="L509" s="1277"/>
      <c r="M509" s="1277"/>
      <c r="N509" s="1277"/>
      <c r="O509" s="1277"/>
      <c r="P509" s="919"/>
      <c r="Q509" s="919"/>
      <c r="R509" s="1277"/>
      <c r="S509" s="1277"/>
      <c r="T509" s="1277"/>
      <c r="U509" s="1277"/>
      <c r="V509" s="1277"/>
      <c r="W509" s="1277"/>
      <c r="X509" s="1277"/>
    </row>
    <row r="510" spans="7:24">
      <c r="G510" s="921"/>
      <c r="H510" s="1277"/>
      <c r="I510" s="921"/>
      <c r="J510" s="1277"/>
      <c r="K510" s="921"/>
      <c r="L510" s="1277"/>
      <c r="M510" s="1277"/>
      <c r="N510" s="1277"/>
      <c r="O510" s="1277"/>
      <c r="P510" s="919"/>
      <c r="Q510" s="919"/>
      <c r="R510" s="1277"/>
      <c r="S510" s="1277"/>
      <c r="T510" s="1277"/>
      <c r="U510" s="1277"/>
      <c r="V510" s="1277"/>
      <c r="W510" s="1277"/>
      <c r="X510" s="1277"/>
    </row>
    <row r="511" spans="7:24">
      <c r="G511" s="921"/>
      <c r="H511" s="1277"/>
      <c r="I511" s="921"/>
      <c r="J511" s="1277"/>
      <c r="K511" s="921"/>
      <c r="L511" s="1277"/>
      <c r="M511" s="1277"/>
      <c r="N511" s="1277"/>
      <c r="O511" s="1277"/>
      <c r="P511" s="919"/>
      <c r="Q511" s="919"/>
      <c r="R511" s="1277"/>
      <c r="S511" s="1277"/>
      <c r="T511" s="1277"/>
      <c r="U511" s="1277"/>
      <c r="V511" s="1277"/>
      <c r="W511" s="1277"/>
      <c r="X511" s="1277"/>
    </row>
    <row r="512" spans="7:24">
      <c r="G512" s="921"/>
      <c r="H512" s="1277"/>
      <c r="I512" s="921"/>
      <c r="J512" s="1277"/>
      <c r="K512" s="921"/>
      <c r="L512" s="1277"/>
      <c r="M512" s="1277"/>
      <c r="N512" s="1277"/>
      <c r="O512" s="1277"/>
      <c r="P512" s="919"/>
      <c r="Q512" s="919"/>
      <c r="R512" s="1277"/>
      <c r="S512" s="1277"/>
      <c r="T512" s="1277"/>
      <c r="U512" s="1277"/>
      <c r="V512" s="1277"/>
      <c r="W512" s="1277"/>
      <c r="X512" s="1277"/>
    </row>
    <row r="513" spans="7:24">
      <c r="G513" s="921"/>
      <c r="H513" s="1277"/>
      <c r="I513" s="921"/>
      <c r="J513" s="1277"/>
      <c r="K513" s="921"/>
      <c r="L513" s="1277"/>
      <c r="M513" s="1277"/>
      <c r="N513" s="1277"/>
      <c r="O513" s="1277"/>
      <c r="P513" s="919"/>
      <c r="Q513" s="919"/>
      <c r="R513" s="1277"/>
      <c r="S513" s="1277"/>
      <c r="T513" s="1277"/>
      <c r="U513" s="1277"/>
      <c r="V513" s="1277"/>
      <c r="W513" s="1277"/>
      <c r="X513" s="1277"/>
    </row>
    <row r="514" spans="7:24">
      <c r="G514" s="921"/>
      <c r="H514" s="1277"/>
      <c r="I514" s="921"/>
      <c r="J514" s="1277"/>
      <c r="K514" s="921"/>
      <c r="L514" s="1277"/>
      <c r="M514" s="1277"/>
      <c r="N514" s="1277"/>
      <c r="O514" s="1277"/>
      <c r="P514" s="919"/>
      <c r="Q514" s="919"/>
      <c r="R514" s="1277"/>
      <c r="S514" s="1277"/>
      <c r="T514" s="1277"/>
      <c r="U514" s="1277"/>
      <c r="V514" s="1277"/>
      <c r="W514" s="1277"/>
      <c r="X514" s="1277"/>
    </row>
    <row r="515" spans="7:24">
      <c r="G515" s="921"/>
      <c r="H515" s="1277"/>
      <c r="I515" s="921"/>
      <c r="J515" s="1277"/>
      <c r="K515" s="921"/>
      <c r="L515" s="1277"/>
      <c r="M515" s="1277"/>
      <c r="N515" s="1277"/>
      <c r="O515" s="1277"/>
      <c r="P515" s="919"/>
      <c r="Q515" s="919"/>
      <c r="R515" s="1277"/>
      <c r="S515" s="1277"/>
      <c r="T515" s="1277"/>
      <c r="U515" s="1277"/>
      <c r="V515" s="1277"/>
      <c r="W515" s="1277"/>
      <c r="X515" s="1277"/>
    </row>
    <row r="516" spans="7:24">
      <c r="G516" s="921"/>
      <c r="H516" s="1277"/>
      <c r="I516" s="921"/>
      <c r="J516" s="1277"/>
      <c r="K516" s="921"/>
      <c r="L516" s="1277"/>
      <c r="M516" s="1277"/>
      <c r="N516" s="1277"/>
      <c r="O516" s="1277"/>
      <c r="P516" s="919"/>
      <c r="Q516" s="919"/>
      <c r="R516" s="1277"/>
      <c r="S516" s="1277"/>
      <c r="T516" s="1277"/>
      <c r="U516" s="1277"/>
      <c r="V516" s="1277"/>
      <c r="W516" s="1277"/>
      <c r="X516" s="1277"/>
    </row>
    <row r="517" spans="7:24">
      <c r="G517" s="921"/>
      <c r="H517" s="1277"/>
      <c r="I517" s="921"/>
      <c r="J517" s="1277"/>
      <c r="K517" s="921"/>
      <c r="L517" s="1277"/>
      <c r="M517" s="1277"/>
      <c r="N517" s="1277"/>
      <c r="O517" s="1277"/>
      <c r="P517" s="919"/>
      <c r="Q517" s="919"/>
      <c r="R517" s="1277"/>
      <c r="S517" s="1277"/>
      <c r="T517" s="1277"/>
      <c r="U517" s="1277"/>
      <c r="V517" s="1277"/>
      <c r="W517" s="1277"/>
      <c r="X517" s="1277"/>
    </row>
    <row r="518" spans="7:24">
      <c r="G518" s="921"/>
      <c r="H518" s="1277"/>
      <c r="I518" s="921"/>
      <c r="J518" s="1277"/>
      <c r="K518" s="921"/>
      <c r="L518" s="1277"/>
      <c r="M518" s="1277"/>
      <c r="N518" s="1277"/>
      <c r="O518" s="1277"/>
      <c r="P518" s="919"/>
      <c r="Q518" s="919"/>
      <c r="R518" s="1277"/>
      <c r="S518" s="1277"/>
      <c r="T518" s="1277"/>
      <c r="U518" s="1277"/>
      <c r="V518" s="1277"/>
      <c r="W518" s="1277"/>
      <c r="X518" s="1277"/>
    </row>
    <row r="519" spans="7:24">
      <c r="G519" s="921"/>
      <c r="H519" s="1277"/>
      <c r="I519" s="921"/>
      <c r="J519" s="1277"/>
      <c r="K519" s="921"/>
      <c r="L519" s="1277"/>
      <c r="M519" s="1277"/>
      <c r="N519" s="1277"/>
      <c r="O519" s="1277"/>
      <c r="P519" s="919"/>
      <c r="Q519" s="919"/>
      <c r="R519" s="1277"/>
      <c r="S519" s="1277"/>
      <c r="T519" s="1277"/>
      <c r="U519" s="1277"/>
      <c r="V519" s="1277"/>
      <c r="W519" s="1277"/>
      <c r="X519" s="1277"/>
    </row>
    <row r="520" spans="7:24">
      <c r="G520" s="921"/>
      <c r="H520" s="1277"/>
      <c r="I520" s="921"/>
      <c r="J520" s="1277"/>
      <c r="K520" s="921"/>
      <c r="L520" s="1277"/>
      <c r="M520" s="1277"/>
      <c r="N520" s="1277"/>
      <c r="O520" s="1277"/>
      <c r="P520" s="919"/>
      <c r="Q520" s="919"/>
      <c r="R520" s="1277"/>
      <c r="S520" s="1277"/>
      <c r="T520" s="1277"/>
      <c r="U520" s="1277"/>
      <c r="V520" s="1277"/>
      <c r="W520" s="1277"/>
      <c r="X520" s="1277"/>
    </row>
    <row r="521" spans="7:24">
      <c r="G521" s="921"/>
      <c r="H521" s="1277"/>
      <c r="I521" s="921"/>
      <c r="J521" s="1277"/>
      <c r="K521" s="921"/>
      <c r="L521" s="1277"/>
      <c r="M521" s="1277"/>
      <c r="N521" s="1277"/>
      <c r="O521" s="1277"/>
      <c r="P521" s="919"/>
      <c r="Q521" s="919"/>
      <c r="R521" s="1277"/>
      <c r="S521" s="1277"/>
      <c r="T521" s="1277"/>
      <c r="U521" s="1277"/>
      <c r="V521" s="1277"/>
      <c r="W521" s="1277"/>
      <c r="X521" s="1277"/>
    </row>
    <row r="522" spans="7:24">
      <c r="G522" s="921"/>
      <c r="H522" s="1277"/>
      <c r="I522" s="921"/>
      <c r="J522" s="1277"/>
      <c r="K522" s="921"/>
      <c r="L522" s="1277"/>
      <c r="M522" s="1277"/>
      <c r="N522" s="1277"/>
      <c r="O522" s="1277"/>
      <c r="P522" s="919"/>
      <c r="Q522" s="919"/>
      <c r="R522" s="1277"/>
      <c r="S522" s="1277"/>
      <c r="T522" s="1277"/>
      <c r="U522" s="1277"/>
      <c r="V522" s="1277"/>
      <c r="W522" s="1277"/>
      <c r="X522" s="1277"/>
    </row>
    <row r="523" spans="7:24">
      <c r="G523" s="921"/>
      <c r="H523" s="1277"/>
      <c r="I523" s="921"/>
      <c r="J523" s="1277"/>
      <c r="K523" s="921"/>
      <c r="L523" s="1277"/>
      <c r="M523" s="1277"/>
      <c r="N523" s="1277"/>
      <c r="O523" s="1277"/>
      <c r="P523" s="919"/>
      <c r="Q523" s="919"/>
      <c r="R523" s="1277"/>
      <c r="S523" s="1277"/>
      <c r="T523" s="1277"/>
      <c r="U523" s="1277"/>
      <c r="V523" s="1277"/>
      <c r="W523" s="1277"/>
      <c r="X523" s="1277"/>
    </row>
    <row r="524" spans="7:24">
      <c r="G524" s="921"/>
      <c r="H524" s="1277"/>
      <c r="I524" s="921"/>
      <c r="J524" s="1277"/>
      <c r="K524" s="921"/>
      <c r="L524" s="1277"/>
      <c r="M524" s="1277"/>
      <c r="N524" s="1277"/>
      <c r="O524" s="1277"/>
      <c r="P524" s="919"/>
      <c r="Q524" s="919"/>
      <c r="R524" s="1277"/>
      <c r="S524" s="1277"/>
      <c r="T524" s="1277"/>
      <c r="U524" s="1277"/>
      <c r="V524" s="1277"/>
      <c r="W524" s="1277"/>
      <c r="X524" s="1277"/>
    </row>
    <row r="525" spans="7:24">
      <c r="G525" s="921"/>
      <c r="H525" s="1277"/>
      <c r="I525" s="921"/>
      <c r="J525" s="1277"/>
      <c r="K525" s="921"/>
      <c r="L525" s="1277"/>
      <c r="M525" s="1277"/>
      <c r="N525" s="1277"/>
      <c r="O525" s="1277"/>
      <c r="P525" s="919"/>
      <c r="Q525" s="919"/>
      <c r="R525" s="1277"/>
      <c r="S525" s="1277"/>
      <c r="T525" s="1277"/>
      <c r="U525" s="1277"/>
      <c r="V525" s="1277"/>
      <c r="W525" s="1277"/>
      <c r="X525" s="1277"/>
    </row>
    <row r="526" spans="7:24">
      <c r="G526" s="921"/>
      <c r="H526" s="1277"/>
      <c r="I526" s="921"/>
      <c r="J526" s="1277"/>
      <c r="K526" s="921"/>
      <c r="L526" s="1277"/>
      <c r="M526" s="1277"/>
      <c r="N526" s="1277"/>
      <c r="O526" s="1277"/>
      <c r="P526" s="919"/>
      <c r="Q526" s="919"/>
      <c r="R526" s="1277"/>
      <c r="S526" s="1277"/>
      <c r="T526" s="1277"/>
      <c r="U526" s="1277"/>
      <c r="V526" s="1277"/>
      <c r="W526" s="1277"/>
      <c r="X526" s="1277"/>
    </row>
    <row r="527" spans="7:24">
      <c r="G527" s="921"/>
      <c r="H527" s="1277"/>
      <c r="I527" s="921"/>
      <c r="J527" s="1277"/>
      <c r="K527" s="921"/>
      <c r="L527" s="1277"/>
      <c r="M527" s="1277"/>
      <c r="N527" s="1277"/>
      <c r="O527" s="1277"/>
      <c r="P527" s="919"/>
      <c r="Q527" s="919"/>
      <c r="R527" s="1277"/>
      <c r="S527" s="1277"/>
      <c r="T527" s="1277"/>
      <c r="U527" s="1277"/>
      <c r="V527" s="1277"/>
      <c r="W527" s="1277"/>
      <c r="X527" s="1277"/>
    </row>
    <row r="528" spans="7:24">
      <c r="G528" s="921"/>
      <c r="H528" s="1277"/>
      <c r="I528" s="921"/>
      <c r="J528" s="1277"/>
      <c r="K528" s="921"/>
      <c r="L528" s="1277"/>
      <c r="M528" s="1277"/>
      <c r="N528" s="1277"/>
      <c r="O528" s="1277"/>
      <c r="P528" s="919"/>
      <c r="Q528" s="919"/>
      <c r="R528" s="1277"/>
      <c r="S528" s="1277"/>
      <c r="T528" s="1277"/>
      <c r="U528" s="1277"/>
      <c r="V528" s="1277"/>
      <c r="W528" s="1277"/>
      <c r="X528" s="1277"/>
    </row>
    <row r="529" spans="7:24">
      <c r="G529" s="921"/>
      <c r="H529" s="1277"/>
      <c r="I529" s="921"/>
      <c r="J529" s="1277"/>
      <c r="K529" s="921"/>
      <c r="L529" s="1277"/>
      <c r="M529" s="1277"/>
      <c r="N529" s="1277"/>
      <c r="O529" s="1277"/>
      <c r="P529" s="919"/>
      <c r="Q529" s="919"/>
      <c r="R529" s="1277"/>
      <c r="S529" s="1277"/>
      <c r="T529" s="1277"/>
      <c r="U529" s="1277"/>
      <c r="V529" s="1277"/>
      <c r="W529" s="1277"/>
      <c r="X529" s="1277"/>
    </row>
    <row r="530" spans="7:24">
      <c r="G530" s="921"/>
      <c r="H530" s="1277"/>
      <c r="I530" s="921"/>
      <c r="J530" s="1277"/>
      <c r="K530" s="921"/>
      <c r="L530" s="1277"/>
      <c r="M530" s="1277"/>
      <c r="N530" s="1277"/>
      <c r="O530" s="1277"/>
      <c r="P530" s="919"/>
      <c r="Q530" s="919"/>
      <c r="R530" s="1277"/>
      <c r="S530" s="1277"/>
      <c r="T530" s="1277"/>
      <c r="U530" s="1277"/>
      <c r="V530" s="1277"/>
      <c r="W530" s="1277"/>
      <c r="X530" s="1277"/>
    </row>
    <row r="531" spans="7:24">
      <c r="G531" s="921"/>
      <c r="H531" s="1277"/>
      <c r="I531" s="921"/>
      <c r="J531" s="1277"/>
      <c r="K531" s="921"/>
      <c r="L531" s="1277"/>
      <c r="M531" s="1277"/>
      <c r="N531" s="1277"/>
      <c r="O531" s="1277"/>
      <c r="P531" s="919"/>
      <c r="Q531" s="919"/>
      <c r="R531" s="1277"/>
      <c r="S531" s="1277"/>
      <c r="T531" s="1277"/>
      <c r="U531" s="1277"/>
      <c r="V531" s="1277"/>
      <c r="W531" s="1277"/>
      <c r="X531" s="1277"/>
    </row>
    <row r="532" spans="7:24">
      <c r="G532" s="921"/>
      <c r="H532" s="1277"/>
      <c r="I532" s="921"/>
      <c r="J532" s="1277"/>
      <c r="K532" s="921"/>
      <c r="L532" s="1277"/>
      <c r="M532" s="1277"/>
      <c r="N532" s="1277"/>
      <c r="O532" s="1277"/>
      <c r="P532" s="919"/>
      <c r="Q532" s="919"/>
      <c r="R532" s="1277"/>
      <c r="S532" s="1277"/>
      <c r="T532" s="1277"/>
      <c r="U532" s="1277"/>
      <c r="V532" s="1277"/>
      <c r="W532" s="1277"/>
      <c r="X532" s="1277"/>
    </row>
    <row r="533" spans="7:24">
      <c r="G533" s="921"/>
      <c r="H533" s="1277"/>
      <c r="I533" s="921"/>
      <c r="J533" s="1277"/>
      <c r="K533" s="921"/>
      <c r="L533" s="1277"/>
      <c r="M533" s="1277"/>
      <c r="N533" s="1277"/>
      <c r="O533" s="1277"/>
      <c r="P533" s="919"/>
      <c r="Q533" s="919"/>
      <c r="R533" s="1277"/>
      <c r="S533" s="1277"/>
      <c r="T533" s="1277"/>
      <c r="U533" s="1277"/>
      <c r="V533" s="1277"/>
      <c r="W533" s="1277"/>
      <c r="X533" s="1277"/>
    </row>
    <row r="534" spans="7:24">
      <c r="G534" s="921"/>
      <c r="H534" s="1277"/>
      <c r="I534" s="921"/>
      <c r="J534" s="1277"/>
      <c r="K534" s="921"/>
      <c r="L534" s="1277"/>
      <c r="M534" s="1277"/>
      <c r="N534" s="1277"/>
      <c r="O534" s="1277"/>
      <c r="P534" s="919"/>
      <c r="Q534" s="919"/>
      <c r="R534" s="1277"/>
      <c r="S534" s="1277"/>
      <c r="T534" s="1277"/>
      <c r="U534" s="1277"/>
      <c r="V534" s="1277"/>
      <c r="W534" s="1277"/>
      <c r="X534" s="1277"/>
    </row>
    <row r="535" spans="7:24">
      <c r="G535" s="921"/>
      <c r="H535" s="1277"/>
      <c r="I535" s="921"/>
      <c r="J535" s="1277"/>
      <c r="K535" s="921"/>
      <c r="L535" s="1277"/>
      <c r="M535" s="1277"/>
      <c r="N535" s="1277"/>
      <c r="O535" s="1277"/>
      <c r="P535" s="919"/>
      <c r="Q535" s="919"/>
      <c r="R535" s="1277"/>
      <c r="S535" s="1277"/>
      <c r="T535" s="1277"/>
      <c r="U535" s="1277"/>
      <c r="V535" s="1277"/>
      <c r="W535" s="1277"/>
      <c r="X535" s="1277"/>
    </row>
    <row r="536" spans="7:24">
      <c r="G536" s="921"/>
      <c r="H536" s="1277"/>
      <c r="I536" s="921"/>
      <c r="J536" s="1277"/>
      <c r="K536" s="921"/>
      <c r="L536" s="1277"/>
      <c r="M536" s="1277"/>
      <c r="N536" s="1277"/>
      <c r="O536" s="1277"/>
      <c r="P536" s="919"/>
      <c r="Q536" s="919"/>
      <c r="R536" s="1277"/>
      <c r="S536" s="1277"/>
      <c r="T536" s="1277"/>
      <c r="U536" s="1277"/>
      <c r="V536" s="1277"/>
      <c r="W536" s="1277"/>
      <c r="X536" s="1277"/>
    </row>
    <row r="537" spans="7:24">
      <c r="G537" s="921"/>
      <c r="H537" s="1277"/>
      <c r="I537" s="921"/>
      <c r="J537" s="1277"/>
      <c r="K537" s="921"/>
      <c r="L537" s="1277"/>
      <c r="M537" s="1277"/>
      <c r="N537" s="1277"/>
      <c r="O537" s="1277"/>
      <c r="P537" s="919"/>
      <c r="Q537" s="919"/>
      <c r="R537" s="1277"/>
      <c r="S537" s="1277"/>
      <c r="T537" s="1277"/>
      <c r="U537" s="1277"/>
      <c r="V537" s="1277"/>
      <c r="W537" s="1277"/>
      <c r="X537" s="1277"/>
    </row>
    <row r="538" spans="7:24">
      <c r="G538" s="921"/>
      <c r="H538" s="1277"/>
      <c r="I538" s="921"/>
      <c r="J538" s="1277"/>
      <c r="K538" s="921"/>
      <c r="L538" s="1277"/>
      <c r="M538" s="1277"/>
      <c r="N538" s="1277"/>
      <c r="O538" s="1277"/>
      <c r="P538" s="919"/>
      <c r="Q538" s="919"/>
      <c r="R538" s="1277"/>
      <c r="S538" s="1277"/>
      <c r="T538" s="1277"/>
      <c r="U538" s="1277"/>
      <c r="V538" s="1277"/>
      <c r="W538" s="1277"/>
      <c r="X538" s="1277"/>
    </row>
    <row r="539" spans="7:24">
      <c r="G539" s="921"/>
      <c r="H539" s="1277"/>
      <c r="I539" s="921"/>
      <c r="J539" s="1277"/>
      <c r="K539" s="921"/>
      <c r="L539" s="1277"/>
      <c r="M539" s="1277"/>
      <c r="N539" s="1277"/>
      <c r="O539" s="1277"/>
      <c r="P539" s="919"/>
      <c r="Q539" s="919"/>
      <c r="R539" s="1277"/>
      <c r="S539" s="1277"/>
      <c r="T539" s="1277"/>
      <c r="U539" s="1277"/>
      <c r="V539" s="1277"/>
      <c r="W539" s="1277"/>
      <c r="X539" s="1277"/>
    </row>
    <row r="540" spans="7:24">
      <c r="G540" s="921"/>
      <c r="H540" s="1277"/>
      <c r="I540" s="921"/>
      <c r="J540" s="1277"/>
      <c r="K540" s="921"/>
      <c r="L540" s="1277"/>
      <c r="M540" s="1277"/>
      <c r="N540" s="1277"/>
      <c r="O540" s="1277"/>
      <c r="P540" s="919"/>
      <c r="Q540" s="919"/>
      <c r="R540" s="1277"/>
      <c r="S540" s="1277"/>
      <c r="T540" s="1277"/>
      <c r="U540" s="1277"/>
      <c r="V540" s="1277"/>
      <c r="W540" s="1277"/>
      <c r="X540" s="1277"/>
    </row>
    <row r="541" spans="7:24">
      <c r="G541" s="921"/>
      <c r="H541" s="1277"/>
      <c r="I541" s="921"/>
      <c r="J541" s="1277"/>
      <c r="K541" s="921"/>
      <c r="L541" s="1277"/>
      <c r="M541" s="1277"/>
      <c r="N541" s="1277"/>
      <c r="O541" s="1277"/>
      <c r="P541" s="919"/>
      <c r="Q541" s="919"/>
      <c r="R541" s="1277"/>
      <c r="S541" s="1277"/>
      <c r="T541" s="1277"/>
      <c r="U541" s="1277"/>
      <c r="V541" s="1277"/>
      <c r="W541" s="1277"/>
      <c r="X541" s="1277"/>
    </row>
    <row r="542" spans="7:24">
      <c r="G542" s="921"/>
      <c r="H542" s="1277"/>
      <c r="I542" s="921"/>
      <c r="J542" s="1277"/>
      <c r="K542" s="921"/>
      <c r="L542" s="1277"/>
      <c r="M542" s="1277"/>
      <c r="N542" s="1277"/>
      <c r="O542" s="1277"/>
      <c r="P542" s="919"/>
      <c r="Q542" s="919"/>
      <c r="R542" s="1277"/>
      <c r="S542" s="1277"/>
      <c r="T542" s="1277"/>
      <c r="U542" s="1277"/>
      <c r="V542" s="1277"/>
      <c r="W542" s="1277"/>
      <c r="X542" s="1277"/>
    </row>
    <row r="543" spans="7:24">
      <c r="G543" s="921"/>
      <c r="H543" s="1277"/>
      <c r="I543" s="921"/>
      <c r="J543" s="1277"/>
      <c r="K543" s="921"/>
      <c r="L543" s="1277"/>
      <c r="M543" s="1277"/>
      <c r="N543" s="1277"/>
      <c r="O543" s="1277"/>
      <c r="P543" s="919"/>
      <c r="Q543" s="919"/>
      <c r="R543" s="1277"/>
      <c r="S543" s="1277"/>
      <c r="T543" s="1277"/>
      <c r="U543" s="1277"/>
      <c r="V543" s="1277"/>
      <c r="W543" s="1277"/>
      <c r="X543" s="1277"/>
    </row>
    <row r="544" spans="7:24">
      <c r="G544" s="921"/>
      <c r="H544" s="1277"/>
      <c r="I544" s="921"/>
      <c r="J544" s="1277"/>
      <c r="K544" s="921"/>
      <c r="L544" s="1277"/>
      <c r="M544" s="1277"/>
      <c r="N544" s="1277"/>
      <c r="O544" s="1277"/>
      <c r="P544" s="919"/>
      <c r="Q544" s="919"/>
      <c r="R544" s="1277"/>
      <c r="S544" s="1277"/>
      <c r="T544" s="1277"/>
      <c r="U544" s="1277"/>
      <c r="V544" s="1277"/>
      <c r="W544" s="1277"/>
      <c r="X544" s="1277"/>
    </row>
    <row r="545" spans="7:24">
      <c r="G545" s="921"/>
      <c r="H545" s="1277"/>
      <c r="I545" s="921"/>
      <c r="J545" s="1277"/>
      <c r="K545" s="921"/>
      <c r="L545" s="1277"/>
      <c r="M545" s="1277"/>
      <c r="N545" s="1277"/>
      <c r="O545" s="1277"/>
      <c r="P545" s="919"/>
      <c r="Q545" s="919"/>
      <c r="R545" s="1277"/>
      <c r="S545" s="1277"/>
      <c r="T545" s="1277"/>
      <c r="U545" s="1277"/>
      <c r="V545" s="1277"/>
      <c r="W545" s="1277"/>
      <c r="X545" s="1277"/>
    </row>
    <row r="546" spans="7:24">
      <c r="G546" s="921"/>
      <c r="H546" s="1277"/>
      <c r="I546" s="921"/>
      <c r="J546" s="1277"/>
      <c r="K546" s="921"/>
      <c r="L546" s="1277"/>
      <c r="M546" s="1277"/>
      <c r="N546" s="1277"/>
      <c r="O546" s="1277"/>
      <c r="P546" s="919"/>
      <c r="Q546" s="919"/>
      <c r="R546" s="1277"/>
      <c r="S546" s="1277"/>
      <c r="T546" s="1277"/>
      <c r="U546" s="1277"/>
      <c r="V546" s="1277"/>
      <c r="W546" s="1277"/>
      <c r="X546" s="1277"/>
    </row>
    <row r="547" spans="7:24">
      <c r="G547" s="921"/>
      <c r="H547" s="1277"/>
      <c r="I547" s="921"/>
      <c r="J547" s="1277"/>
      <c r="K547" s="921"/>
      <c r="L547" s="1277"/>
      <c r="M547" s="1277"/>
      <c r="N547" s="1277"/>
      <c r="O547" s="1277"/>
      <c r="P547" s="919"/>
      <c r="Q547" s="919"/>
      <c r="R547" s="1277"/>
      <c r="S547" s="1277"/>
      <c r="T547" s="1277"/>
      <c r="U547" s="1277"/>
      <c r="V547" s="1277"/>
      <c r="W547" s="1277"/>
      <c r="X547" s="1277"/>
    </row>
    <row r="548" spans="7:24">
      <c r="G548" s="921"/>
      <c r="H548" s="1277"/>
      <c r="I548" s="921"/>
      <c r="J548" s="1277"/>
      <c r="K548" s="921"/>
      <c r="L548" s="1277"/>
      <c r="M548" s="1277"/>
      <c r="N548" s="1277"/>
      <c r="O548" s="1277"/>
      <c r="P548" s="919"/>
      <c r="Q548" s="919"/>
      <c r="R548" s="1277"/>
      <c r="S548" s="1277"/>
      <c r="T548" s="1277"/>
      <c r="U548" s="1277"/>
      <c r="V548" s="1277"/>
      <c r="W548" s="1277"/>
      <c r="X548" s="1277"/>
    </row>
    <row r="549" spans="7:24">
      <c r="G549" s="921"/>
      <c r="H549" s="1277"/>
      <c r="I549" s="921"/>
      <c r="J549" s="1277"/>
      <c r="K549" s="921"/>
      <c r="L549" s="1277"/>
      <c r="M549" s="1277"/>
      <c r="N549" s="1277"/>
      <c r="O549" s="1277"/>
      <c r="P549" s="919"/>
      <c r="Q549" s="919"/>
      <c r="R549" s="1277"/>
      <c r="S549" s="1277"/>
      <c r="T549" s="1277"/>
      <c r="U549" s="1277"/>
      <c r="V549" s="1277"/>
      <c r="W549" s="1277"/>
      <c r="X549" s="1277"/>
    </row>
    <row r="550" spans="7:24">
      <c r="G550" s="921"/>
      <c r="H550" s="1277"/>
      <c r="I550" s="921"/>
      <c r="J550" s="1277"/>
      <c r="K550" s="921"/>
      <c r="L550" s="1277"/>
      <c r="M550" s="1277"/>
      <c r="N550" s="1277"/>
      <c r="O550" s="1277"/>
      <c r="P550" s="919"/>
      <c r="Q550" s="919"/>
      <c r="R550" s="1277"/>
      <c r="S550" s="1277"/>
      <c r="T550" s="1277"/>
      <c r="U550" s="1277"/>
      <c r="V550" s="1277"/>
      <c r="W550" s="1277"/>
      <c r="X550" s="1277"/>
    </row>
    <row r="551" spans="7:24">
      <c r="G551" s="921"/>
      <c r="H551" s="1277"/>
      <c r="I551" s="921"/>
      <c r="J551" s="1277"/>
      <c r="K551" s="921"/>
      <c r="L551" s="1277"/>
      <c r="M551" s="1277"/>
      <c r="N551" s="1277"/>
      <c r="O551" s="1277"/>
      <c r="P551" s="919"/>
      <c r="Q551" s="919"/>
      <c r="R551" s="1277"/>
      <c r="S551" s="1277"/>
      <c r="T551" s="1277"/>
      <c r="U551" s="1277"/>
      <c r="V551" s="1277"/>
      <c r="W551" s="1277"/>
      <c r="X551" s="1277"/>
    </row>
    <row r="552" spans="7:24">
      <c r="G552" s="921"/>
      <c r="H552" s="1277"/>
      <c r="I552" s="921"/>
      <c r="J552" s="1277"/>
      <c r="K552" s="921"/>
      <c r="L552" s="1277"/>
      <c r="M552" s="1277"/>
      <c r="N552" s="1277"/>
      <c r="O552" s="1277"/>
      <c r="P552" s="919"/>
      <c r="Q552" s="919"/>
      <c r="R552" s="1277"/>
      <c r="S552" s="1277"/>
      <c r="T552" s="1277"/>
      <c r="U552" s="1277"/>
      <c r="V552" s="1277"/>
      <c r="W552" s="1277"/>
      <c r="X552" s="1277"/>
    </row>
    <row r="553" spans="7:24">
      <c r="G553" s="921"/>
      <c r="H553" s="1277"/>
      <c r="I553" s="921"/>
      <c r="J553" s="1277"/>
      <c r="K553" s="921"/>
      <c r="L553" s="1277"/>
      <c r="M553" s="1277"/>
      <c r="N553" s="1277"/>
      <c r="O553" s="1277"/>
      <c r="P553" s="919"/>
      <c r="Q553" s="919"/>
      <c r="R553" s="1277"/>
      <c r="S553" s="1277"/>
      <c r="T553" s="1277"/>
      <c r="U553" s="1277"/>
      <c r="V553" s="1277"/>
      <c r="W553" s="1277"/>
      <c r="X553" s="1277"/>
    </row>
    <row r="554" spans="7:24">
      <c r="G554" s="921"/>
      <c r="H554" s="1277"/>
      <c r="I554" s="921"/>
      <c r="J554" s="1277"/>
      <c r="K554" s="921"/>
      <c r="L554" s="1277"/>
      <c r="M554" s="1277"/>
      <c r="N554" s="1277"/>
      <c r="O554" s="1277"/>
      <c r="P554" s="919"/>
      <c r="Q554" s="919"/>
      <c r="R554" s="1277"/>
      <c r="S554" s="1277"/>
      <c r="T554" s="1277"/>
      <c r="U554" s="1277"/>
      <c r="V554" s="1277"/>
      <c r="W554" s="1277"/>
      <c r="X554" s="1277"/>
    </row>
    <row r="555" spans="7:24">
      <c r="G555" s="921"/>
      <c r="H555" s="1277"/>
      <c r="I555" s="921"/>
      <c r="J555" s="1277"/>
      <c r="K555" s="921"/>
      <c r="L555" s="1277"/>
      <c r="M555" s="1277"/>
      <c r="N555" s="1277"/>
      <c r="O555" s="1277"/>
      <c r="P555" s="919"/>
      <c r="Q555" s="919"/>
      <c r="R555" s="1277"/>
      <c r="S555" s="1277"/>
      <c r="T555" s="1277"/>
      <c r="U555" s="1277"/>
      <c r="V555" s="1277"/>
      <c r="W555" s="1277"/>
      <c r="X555" s="1277"/>
    </row>
    <row r="556" spans="7:24">
      <c r="G556" s="921"/>
      <c r="H556" s="1277"/>
      <c r="I556" s="921"/>
      <c r="J556" s="1277"/>
      <c r="K556" s="921"/>
      <c r="L556" s="1277"/>
      <c r="M556" s="1277"/>
      <c r="N556" s="1277"/>
      <c r="O556" s="1277"/>
      <c r="P556" s="919"/>
      <c r="Q556" s="919"/>
      <c r="R556" s="1277"/>
      <c r="S556" s="1277"/>
      <c r="T556" s="1277"/>
      <c r="U556" s="1277"/>
      <c r="V556" s="1277"/>
      <c r="W556" s="1277"/>
      <c r="X556" s="1277"/>
    </row>
    <row r="557" spans="7:24">
      <c r="G557" s="921"/>
      <c r="H557" s="1277"/>
      <c r="I557" s="921"/>
      <c r="J557" s="1277"/>
      <c r="K557" s="921"/>
      <c r="L557" s="1277"/>
      <c r="M557" s="1277"/>
      <c r="N557" s="1277"/>
      <c r="O557" s="1277"/>
      <c r="P557" s="919"/>
      <c r="Q557" s="919"/>
      <c r="R557" s="1277"/>
      <c r="S557" s="1277"/>
      <c r="T557" s="1277"/>
      <c r="U557" s="1277"/>
      <c r="V557" s="1277"/>
      <c r="W557" s="1277"/>
      <c r="X557" s="1277"/>
    </row>
    <row r="558" spans="7:24">
      <c r="G558" s="921"/>
      <c r="H558" s="1277"/>
      <c r="I558" s="921"/>
      <c r="J558" s="1277"/>
      <c r="K558" s="921"/>
      <c r="L558" s="1277"/>
      <c r="M558" s="1277"/>
      <c r="N558" s="1277"/>
      <c r="O558" s="1277"/>
      <c r="P558" s="919"/>
      <c r="Q558" s="919"/>
      <c r="R558" s="1277"/>
      <c r="S558" s="1277"/>
      <c r="T558" s="1277"/>
      <c r="U558" s="1277"/>
      <c r="V558" s="1277"/>
      <c r="W558" s="1277"/>
      <c r="X558" s="1277"/>
    </row>
    <row r="559" spans="7:24">
      <c r="G559" s="921"/>
      <c r="H559" s="1277"/>
      <c r="I559" s="921"/>
      <c r="J559" s="1277"/>
      <c r="K559" s="921"/>
      <c r="L559" s="1277"/>
      <c r="M559" s="1277"/>
      <c r="N559" s="1277"/>
      <c r="O559" s="1277"/>
      <c r="P559" s="919"/>
      <c r="Q559" s="919"/>
      <c r="R559" s="1277"/>
      <c r="S559" s="1277"/>
      <c r="T559" s="1277"/>
      <c r="U559" s="1277"/>
      <c r="V559" s="1277"/>
      <c r="W559" s="1277"/>
      <c r="X559" s="1277"/>
    </row>
    <row r="560" spans="7:24">
      <c r="G560" s="921"/>
      <c r="H560" s="1277"/>
      <c r="I560" s="921"/>
      <c r="J560" s="1277"/>
      <c r="K560" s="921"/>
      <c r="L560" s="1277"/>
      <c r="M560" s="1277"/>
      <c r="N560" s="1277"/>
      <c r="O560" s="1277"/>
      <c r="P560" s="919"/>
      <c r="Q560" s="919"/>
      <c r="R560" s="1277"/>
      <c r="S560" s="1277"/>
      <c r="T560" s="1277"/>
      <c r="U560" s="1277"/>
      <c r="V560" s="1277"/>
      <c r="W560" s="1277"/>
      <c r="X560" s="1277"/>
    </row>
    <row r="561" spans="7:24">
      <c r="G561" s="921"/>
      <c r="H561" s="1277"/>
      <c r="I561" s="921"/>
      <c r="J561" s="1277"/>
      <c r="K561" s="921"/>
      <c r="L561" s="1277"/>
      <c r="M561" s="1277"/>
      <c r="N561" s="1277"/>
      <c r="O561" s="1277"/>
      <c r="P561" s="919"/>
      <c r="Q561" s="919"/>
      <c r="R561" s="1277"/>
      <c r="S561" s="1277"/>
      <c r="T561" s="1277"/>
      <c r="U561" s="1277"/>
      <c r="V561" s="1277"/>
      <c r="W561" s="1277"/>
      <c r="X561" s="1277"/>
    </row>
    <row r="562" spans="7:24">
      <c r="G562" s="921"/>
      <c r="H562" s="1277"/>
      <c r="I562" s="921"/>
      <c r="J562" s="1277"/>
      <c r="K562" s="921"/>
      <c r="L562" s="1277"/>
      <c r="M562" s="1277"/>
      <c r="N562" s="1277"/>
      <c r="O562" s="1277"/>
      <c r="P562" s="919"/>
      <c r="Q562" s="919"/>
      <c r="R562" s="1277"/>
      <c r="S562" s="1277"/>
      <c r="T562" s="1277"/>
      <c r="U562" s="1277"/>
      <c r="V562" s="1277"/>
      <c r="W562" s="1277"/>
      <c r="X562" s="1277"/>
    </row>
    <row r="563" spans="7:24">
      <c r="G563" s="921"/>
      <c r="H563" s="1277"/>
      <c r="I563" s="921"/>
      <c r="J563" s="1277"/>
      <c r="K563" s="921"/>
      <c r="L563" s="1277"/>
      <c r="M563" s="1277"/>
      <c r="N563" s="1277"/>
      <c r="O563" s="1277"/>
      <c r="P563" s="919"/>
      <c r="Q563" s="919"/>
      <c r="R563" s="1277"/>
      <c r="S563" s="1277"/>
      <c r="T563" s="1277"/>
      <c r="U563" s="1277"/>
      <c r="V563" s="1277"/>
      <c r="W563" s="1277"/>
      <c r="X563" s="1277"/>
    </row>
    <row r="564" spans="7:24">
      <c r="G564" s="921"/>
      <c r="H564" s="1277"/>
      <c r="I564" s="921"/>
      <c r="J564" s="1277"/>
      <c r="K564" s="921"/>
      <c r="L564" s="1277"/>
      <c r="M564" s="1277"/>
      <c r="N564" s="1277"/>
      <c r="O564" s="1277"/>
      <c r="P564" s="919"/>
      <c r="Q564" s="919"/>
      <c r="R564" s="1277"/>
      <c r="S564" s="1277"/>
      <c r="T564" s="1277"/>
      <c r="U564" s="1277"/>
      <c r="V564" s="1277"/>
      <c r="W564" s="1277"/>
      <c r="X564" s="1277"/>
    </row>
    <row r="565" spans="7:24">
      <c r="G565" s="921"/>
      <c r="H565" s="1277"/>
      <c r="I565" s="921"/>
      <c r="J565" s="1277"/>
      <c r="K565" s="921"/>
      <c r="L565" s="1277"/>
      <c r="M565" s="1277"/>
      <c r="N565" s="1277"/>
      <c r="O565" s="1277"/>
      <c r="P565" s="919"/>
      <c r="Q565" s="919"/>
      <c r="R565" s="1277"/>
      <c r="S565" s="1277"/>
      <c r="T565" s="1277"/>
      <c r="U565" s="1277"/>
      <c r="V565" s="1277"/>
      <c r="W565" s="1277"/>
      <c r="X565" s="1277"/>
    </row>
    <row r="566" spans="7:24">
      <c r="G566" s="921"/>
      <c r="H566" s="1277"/>
      <c r="I566" s="921"/>
      <c r="J566" s="1277"/>
      <c r="K566" s="921"/>
      <c r="L566" s="1277"/>
      <c r="M566" s="1277"/>
      <c r="N566" s="1277"/>
      <c r="O566" s="1277"/>
      <c r="P566" s="919"/>
      <c r="Q566" s="919"/>
      <c r="R566" s="1277"/>
      <c r="S566" s="1277"/>
      <c r="T566" s="1277"/>
      <c r="U566" s="1277"/>
      <c r="V566" s="1277"/>
      <c r="W566" s="1277"/>
      <c r="X566" s="1277"/>
    </row>
    <row r="567" spans="7:24">
      <c r="G567" s="921"/>
      <c r="H567" s="1277"/>
      <c r="I567" s="921"/>
      <c r="J567" s="1277"/>
      <c r="K567" s="921"/>
      <c r="L567" s="1277"/>
      <c r="M567" s="1277"/>
      <c r="N567" s="1277"/>
      <c r="O567" s="1277"/>
      <c r="P567" s="919"/>
      <c r="Q567" s="919"/>
      <c r="R567" s="1277"/>
      <c r="S567" s="1277"/>
      <c r="T567" s="1277"/>
      <c r="U567" s="1277"/>
      <c r="V567" s="1277"/>
      <c r="W567" s="1277"/>
      <c r="X567" s="1277"/>
    </row>
    <row r="568" spans="7:24">
      <c r="G568" s="921"/>
      <c r="H568" s="1277"/>
      <c r="I568" s="921"/>
      <c r="J568" s="1277"/>
      <c r="K568" s="921"/>
      <c r="L568" s="1277"/>
      <c r="M568" s="1277"/>
      <c r="N568" s="1277"/>
      <c r="O568" s="1277"/>
      <c r="P568" s="919"/>
      <c r="Q568" s="919"/>
      <c r="R568" s="1277"/>
      <c r="S568" s="1277"/>
      <c r="T568" s="1277"/>
      <c r="U568" s="1277"/>
      <c r="V568" s="1277"/>
      <c r="W568" s="1277"/>
      <c r="X568" s="1277"/>
    </row>
    <row r="569" spans="7:24">
      <c r="G569" s="921"/>
      <c r="H569" s="1277"/>
      <c r="I569" s="921"/>
      <c r="J569" s="1277"/>
      <c r="K569" s="921"/>
      <c r="L569" s="1277"/>
      <c r="M569" s="1277"/>
      <c r="N569" s="1277"/>
      <c r="O569" s="1277"/>
      <c r="P569" s="919"/>
      <c r="Q569" s="919"/>
      <c r="R569" s="1277"/>
      <c r="S569" s="1277"/>
      <c r="T569" s="1277"/>
      <c r="U569" s="1277"/>
      <c r="V569" s="1277"/>
      <c r="W569" s="1277"/>
      <c r="X569" s="1277"/>
    </row>
    <row r="570" spans="7:24">
      <c r="G570" s="921"/>
      <c r="H570" s="1277"/>
      <c r="I570" s="921"/>
      <c r="J570" s="1277"/>
      <c r="K570" s="921"/>
      <c r="L570" s="1277"/>
      <c r="M570" s="1277"/>
      <c r="N570" s="1277"/>
      <c r="O570" s="1277"/>
      <c r="P570" s="919"/>
      <c r="Q570" s="919"/>
      <c r="R570" s="1277"/>
      <c r="S570" s="1277"/>
      <c r="T570" s="1277"/>
      <c r="U570" s="1277"/>
      <c r="V570" s="1277"/>
      <c r="W570" s="1277"/>
      <c r="X570" s="1277"/>
    </row>
    <row r="571" spans="7:24">
      <c r="G571" s="921"/>
      <c r="H571" s="1277"/>
      <c r="I571" s="921"/>
      <c r="J571" s="1277"/>
      <c r="K571" s="921"/>
      <c r="L571" s="1277"/>
      <c r="M571" s="1277"/>
      <c r="N571" s="1277"/>
      <c r="O571" s="1277"/>
      <c r="P571" s="919"/>
      <c r="Q571" s="919"/>
      <c r="R571" s="1277"/>
      <c r="S571" s="1277"/>
      <c r="T571" s="1277"/>
      <c r="U571" s="1277"/>
      <c r="V571" s="1277"/>
      <c r="W571" s="1277"/>
      <c r="X571" s="1277"/>
    </row>
    <row r="572" spans="7:24">
      <c r="G572" s="921"/>
      <c r="H572" s="1277"/>
      <c r="I572" s="921"/>
      <c r="J572" s="1277"/>
      <c r="K572" s="921"/>
      <c r="L572" s="1277"/>
      <c r="M572" s="1277"/>
      <c r="N572" s="1277"/>
      <c r="O572" s="1277"/>
      <c r="P572" s="919"/>
      <c r="Q572" s="919"/>
      <c r="R572" s="1277"/>
      <c r="S572" s="1277"/>
      <c r="T572" s="1277"/>
      <c r="U572" s="1277"/>
      <c r="V572" s="1277"/>
      <c r="W572" s="1277"/>
      <c r="X572" s="1277"/>
    </row>
    <row r="573" spans="7:24">
      <c r="G573" s="921"/>
      <c r="H573" s="1277"/>
      <c r="I573" s="921"/>
      <c r="J573" s="1277"/>
      <c r="K573" s="921"/>
      <c r="L573" s="1277"/>
      <c r="M573" s="1277"/>
      <c r="N573" s="1277"/>
      <c r="O573" s="1277"/>
      <c r="P573" s="919"/>
      <c r="Q573" s="919"/>
      <c r="R573" s="1277"/>
      <c r="S573" s="1277"/>
      <c r="T573" s="1277"/>
      <c r="U573" s="1277"/>
      <c r="V573" s="1277"/>
      <c r="W573" s="1277"/>
      <c r="X573" s="1277"/>
    </row>
    <row r="574" spans="7:24">
      <c r="G574" s="921"/>
      <c r="H574" s="1277"/>
      <c r="I574" s="921"/>
      <c r="J574" s="1277"/>
      <c r="K574" s="921"/>
      <c r="L574" s="1277"/>
      <c r="M574" s="1277"/>
      <c r="N574" s="1277"/>
      <c r="O574" s="1277"/>
      <c r="P574" s="919"/>
      <c r="Q574" s="919"/>
      <c r="R574" s="1277"/>
      <c r="S574" s="1277"/>
      <c r="T574" s="1277"/>
      <c r="U574" s="1277"/>
      <c r="V574" s="1277"/>
      <c r="W574" s="1277"/>
      <c r="X574" s="1277"/>
    </row>
    <row r="575" spans="7:24">
      <c r="G575" s="921"/>
      <c r="H575" s="1277"/>
      <c r="I575" s="921"/>
      <c r="J575" s="1277"/>
      <c r="K575" s="921"/>
      <c r="L575" s="1277"/>
      <c r="M575" s="1277"/>
      <c r="N575" s="1277"/>
      <c r="O575" s="1277"/>
      <c r="P575" s="919"/>
      <c r="Q575" s="919"/>
      <c r="R575" s="1277"/>
      <c r="S575" s="1277"/>
      <c r="T575" s="1277"/>
      <c r="U575" s="1277"/>
      <c r="V575" s="1277"/>
      <c r="W575" s="1277"/>
      <c r="X575" s="1277"/>
    </row>
    <row r="576" spans="7:24">
      <c r="G576" s="921"/>
      <c r="H576" s="1277"/>
      <c r="I576" s="921"/>
      <c r="J576" s="1277"/>
      <c r="K576" s="921"/>
      <c r="L576" s="1277"/>
      <c r="M576" s="1277"/>
      <c r="N576" s="1277"/>
      <c r="O576" s="1277"/>
      <c r="P576" s="919"/>
      <c r="Q576" s="919"/>
      <c r="R576" s="1277"/>
      <c r="S576" s="1277"/>
      <c r="T576" s="1277"/>
      <c r="U576" s="1277"/>
      <c r="V576" s="1277"/>
      <c r="W576" s="1277"/>
      <c r="X576" s="1277"/>
    </row>
    <row r="577" spans="7:24">
      <c r="G577" s="921"/>
      <c r="H577" s="1277"/>
      <c r="I577" s="921"/>
      <c r="J577" s="1277"/>
      <c r="K577" s="921"/>
      <c r="L577" s="1277"/>
      <c r="M577" s="1277"/>
      <c r="N577" s="1277"/>
      <c r="O577" s="1277"/>
      <c r="P577" s="919"/>
      <c r="Q577" s="919"/>
      <c r="R577" s="1277"/>
      <c r="S577" s="1277"/>
      <c r="T577" s="1277"/>
      <c r="U577" s="1277"/>
      <c r="V577" s="1277"/>
      <c r="W577" s="1277"/>
      <c r="X577" s="1277"/>
    </row>
    <row r="578" spans="7:24">
      <c r="G578" s="921"/>
      <c r="H578" s="1277"/>
      <c r="I578" s="921"/>
      <c r="J578" s="1277"/>
      <c r="K578" s="921"/>
      <c r="L578" s="1277"/>
      <c r="M578" s="1277"/>
      <c r="N578" s="1277"/>
      <c r="O578" s="1277"/>
      <c r="P578" s="919"/>
      <c r="Q578" s="919"/>
      <c r="R578" s="1277"/>
      <c r="S578" s="1277"/>
      <c r="T578" s="1277"/>
      <c r="U578" s="1277"/>
      <c r="V578" s="1277"/>
      <c r="W578" s="1277"/>
      <c r="X578" s="1277"/>
    </row>
    <row r="579" spans="7:24">
      <c r="G579" s="921"/>
      <c r="H579" s="1277"/>
      <c r="I579" s="921"/>
      <c r="J579" s="1277"/>
      <c r="K579" s="921"/>
      <c r="L579" s="1277"/>
      <c r="M579" s="1277"/>
      <c r="N579" s="1277"/>
      <c r="O579" s="1277"/>
      <c r="P579" s="919"/>
      <c r="Q579" s="919"/>
      <c r="R579" s="1277"/>
      <c r="S579" s="1277"/>
      <c r="T579" s="1277"/>
      <c r="U579" s="1277"/>
      <c r="V579" s="1277"/>
      <c r="W579" s="1277"/>
      <c r="X579" s="1277"/>
    </row>
    <row r="580" spans="7:24">
      <c r="G580" s="921"/>
      <c r="H580" s="1277"/>
      <c r="I580" s="921"/>
      <c r="J580" s="1277"/>
      <c r="K580" s="921"/>
      <c r="L580" s="1277"/>
      <c r="M580" s="1277"/>
      <c r="N580" s="1277"/>
      <c r="O580" s="1277"/>
      <c r="P580" s="919"/>
      <c r="Q580" s="919"/>
      <c r="R580" s="1277"/>
      <c r="S580" s="1277"/>
      <c r="T580" s="1277"/>
      <c r="U580" s="1277"/>
      <c r="V580" s="1277"/>
      <c r="W580" s="1277"/>
      <c r="X580" s="1277"/>
    </row>
    <row r="581" spans="7:24">
      <c r="G581" s="921"/>
      <c r="H581" s="1277"/>
      <c r="I581" s="921"/>
      <c r="J581" s="1277"/>
      <c r="K581" s="921"/>
      <c r="L581" s="1277"/>
      <c r="M581" s="1277"/>
      <c r="N581" s="1277"/>
      <c r="O581" s="1277"/>
      <c r="P581" s="919"/>
      <c r="Q581" s="919"/>
      <c r="R581" s="1277"/>
      <c r="S581" s="1277"/>
      <c r="T581" s="1277"/>
      <c r="U581" s="1277"/>
      <c r="V581" s="1277"/>
      <c r="W581" s="1277"/>
      <c r="X581" s="1277"/>
    </row>
    <row r="582" spans="7:24">
      <c r="G582" s="921"/>
      <c r="H582" s="1277"/>
      <c r="I582" s="921"/>
      <c r="J582" s="1277"/>
      <c r="K582" s="921"/>
      <c r="L582" s="1277"/>
      <c r="M582" s="1277"/>
      <c r="N582" s="1277"/>
      <c r="O582" s="1277"/>
      <c r="P582" s="919"/>
      <c r="Q582" s="919"/>
      <c r="R582" s="1277"/>
      <c r="S582" s="1277"/>
      <c r="T582" s="1277"/>
      <c r="U582" s="1277"/>
      <c r="V582" s="1277"/>
      <c r="W582" s="1277"/>
      <c r="X582" s="1277"/>
    </row>
    <row r="583" spans="7:24">
      <c r="G583" s="921"/>
      <c r="H583" s="1277"/>
      <c r="I583" s="921"/>
      <c r="J583" s="1277"/>
      <c r="K583" s="921"/>
      <c r="L583" s="1277"/>
      <c r="M583" s="1277"/>
      <c r="N583" s="1277"/>
      <c r="O583" s="1277"/>
      <c r="P583" s="919"/>
      <c r="Q583" s="919"/>
      <c r="R583" s="1277"/>
      <c r="S583" s="1277"/>
      <c r="T583" s="1277"/>
      <c r="U583" s="1277"/>
      <c r="V583" s="1277"/>
      <c r="W583" s="1277"/>
      <c r="X583" s="1277"/>
    </row>
    <row r="584" spans="7:24">
      <c r="G584" s="921"/>
      <c r="H584" s="1277"/>
      <c r="I584" s="921"/>
      <c r="J584" s="1277"/>
      <c r="K584" s="921"/>
      <c r="L584" s="1277"/>
      <c r="M584" s="1277"/>
      <c r="N584" s="1277"/>
      <c r="O584" s="1277"/>
      <c r="P584" s="919"/>
      <c r="Q584" s="919"/>
      <c r="R584" s="1277"/>
      <c r="S584" s="1277"/>
      <c r="T584" s="1277"/>
      <c r="U584" s="1277"/>
      <c r="V584" s="1277"/>
      <c r="W584" s="1277"/>
      <c r="X584" s="1277"/>
    </row>
    <row r="585" spans="7:24">
      <c r="G585" s="921"/>
      <c r="H585" s="1277"/>
      <c r="I585" s="921"/>
      <c r="J585" s="1277"/>
      <c r="K585" s="921"/>
      <c r="L585" s="1277"/>
      <c r="M585" s="1277"/>
      <c r="N585" s="1277"/>
      <c r="O585" s="1277"/>
      <c r="P585" s="919"/>
      <c r="Q585" s="919"/>
      <c r="R585" s="1277"/>
      <c r="S585" s="1277"/>
      <c r="T585" s="1277"/>
      <c r="U585" s="1277"/>
      <c r="V585" s="1277"/>
      <c r="W585" s="1277"/>
      <c r="X585" s="1277"/>
    </row>
    <row r="586" spans="7:24">
      <c r="G586" s="921"/>
      <c r="H586" s="1277"/>
      <c r="I586" s="921"/>
      <c r="J586" s="1277"/>
      <c r="K586" s="921"/>
      <c r="L586" s="1277"/>
      <c r="M586" s="1277"/>
      <c r="N586" s="1277"/>
      <c r="O586" s="1277"/>
      <c r="P586" s="919"/>
      <c r="Q586" s="919"/>
      <c r="R586" s="1277"/>
      <c r="S586" s="1277"/>
      <c r="T586" s="1277"/>
      <c r="U586" s="1277"/>
      <c r="V586" s="1277"/>
      <c r="W586" s="1277"/>
      <c r="X586" s="1277"/>
    </row>
    <row r="587" spans="7:24">
      <c r="G587" s="921"/>
      <c r="H587" s="1277"/>
      <c r="I587" s="921"/>
      <c r="J587" s="1277"/>
      <c r="K587" s="921"/>
      <c r="L587" s="1277"/>
      <c r="M587" s="1277"/>
      <c r="N587" s="1277"/>
      <c r="O587" s="1277"/>
      <c r="P587" s="919"/>
      <c r="Q587" s="919"/>
      <c r="R587" s="1277"/>
      <c r="S587" s="1277"/>
      <c r="T587" s="1277"/>
      <c r="U587" s="1277"/>
      <c r="V587" s="1277"/>
      <c r="W587" s="1277"/>
      <c r="X587" s="1277"/>
    </row>
    <row r="588" spans="7:24">
      <c r="G588" s="921"/>
      <c r="H588" s="1277"/>
      <c r="I588" s="921"/>
      <c r="J588" s="1277"/>
      <c r="K588" s="921"/>
      <c r="L588" s="1277"/>
      <c r="M588" s="1277"/>
      <c r="N588" s="1277"/>
      <c r="O588" s="1277"/>
      <c r="P588" s="919"/>
      <c r="Q588" s="919"/>
      <c r="R588" s="1277"/>
      <c r="S588" s="1277"/>
      <c r="T588" s="1277"/>
      <c r="U588" s="1277"/>
      <c r="V588" s="1277"/>
      <c r="W588" s="1277"/>
      <c r="X588" s="1277"/>
    </row>
    <row r="589" spans="7:24">
      <c r="G589" s="921"/>
      <c r="H589" s="1277"/>
      <c r="I589" s="921"/>
      <c r="J589" s="1277"/>
      <c r="K589" s="921"/>
      <c r="L589" s="1277"/>
      <c r="M589" s="1277"/>
      <c r="N589" s="1277"/>
      <c r="O589" s="1277"/>
      <c r="P589" s="919"/>
      <c r="Q589" s="919"/>
      <c r="R589" s="1277"/>
      <c r="S589" s="1277"/>
      <c r="T589" s="1277"/>
      <c r="U589" s="1277"/>
      <c r="V589" s="1277"/>
      <c r="W589" s="1277"/>
      <c r="X589" s="1277"/>
    </row>
    <row r="590" spans="7:24">
      <c r="G590" s="921"/>
      <c r="H590" s="1277"/>
      <c r="I590" s="921"/>
      <c r="J590" s="1277"/>
      <c r="K590" s="921"/>
      <c r="L590" s="1277"/>
      <c r="M590" s="1277"/>
      <c r="N590" s="1277"/>
      <c r="O590" s="1277"/>
      <c r="P590" s="919"/>
      <c r="Q590" s="919"/>
      <c r="R590" s="1277"/>
      <c r="S590" s="1277"/>
      <c r="T590" s="1277"/>
      <c r="U590" s="1277"/>
      <c r="V590" s="1277"/>
      <c r="W590" s="1277"/>
      <c r="X590" s="1277"/>
    </row>
    <row r="591" spans="7:24">
      <c r="G591" s="921"/>
      <c r="H591" s="1277"/>
      <c r="I591" s="921"/>
      <c r="J591" s="1277"/>
      <c r="K591" s="921"/>
      <c r="L591" s="1277"/>
      <c r="M591" s="1277"/>
      <c r="N591" s="1277"/>
      <c r="O591" s="1277"/>
      <c r="P591" s="919"/>
      <c r="Q591" s="919"/>
      <c r="R591" s="1277"/>
      <c r="S591" s="1277"/>
      <c r="T591" s="1277"/>
      <c r="U591" s="1277"/>
      <c r="V591" s="1277"/>
      <c r="W591" s="1277"/>
      <c r="X591" s="1277"/>
    </row>
    <row r="592" spans="7:24">
      <c r="G592" s="921"/>
      <c r="H592" s="1277"/>
      <c r="I592" s="921"/>
      <c r="J592" s="1277"/>
      <c r="K592" s="921"/>
      <c r="L592" s="1277"/>
      <c r="M592" s="1277"/>
      <c r="N592" s="1277"/>
      <c r="O592" s="1277"/>
      <c r="P592" s="919"/>
      <c r="Q592" s="919"/>
      <c r="R592" s="1277"/>
      <c r="S592" s="1277"/>
      <c r="T592" s="1277"/>
      <c r="U592" s="1277"/>
      <c r="V592" s="1277"/>
      <c r="W592" s="1277"/>
      <c r="X592" s="1277"/>
    </row>
    <row r="593" spans="7:24">
      <c r="G593" s="921"/>
      <c r="H593" s="1277"/>
      <c r="I593" s="921"/>
      <c r="J593" s="1277"/>
      <c r="K593" s="921"/>
      <c r="L593" s="1277"/>
      <c r="M593" s="1277"/>
      <c r="N593" s="1277"/>
      <c r="O593" s="1277"/>
      <c r="P593" s="919"/>
      <c r="Q593" s="919"/>
      <c r="R593" s="1277"/>
      <c r="S593" s="1277"/>
      <c r="T593" s="1277"/>
      <c r="U593" s="1277"/>
      <c r="V593" s="1277"/>
      <c r="W593" s="1277"/>
      <c r="X593" s="1277"/>
    </row>
    <row r="594" spans="7:24">
      <c r="G594" s="921"/>
      <c r="H594" s="1277"/>
      <c r="I594" s="921"/>
      <c r="J594" s="1277"/>
      <c r="K594" s="921"/>
      <c r="L594" s="1277"/>
      <c r="M594" s="1277"/>
      <c r="N594" s="1277"/>
      <c r="O594" s="1277"/>
      <c r="P594" s="919"/>
      <c r="Q594" s="919"/>
      <c r="R594" s="1277"/>
      <c r="S594" s="1277"/>
      <c r="T594" s="1277"/>
      <c r="U594" s="1277"/>
      <c r="V594" s="1277"/>
      <c r="W594" s="1277"/>
      <c r="X594" s="1277"/>
    </row>
    <row r="595" spans="7:24">
      <c r="G595" s="921"/>
      <c r="H595" s="1277"/>
      <c r="I595" s="921"/>
      <c r="J595" s="1277"/>
      <c r="K595" s="921"/>
      <c r="L595" s="1277"/>
      <c r="M595" s="1277"/>
      <c r="N595" s="1277"/>
      <c r="O595" s="1277"/>
      <c r="P595" s="919"/>
      <c r="Q595" s="919"/>
      <c r="R595" s="1277"/>
      <c r="S595" s="1277"/>
      <c r="T595" s="1277"/>
      <c r="U595" s="1277"/>
      <c r="V595" s="1277"/>
      <c r="W595" s="1277"/>
      <c r="X595" s="1277"/>
    </row>
    <row r="596" spans="7:24">
      <c r="G596" s="921"/>
      <c r="H596" s="1277"/>
      <c r="I596" s="921"/>
      <c r="J596" s="1277"/>
      <c r="K596" s="921"/>
      <c r="L596" s="1277"/>
      <c r="M596" s="1277"/>
      <c r="N596" s="1277"/>
      <c r="O596" s="1277"/>
      <c r="P596" s="919"/>
      <c r="Q596" s="919"/>
      <c r="R596" s="1277"/>
      <c r="S596" s="1277"/>
      <c r="T596" s="1277"/>
      <c r="U596" s="1277"/>
      <c r="V596" s="1277"/>
      <c r="W596" s="1277"/>
      <c r="X596" s="1277"/>
    </row>
    <row r="597" spans="7:24">
      <c r="G597" s="921"/>
      <c r="H597" s="1277"/>
      <c r="I597" s="921"/>
      <c r="J597" s="1277"/>
      <c r="K597" s="921"/>
      <c r="L597" s="1277"/>
      <c r="M597" s="1277"/>
      <c r="N597" s="1277"/>
      <c r="O597" s="1277"/>
      <c r="P597" s="919"/>
      <c r="Q597" s="919"/>
      <c r="R597" s="1277"/>
      <c r="S597" s="1277"/>
      <c r="T597" s="1277"/>
      <c r="U597" s="1277"/>
      <c r="V597" s="1277"/>
      <c r="W597" s="1277"/>
      <c r="X597" s="1277"/>
    </row>
    <row r="598" spans="7:24">
      <c r="G598" s="921"/>
      <c r="H598" s="1277"/>
      <c r="I598" s="921"/>
      <c r="J598" s="1277"/>
      <c r="K598" s="921"/>
      <c r="L598" s="1277"/>
      <c r="M598" s="1277"/>
      <c r="N598" s="1277"/>
      <c r="O598" s="1277"/>
      <c r="P598" s="919"/>
      <c r="Q598" s="919"/>
      <c r="R598" s="1277"/>
      <c r="S598" s="1277"/>
      <c r="T598" s="1277"/>
      <c r="U598" s="1277"/>
      <c r="V598" s="1277"/>
      <c r="W598" s="1277"/>
      <c r="X598" s="1277"/>
    </row>
    <row r="599" spans="7:24">
      <c r="G599" s="921"/>
      <c r="H599" s="1277"/>
      <c r="I599" s="921"/>
      <c r="J599" s="1277"/>
      <c r="K599" s="921"/>
      <c r="L599" s="1277"/>
      <c r="M599" s="1277"/>
      <c r="N599" s="1277"/>
      <c r="O599" s="1277"/>
      <c r="P599" s="919"/>
      <c r="Q599" s="919"/>
      <c r="R599" s="1277"/>
      <c r="S599" s="1277"/>
      <c r="T599" s="1277"/>
      <c r="U599" s="1277"/>
      <c r="V599" s="1277"/>
      <c r="W599" s="1277"/>
      <c r="X599" s="1277"/>
    </row>
    <row r="600" spans="7:24">
      <c r="G600" s="921"/>
      <c r="H600" s="1277"/>
      <c r="I600" s="921"/>
      <c r="J600" s="1277"/>
      <c r="K600" s="921"/>
      <c r="L600" s="1277"/>
      <c r="M600" s="1277"/>
      <c r="N600" s="1277"/>
      <c r="O600" s="1277"/>
      <c r="P600" s="919"/>
      <c r="Q600" s="919"/>
      <c r="R600" s="1277"/>
      <c r="S600" s="1277"/>
      <c r="T600" s="1277"/>
      <c r="U600" s="1277"/>
      <c r="V600" s="1277"/>
      <c r="W600" s="1277"/>
      <c r="X600" s="1277"/>
    </row>
    <row r="601" spans="7:24">
      <c r="G601" s="921"/>
      <c r="H601" s="1277"/>
      <c r="I601" s="921"/>
      <c r="J601" s="1277"/>
      <c r="K601" s="921"/>
      <c r="L601" s="1277"/>
      <c r="M601" s="1277"/>
      <c r="N601" s="1277"/>
      <c r="O601" s="1277"/>
      <c r="P601" s="919"/>
      <c r="Q601" s="919"/>
      <c r="R601" s="1277"/>
      <c r="S601" s="1277"/>
      <c r="T601" s="1277"/>
      <c r="U601" s="1277"/>
      <c r="V601" s="1277"/>
      <c r="W601" s="1277"/>
      <c r="X601" s="1277"/>
    </row>
    <row r="602" spans="7:24">
      <c r="G602" s="921"/>
      <c r="H602" s="1277"/>
      <c r="I602" s="921"/>
      <c r="J602" s="1277"/>
      <c r="K602" s="921"/>
      <c r="L602" s="1277"/>
      <c r="M602" s="1277"/>
      <c r="N602" s="1277"/>
      <c r="O602" s="1277"/>
      <c r="P602" s="919"/>
      <c r="Q602" s="919"/>
      <c r="R602" s="1277"/>
      <c r="S602" s="1277"/>
      <c r="T602" s="1277"/>
      <c r="U602" s="1277"/>
      <c r="V602" s="1277"/>
      <c r="W602" s="1277"/>
      <c r="X602" s="1277"/>
    </row>
    <row r="603" spans="7:24">
      <c r="G603" s="921"/>
      <c r="H603" s="1277"/>
      <c r="I603" s="921"/>
      <c r="J603" s="1277"/>
      <c r="K603" s="921"/>
      <c r="L603" s="1277"/>
      <c r="M603" s="1277"/>
      <c r="N603" s="1277"/>
      <c r="O603" s="1277"/>
      <c r="P603" s="919"/>
      <c r="Q603" s="919"/>
      <c r="R603" s="1277"/>
      <c r="S603" s="1277"/>
      <c r="T603" s="1277"/>
      <c r="U603" s="1277"/>
      <c r="V603" s="1277"/>
      <c r="W603" s="1277"/>
      <c r="X603" s="1277"/>
    </row>
    <row r="604" spans="7:24">
      <c r="G604" s="921"/>
      <c r="H604" s="1277"/>
      <c r="I604" s="921"/>
      <c r="J604" s="1277"/>
      <c r="K604" s="921"/>
      <c r="L604" s="1277"/>
      <c r="M604" s="1277"/>
      <c r="N604" s="1277"/>
      <c r="O604" s="1277"/>
      <c r="P604" s="919"/>
      <c r="Q604" s="919"/>
      <c r="R604" s="1277"/>
      <c r="S604" s="1277"/>
      <c r="T604" s="1277"/>
      <c r="U604" s="1277"/>
      <c r="V604" s="1277"/>
      <c r="W604" s="1277"/>
      <c r="X604" s="1277"/>
    </row>
    <row r="605" spans="7:24">
      <c r="G605" s="921"/>
      <c r="H605" s="1277"/>
      <c r="I605" s="921"/>
      <c r="J605" s="1277"/>
      <c r="K605" s="921"/>
      <c r="L605" s="1277"/>
      <c r="M605" s="1277"/>
      <c r="N605" s="1277"/>
      <c r="O605" s="1277"/>
      <c r="P605" s="919"/>
      <c r="Q605" s="919"/>
      <c r="R605" s="1277"/>
      <c r="S605" s="1277"/>
      <c r="T605" s="1277"/>
      <c r="U605" s="1277"/>
      <c r="V605" s="1277"/>
      <c r="W605" s="1277"/>
      <c r="X605" s="1277"/>
    </row>
    <row r="606" spans="7:24">
      <c r="G606" s="921"/>
      <c r="H606" s="1277"/>
      <c r="I606" s="921"/>
      <c r="J606" s="1277"/>
      <c r="K606" s="921"/>
      <c r="L606" s="1277"/>
      <c r="M606" s="1277"/>
      <c r="N606" s="1277"/>
      <c r="O606" s="1277"/>
      <c r="P606" s="919"/>
      <c r="Q606" s="919"/>
      <c r="R606" s="1277"/>
      <c r="S606" s="1277"/>
      <c r="T606" s="1277"/>
      <c r="U606" s="1277"/>
      <c r="V606" s="1277"/>
      <c r="W606" s="1277"/>
      <c r="X606" s="1277"/>
    </row>
    <row r="607" spans="7:24">
      <c r="G607" s="921"/>
      <c r="H607" s="1277"/>
      <c r="I607" s="921"/>
      <c r="J607" s="1277"/>
      <c r="K607" s="921"/>
      <c r="L607" s="1277"/>
      <c r="M607" s="1277"/>
      <c r="N607" s="1277"/>
      <c r="O607" s="1277"/>
      <c r="P607" s="919"/>
      <c r="Q607" s="919"/>
      <c r="R607" s="1277"/>
      <c r="S607" s="1277"/>
      <c r="T607" s="1277"/>
      <c r="U607" s="1277"/>
      <c r="V607" s="1277"/>
      <c r="W607" s="1277"/>
      <c r="X607" s="1277"/>
    </row>
    <row r="608" spans="7:24">
      <c r="G608" s="921"/>
      <c r="H608" s="1277"/>
      <c r="I608" s="921"/>
      <c r="J608" s="1277"/>
      <c r="K608" s="921"/>
      <c r="L608" s="1277"/>
      <c r="M608" s="1277"/>
      <c r="N608" s="1277"/>
      <c r="O608" s="1277"/>
      <c r="P608" s="919"/>
      <c r="Q608" s="919"/>
      <c r="R608" s="1277"/>
      <c r="S608" s="1277"/>
      <c r="T608" s="1277"/>
      <c r="U608" s="1277"/>
      <c r="V608" s="1277"/>
      <c r="W608" s="1277"/>
      <c r="X608" s="1277"/>
    </row>
    <row r="609" spans="7:24">
      <c r="G609" s="921"/>
      <c r="H609" s="1277"/>
      <c r="I609" s="921"/>
      <c r="J609" s="1277"/>
      <c r="K609" s="921"/>
      <c r="L609" s="1277"/>
      <c r="M609" s="1277"/>
      <c r="N609" s="1277"/>
      <c r="O609" s="1277"/>
      <c r="P609" s="919"/>
      <c r="Q609" s="919"/>
      <c r="R609" s="1277"/>
      <c r="S609" s="1277"/>
      <c r="T609" s="1277"/>
      <c r="U609" s="1277"/>
      <c r="V609" s="1277"/>
      <c r="W609" s="1277"/>
      <c r="X609" s="1277"/>
    </row>
    <row r="610" spans="7:24">
      <c r="G610" s="921"/>
      <c r="H610" s="1277"/>
      <c r="I610" s="921"/>
      <c r="J610" s="1277"/>
      <c r="K610" s="921"/>
      <c r="L610" s="1277"/>
      <c r="M610" s="1277"/>
      <c r="N610" s="1277"/>
      <c r="O610" s="1277"/>
      <c r="P610" s="919"/>
      <c r="Q610" s="919"/>
      <c r="R610" s="1277"/>
      <c r="S610" s="1277"/>
      <c r="T610" s="1277"/>
      <c r="U610" s="1277"/>
      <c r="V610" s="1277"/>
      <c r="W610" s="1277"/>
      <c r="X610" s="1277"/>
    </row>
    <row r="611" spans="7:24">
      <c r="G611" s="921"/>
      <c r="H611" s="1277"/>
      <c r="I611" s="921"/>
      <c r="J611" s="1277"/>
      <c r="K611" s="921"/>
      <c r="L611" s="1277"/>
      <c r="M611" s="1277"/>
      <c r="N611" s="1277"/>
      <c r="O611" s="1277"/>
      <c r="P611" s="919"/>
      <c r="Q611" s="919"/>
      <c r="R611" s="1277"/>
      <c r="S611" s="1277"/>
      <c r="T611" s="1277"/>
      <c r="U611" s="1277"/>
      <c r="V611" s="1277"/>
      <c r="W611" s="1277"/>
      <c r="X611" s="1277"/>
    </row>
    <row r="612" spans="7:24">
      <c r="G612" s="921"/>
      <c r="H612" s="1277"/>
      <c r="I612" s="921"/>
      <c r="J612" s="1277"/>
      <c r="K612" s="921"/>
      <c r="L612" s="1277"/>
      <c r="M612" s="1277"/>
      <c r="N612" s="1277"/>
      <c r="O612" s="1277"/>
      <c r="P612" s="919"/>
      <c r="Q612" s="919"/>
      <c r="R612" s="1277"/>
      <c r="S612" s="1277"/>
      <c r="T612" s="1277"/>
      <c r="U612" s="1277"/>
      <c r="V612" s="1277"/>
      <c r="W612" s="1277"/>
      <c r="X612" s="1277"/>
    </row>
    <row r="613" spans="7:24">
      <c r="G613" s="921"/>
      <c r="H613" s="1277"/>
      <c r="I613" s="921"/>
      <c r="J613" s="1277"/>
      <c r="K613" s="921"/>
      <c r="L613" s="1277"/>
      <c r="M613" s="1277"/>
      <c r="N613" s="1277"/>
      <c r="O613" s="1277"/>
      <c r="P613" s="919"/>
      <c r="Q613" s="919"/>
      <c r="R613" s="1277"/>
      <c r="S613" s="1277"/>
      <c r="T613" s="1277"/>
      <c r="U613" s="1277"/>
      <c r="V613" s="1277"/>
      <c r="W613" s="1277"/>
      <c r="X613" s="1277"/>
    </row>
    <row r="614" spans="7:24">
      <c r="G614" s="921"/>
      <c r="H614" s="1277"/>
      <c r="I614" s="921"/>
      <c r="J614" s="1277"/>
      <c r="K614" s="921"/>
      <c r="L614" s="1277"/>
      <c r="M614" s="1277"/>
      <c r="N614" s="1277"/>
      <c r="O614" s="1277"/>
      <c r="P614" s="919"/>
      <c r="Q614" s="919"/>
      <c r="R614" s="1277"/>
      <c r="S614" s="1277"/>
      <c r="T614" s="1277"/>
      <c r="U614" s="1277"/>
      <c r="V614" s="1277"/>
      <c r="W614" s="1277"/>
      <c r="X614" s="1277"/>
    </row>
    <row r="615" spans="7:24">
      <c r="G615" s="921"/>
      <c r="H615" s="1277"/>
      <c r="I615" s="921"/>
      <c r="J615" s="1277"/>
      <c r="K615" s="921"/>
      <c r="L615" s="1277"/>
      <c r="M615" s="1277"/>
      <c r="N615" s="1277"/>
      <c r="O615" s="1277"/>
      <c r="P615" s="919"/>
      <c r="Q615" s="919"/>
      <c r="R615" s="1277"/>
      <c r="S615" s="1277"/>
      <c r="T615" s="1277"/>
      <c r="U615" s="1277"/>
      <c r="V615" s="1277"/>
      <c r="W615" s="1277"/>
      <c r="X615" s="1277"/>
    </row>
    <row r="616" spans="7:24">
      <c r="G616" s="921"/>
      <c r="H616" s="1277"/>
      <c r="I616" s="921"/>
      <c r="J616" s="1277"/>
      <c r="K616" s="921"/>
      <c r="L616" s="1277"/>
      <c r="M616" s="1277"/>
      <c r="N616" s="1277"/>
      <c r="O616" s="1277"/>
      <c r="P616" s="919"/>
      <c r="Q616" s="919"/>
      <c r="R616" s="1277"/>
      <c r="S616" s="1277"/>
      <c r="T616" s="1277"/>
      <c r="U616" s="1277"/>
      <c r="V616" s="1277"/>
      <c r="W616" s="1277"/>
      <c r="X616" s="1277"/>
    </row>
    <row r="617" spans="7:24">
      <c r="G617" s="921"/>
      <c r="H617" s="1277"/>
      <c r="I617" s="921"/>
      <c r="J617" s="1277"/>
      <c r="K617" s="921"/>
      <c r="L617" s="1277"/>
      <c r="M617" s="1277"/>
      <c r="N617" s="1277"/>
      <c r="O617" s="1277"/>
      <c r="P617" s="919"/>
      <c r="Q617" s="919"/>
      <c r="R617" s="1277"/>
      <c r="S617" s="1277"/>
      <c r="T617" s="1277"/>
      <c r="U617" s="1277"/>
      <c r="V617" s="1277"/>
      <c r="W617" s="1277"/>
      <c r="X617" s="1277"/>
    </row>
    <row r="618" spans="7:24">
      <c r="G618" s="921"/>
      <c r="H618" s="1277"/>
      <c r="I618" s="921"/>
      <c r="J618" s="1277"/>
      <c r="K618" s="921"/>
      <c r="L618" s="1277"/>
      <c r="M618" s="1277"/>
      <c r="N618" s="1277"/>
      <c r="O618" s="1277"/>
      <c r="P618" s="919"/>
      <c r="Q618" s="919"/>
      <c r="R618" s="1277"/>
      <c r="S618" s="1277"/>
      <c r="T618" s="1277"/>
      <c r="U618" s="1277"/>
      <c r="V618" s="1277"/>
      <c r="W618" s="1277"/>
      <c r="X618" s="1277"/>
    </row>
    <row r="619" spans="7:24">
      <c r="G619" s="921"/>
      <c r="H619" s="1277"/>
      <c r="I619" s="921"/>
      <c r="J619" s="1277"/>
      <c r="K619" s="921"/>
      <c r="L619" s="1277"/>
      <c r="M619" s="1277"/>
      <c r="N619" s="1277"/>
      <c r="O619" s="1277"/>
      <c r="P619" s="919"/>
      <c r="Q619" s="919"/>
      <c r="R619" s="1277"/>
      <c r="S619" s="1277"/>
      <c r="T619" s="1277"/>
      <c r="U619" s="1277"/>
      <c r="V619" s="1277"/>
      <c r="W619" s="1277"/>
      <c r="X619" s="1277"/>
    </row>
    <row r="620" spans="7:24">
      <c r="G620" s="921"/>
      <c r="H620" s="1277"/>
      <c r="I620" s="921"/>
      <c r="J620" s="1277"/>
      <c r="K620" s="921"/>
      <c r="L620" s="1277"/>
      <c r="M620" s="1277"/>
      <c r="N620" s="1277"/>
      <c r="O620" s="1277"/>
      <c r="P620" s="919"/>
      <c r="Q620" s="919"/>
      <c r="R620" s="1277"/>
      <c r="S620" s="1277"/>
      <c r="T620" s="1277"/>
      <c r="U620" s="1277"/>
      <c r="V620" s="1277"/>
      <c r="W620" s="1277"/>
      <c r="X620" s="1277"/>
    </row>
    <row r="621" spans="7:24">
      <c r="G621" s="921"/>
      <c r="H621" s="1277"/>
      <c r="I621" s="921"/>
      <c r="J621" s="1277"/>
      <c r="K621" s="921"/>
      <c r="L621" s="1277"/>
      <c r="M621" s="1277"/>
      <c r="N621" s="1277"/>
      <c r="O621" s="1277"/>
      <c r="P621" s="919"/>
      <c r="Q621" s="919"/>
      <c r="R621" s="1277"/>
      <c r="S621" s="1277"/>
      <c r="T621" s="1277"/>
      <c r="U621" s="1277"/>
      <c r="V621" s="1277"/>
      <c r="W621" s="1277"/>
      <c r="X621" s="1277"/>
    </row>
    <row r="622" spans="7:24">
      <c r="G622" s="921"/>
      <c r="H622" s="1277"/>
      <c r="I622" s="921"/>
      <c r="J622" s="1277"/>
      <c r="K622" s="921"/>
      <c r="L622" s="1277"/>
      <c r="M622" s="1277"/>
      <c r="N622" s="1277"/>
      <c r="O622" s="1277"/>
      <c r="P622" s="919"/>
      <c r="Q622" s="919"/>
      <c r="R622" s="1277"/>
      <c r="S622" s="1277"/>
      <c r="T622" s="1277"/>
      <c r="U622" s="1277"/>
      <c r="V622" s="1277"/>
      <c r="W622" s="1277"/>
      <c r="X622" s="1277"/>
    </row>
    <row r="623" spans="7:24">
      <c r="G623" s="921"/>
      <c r="H623" s="1277"/>
      <c r="I623" s="921"/>
      <c r="J623" s="1277"/>
      <c r="K623" s="921"/>
      <c r="L623" s="1277"/>
      <c r="M623" s="1277"/>
      <c r="N623" s="1277"/>
      <c r="O623" s="1277"/>
      <c r="P623" s="919"/>
      <c r="Q623" s="919"/>
      <c r="R623" s="1277"/>
      <c r="S623" s="1277"/>
      <c r="T623" s="1277"/>
      <c r="U623" s="1277"/>
      <c r="V623" s="1277"/>
      <c r="W623" s="1277"/>
      <c r="X623" s="1277"/>
    </row>
    <row r="624" spans="7:24">
      <c r="G624" s="921"/>
      <c r="H624" s="1277"/>
      <c r="I624" s="921"/>
      <c r="J624" s="1277"/>
      <c r="K624" s="921"/>
      <c r="L624" s="1277"/>
      <c r="M624" s="1277"/>
      <c r="N624" s="1277"/>
      <c r="O624" s="1277"/>
      <c r="P624" s="919"/>
      <c r="Q624" s="919"/>
      <c r="R624" s="1277"/>
      <c r="S624" s="1277"/>
      <c r="T624" s="1277"/>
      <c r="U624" s="1277"/>
      <c r="V624" s="1277"/>
      <c r="W624" s="1277"/>
      <c r="X624" s="1277"/>
    </row>
    <row r="625" spans="7:24">
      <c r="G625" s="921"/>
      <c r="H625" s="1277"/>
      <c r="I625" s="921"/>
      <c r="J625" s="1277"/>
      <c r="K625" s="921"/>
      <c r="L625" s="1277"/>
      <c r="M625" s="1277"/>
      <c r="N625" s="1277"/>
      <c r="O625" s="1277"/>
      <c r="P625" s="919"/>
      <c r="Q625" s="919"/>
      <c r="R625" s="1277"/>
      <c r="S625" s="1277"/>
      <c r="T625" s="1277"/>
      <c r="U625" s="1277"/>
      <c r="V625" s="1277"/>
      <c r="W625" s="1277"/>
      <c r="X625" s="1277"/>
    </row>
    <row r="626" spans="7:24">
      <c r="G626" s="921"/>
      <c r="H626" s="1277"/>
      <c r="I626" s="921"/>
      <c r="J626" s="1277"/>
      <c r="K626" s="921"/>
      <c r="L626" s="1277"/>
      <c r="M626" s="1277"/>
      <c r="N626" s="1277"/>
      <c r="O626" s="1277"/>
      <c r="P626" s="919"/>
      <c r="Q626" s="919"/>
      <c r="R626" s="1277"/>
      <c r="S626" s="1277"/>
      <c r="T626" s="1277"/>
      <c r="U626" s="1277"/>
      <c r="V626" s="1277"/>
      <c r="W626" s="1277"/>
      <c r="X626" s="1277"/>
    </row>
    <row r="627" spans="7:24">
      <c r="G627" s="921"/>
      <c r="H627" s="1277"/>
      <c r="I627" s="921"/>
      <c r="J627" s="1277"/>
      <c r="K627" s="921"/>
      <c r="L627" s="1277"/>
      <c r="M627" s="1277"/>
      <c r="N627" s="1277"/>
      <c r="O627" s="1277"/>
      <c r="P627" s="919"/>
      <c r="Q627" s="919"/>
      <c r="R627" s="1277"/>
      <c r="S627" s="1277"/>
      <c r="T627" s="1277"/>
      <c r="U627" s="1277"/>
      <c r="V627" s="1277"/>
      <c r="W627" s="1277"/>
      <c r="X627" s="1277"/>
    </row>
    <row r="628" spans="7:24">
      <c r="G628" s="921"/>
      <c r="H628" s="1277"/>
      <c r="I628" s="921"/>
      <c r="J628" s="1277"/>
      <c r="K628" s="921"/>
      <c r="L628" s="1277"/>
      <c r="M628" s="1277"/>
      <c r="N628" s="1277"/>
      <c r="O628" s="1277"/>
      <c r="P628" s="919"/>
      <c r="Q628" s="919"/>
      <c r="R628" s="1277"/>
      <c r="S628" s="1277"/>
      <c r="T628" s="1277"/>
      <c r="U628" s="1277"/>
      <c r="V628" s="1277"/>
      <c r="W628" s="1277"/>
      <c r="X628" s="1277"/>
    </row>
    <row r="629" spans="7:24">
      <c r="G629" s="921"/>
      <c r="H629" s="1277"/>
      <c r="I629" s="921"/>
      <c r="J629" s="1277"/>
      <c r="K629" s="921"/>
      <c r="L629" s="1277"/>
      <c r="M629" s="1277"/>
      <c r="N629" s="1277"/>
      <c r="O629" s="1277"/>
      <c r="P629" s="919"/>
      <c r="Q629" s="919"/>
      <c r="R629" s="1277"/>
      <c r="S629" s="1277"/>
      <c r="T629" s="1277"/>
      <c r="U629" s="1277"/>
      <c r="V629" s="1277"/>
      <c r="W629" s="1277"/>
      <c r="X629" s="1277"/>
    </row>
    <row r="630" spans="7:24">
      <c r="G630" s="921"/>
      <c r="H630" s="1277"/>
      <c r="I630" s="921"/>
      <c r="J630" s="1277"/>
      <c r="K630" s="921"/>
      <c r="L630" s="1277"/>
      <c r="M630" s="1277"/>
      <c r="N630" s="1277"/>
      <c r="O630" s="1277"/>
      <c r="P630" s="919"/>
      <c r="Q630" s="919"/>
      <c r="R630" s="1277"/>
      <c r="S630" s="1277"/>
      <c r="T630" s="1277"/>
      <c r="U630" s="1277"/>
      <c r="V630" s="1277"/>
      <c r="W630" s="1277"/>
      <c r="X630" s="1277"/>
    </row>
    <row r="631" spans="7:24">
      <c r="G631" s="921"/>
      <c r="H631" s="1277"/>
      <c r="I631" s="921"/>
      <c r="J631" s="1277"/>
      <c r="K631" s="921"/>
      <c r="L631" s="1277"/>
      <c r="M631" s="1277"/>
      <c r="N631" s="1277"/>
      <c r="O631" s="1277"/>
      <c r="P631" s="919"/>
      <c r="Q631" s="919"/>
      <c r="R631" s="1277"/>
      <c r="S631" s="1277"/>
      <c r="T631" s="1277"/>
      <c r="U631" s="1277"/>
      <c r="V631" s="1277"/>
      <c r="W631" s="1277"/>
      <c r="X631" s="1277"/>
    </row>
    <row r="632" spans="7:24">
      <c r="G632" s="921"/>
      <c r="H632" s="1277"/>
      <c r="I632" s="921"/>
      <c r="J632" s="1277"/>
      <c r="K632" s="921"/>
      <c r="L632" s="1277"/>
      <c r="M632" s="1277"/>
      <c r="N632" s="1277"/>
      <c r="O632" s="1277"/>
      <c r="P632" s="919"/>
      <c r="Q632" s="919"/>
      <c r="R632" s="1277"/>
      <c r="S632" s="1277"/>
      <c r="T632" s="1277"/>
      <c r="U632" s="1277"/>
      <c r="V632" s="1277"/>
      <c r="W632" s="1277"/>
      <c r="X632" s="1277"/>
    </row>
    <row r="633" spans="7:24">
      <c r="G633" s="921"/>
      <c r="H633" s="1277"/>
      <c r="I633" s="921"/>
      <c r="J633" s="1277"/>
      <c r="K633" s="921"/>
      <c r="L633" s="1277"/>
      <c r="M633" s="1277"/>
      <c r="N633" s="1277"/>
      <c r="O633" s="1277"/>
      <c r="P633" s="919"/>
      <c r="Q633" s="919"/>
      <c r="R633" s="1277"/>
      <c r="S633" s="1277"/>
      <c r="T633" s="1277"/>
      <c r="U633" s="1277"/>
      <c r="V633" s="1277"/>
      <c r="W633" s="1277"/>
      <c r="X633" s="1277"/>
    </row>
    <row r="634" spans="7:24">
      <c r="G634" s="921"/>
      <c r="H634" s="1277"/>
      <c r="I634" s="921"/>
      <c r="J634" s="1277"/>
      <c r="K634" s="921"/>
      <c r="L634" s="1277"/>
      <c r="M634" s="1277"/>
      <c r="N634" s="1277"/>
      <c r="O634" s="1277"/>
      <c r="P634" s="919"/>
      <c r="Q634" s="919"/>
      <c r="R634" s="1277"/>
      <c r="S634" s="1277"/>
      <c r="T634" s="1277"/>
      <c r="U634" s="1277"/>
      <c r="V634" s="1277"/>
      <c r="W634" s="1277"/>
      <c r="X634" s="1277"/>
    </row>
    <row r="635" spans="7:24">
      <c r="G635" s="921"/>
      <c r="H635" s="1277"/>
      <c r="I635" s="921"/>
      <c r="J635" s="1277"/>
      <c r="K635" s="921"/>
      <c r="L635" s="1277"/>
      <c r="M635" s="1277"/>
      <c r="N635" s="1277"/>
      <c r="O635" s="1277"/>
      <c r="P635" s="919"/>
      <c r="Q635" s="919"/>
      <c r="R635" s="1277"/>
      <c r="S635" s="1277"/>
      <c r="T635" s="1277"/>
      <c r="U635" s="1277"/>
      <c r="V635" s="1277"/>
      <c r="W635" s="1277"/>
      <c r="X635" s="1277"/>
    </row>
    <row r="636" spans="7:24">
      <c r="G636" s="921"/>
      <c r="H636" s="1277"/>
      <c r="I636" s="921"/>
      <c r="J636" s="1277"/>
      <c r="K636" s="921"/>
      <c r="L636" s="1277"/>
      <c r="M636" s="1277"/>
      <c r="N636" s="1277"/>
      <c r="O636" s="1277"/>
      <c r="P636" s="919"/>
      <c r="Q636" s="919"/>
      <c r="R636" s="1277"/>
      <c r="S636" s="1277"/>
      <c r="T636" s="1277"/>
      <c r="U636" s="1277"/>
      <c r="V636" s="1277"/>
      <c r="W636" s="1277"/>
      <c r="X636" s="1277"/>
    </row>
    <row r="637" spans="7:24">
      <c r="G637" s="921"/>
      <c r="H637" s="1277"/>
      <c r="I637" s="921"/>
      <c r="J637" s="1277"/>
      <c r="K637" s="921"/>
      <c r="L637" s="1277"/>
      <c r="M637" s="1277"/>
      <c r="N637" s="1277"/>
      <c r="O637" s="1277"/>
      <c r="P637" s="919"/>
      <c r="Q637" s="919"/>
      <c r="R637" s="1277"/>
      <c r="S637" s="1277"/>
      <c r="T637" s="1277"/>
      <c r="U637" s="1277"/>
      <c r="V637" s="1277"/>
      <c r="W637" s="1277"/>
      <c r="X637" s="1277"/>
    </row>
    <row r="638" spans="7:24">
      <c r="G638" s="921"/>
      <c r="H638" s="1277"/>
      <c r="I638" s="921"/>
      <c r="J638" s="1277"/>
      <c r="K638" s="921"/>
      <c r="L638" s="1277"/>
      <c r="M638" s="1277"/>
      <c r="N638" s="1277"/>
      <c r="O638" s="1277"/>
      <c r="P638" s="919"/>
      <c r="Q638" s="919"/>
      <c r="R638" s="1277"/>
      <c r="S638" s="1277"/>
      <c r="T638" s="1277"/>
      <c r="U638" s="1277"/>
      <c r="V638" s="1277"/>
      <c r="W638" s="1277"/>
      <c r="X638" s="1277"/>
    </row>
    <row r="639" spans="7:24">
      <c r="G639" s="921"/>
      <c r="H639" s="1277"/>
      <c r="I639" s="921"/>
      <c r="J639" s="1277"/>
      <c r="K639" s="921"/>
      <c r="L639" s="1277"/>
      <c r="M639" s="1277"/>
      <c r="N639" s="1277"/>
      <c r="O639" s="1277"/>
      <c r="P639" s="919"/>
      <c r="Q639" s="919"/>
      <c r="R639" s="1277"/>
      <c r="S639" s="1277"/>
      <c r="T639" s="1277"/>
      <c r="U639" s="1277"/>
      <c r="V639" s="1277"/>
      <c r="W639" s="1277"/>
      <c r="X639" s="1277"/>
    </row>
    <row r="640" spans="7:24">
      <c r="G640" s="921"/>
      <c r="H640" s="1277"/>
      <c r="I640" s="921"/>
      <c r="J640" s="1277"/>
      <c r="K640" s="921"/>
      <c r="L640" s="1277"/>
      <c r="M640" s="1277"/>
      <c r="N640" s="1277"/>
      <c r="O640" s="1277"/>
      <c r="P640" s="919"/>
      <c r="Q640" s="919"/>
      <c r="R640" s="1277"/>
      <c r="S640" s="1277"/>
      <c r="T640" s="1277"/>
      <c r="U640" s="1277"/>
      <c r="V640" s="1277"/>
      <c r="W640" s="1277"/>
      <c r="X640" s="1277"/>
    </row>
    <row r="641" spans="7:24">
      <c r="G641" s="921"/>
      <c r="H641" s="1277"/>
      <c r="I641" s="921"/>
      <c r="J641" s="1277"/>
      <c r="K641" s="921"/>
      <c r="L641" s="1277"/>
      <c r="M641" s="1277"/>
      <c r="N641" s="1277"/>
      <c r="O641" s="1277"/>
      <c r="P641" s="919"/>
      <c r="Q641" s="919"/>
      <c r="R641" s="1277"/>
      <c r="S641" s="1277"/>
      <c r="T641" s="1277"/>
      <c r="U641" s="1277"/>
      <c r="V641" s="1277"/>
      <c r="W641" s="1277"/>
      <c r="X641" s="1277"/>
    </row>
    <row r="642" spans="7:24">
      <c r="G642" s="921"/>
      <c r="H642" s="1277"/>
      <c r="I642" s="921"/>
      <c r="J642" s="1277"/>
      <c r="K642" s="921"/>
      <c r="L642" s="1277"/>
      <c r="M642" s="1277"/>
      <c r="N642" s="1277"/>
      <c r="O642" s="1277"/>
      <c r="P642" s="919"/>
      <c r="Q642" s="919"/>
      <c r="R642" s="1277"/>
      <c r="S642" s="1277"/>
      <c r="T642" s="1277"/>
      <c r="U642" s="1277"/>
      <c r="V642" s="1277"/>
      <c r="W642" s="1277"/>
      <c r="X642" s="1277"/>
    </row>
    <row r="643" spans="7:24">
      <c r="G643" s="921"/>
      <c r="H643" s="1277"/>
      <c r="I643" s="921"/>
      <c r="J643" s="1277"/>
      <c r="K643" s="921"/>
      <c r="L643" s="1277"/>
      <c r="M643" s="1277"/>
      <c r="N643" s="1277"/>
      <c r="O643" s="1277"/>
      <c r="P643" s="919"/>
      <c r="Q643" s="919"/>
      <c r="R643" s="1277"/>
      <c r="S643" s="1277"/>
      <c r="T643" s="1277"/>
      <c r="U643" s="1277"/>
      <c r="V643" s="1277"/>
      <c r="W643" s="1277"/>
      <c r="X643" s="1277"/>
    </row>
    <row r="644" spans="7:24">
      <c r="G644" s="921"/>
      <c r="H644" s="1277"/>
      <c r="I644" s="921"/>
      <c r="J644" s="1277"/>
      <c r="K644" s="921"/>
      <c r="L644" s="1277"/>
      <c r="M644" s="1277"/>
      <c r="N644" s="1277"/>
      <c r="O644" s="1277"/>
      <c r="P644" s="919"/>
      <c r="Q644" s="919"/>
      <c r="R644" s="1277"/>
      <c r="S644" s="1277"/>
      <c r="T644" s="1277"/>
      <c r="U644" s="1277"/>
      <c r="V644" s="1277"/>
      <c r="W644" s="1277"/>
      <c r="X644" s="1277"/>
    </row>
    <row r="645" spans="7:24">
      <c r="G645" s="921"/>
      <c r="H645" s="1277"/>
      <c r="I645" s="921"/>
      <c r="J645" s="1277"/>
      <c r="K645" s="921"/>
      <c r="L645" s="1277"/>
      <c r="M645" s="1277"/>
      <c r="N645" s="1277"/>
      <c r="O645" s="1277"/>
      <c r="P645" s="919"/>
      <c r="Q645" s="919"/>
      <c r="R645" s="1277"/>
      <c r="S645" s="1277"/>
      <c r="T645" s="1277"/>
      <c r="U645" s="1277"/>
      <c r="V645" s="1277"/>
      <c r="W645" s="1277"/>
      <c r="X645" s="1277"/>
    </row>
    <row r="646" spans="7:24">
      <c r="G646" s="921"/>
      <c r="H646" s="1277"/>
      <c r="I646" s="921"/>
      <c r="J646" s="1277"/>
      <c r="K646" s="921"/>
      <c r="L646" s="1277"/>
      <c r="M646" s="1277"/>
      <c r="N646" s="1277"/>
      <c r="O646" s="1277"/>
      <c r="P646" s="919"/>
      <c r="Q646" s="919"/>
      <c r="R646" s="1277"/>
      <c r="S646" s="1277"/>
      <c r="T646" s="1277"/>
      <c r="U646" s="1277"/>
      <c r="V646" s="1277"/>
      <c r="W646" s="1277"/>
      <c r="X646" s="1277"/>
    </row>
    <row r="647" spans="7:24">
      <c r="G647" s="921"/>
      <c r="H647" s="1277"/>
      <c r="I647" s="921"/>
      <c r="J647" s="1277"/>
      <c r="K647" s="921"/>
      <c r="L647" s="1277"/>
      <c r="M647" s="1277"/>
      <c r="N647" s="1277"/>
      <c r="O647" s="1277"/>
      <c r="P647" s="919"/>
      <c r="Q647" s="919"/>
      <c r="R647" s="1277"/>
      <c r="S647" s="1277"/>
      <c r="T647" s="1277"/>
      <c r="U647" s="1277"/>
      <c r="V647" s="1277"/>
      <c r="W647" s="1277"/>
      <c r="X647" s="1277"/>
    </row>
    <row r="648" spans="7:24">
      <c r="G648" s="921"/>
      <c r="H648" s="1277"/>
      <c r="I648" s="921"/>
      <c r="J648" s="1277"/>
      <c r="K648" s="921"/>
      <c r="L648" s="1277"/>
      <c r="M648" s="1277"/>
      <c r="N648" s="1277"/>
      <c r="O648" s="1277"/>
      <c r="P648" s="919"/>
      <c r="Q648" s="919"/>
      <c r="R648" s="1277"/>
      <c r="S648" s="1277"/>
      <c r="T648" s="1277"/>
      <c r="U648" s="1277"/>
      <c r="V648" s="1277"/>
      <c r="W648" s="1277"/>
      <c r="X648" s="1277"/>
    </row>
    <row r="649" spans="7:24">
      <c r="G649" s="921"/>
      <c r="H649" s="1277"/>
      <c r="I649" s="921"/>
      <c r="J649" s="1277"/>
      <c r="K649" s="921"/>
      <c r="L649" s="1277"/>
      <c r="M649" s="1277"/>
      <c r="N649" s="1277"/>
      <c r="O649" s="1277"/>
      <c r="P649" s="919"/>
      <c r="Q649" s="919"/>
      <c r="R649" s="1277"/>
      <c r="S649" s="1277"/>
      <c r="T649" s="1277"/>
      <c r="U649" s="1277"/>
      <c r="V649" s="1277"/>
      <c r="W649" s="1277"/>
      <c r="X649" s="1277"/>
    </row>
    <row r="650" spans="7:24">
      <c r="G650" s="921"/>
      <c r="H650" s="1277"/>
      <c r="I650" s="921"/>
      <c r="J650" s="1277"/>
      <c r="K650" s="921"/>
      <c r="L650" s="1277"/>
      <c r="M650" s="1277"/>
      <c r="N650" s="1277"/>
      <c r="O650" s="1277"/>
      <c r="P650" s="919"/>
      <c r="Q650" s="919"/>
      <c r="R650" s="1277"/>
      <c r="S650" s="1277"/>
      <c r="T650" s="1277"/>
      <c r="U650" s="1277"/>
      <c r="V650" s="1277"/>
      <c r="W650" s="1277"/>
      <c r="X650" s="1277"/>
    </row>
    <row r="651" spans="7:24">
      <c r="G651" s="921"/>
      <c r="H651" s="1277"/>
      <c r="I651" s="921"/>
      <c r="J651" s="1277"/>
      <c r="K651" s="921"/>
      <c r="L651" s="1277"/>
      <c r="M651" s="1277"/>
      <c r="N651" s="1277"/>
      <c r="O651" s="1277"/>
      <c r="P651" s="919"/>
      <c r="Q651" s="919"/>
      <c r="R651" s="1277"/>
      <c r="S651" s="1277"/>
      <c r="T651" s="1277"/>
      <c r="U651" s="1277"/>
      <c r="V651" s="1277"/>
      <c r="W651" s="1277"/>
      <c r="X651" s="1277"/>
    </row>
    <row r="652" spans="7:24">
      <c r="G652" s="921"/>
      <c r="H652" s="1277"/>
      <c r="I652" s="921"/>
      <c r="J652" s="1277"/>
      <c r="K652" s="921"/>
      <c r="L652" s="1277"/>
      <c r="M652" s="1277"/>
      <c r="N652" s="1277"/>
      <c r="O652" s="1277"/>
      <c r="P652" s="919"/>
      <c r="Q652" s="919"/>
      <c r="R652" s="1277"/>
      <c r="S652" s="1277"/>
      <c r="T652" s="1277"/>
      <c r="U652" s="1277"/>
      <c r="V652" s="1277"/>
      <c r="W652" s="1277"/>
      <c r="X652" s="1277"/>
    </row>
    <row r="653" spans="7:24">
      <c r="G653" s="921"/>
      <c r="H653" s="1277"/>
      <c r="I653" s="921"/>
      <c r="J653" s="1277"/>
      <c r="K653" s="921"/>
      <c r="L653" s="1277"/>
      <c r="M653" s="1277"/>
      <c r="N653" s="1277"/>
      <c r="O653" s="1277"/>
      <c r="P653" s="919"/>
      <c r="Q653" s="919"/>
      <c r="R653" s="1277"/>
      <c r="S653" s="1277"/>
      <c r="T653" s="1277"/>
      <c r="U653" s="1277"/>
      <c r="V653" s="1277"/>
      <c r="W653" s="1277"/>
      <c r="X653" s="1277"/>
    </row>
    <row r="654" spans="7:24">
      <c r="G654" s="921"/>
      <c r="H654" s="1277"/>
      <c r="I654" s="921"/>
      <c r="J654" s="1277"/>
      <c r="K654" s="921"/>
      <c r="L654" s="1277"/>
      <c r="M654" s="1277"/>
      <c r="N654" s="1277"/>
      <c r="O654" s="1277"/>
      <c r="P654" s="919"/>
      <c r="Q654" s="919"/>
      <c r="R654" s="1277"/>
      <c r="S654" s="1277"/>
      <c r="T654" s="1277"/>
      <c r="U654" s="1277"/>
      <c r="V654" s="1277"/>
      <c r="W654" s="1277"/>
      <c r="X654" s="1277"/>
    </row>
    <row r="655" spans="7:24">
      <c r="G655" s="921"/>
      <c r="H655" s="1277"/>
      <c r="I655" s="921"/>
      <c r="J655" s="1277"/>
      <c r="K655" s="921"/>
      <c r="L655" s="1277"/>
      <c r="M655" s="1277"/>
      <c r="N655" s="1277"/>
      <c r="O655" s="1277"/>
      <c r="P655" s="919"/>
      <c r="Q655" s="919"/>
      <c r="R655" s="1277"/>
      <c r="S655" s="1277"/>
      <c r="T655" s="1277"/>
      <c r="U655" s="1277"/>
      <c r="V655" s="1277"/>
      <c r="W655" s="1277"/>
      <c r="X655" s="1277"/>
    </row>
    <row r="656" spans="7:24">
      <c r="G656" s="921"/>
      <c r="H656" s="1277"/>
      <c r="I656" s="921"/>
      <c r="J656" s="1277"/>
      <c r="K656" s="921"/>
      <c r="L656" s="1277"/>
      <c r="M656" s="1277"/>
      <c r="N656" s="1277"/>
      <c r="O656" s="1277"/>
      <c r="P656" s="919"/>
      <c r="Q656" s="919"/>
      <c r="R656" s="1277"/>
      <c r="S656" s="1277"/>
      <c r="T656" s="1277"/>
      <c r="U656" s="1277"/>
      <c r="V656" s="1277"/>
      <c r="W656" s="1277"/>
      <c r="X656" s="1277"/>
    </row>
    <row r="657" spans="7:24">
      <c r="G657" s="921"/>
      <c r="H657" s="1277"/>
      <c r="I657" s="921"/>
      <c r="J657" s="1277"/>
      <c r="K657" s="921"/>
      <c r="L657" s="1277"/>
      <c r="M657" s="1277"/>
      <c r="N657" s="1277"/>
      <c r="O657" s="1277"/>
      <c r="P657" s="919"/>
      <c r="Q657" s="919"/>
      <c r="R657" s="1277"/>
      <c r="S657" s="1277"/>
      <c r="T657" s="1277"/>
      <c r="U657" s="1277"/>
      <c r="V657" s="1277"/>
      <c r="W657" s="1277"/>
      <c r="X657" s="1277"/>
    </row>
    <row r="658" spans="7:24">
      <c r="G658" s="921"/>
      <c r="H658" s="1277"/>
      <c r="I658" s="921"/>
      <c r="J658" s="1277"/>
      <c r="K658" s="921"/>
      <c r="L658" s="1277"/>
      <c r="M658" s="1277"/>
      <c r="N658" s="1277"/>
      <c r="O658" s="1277"/>
      <c r="P658" s="919"/>
      <c r="Q658" s="919"/>
      <c r="R658" s="1277"/>
      <c r="S658" s="1277"/>
      <c r="T658" s="1277"/>
      <c r="U658" s="1277"/>
      <c r="V658" s="1277"/>
      <c r="W658" s="1277"/>
      <c r="X658" s="1277"/>
    </row>
    <row r="659" spans="7:24">
      <c r="G659" s="921"/>
      <c r="H659" s="1277"/>
      <c r="I659" s="921"/>
      <c r="J659" s="1277"/>
      <c r="K659" s="921"/>
      <c r="L659" s="1277"/>
      <c r="M659" s="1277"/>
      <c r="N659" s="1277"/>
      <c r="O659" s="1277"/>
      <c r="P659" s="919"/>
      <c r="Q659" s="919"/>
      <c r="R659" s="1277"/>
      <c r="S659" s="1277"/>
      <c r="T659" s="1277"/>
      <c r="U659" s="1277"/>
      <c r="V659" s="1277"/>
      <c r="W659" s="1277"/>
      <c r="X659" s="1277"/>
    </row>
    <row r="660" spans="7:24">
      <c r="G660" s="921"/>
      <c r="H660" s="1277"/>
      <c r="I660" s="921"/>
      <c r="J660" s="1277"/>
      <c r="K660" s="921"/>
      <c r="L660" s="1277"/>
      <c r="M660" s="1277"/>
      <c r="N660" s="1277"/>
      <c r="O660" s="1277"/>
      <c r="P660" s="919"/>
      <c r="Q660" s="919"/>
      <c r="R660" s="1277"/>
      <c r="S660" s="1277"/>
      <c r="T660" s="1277"/>
      <c r="U660" s="1277"/>
      <c r="V660" s="1277"/>
      <c r="W660" s="1277"/>
      <c r="X660" s="1277"/>
    </row>
    <row r="661" spans="7:24">
      <c r="G661" s="921"/>
      <c r="H661" s="1277"/>
      <c r="I661" s="921"/>
      <c r="J661" s="1277"/>
      <c r="K661" s="921"/>
      <c r="L661" s="1277"/>
      <c r="M661" s="1277"/>
      <c r="N661" s="1277"/>
      <c r="O661" s="1277"/>
      <c r="P661" s="919"/>
      <c r="Q661" s="919"/>
      <c r="R661" s="1277"/>
      <c r="S661" s="1277"/>
      <c r="T661" s="1277"/>
      <c r="U661" s="1277"/>
      <c r="V661" s="1277"/>
      <c r="W661" s="1277"/>
      <c r="X661" s="1277"/>
    </row>
    <row r="662" spans="7:24">
      <c r="G662" s="921"/>
      <c r="H662" s="1277"/>
      <c r="I662" s="921"/>
      <c r="J662" s="1277"/>
      <c r="K662" s="921"/>
      <c r="L662" s="1277"/>
      <c r="M662" s="1277"/>
      <c r="N662" s="1277"/>
      <c r="O662" s="1277"/>
      <c r="P662" s="919"/>
      <c r="Q662" s="919"/>
      <c r="R662" s="1277"/>
      <c r="S662" s="1277"/>
      <c r="T662" s="1277"/>
      <c r="U662" s="1277"/>
      <c r="V662" s="1277"/>
      <c r="W662" s="1277"/>
      <c r="X662" s="1277"/>
    </row>
    <row r="663" spans="7:24">
      <c r="G663" s="921"/>
      <c r="H663" s="1277"/>
      <c r="I663" s="921"/>
      <c r="J663" s="1277"/>
      <c r="K663" s="921"/>
      <c r="L663" s="1277"/>
      <c r="M663" s="1277"/>
      <c r="N663" s="1277"/>
      <c r="O663" s="1277"/>
      <c r="P663" s="919"/>
      <c r="Q663" s="919"/>
      <c r="R663" s="1277"/>
      <c r="S663" s="1277"/>
      <c r="T663" s="1277"/>
      <c r="U663" s="1277"/>
      <c r="V663" s="1277"/>
      <c r="W663" s="1277"/>
      <c r="X663" s="1277"/>
    </row>
    <row r="664" spans="7:24">
      <c r="G664" s="921"/>
      <c r="H664" s="1277"/>
      <c r="I664" s="921"/>
      <c r="J664" s="1277"/>
      <c r="K664" s="921"/>
      <c r="L664" s="1277"/>
      <c r="M664" s="1277"/>
      <c r="N664" s="1277"/>
      <c r="O664" s="1277"/>
      <c r="P664" s="919"/>
      <c r="Q664" s="919"/>
      <c r="R664" s="1277"/>
      <c r="S664" s="1277"/>
      <c r="T664" s="1277"/>
      <c r="U664" s="1277"/>
      <c r="V664" s="1277"/>
      <c r="W664" s="1277"/>
      <c r="X664" s="1277"/>
    </row>
    <row r="665" spans="7:24">
      <c r="G665" s="921"/>
      <c r="H665" s="1277"/>
      <c r="I665" s="921"/>
      <c r="J665" s="1277"/>
      <c r="K665" s="921"/>
      <c r="L665" s="1277"/>
      <c r="M665" s="1277"/>
      <c r="N665" s="1277"/>
      <c r="O665" s="1277"/>
      <c r="P665" s="919"/>
      <c r="Q665" s="919"/>
      <c r="R665" s="1277"/>
      <c r="S665" s="1277"/>
      <c r="T665" s="1277"/>
      <c r="U665" s="1277"/>
      <c r="V665" s="1277"/>
      <c r="W665" s="1277"/>
      <c r="X665" s="1277"/>
    </row>
    <row r="666" spans="7:24">
      <c r="G666" s="921"/>
      <c r="H666" s="1277"/>
      <c r="I666" s="921"/>
      <c r="J666" s="1277"/>
      <c r="K666" s="921"/>
      <c r="L666" s="1277"/>
      <c r="M666" s="1277"/>
      <c r="N666" s="1277"/>
      <c r="O666" s="1277"/>
      <c r="P666" s="919"/>
      <c r="Q666" s="919"/>
      <c r="R666" s="1277"/>
      <c r="S666" s="1277"/>
      <c r="T666" s="1277"/>
      <c r="U666" s="1277"/>
      <c r="V666" s="1277"/>
      <c r="W666" s="1277"/>
      <c r="X666" s="1277"/>
    </row>
    <row r="667" spans="7:24">
      <c r="G667" s="921"/>
      <c r="H667" s="1277"/>
      <c r="I667" s="921"/>
      <c r="J667" s="1277"/>
      <c r="K667" s="921"/>
      <c r="L667" s="1277"/>
      <c r="M667" s="1277"/>
      <c r="N667" s="1277"/>
      <c r="O667" s="1277"/>
      <c r="P667" s="919"/>
      <c r="Q667" s="919"/>
      <c r="R667" s="1277"/>
      <c r="S667" s="1277"/>
      <c r="T667" s="1277"/>
      <c r="U667" s="1277"/>
      <c r="V667" s="1277"/>
      <c r="W667" s="1277"/>
      <c r="X667" s="1277"/>
    </row>
    <row r="668" spans="7:24">
      <c r="G668" s="921"/>
      <c r="H668" s="1277"/>
      <c r="I668" s="921"/>
      <c r="J668" s="1277"/>
      <c r="K668" s="921"/>
      <c r="L668" s="1277"/>
      <c r="M668" s="1277"/>
      <c r="N668" s="1277"/>
      <c r="O668" s="1277"/>
      <c r="P668" s="919"/>
      <c r="Q668" s="919"/>
      <c r="R668" s="1277"/>
      <c r="S668" s="1277"/>
      <c r="T668" s="1277"/>
      <c r="U668" s="1277"/>
      <c r="V668" s="1277"/>
      <c r="W668" s="1277"/>
      <c r="X668" s="1277"/>
    </row>
    <row r="669" spans="7:24">
      <c r="G669" s="921"/>
      <c r="H669" s="1277"/>
      <c r="I669" s="921"/>
      <c r="J669" s="1277"/>
      <c r="K669" s="921"/>
      <c r="L669" s="1277"/>
      <c r="M669" s="1277"/>
      <c r="N669" s="1277"/>
      <c r="O669" s="1277"/>
      <c r="P669" s="919"/>
      <c r="Q669" s="919"/>
      <c r="R669" s="1277"/>
      <c r="S669" s="1277"/>
      <c r="T669" s="1277"/>
      <c r="U669" s="1277"/>
      <c r="V669" s="1277"/>
      <c r="W669" s="1277"/>
      <c r="X669" s="1277"/>
    </row>
    <row r="670" spans="7:24">
      <c r="G670" s="921"/>
      <c r="H670" s="1277"/>
      <c r="I670" s="921"/>
      <c r="J670" s="1277"/>
      <c r="K670" s="921"/>
      <c r="L670" s="1277"/>
      <c r="M670" s="1277"/>
      <c r="N670" s="1277"/>
      <c r="O670" s="1277"/>
      <c r="P670" s="919"/>
      <c r="Q670" s="919"/>
      <c r="R670" s="1277"/>
      <c r="S670" s="1277"/>
      <c r="T670" s="1277"/>
      <c r="U670" s="1277"/>
      <c r="V670" s="1277"/>
      <c r="W670" s="1277"/>
      <c r="X670" s="1277"/>
    </row>
    <row r="671" spans="7:24">
      <c r="G671" s="921"/>
      <c r="H671" s="1277"/>
      <c r="I671" s="921"/>
      <c r="J671" s="1277"/>
      <c r="K671" s="921"/>
      <c r="L671" s="1277"/>
      <c r="M671" s="1277"/>
      <c r="N671" s="1277"/>
      <c r="O671" s="1277"/>
      <c r="P671" s="919"/>
      <c r="Q671" s="919"/>
      <c r="R671" s="1277"/>
      <c r="S671" s="1277"/>
      <c r="T671" s="1277"/>
      <c r="U671" s="1277"/>
      <c r="V671" s="1277"/>
      <c r="W671" s="1277"/>
      <c r="X671" s="1277"/>
    </row>
    <row r="672" spans="7:24">
      <c r="G672" s="921"/>
      <c r="H672" s="1277"/>
      <c r="I672" s="921"/>
      <c r="J672" s="1277"/>
      <c r="K672" s="921"/>
      <c r="L672" s="1277"/>
      <c r="M672" s="1277"/>
      <c r="N672" s="1277"/>
      <c r="O672" s="1277"/>
      <c r="P672" s="919"/>
      <c r="Q672" s="919"/>
      <c r="R672" s="1277"/>
      <c r="S672" s="1277"/>
      <c r="T672" s="1277"/>
      <c r="U672" s="1277"/>
      <c r="V672" s="1277"/>
      <c r="W672" s="1277"/>
      <c r="X672" s="1277"/>
    </row>
    <row r="673" spans="7:24">
      <c r="G673" s="921"/>
      <c r="H673" s="1277"/>
      <c r="I673" s="921"/>
      <c r="J673" s="1277"/>
      <c r="K673" s="921"/>
      <c r="L673" s="1277"/>
      <c r="M673" s="1277"/>
      <c r="N673" s="1277"/>
      <c r="O673" s="1277"/>
      <c r="P673" s="919"/>
      <c r="Q673" s="919"/>
      <c r="R673" s="1277"/>
      <c r="S673" s="1277"/>
      <c r="T673" s="1277"/>
      <c r="U673" s="1277"/>
      <c r="V673" s="1277"/>
      <c r="W673" s="1277"/>
      <c r="X673" s="1277"/>
    </row>
    <row r="674" spans="7:24">
      <c r="G674" s="921"/>
      <c r="H674" s="1277"/>
      <c r="I674" s="921"/>
      <c r="J674" s="1277"/>
      <c r="K674" s="921"/>
      <c r="L674" s="1277"/>
      <c r="M674" s="1277"/>
      <c r="N674" s="1277"/>
      <c r="O674" s="1277"/>
      <c r="P674" s="919"/>
      <c r="Q674" s="919"/>
      <c r="R674" s="1277"/>
      <c r="S674" s="1277"/>
      <c r="T674" s="1277"/>
      <c r="U674" s="1277"/>
      <c r="V674" s="1277"/>
      <c r="W674" s="1277"/>
      <c r="X674" s="1277"/>
    </row>
    <row r="675" spans="7:24">
      <c r="G675" s="921"/>
      <c r="H675" s="1277"/>
      <c r="I675" s="921"/>
      <c r="J675" s="1277"/>
      <c r="K675" s="921"/>
      <c r="L675" s="1277"/>
      <c r="M675" s="1277"/>
      <c r="N675" s="1277"/>
      <c r="O675" s="1277"/>
      <c r="P675" s="919"/>
      <c r="Q675" s="919"/>
      <c r="R675" s="1277"/>
      <c r="S675" s="1277"/>
      <c r="T675" s="1277"/>
      <c r="U675" s="1277"/>
      <c r="V675" s="1277"/>
      <c r="W675" s="1277"/>
      <c r="X675" s="1277"/>
    </row>
    <row r="676" spans="7:24">
      <c r="G676" s="921"/>
      <c r="H676" s="1277"/>
      <c r="I676" s="921"/>
      <c r="J676" s="1277"/>
      <c r="K676" s="921"/>
      <c r="L676" s="1277"/>
      <c r="M676" s="1277"/>
      <c r="N676" s="1277"/>
      <c r="O676" s="1277"/>
      <c r="P676" s="919"/>
      <c r="Q676" s="919"/>
      <c r="R676" s="1277"/>
      <c r="S676" s="1277"/>
      <c r="T676" s="1277"/>
      <c r="U676" s="1277"/>
      <c r="V676" s="1277"/>
      <c r="W676" s="1277"/>
      <c r="X676" s="1277"/>
    </row>
    <row r="677" spans="7:24">
      <c r="G677" s="921"/>
      <c r="H677" s="1277"/>
      <c r="I677" s="921"/>
      <c r="J677" s="1277"/>
      <c r="K677" s="921"/>
      <c r="L677" s="1277"/>
      <c r="M677" s="1277"/>
      <c r="N677" s="1277"/>
      <c r="O677" s="1277"/>
      <c r="P677" s="919"/>
      <c r="Q677" s="919"/>
      <c r="R677" s="1277"/>
      <c r="S677" s="1277"/>
      <c r="T677" s="1277"/>
      <c r="U677" s="1277"/>
      <c r="V677" s="1277"/>
      <c r="W677" s="1277"/>
      <c r="X677" s="1277"/>
    </row>
    <row r="678" spans="7:24">
      <c r="G678" s="921"/>
      <c r="H678" s="1277"/>
      <c r="I678" s="921"/>
      <c r="J678" s="1277"/>
      <c r="K678" s="921"/>
      <c r="L678" s="1277"/>
      <c r="M678" s="1277"/>
      <c r="N678" s="1277"/>
      <c r="O678" s="1277"/>
      <c r="P678" s="919"/>
      <c r="Q678" s="919"/>
      <c r="R678" s="1277"/>
      <c r="S678" s="1277"/>
      <c r="T678" s="1277"/>
      <c r="U678" s="1277"/>
      <c r="V678" s="1277"/>
      <c r="W678" s="1277"/>
      <c r="X678" s="1277"/>
    </row>
    <row r="679" spans="7:24">
      <c r="G679" s="921"/>
      <c r="H679" s="1277"/>
      <c r="I679" s="921"/>
      <c r="J679" s="1277"/>
      <c r="K679" s="921"/>
      <c r="L679" s="1277"/>
      <c r="M679" s="1277"/>
      <c r="N679" s="1277"/>
      <c r="O679" s="1277"/>
      <c r="P679" s="919"/>
      <c r="Q679" s="919"/>
      <c r="R679" s="1277"/>
      <c r="S679" s="1277"/>
      <c r="T679" s="1277"/>
      <c r="U679" s="1277"/>
      <c r="V679" s="1277"/>
      <c r="W679" s="1277"/>
      <c r="X679" s="1277"/>
    </row>
    <row r="680" spans="7:24">
      <c r="G680" s="921"/>
      <c r="H680" s="1277"/>
      <c r="I680" s="921"/>
      <c r="J680" s="1277"/>
      <c r="K680" s="921"/>
      <c r="L680" s="1277"/>
      <c r="M680" s="1277"/>
      <c r="N680" s="1277"/>
      <c r="O680" s="1277"/>
      <c r="P680" s="919"/>
      <c r="Q680" s="919"/>
      <c r="R680" s="1277"/>
      <c r="S680" s="1277"/>
      <c r="T680" s="1277"/>
      <c r="U680" s="1277"/>
      <c r="V680" s="1277"/>
      <c r="W680" s="1277"/>
      <c r="X680" s="1277"/>
    </row>
    <row r="681" spans="7:24">
      <c r="G681" s="921"/>
      <c r="H681" s="1277"/>
      <c r="I681" s="921"/>
      <c r="J681" s="1277"/>
      <c r="K681" s="921"/>
      <c r="L681" s="1277"/>
      <c r="M681" s="1277"/>
      <c r="N681" s="1277"/>
      <c r="O681" s="1277"/>
      <c r="P681" s="919"/>
      <c r="Q681" s="919"/>
      <c r="R681" s="1277"/>
      <c r="S681" s="1277"/>
      <c r="T681" s="1277"/>
      <c r="U681" s="1277"/>
      <c r="V681" s="1277"/>
      <c r="W681" s="1277"/>
      <c r="X681" s="1277"/>
    </row>
    <row r="682" spans="7:24">
      <c r="G682" s="921"/>
      <c r="H682" s="1277"/>
      <c r="I682" s="921"/>
      <c r="J682" s="1277"/>
      <c r="K682" s="921"/>
      <c r="L682" s="1277"/>
      <c r="M682" s="1277"/>
      <c r="N682" s="1277"/>
      <c r="O682" s="1277"/>
      <c r="P682" s="919"/>
      <c r="Q682" s="919"/>
      <c r="R682" s="1277"/>
      <c r="S682" s="1277"/>
      <c r="T682" s="1277"/>
      <c r="U682" s="1277"/>
      <c r="V682" s="1277"/>
      <c r="W682" s="1277"/>
      <c r="X682" s="1277"/>
    </row>
    <row r="683" spans="7:24">
      <c r="G683" s="921"/>
      <c r="H683" s="1277"/>
      <c r="I683" s="921"/>
      <c r="J683" s="1277"/>
      <c r="K683" s="921"/>
      <c r="L683" s="1277"/>
      <c r="M683" s="1277"/>
      <c r="N683" s="1277"/>
      <c r="O683" s="1277"/>
      <c r="P683" s="919"/>
      <c r="Q683" s="919"/>
      <c r="R683" s="1277"/>
      <c r="S683" s="1277"/>
      <c r="T683" s="1277"/>
      <c r="U683" s="1277"/>
      <c r="V683" s="1277"/>
      <c r="W683" s="1277"/>
      <c r="X683" s="1277"/>
    </row>
    <row r="684" spans="7:24">
      <c r="G684" s="921"/>
      <c r="H684" s="1277"/>
      <c r="I684" s="921"/>
      <c r="J684" s="1277"/>
      <c r="K684" s="921"/>
      <c r="L684" s="1277"/>
      <c r="M684" s="1277"/>
      <c r="N684" s="1277"/>
      <c r="O684" s="1277"/>
      <c r="P684" s="919"/>
      <c r="Q684" s="919"/>
      <c r="R684" s="1277"/>
      <c r="S684" s="1277"/>
      <c r="T684" s="1277"/>
      <c r="U684" s="1277"/>
      <c r="V684" s="1277"/>
      <c r="W684" s="1277"/>
      <c r="X684" s="1277"/>
    </row>
    <row r="685" spans="7:24">
      <c r="G685" s="921"/>
      <c r="H685" s="1277"/>
      <c r="I685" s="921"/>
      <c r="J685" s="1277"/>
      <c r="K685" s="921"/>
      <c r="L685" s="1277"/>
      <c r="M685" s="1277"/>
      <c r="N685" s="1277"/>
      <c r="O685" s="1277"/>
      <c r="P685" s="919"/>
      <c r="Q685" s="919"/>
      <c r="R685" s="1277"/>
      <c r="S685" s="1277"/>
      <c r="T685" s="1277"/>
      <c r="U685" s="1277"/>
      <c r="V685" s="1277"/>
      <c r="W685" s="1277"/>
      <c r="X685" s="1277"/>
    </row>
    <row r="686" spans="7:24">
      <c r="G686" s="921"/>
      <c r="H686" s="1277"/>
      <c r="I686" s="921"/>
      <c r="J686" s="1277"/>
      <c r="K686" s="921"/>
      <c r="L686" s="1277"/>
      <c r="M686" s="1277"/>
      <c r="N686" s="1277"/>
      <c r="O686" s="1277"/>
      <c r="P686" s="919"/>
      <c r="Q686" s="919"/>
      <c r="R686" s="1277"/>
      <c r="S686" s="1277"/>
      <c r="T686" s="1277"/>
      <c r="U686" s="1277"/>
      <c r="V686" s="1277"/>
      <c r="W686" s="1277"/>
      <c r="X686" s="1277"/>
    </row>
    <row r="687" spans="7:24">
      <c r="G687" s="921"/>
      <c r="H687" s="1277"/>
      <c r="I687" s="921"/>
      <c r="J687" s="1277"/>
      <c r="K687" s="921"/>
      <c r="L687" s="1277"/>
      <c r="M687" s="1277"/>
      <c r="N687" s="1277"/>
      <c r="O687" s="1277"/>
      <c r="P687" s="919"/>
      <c r="Q687" s="919"/>
      <c r="R687" s="1277"/>
      <c r="S687" s="1277"/>
      <c r="T687" s="1277"/>
      <c r="U687" s="1277"/>
      <c r="V687" s="1277"/>
      <c r="W687" s="1277"/>
      <c r="X687" s="1277"/>
    </row>
    <row r="688" spans="7:24">
      <c r="G688" s="921"/>
      <c r="H688" s="1277"/>
      <c r="I688" s="921"/>
      <c r="J688" s="1277"/>
      <c r="K688" s="921"/>
      <c r="L688" s="1277"/>
      <c r="M688" s="1277"/>
      <c r="N688" s="1277"/>
      <c r="O688" s="1277"/>
      <c r="P688" s="919"/>
      <c r="Q688" s="919"/>
      <c r="R688" s="1277"/>
      <c r="S688" s="1277"/>
      <c r="T688" s="1277"/>
      <c r="U688" s="1277"/>
      <c r="V688" s="1277"/>
      <c r="W688" s="1277"/>
      <c r="X688" s="1277"/>
    </row>
    <row r="689" spans="7:24">
      <c r="G689" s="921"/>
      <c r="H689" s="1277"/>
      <c r="I689" s="921"/>
      <c r="J689" s="1277"/>
      <c r="K689" s="921"/>
      <c r="L689" s="1277"/>
      <c r="M689" s="1277"/>
      <c r="N689" s="1277"/>
      <c r="O689" s="1277"/>
      <c r="P689" s="919"/>
      <c r="Q689" s="919"/>
      <c r="R689" s="1277"/>
      <c r="S689" s="1277"/>
      <c r="T689" s="1277"/>
      <c r="U689" s="1277"/>
      <c r="V689" s="1277"/>
      <c r="W689" s="1277"/>
      <c r="X689" s="1277"/>
    </row>
    <row r="690" spans="7:24">
      <c r="G690" s="921"/>
      <c r="H690" s="1277"/>
      <c r="I690" s="921"/>
      <c r="J690" s="1277"/>
      <c r="K690" s="921"/>
      <c r="L690" s="1277"/>
      <c r="M690" s="1277"/>
      <c r="N690" s="1277"/>
      <c r="O690" s="1277"/>
      <c r="P690" s="919"/>
      <c r="Q690" s="919"/>
      <c r="R690" s="1277"/>
      <c r="S690" s="1277"/>
      <c r="T690" s="1277"/>
      <c r="U690" s="1277"/>
      <c r="V690" s="1277"/>
      <c r="W690" s="1277"/>
      <c r="X690" s="1277"/>
    </row>
    <row r="691" spans="7:24">
      <c r="G691" s="921"/>
      <c r="H691" s="1277"/>
      <c r="I691" s="921"/>
      <c r="J691" s="1277"/>
      <c r="K691" s="921"/>
      <c r="L691" s="1277"/>
      <c r="M691" s="1277"/>
      <c r="N691" s="1277"/>
      <c r="O691" s="1277"/>
      <c r="P691" s="919"/>
      <c r="Q691" s="919"/>
      <c r="R691" s="1277"/>
      <c r="S691" s="1277"/>
      <c r="T691" s="1277"/>
      <c r="U691" s="1277"/>
      <c r="V691" s="1277"/>
      <c r="W691" s="1277"/>
      <c r="X691" s="1277"/>
    </row>
    <row r="692" spans="7:24">
      <c r="G692" s="921"/>
      <c r="H692" s="1277"/>
      <c r="I692" s="921"/>
      <c r="J692" s="1277"/>
      <c r="K692" s="921"/>
      <c r="L692" s="1277"/>
      <c r="M692" s="1277"/>
      <c r="N692" s="1277"/>
      <c r="O692" s="1277"/>
      <c r="P692" s="919"/>
      <c r="Q692" s="919"/>
      <c r="R692" s="1277"/>
      <c r="S692" s="1277"/>
      <c r="T692" s="1277"/>
      <c r="U692" s="1277"/>
      <c r="V692" s="1277"/>
      <c r="W692" s="1277"/>
      <c r="X692" s="1277"/>
    </row>
    <row r="693" spans="7:24">
      <c r="G693" s="921"/>
      <c r="H693" s="1277"/>
      <c r="I693" s="921"/>
      <c r="J693" s="1277"/>
      <c r="K693" s="921"/>
      <c r="L693" s="1277"/>
      <c r="M693" s="1277"/>
      <c r="N693" s="1277"/>
      <c r="O693" s="1277"/>
      <c r="P693" s="919"/>
      <c r="Q693" s="919"/>
      <c r="R693" s="1277"/>
      <c r="S693" s="1277"/>
      <c r="T693" s="1277"/>
      <c r="U693" s="1277"/>
      <c r="V693" s="1277"/>
      <c r="W693" s="1277"/>
      <c r="X693" s="1277"/>
    </row>
    <row r="694" spans="7:24">
      <c r="G694" s="921"/>
      <c r="H694" s="1277"/>
      <c r="I694" s="921"/>
      <c r="J694" s="1277"/>
      <c r="K694" s="921"/>
      <c r="L694" s="1277"/>
      <c r="M694" s="1277"/>
      <c r="N694" s="1277"/>
      <c r="O694" s="1277"/>
      <c r="P694" s="919"/>
      <c r="Q694" s="919"/>
      <c r="R694" s="1277"/>
      <c r="S694" s="1277"/>
      <c r="T694" s="1277"/>
      <c r="U694" s="1277"/>
      <c r="V694" s="1277"/>
      <c r="W694" s="1277"/>
      <c r="X694" s="1277"/>
    </row>
    <row r="695" spans="7:24">
      <c r="G695" s="921"/>
      <c r="H695" s="1277"/>
      <c r="I695" s="921"/>
      <c r="J695" s="1277"/>
      <c r="K695" s="921"/>
      <c r="L695" s="1277"/>
      <c r="M695" s="1277"/>
      <c r="N695" s="1277"/>
      <c r="O695" s="1277"/>
      <c r="P695" s="919"/>
      <c r="Q695" s="919"/>
      <c r="R695" s="1277"/>
      <c r="S695" s="1277"/>
      <c r="T695" s="1277"/>
      <c r="U695" s="1277"/>
      <c r="V695" s="1277"/>
      <c r="W695" s="1277"/>
      <c r="X695" s="1277"/>
    </row>
    <row r="696" spans="7:24">
      <c r="G696" s="921"/>
      <c r="H696" s="1277"/>
      <c r="I696" s="921"/>
      <c r="J696" s="1277"/>
      <c r="K696" s="921"/>
      <c r="L696" s="1277"/>
      <c r="M696" s="1277"/>
      <c r="N696" s="1277"/>
      <c r="O696" s="1277"/>
      <c r="P696" s="919"/>
      <c r="Q696" s="919"/>
      <c r="R696" s="1277"/>
      <c r="S696" s="1277"/>
      <c r="T696" s="1277"/>
      <c r="U696" s="1277"/>
      <c r="V696" s="1277"/>
      <c r="W696" s="1277"/>
      <c r="X696" s="1277"/>
    </row>
    <row r="697" spans="7:24">
      <c r="G697" s="921"/>
      <c r="H697" s="1277"/>
      <c r="I697" s="921"/>
      <c r="J697" s="1277"/>
      <c r="K697" s="921"/>
      <c r="L697" s="1277"/>
      <c r="M697" s="1277"/>
      <c r="N697" s="1277"/>
      <c r="O697" s="1277"/>
      <c r="P697" s="919"/>
      <c r="Q697" s="919"/>
      <c r="R697" s="1277"/>
      <c r="S697" s="1277"/>
      <c r="T697" s="1277"/>
      <c r="U697" s="1277"/>
      <c r="V697" s="1277"/>
      <c r="W697" s="1277"/>
      <c r="X697" s="1277"/>
    </row>
    <row r="698" spans="7:24">
      <c r="G698" s="921"/>
      <c r="H698" s="1277"/>
      <c r="I698" s="921"/>
      <c r="J698" s="1277"/>
      <c r="K698" s="921"/>
      <c r="L698" s="1277"/>
      <c r="M698" s="1277"/>
      <c r="N698" s="1277"/>
      <c r="O698" s="1277"/>
      <c r="P698" s="919"/>
      <c r="Q698" s="919"/>
      <c r="R698" s="1277"/>
      <c r="S698" s="1277"/>
      <c r="T698" s="1277"/>
      <c r="U698" s="1277"/>
      <c r="V698" s="1277"/>
      <c r="W698" s="1277"/>
      <c r="X698" s="1277"/>
    </row>
    <row r="699" spans="7:24">
      <c r="G699" s="921"/>
      <c r="H699" s="1277"/>
      <c r="I699" s="921"/>
      <c r="J699" s="1277"/>
      <c r="K699" s="921"/>
      <c r="L699" s="1277"/>
      <c r="M699" s="1277"/>
      <c r="N699" s="1277"/>
      <c r="O699" s="1277"/>
      <c r="P699" s="919"/>
      <c r="Q699" s="919"/>
      <c r="R699" s="1277"/>
      <c r="S699" s="1277"/>
      <c r="T699" s="1277"/>
      <c r="U699" s="1277"/>
      <c r="V699" s="1277"/>
      <c r="W699" s="1277"/>
      <c r="X699" s="1277"/>
    </row>
    <row r="700" spans="7:24">
      <c r="G700" s="921"/>
      <c r="H700" s="1277"/>
      <c r="I700" s="921"/>
      <c r="J700" s="1277"/>
      <c r="K700" s="921"/>
      <c r="L700" s="1277"/>
      <c r="M700" s="1277"/>
      <c r="N700" s="1277"/>
      <c r="O700" s="1277"/>
      <c r="P700" s="919"/>
      <c r="Q700" s="919"/>
      <c r="R700" s="1277"/>
      <c r="S700" s="1277"/>
      <c r="T700" s="1277"/>
      <c r="U700" s="1277"/>
      <c r="V700" s="1277"/>
      <c r="W700" s="1277"/>
      <c r="X700" s="1277"/>
    </row>
    <row r="701" spans="7:24">
      <c r="G701" s="921"/>
      <c r="H701" s="1277"/>
      <c r="I701" s="921"/>
      <c r="J701" s="1277"/>
      <c r="K701" s="921"/>
      <c r="L701" s="1277"/>
      <c r="M701" s="1277"/>
      <c r="N701" s="1277"/>
      <c r="O701" s="1277"/>
      <c r="P701" s="919"/>
      <c r="Q701" s="919"/>
      <c r="R701" s="1277"/>
      <c r="S701" s="1277"/>
      <c r="T701" s="1277"/>
      <c r="U701" s="1277"/>
      <c r="V701" s="1277"/>
      <c r="W701" s="1277"/>
      <c r="X701" s="1277"/>
    </row>
    <row r="702" spans="7:24">
      <c r="G702" s="921"/>
      <c r="H702" s="1277"/>
      <c r="I702" s="921"/>
      <c r="J702" s="1277"/>
      <c r="K702" s="921"/>
      <c r="L702" s="1277"/>
      <c r="M702" s="1277"/>
      <c r="N702" s="1277"/>
      <c r="O702" s="1277"/>
      <c r="P702" s="919"/>
      <c r="Q702" s="919"/>
      <c r="R702" s="1277"/>
      <c r="S702" s="1277"/>
      <c r="T702" s="1277"/>
      <c r="U702" s="1277"/>
      <c r="V702" s="1277"/>
      <c r="W702" s="1277"/>
      <c r="X702" s="1277"/>
    </row>
    <row r="703" spans="7:24">
      <c r="G703" s="921"/>
      <c r="H703" s="1277"/>
      <c r="I703" s="921"/>
      <c r="J703" s="1277"/>
      <c r="K703" s="921"/>
      <c r="L703" s="1277"/>
      <c r="M703" s="1277"/>
      <c r="N703" s="1277"/>
      <c r="O703" s="1277"/>
      <c r="P703" s="919"/>
      <c r="Q703" s="919"/>
      <c r="R703" s="1277"/>
      <c r="S703" s="1277"/>
      <c r="T703" s="1277"/>
      <c r="U703" s="1277"/>
      <c r="V703" s="1277"/>
      <c r="W703" s="1277"/>
      <c r="X703" s="1277"/>
    </row>
    <row r="704" spans="7:24">
      <c r="G704" s="921"/>
      <c r="H704" s="1277"/>
      <c r="I704" s="921"/>
      <c r="J704" s="1277"/>
      <c r="K704" s="921"/>
      <c r="L704" s="1277"/>
      <c r="M704" s="1277"/>
      <c r="N704" s="1277"/>
      <c r="O704" s="1277"/>
      <c r="P704" s="919"/>
      <c r="Q704" s="919"/>
      <c r="R704" s="1277"/>
      <c r="S704" s="1277"/>
      <c r="T704" s="1277"/>
      <c r="U704" s="1277"/>
      <c r="V704" s="1277"/>
      <c r="W704" s="1277"/>
      <c r="X704" s="1277"/>
    </row>
    <row r="705" spans="7:24">
      <c r="G705" s="921"/>
      <c r="H705" s="1277"/>
      <c r="I705" s="921"/>
      <c r="J705" s="1277"/>
      <c r="K705" s="921"/>
      <c r="L705" s="1277"/>
      <c r="M705" s="1277"/>
      <c r="N705" s="1277"/>
      <c r="O705" s="1277"/>
      <c r="P705" s="919"/>
      <c r="Q705" s="919"/>
      <c r="R705" s="1277"/>
      <c r="S705" s="1277"/>
      <c r="T705" s="1277"/>
      <c r="U705" s="1277"/>
      <c r="V705" s="1277"/>
      <c r="W705" s="1277"/>
      <c r="X705" s="1277"/>
    </row>
    <row r="706" spans="7:24">
      <c r="G706" s="921"/>
      <c r="H706" s="1277"/>
      <c r="I706" s="921"/>
      <c r="J706" s="1277"/>
      <c r="K706" s="921"/>
      <c r="L706" s="1277"/>
      <c r="M706" s="1277"/>
      <c r="N706" s="1277"/>
      <c r="O706" s="1277"/>
      <c r="P706" s="919"/>
      <c r="Q706" s="919"/>
      <c r="R706" s="1277"/>
      <c r="S706" s="1277"/>
      <c r="T706" s="1277"/>
      <c r="U706" s="1277"/>
      <c r="V706" s="1277"/>
      <c r="W706" s="1277"/>
      <c r="X706" s="1277"/>
    </row>
    <row r="707" spans="7:24">
      <c r="G707" s="921"/>
      <c r="H707" s="1277"/>
      <c r="I707" s="921"/>
      <c r="J707" s="1277"/>
      <c r="K707" s="921"/>
      <c r="L707" s="1277"/>
      <c r="M707" s="1277"/>
      <c r="N707" s="1277"/>
      <c r="O707" s="1277"/>
      <c r="P707" s="919"/>
      <c r="Q707" s="919"/>
      <c r="R707" s="1277"/>
      <c r="S707" s="1277"/>
      <c r="T707" s="1277"/>
      <c r="U707" s="1277"/>
      <c r="V707" s="1277"/>
      <c r="W707" s="1277"/>
      <c r="X707" s="1277"/>
    </row>
    <row r="708" spans="7:24">
      <c r="G708" s="921"/>
      <c r="H708" s="1277"/>
      <c r="I708" s="921"/>
      <c r="J708" s="1277"/>
      <c r="K708" s="921"/>
      <c r="L708" s="1277"/>
      <c r="M708" s="1277"/>
      <c r="N708" s="1277"/>
      <c r="O708" s="1277"/>
      <c r="P708" s="919"/>
      <c r="Q708" s="919"/>
      <c r="R708" s="1277"/>
      <c r="S708" s="1277"/>
      <c r="T708" s="1277"/>
      <c r="U708" s="1277"/>
      <c r="V708" s="1277"/>
      <c r="W708" s="1277"/>
      <c r="X708" s="1277"/>
    </row>
    <row r="709" spans="7:24">
      <c r="G709" s="921"/>
      <c r="H709" s="1277"/>
      <c r="I709" s="921"/>
      <c r="J709" s="1277"/>
      <c r="K709" s="921"/>
      <c r="L709" s="1277"/>
      <c r="M709" s="1277"/>
      <c r="N709" s="1277"/>
      <c r="O709" s="1277"/>
      <c r="P709" s="919"/>
      <c r="Q709" s="919"/>
      <c r="R709" s="1277"/>
      <c r="S709" s="1277"/>
      <c r="T709" s="1277"/>
      <c r="U709" s="1277"/>
      <c r="V709" s="1277"/>
      <c r="W709" s="1277"/>
      <c r="X709" s="1277"/>
    </row>
    <row r="710" spans="7:24">
      <c r="G710" s="921"/>
      <c r="H710" s="1277"/>
      <c r="I710" s="921"/>
      <c r="J710" s="1277"/>
      <c r="K710" s="921"/>
      <c r="L710" s="1277"/>
      <c r="M710" s="1277"/>
      <c r="N710" s="1277"/>
      <c r="O710" s="1277"/>
      <c r="P710" s="919"/>
      <c r="Q710" s="919"/>
      <c r="R710" s="1277"/>
      <c r="S710" s="1277"/>
      <c r="T710" s="1277"/>
      <c r="U710" s="1277"/>
      <c r="V710" s="1277"/>
      <c r="W710" s="1277"/>
      <c r="X710" s="1277"/>
    </row>
    <row r="711" spans="7:24">
      <c r="G711" s="921"/>
      <c r="H711" s="1277"/>
      <c r="I711" s="921"/>
      <c r="J711" s="1277"/>
      <c r="K711" s="921"/>
      <c r="L711" s="1277"/>
      <c r="M711" s="1277"/>
      <c r="N711" s="1277"/>
      <c r="O711" s="1277"/>
      <c r="P711" s="919"/>
      <c r="Q711" s="919"/>
      <c r="R711" s="1277"/>
      <c r="S711" s="1277"/>
      <c r="T711" s="1277"/>
      <c r="U711" s="1277"/>
      <c r="V711" s="1277"/>
      <c r="W711" s="1277"/>
      <c r="X711" s="1277"/>
    </row>
    <row r="712" spans="7:24">
      <c r="G712" s="921"/>
      <c r="H712" s="1277"/>
      <c r="I712" s="921"/>
      <c r="J712" s="1277"/>
      <c r="K712" s="921"/>
      <c r="L712" s="1277"/>
      <c r="M712" s="1277"/>
      <c r="N712" s="1277"/>
      <c r="O712" s="1277"/>
      <c r="P712" s="919"/>
      <c r="Q712" s="919"/>
      <c r="R712" s="1277"/>
      <c r="S712" s="1277"/>
      <c r="T712" s="1277"/>
      <c r="U712" s="1277"/>
      <c r="V712" s="1277"/>
      <c r="W712" s="1277"/>
      <c r="X712" s="1277"/>
    </row>
    <row r="713" spans="7:24">
      <c r="G713" s="921"/>
      <c r="H713" s="1277"/>
      <c r="I713" s="921"/>
      <c r="J713" s="1277"/>
      <c r="K713" s="921"/>
      <c r="L713" s="1277"/>
      <c r="M713" s="1277"/>
      <c r="N713" s="1277"/>
      <c r="O713" s="1277"/>
      <c r="P713" s="919"/>
      <c r="Q713" s="919"/>
      <c r="R713" s="1277"/>
      <c r="S713" s="1277"/>
      <c r="T713" s="1277"/>
      <c r="U713" s="1277"/>
      <c r="V713" s="1277"/>
      <c r="W713" s="1277"/>
      <c r="X713" s="1277"/>
    </row>
    <row r="714" spans="7:24">
      <c r="G714" s="921"/>
      <c r="H714" s="1277"/>
      <c r="I714" s="921"/>
      <c r="J714" s="1277"/>
      <c r="K714" s="921"/>
      <c r="L714" s="1277"/>
      <c r="M714" s="1277"/>
      <c r="N714" s="1277"/>
      <c r="O714" s="1277"/>
      <c r="P714" s="919"/>
      <c r="Q714" s="919"/>
      <c r="R714" s="1277"/>
      <c r="S714" s="1277"/>
      <c r="T714" s="1277"/>
      <c r="U714" s="1277"/>
      <c r="V714" s="1277"/>
      <c r="W714" s="1277"/>
      <c r="X714" s="1277"/>
    </row>
    <row r="715" spans="7:24">
      <c r="G715" s="921"/>
      <c r="H715" s="1277"/>
      <c r="I715" s="921"/>
      <c r="J715" s="1277"/>
      <c r="K715" s="921"/>
      <c r="L715" s="1277"/>
      <c r="M715" s="1277"/>
      <c r="N715" s="1277"/>
      <c r="O715" s="1277"/>
      <c r="P715" s="919"/>
      <c r="Q715" s="919"/>
      <c r="R715" s="1277"/>
      <c r="S715" s="1277"/>
      <c r="T715" s="1277"/>
      <c r="U715" s="1277"/>
      <c r="V715" s="1277"/>
      <c r="W715" s="1277"/>
      <c r="X715" s="1277"/>
    </row>
    <row r="716" spans="7:24">
      <c r="G716" s="921"/>
      <c r="H716" s="1277"/>
      <c r="I716" s="921"/>
      <c r="J716" s="1277"/>
      <c r="K716" s="921"/>
      <c r="L716" s="1277"/>
      <c r="M716" s="1277"/>
      <c r="N716" s="1277"/>
      <c r="O716" s="1277"/>
      <c r="P716" s="919"/>
      <c r="Q716" s="919"/>
      <c r="R716" s="1277"/>
      <c r="S716" s="1277"/>
      <c r="T716" s="1277"/>
      <c r="U716" s="1277"/>
      <c r="V716" s="1277"/>
      <c r="W716" s="1277"/>
      <c r="X716" s="1277"/>
    </row>
    <row r="717" spans="7:24">
      <c r="G717" s="921"/>
      <c r="H717" s="1277"/>
      <c r="I717" s="921"/>
      <c r="J717" s="1277"/>
      <c r="K717" s="921"/>
      <c r="L717" s="1277"/>
      <c r="M717" s="1277"/>
      <c r="N717" s="1277"/>
      <c r="O717" s="1277"/>
      <c r="P717" s="919"/>
      <c r="Q717" s="919"/>
      <c r="R717" s="1277"/>
      <c r="S717" s="1277"/>
      <c r="T717" s="1277"/>
      <c r="U717" s="1277"/>
      <c r="V717" s="1277"/>
      <c r="W717" s="1277"/>
      <c r="X717" s="1277"/>
    </row>
    <row r="718" spans="7:24">
      <c r="G718" s="921"/>
      <c r="H718" s="1277"/>
      <c r="I718" s="921"/>
      <c r="J718" s="1277"/>
      <c r="K718" s="921"/>
      <c r="L718" s="1277"/>
      <c r="M718" s="1277"/>
      <c r="N718" s="1277"/>
      <c r="O718" s="1277"/>
      <c r="P718" s="919"/>
      <c r="Q718" s="919"/>
      <c r="R718" s="1277"/>
      <c r="S718" s="1277"/>
      <c r="T718" s="1277"/>
      <c r="U718" s="1277"/>
      <c r="V718" s="1277"/>
      <c r="W718" s="1277"/>
      <c r="X718" s="1277"/>
    </row>
    <row r="719" spans="7:24">
      <c r="G719" s="921"/>
      <c r="H719" s="1277"/>
      <c r="I719" s="921"/>
      <c r="J719" s="1277"/>
      <c r="K719" s="921"/>
      <c r="L719" s="1277"/>
      <c r="M719" s="1277"/>
      <c r="N719" s="1277"/>
      <c r="O719" s="1277"/>
      <c r="P719" s="919"/>
      <c r="Q719" s="919"/>
      <c r="R719" s="1277"/>
      <c r="S719" s="1277"/>
      <c r="T719" s="1277"/>
      <c r="U719" s="1277"/>
      <c r="V719" s="1277"/>
      <c r="W719" s="1277"/>
      <c r="X719" s="1277"/>
    </row>
    <row r="720" spans="7:24">
      <c r="G720" s="921"/>
      <c r="H720" s="1277"/>
      <c r="I720" s="921"/>
      <c r="J720" s="1277"/>
      <c r="K720" s="921"/>
      <c r="L720" s="1277"/>
      <c r="M720" s="1277"/>
      <c r="N720" s="1277"/>
      <c r="O720" s="1277"/>
      <c r="P720" s="919"/>
      <c r="Q720" s="919"/>
      <c r="R720" s="1277"/>
      <c r="S720" s="1277"/>
      <c r="T720" s="1277"/>
      <c r="U720" s="1277"/>
      <c r="V720" s="1277"/>
      <c r="W720" s="1277"/>
      <c r="X720" s="1277"/>
    </row>
    <row r="721" spans="7:24">
      <c r="G721" s="921"/>
      <c r="H721" s="1277"/>
      <c r="I721" s="921"/>
      <c r="J721" s="1277"/>
      <c r="K721" s="921"/>
      <c r="L721" s="1277"/>
      <c r="M721" s="1277"/>
      <c r="N721" s="1277"/>
      <c r="O721" s="1277"/>
      <c r="P721" s="919"/>
      <c r="Q721" s="919"/>
      <c r="R721" s="1277"/>
      <c r="S721" s="1277"/>
      <c r="T721" s="1277"/>
      <c r="U721" s="1277"/>
      <c r="V721" s="1277"/>
      <c r="W721" s="1277"/>
      <c r="X721" s="1277"/>
    </row>
    <row r="722" spans="7:24">
      <c r="G722" s="921"/>
      <c r="H722" s="1277"/>
      <c r="I722" s="921"/>
      <c r="J722" s="1277"/>
      <c r="K722" s="921"/>
      <c r="L722" s="1277"/>
      <c r="M722" s="1277"/>
      <c r="N722" s="1277"/>
      <c r="O722" s="1277"/>
      <c r="P722" s="919"/>
      <c r="Q722" s="919"/>
      <c r="R722" s="1277"/>
      <c r="S722" s="1277"/>
      <c r="T722" s="1277"/>
      <c r="U722" s="1277"/>
      <c r="V722" s="1277"/>
      <c r="W722" s="1277"/>
      <c r="X722" s="1277"/>
    </row>
    <row r="723" spans="7:24">
      <c r="G723" s="921"/>
      <c r="H723" s="1277"/>
      <c r="I723" s="921"/>
      <c r="J723" s="1277"/>
      <c r="K723" s="921"/>
      <c r="L723" s="1277"/>
      <c r="M723" s="1277"/>
      <c r="N723" s="1277"/>
      <c r="O723" s="1277"/>
      <c r="P723" s="919"/>
      <c r="Q723" s="919"/>
      <c r="R723" s="1277"/>
      <c r="S723" s="1277"/>
      <c r="T723" s="1277"/>
      <c r="U723" s="1277"/>
      <c r="V723" s="1277"/>
      <c r="W723" s="1277"/>
      <c r="X723" s="1277"/>
    </row>
    <row r="724" spans="7:24">
      <c r="G724" s="921"/>
      <c r="H724" s="1277"/>
      <c r="I724" s="921"/>
      <c r="J724" s="1277"/>
      <c r="K724" s="921"/>
      <c r="L724" s="1277"/>
      <c r="M724" s="1277"/>
      <c r="N724" s="1277"/>
      <c r="O724" s="1277"/>
      <c r="P724" s="919"/>
      <c r="Q724" s="919"/>
      <c r="R724" s="1277"/>
      <c r="S724" s="1277"/>
      <c r="T724" s="1277"/>
      <c r="U724" s="1277"/>
      <c r="V724" s="1277"/>
      <c r="W724" s="1277"/>
      <c r="X724" s="1277"/>
    </row>
    <row r="725" spans="7:24">
      <c r="G725" s="921"/>
      <c r="H725" s="1277"/>
      <c r="I725" s="921"/>
      <c r="J725" s="1277"/>
      <c r="K725" s="921"/>
      <c r="L725" s="1277"/>
      <c r="M725" s="1277"/>
      <c r="N725" s="1277"/>
      <c r="O725" s="1277"/>
      <c r="P725" s="919"/>
      <c r="Q725" s="919"/>
      <c r="R725" s="1277"/>
      <c r="S725" s="1277"/>
      <c r="T725" s="1277"/>
      <c r="U725" s="1277"/>
      <c r="V725" s="1277"/>
      <c r="W725" s="1277"/>
      <c r="X725" s="1277"/>
    </row>
    <row r="726" spans="7:24">
      <c r="G726" s="921"/>
      <c r="H726" s="1277"/>
      <c r="I726" s="921"/>
      <c r="J726" s="1277"/>
      <c r="K726" s="921"/>
      <c r="L726" s="1277"/>
      <c r="M726" s="1277"/>
      <c r="N726" s="1277"/>
      <c r="O726" s="1277"/>
      <c r="P726" s="919"/>
      <c r="Q726" s="919"/>
      <c r="R726" s="1277"/>
      <c r="S726" s="1277"/>
      <c r="T726" s="1277"/>
      <c r="U726" s="1277"/>
      <c r="V726" s="1277"/>
      <c r="W726" s="1277"/>
      <c r="X726" s="1277"/>
    </row>
    <row r="727" spans="7:24">
      <c r="G727" s="921"/>
      <c r="H727" s="1277"/>
      <c r="I727" s="921"/>
      <c r="J727" s="1277"/>
      <c r="K727" s="921"/>
      <c r="L727" s="1277"/>
      <c r="M727" s="1277"/>
      <c r="N727" s="1277"/>
      <c r="O727" s="1277"/>
      <c r="P727" s="919"/>
      <c r="Q727" s="919"/>
      <c r="R727" s="1277"/>
      <c r="S727" s="1277"/>
      <c r="T727" s="1277"/>
      <c r="U727" s="1277"/>
      <c r="V727" s="1277"/>
      <c r="W727" s="1277"/>
      <c r="X727" s="1277"/>
    </row>
    <row r="728" spans="7:24">
      <c r="G728" s="921"/>
      <c r="H728" s="1277"/>
      <c r="I728" s="921"/>
      <c r="J728" s="1277"/>
      <c r="K728" s="921"/>
      <c r="L728" s="1277"/>
      <c r="M728" s="1277"/>
      <c r="N728" s="1277"/>
      <c r="O728" s="1277"/>
      <c r="P728" s="919"/>
      <c r="Q728" s="919"/>
      <c r="R728" s="1277"/>
      <c r="S728" s="1277"/>
      <c r="T728" s="1277"/>
      <c r="U728" s="1277"/>
      <c r="V728" s="1277"/>
      <c r="W728" s="1277"/>
      <c r="X728" s="1277"/>
    </row>
    <row r="729" spans="7:24">
      <c r="G729" s="921"/>
      <c r="H729" s="1277"/>
      <c r="I729" s="921"/>
      <c r="J729" s="1277"/>
      <c r="K729" s="921"/>
      <c r="L729" s="1277"/>
      <c r="M729" s="1277"/>
      <c r="N729" s="1277"/>
      <c r="O729" s="1277"/>
      <c r="P729" s="919"/>
      <c r="Q729" s="919"/>
      <c r="R729" s="1277"/>
      <c r="S729" s="1277"/>
      <c r="T729" s="1277"/>
      <c r="U729" s="1277"/>
      <c r="V729" s="1277"/>
      <c r="W729" s="1277"/>
      <c r="X729" s="1277"/>
    </row>
    <row r="730" spans="7:24">
      <c r="G730" s="921"/>
      <c r="H730" s="1277"/>
      <c r="I730" s="921"/>
      <c r="J730" s="1277"/>
      <c r="K730" s="921"/>
      <c r="L730" s="1277"/>
      <c r="M730" s="1277"/>
      <c r="N730" s="1277"/>
      <c r="O730" s="1277"/>
      <c r="P730" s="919"/>
      <c r="Q730" s="919"/>
      <c r="R730" s="1277"/>
      <c r="S730" s="1277"/>
      <c r="T730" s="1277"/>
      <c r="U730" s="1277"/>
      <c r="V730" s="1277"/>
      <c r="W730" s="1277"/>
      <c r="X730" s="1277"/>
    </row>
    <row r="731" spans="7:24">
      <c r="G731" s="921"/>
      <c r="H731" s="1277"/>
      <c r="I731" s="921"/>
      <c r="J731" s="1277"/>
      <c r="K731" s="921"/>
      <c r="L731" s="1277"/>
      <c r="M731" s="1277"/>
      <c r="N731" s="1277"/>
      <c r="O731" s="1277"/>
      <c r="P731" s="919"/>
      <c r="Q731" s="919"/>
      <c r="R731" s="1277"/>
      <c r="S731" s="1277"/>
      <c r="T731" s="1277"/>
      <c r="U731" s="1277"/>
      <c r="V731" s="1277"/>
      <c r="W731" s="1277"/>
      <c r="X731" s="1277"/>
    </row>
    <row r="732" spans="7:24">
      <c r="G732" s="921"/>
      <c r="H732" s="1277"/>
      <c r="I732" s="921"/>
      <c r="J732" s="1277"/>
      <c r="K732" s="921"/>
      <c r="L732" s="1277"/>
      <c r="M732" s="1277"/>
      <c r="N732" s="1277"/>
      <c r="O732" s="1277"/>
      <c r="P732" s="919"/>
      <c r="Q732" s="919"/>
      <c r="R732" s="1277"/>
      <c r="S732" s="1277"/>
      <c r="T732" s="1277"/>
      <c r="U732" s="1277"/>
      <c r="V732" s="1277"/>
      <c r="W732" s="1277"/>
      <c r="X732" s="1277"/>
    </row>
    <row r="733" spans="7:24">
      <c r="G733" s="921"/>
      <c r="H733" s="1277"/>
      <c r="I733" s="921"/>
      <c r="J733" s="1277"/>
      <c r="K733" s="921"/>
      <c r="L733" s="1277"/>
      <c r="M733" s="1277"/>
      <c r="N733" s="1277"/>
      <c r="O733" s="1277"/>
      <c r="P733" s="919"/>
      <c r="Q733" s="919"/>
      <c r="R733" s="1277"/>
      <c r="S733" s="1277"/>
      <c r="T733" s="1277"/>
      <c r="U733" s="1277"/>
      <c r="V733" s="1277"/>
      <c r="W733" s="1277"/>
      <c r="X733" s="1277"/>
    </row>
    <row r="734" spans="7:24">
      <c r="G734" s="921"/>
      <c r="H734" s="1277"/>
      <c r="I734" s="921"/>
      <c r="J734" s="1277"/>
      <c r="K734" s="921"/>
      <c r="L734" s="1277"/>
      <c r="M734" s="1277"/>
      <c r="N734" s="1277"/>
      <c r="O734" s="1277"/>
      <c r="P734" s="919"/>
      <c r="Q734" s="919"/>
      <c r="R734" s="1277"/>
      <c r="S734" s="1277"/>
      <c r="T734" s="1277"/>
      <c r="U734" s="1277"/>
      <c r="V734" s="1277"/>
      <c r="W734" s="1277"/>
      <c r="X734" s="1277"/>
    </row>
    <row r="735" spans="7:24">
      <c r="G735" s="921"/>
      <c r="H735" s="1277"/>
      <c r="I735" s="921"/>
      <c r="J735" s="1277"/>
      <c r="K735" s="921"/>
      <c r="L735" s="1277"/>
      <c r="M735" s="1277"/>
      <c r="N735" s="1277"/>
      <c r="O735" s="1277"/>
      <c r="P735" s="919"/>
      <c r="Q735" s="919"/>
      <c r="R735" s="1277"/>
      <c r="S735" s="1277"/>
      <c r="T735" s="1277"/>
      <c r="U735" s="1277"/>
      <c r="V735" s="1277"/>
      <c r="W735" s="1277"/>
      <c r="X735" s="1277"/>
    </row>
    <row r="736" spans="7:24">
      <c r="G736" s="921"/>
      <c r="H736" s="1277"/>
      <c r="I736" s="921"/>
      <c r="J736" s="1277"/>
      <c r="K736" s="921"/>
      <c r="L736" s="1277"/>
      <c r="M736" s="1277"/>
      <c r="N736" s="1277"/>
      <c r="O736" s="1277"/>
      <c r="P736" s="919"/>
      <c r="Q736" s="919"/>
      <c r="R736" s="1277"/>
      <c r="S736" s="1277"/>
      <c r="T736" s="1277"/>
      <c r="U736" s="1277"/>
      <c r="V736" s="1277"/>
      <c r="W736" s="1277"/>
      <c r="X736" s="1277"/>
    </row>
    <row r="737" spans="7:24">
      <c r="G737" s="921"/>
      <c r="H737" s="1277"/>
      <c r="I737" s="921"/>
      <c r="J737" s="1277"/>
      <c r="K737" s="921"/>
      <c r="L737" s="1277"/>
      <c r="M737" s="1277"/>
      <c r="N737" s="1277"/>
      <c r="O737" s="1277"/>
      <c r="P737" s="919"/>
      <c r="Q737" s="919"/>
      <c r="R737" s="1277"/>
      <c r="S737" s="1277"/>
      <c r="T737" s="1277"/>
      <c r="U737" s="1277"/>
      <c r="V737" s="1277"/>
      <c r="W737" s="1277"/>
      <c r="X737" s="1277"/>
    </row>
    <row r="738" spans="7:24">
      <c r="G738" s="921"/>
      <c r="H738" s="1277"/>
      <c r="I738" s="921"/>
      <c r="J738" s="1277"/>
      <c r="K738" s="921"/>
      <c r="L738" s="1277"/>
      <c r="M738" s="1277"/>
      <c r="N738" s="1277"/>
      <c r="O738" s="1277"/>
      <c r="P738" s="919"/>
      <c r="Q738" s="919"/>
      <c r="R738" s="1277"/>
      <c r="S738" s="1277"/>
      <c r="T738" s="1277"/>
      <c r="U738" s="1277"/>
      <c r="V738" s="1277"/>
      <c r="W738" s="1277"/>
      <c r="X738" s="1277"/>
    </row>
    <row r="739" spans="7:24">
      <c r="G739" s="921"/>
      <c r="H739" s="1277"/>
      <c r="I739" s="921"/>
      <c r="J739" s="1277"/>
      <c r="K739" s="921"/>
      <c r="L739" s="1277"/>
      <c r="M739" s="1277"/>
      <c r="N739" s="1277"/>
      <c r="O739" s="1277"/>
      <c r="P739" s="919"/>
      <c r="Q739" s="919"/>
      <c r="R739" s="1277"/>
      <c r="S739" s="1277"/>
      <c r="T739" s="1277"/>
      <c r="U739" s="1277"/>
      <c r="V739" s="1277"/>
      <c r="W739" s="1277"/>
      <c r="X739" s="1277"/>
    </row>
    <row r="740" spans="7:24">
      <c r="G740" s="921"/>
      <c r="H740" s="1277"/>
      <c r="I740" s="921"/>
      <c r="J740" s="1277"/>
      <c r="K740" s="921"/>
      <c r="L740" s="1277"/>
      <c r="M740" s="1277"/>
      <c r="N740" s="1277"/>
      <c r="O740" s="1277"/>
      <c r="P740" s="919"/>
      <c r="Q740" s="919"/>
      <c r="R740" s="1277"/>
      <c r="S740" s="1277"/>
      <c r="T740" s="1277"/>
      <c r="U740" s="1277"/>
      <c r="V740" s="1277"/>
      <c r="W740" s="1277"/>
      <c r="X740" s="1277"/>
    </row>
    <row r="741" spans="7:24">
      <c r="G741" s="921"/>
      <c r="H741" s="1277"/>
      <c r="I741" s="921"/>
      <c r="J741" s="1277"/>
      <c r="K741" s="921"/>
      <c r="L741" s="1277"/>
      <c r="M741" s="1277"/>
      <c r="N741" s="1277"/>
      <c r="O741" s="1277"/>
      <c r="P741" s="919"/>
      <c r="Q741" s="919"/>
      <c r="R741" s="1277"/>
      <c r="S741" s="1277"/>
      <c r="T741" s="1277"/>
      <c r="U741" s="1277"/>
      <c r="V741" s="1277"/>
      <c r="W741" s="1277"/>
      <c r="X741" s="1277"/>
    </row>
    <row r="742" spans="7:24">
      <c r="G742" s="921"/>
      <c r="H742" s="1277"/>
      <c r="I742" s="921"/>
      <c r="J742" s="1277"/>
      <c r="K742" s="921"/>
      <c r="L742" s="1277"/>
      <c r="M742" s="1277"/>
      <c r="N742" s="1277"/>
      <c r="O742" s="1277"/>
      <c r="P742" s="919"/>
      <c r="Q742" s="919"/>
      <c r="R742" s="1277"/>
      <c r="S742" s="1277"/>
      <c r="T742" s="1277"/>
      <c r="U742" s="1277"/>
      <c r="V742" s="1277"/>
      <c r="W742" s="1277"/>
      <c r="X742" s="1277"/>
    </row>
    <row r="743" spans="7:24">
      <c r="G743" s="921"/>
      <c r="H743" s="1277"/>
      <c r="I743" s="921"/>
      <c r="J743" s="1277"/>
      <c r="K743" s="921"/>
      <c r="L743" s="1277"/>
      <c r="M743" s="1277"/>
      <c r="N743" s="1277"/>
      <c r="O743" s="1277"/>
      <c r="P743" s="919"/>
      <c r="Q743" s="919"/>
      <c r="R743" s="1277"/>
      <c r="S743" s="1277"/>
      <c r="T743" s="1277"/>
      <c r="U743" s="1277"/>
      <c r="V743" s="1277"/>
      <c r="W743" s="1277"/>
      <c r="X743" s="1277"/>
    </row>
    <row r="744" spans="7:24">
      <c r="G744" s="921"/>
      <c r="H744" s="1277"/>
      <c r="I744" s="921"/>
      <c r="J744" s="1277"/>
      <c r="K744" s="921"/>
      <c r="L744" s="1277"/>
      <c r="M744" s="1277"/>
      <c r="N744" s="1277"/>
      <c r="O744" s="1277"/>
      <c r="P744" s="919"/>
      <c r="Q744" s="919"/>
      <c r="R744" s="1277"/>
      <c r="S744" s="1277"/>
      <c r="T744" s="1277"/>
      <c r="U744" s="1277"/>
      <c r="V744" s="1277"/>
      <c r="W744" s="1277"/>
      <c r="X744" s="1277"/>
    </row>
    <row r="745" spans="7:24">
      <c r="G745" s="921"/>
      <c r="H745" s="1277"/>
      <c r="I745" s="921"/>
      <c r="J745" s="1277"/>
      <c r="K745" s="921"/>
      <c r="L745" s="1277"/>
      <c r="M745" s="1277"/>
      <c r="N745" s="1277"/>
      <c r="O745" s="1277"/>
      <c r="P745" s="919"/>
      <c r="Q745" s="919"/>
      <c r="R745" s="1277"/>
      <c r="S745" s="1277"/>
      <c r="T745" s="1277"/>
      <c r="U745" s="1277"/>
      <c r="V745" s="1277"/>
      <c r="W745" s="1277"/>
      <c r="X745" s="1277"/>
    </row>
    <row r="746" spans="7:24">
      <c r="G746" s="921"/>
      <c r="H746" s="1277"/>
      <c r="I746" s="921"/>
      <c r="J746" s="1277"/>
      <c r="K746" s="921"/>
      <c r="L746" s="1277"/>
      <c r="M746" s="1277"/>
      <c r="N746" s="1277"/>
      <c r="O746" s="1277"/>
      <c r="P746" s="919"/>
      <c r="Q746" s="919"/>
      <c r="R746" s="1277"/>
      <c r="S746" s="1277"/>
      <c r="T746" s="1277"/>
      <c r="U746" s="1277"/>
      <c r="V746" s="1277"/>
      <c r="W746" s="1277"/>
      <c r="X746" s="1277"/>
    </row>
    <row r="747" spans="7:24">
      <c r="G747" s="921"/>
      <c r="H747" s="1277"/>
      <c r="I747" s="921"/>
      <c r="J747" s="1277"/>
      <c r="K747" s="921"/>
      <c r="L747" s="1277"/>
      <c r="M747" s="1277"/>
      <c r="N747" s="1277"/>
      <c r="O747" s="1277"/>
      <c r="P747" s="919"/>
      <c r="Q747" s="919"/>
      <c r="R747" s="1277"/>
      <c r="S747" s="1277"/>
      <c r="T747" s="1277"/>
      <c r="U747" s="1277"/>
      <c r="V747" s="1277"/>
      <c r="W747" s="1277"/>
      <c r="X747" s="1277"/>
    </row>
    <row r="748" spans="7:24">
      <c r="G748" s="921"/>
      <c r="H748" s="1277"/>
      <c r="I748" s="921"/>
      <c r="J748" s="1277"/>
      <c r="K748" s="921"/>
      <c r="L748" s="1277"/>
      <c r="M748" s="1277"/>
      <c r="N748" s="1277"/>
      <c r="O748" s="1277"/>
      <c r="P748" s="919"/>
      <c r="Q748" s="919"/>
      <c r="R748" s="1277"/>
      <c r="S748" s="1277"/>
      <c r="T748" s="1277"/>
      <c r="U748" s="1277"/>
      <c r="V748" s="1277"/>
      <c r="W748" s="1277"/>
      <c r="X748" s="1277"/>
    </row>
    <row r="749" spans="7:24">
      <c r="G749" s="921"/>
      <c r="H749" s="1277"/>
      <c r="I749" s="921"/>
      <c r="J749" s="1277"/>
      <c r="K749" s="921"/>
      <c r="L749" s="1277"/>
      <c r="M749" s="1277"/>
      <c r="N749" s="1277"/>
      <c r="O749" s="1277"/>
      <c r="P749" s="919"/>
      <c r="Q749" s="919"/>
      <c r="R749" s="1277"/>
      <c r="S749" s="1277"/>
      <c r="T749" s="1277"/>
      <c r="U749" s="1277"/>
      <c r="V749" s="1277"/>
      <c r="W749" s="1277"/>
      <c r="X749" s="1277"/>
    </row>
    <row r="750" spans="7:24">
      <c r="G750" s="921"/>
      <c r="H750" s="1277"/>
      <c r="I750" s="921"/>
      <c r="J750" s="1277"/>
      <c r="K750" s="921"/>
      <c r="L750" s="1277"/>
      <c r="M750" s="1277"/>
      <c r="N750" s="1277"/>
      <c r="O750" s="1277"/>
      <c r="P750" s="919"/>
      <c r="Q750" s="919"/>
      <c r="R750" s="1277"/>
      <c r="S750" s="1277"/>
      <c r="T750" s="1277"/>
      <c r="U750" s="1277"/>
      <c r="V750" s="1277"/>
      <c r="W750" s="1277"/>
      <c r="X750" s="1277"/>
    </row>
    <row r="751" spans="7:24">
      <c r="G751" s="921"/>
      <c r="H751" s="1277"/>
      <c r="I751" s="921"/>
      <c r="J751" s="1277"/>
      <c r="K751" s="921"/>
      <c r="L751" s="1277"/>
      <c r="M751" s="1277"/>
      <c r="N751" s="1277"/>
      <c r="O751" s="1277"/>
      <c r="P751" s="919"/>
      <c r="Q751" s="919"/>
      <c r="R751" s="1277"/>
      <c r="S751" s="1277"/>
      <c r="T751" s="1277"/>
      <c r="U751" s="1277"/>
      <c r="V751" s="1277"/>
      <c r="W751" s="1277"/>
      <c r="X751" s="1277"/>
    </row>
    <row r="752" spans="7:24">
      <c r="G752" s="921"/>
      <c r="H752" s="1277"/>
      <c r="I752" s="921"/>
      <c r="J752" s="1277"/>
      <c r="K752" s="921"/>
      <c r="L752" s="1277"/>
      <c r="M752" s="1277"/>
      <c r="N752" s="1277"/>
      <c r="O752" s="1277"/>
      <c r="P752" s="919"/>
      <c r="Q752" s="919"/>
      <c r="R752" s="1277"/>
      <c r="S752" s="1277"/>
      <c r="T752" s="1277"/>
      <c r="U752" s="1277"/>
      <c r="V752" s="1277"/>
      <c r="W752" s="1277"/>
      <c r="X752" s="1277"/>
    </row>
    <row r="753" spans="7:24">
      <c r="G753" s="921"/>
      <c r="H753" s="1277"/>
      <c r="I753" s="921"/>
      <c r="J753" s="1277"/>
      <c r="K753" s="921"/>
      <c r="L753" s="1277"/>
      <c r="M753" s="1277"/>
      <c r="N753" s="1277"/>
      <c r="O753" s="1277"/>
      <c r="P753" s="919"/>
      <c r="Q753" s="919"/>
      <c r="R753" s="1277"/>
      <c r="S753" s="1277"/>
      <c r="T753" s="1277"/>
      <c r="U753" s="1277"/>
      <c r="V753" s="1277"/>
      <c r="W753" s="1277"/>
      <c r="X753" s="1277"/>
    </row>
    <row r="754" spans="7:24">
      <c r="G754" s="921"/>
      <c r="H754" s="1277"/>
      <c r="I754" s="921"/>
      <c r="J754" s="1277"/>
      <c r="K754" s="921"/>
      <c r="L754" s="1277"/>
      <c r="M754" s="1277"/>
      <c r="N754" s="1277"/>
      <c r="O754" s="1277"/>
      <c r="P754" s="919"/>
      <c r="Q754" s="919"/>
      <c r="R754" s="1277"/>
      <c r="S754" s="1277"/>
      <c r="T754" s="1277"/>
      <c r="U754" s="1277"/>
      <c r="V754" s="1277"/>
      <c r="W754" s="1277"/>
      <c r="X754" s="1277"/>
    </row>
    <row r="755" spans="7:24">
      <c r="G755" s="921"/>
      <c r="H755" s="1277"/>
      <c r="I755" s="921"/>
      <c r="J755" s="1277"/>
      <c r="K755" s="921"/>
      <c r="L755" s="1277"/>
      <c r="M755" s="1277"/>
      <c r="N755" s="1277"/>
      <c r="O755" s="1277"/>
      <c r="P755" s="919"/>
      <c r="Q755" s="919"/>
      <c r="R755" s="1277"/>
      <c r="S755" s="1277"/>
      <c r="T755" s="1277"/>
      <c r="U755" s="1277"/>
      <c r="V755" s="1277"/>
      <c r="W755" s="1277"/>
      <c r="X755" s="1277"/>
    </row>
    <row r="756" spans="7:24">
      <c r="G756" s="921"/>
      <c r="H756" s="1277"/>
      <c r="I756" s="921"/>
      <c r="J756" s="1277"/>
      <c r="K756" s="921"/>
      <c r="L756" s="1277"/>
      <c r="M756" s="1277"/>
      <c r="N756" s="1277"/>
      <c r="O756" s="1277"/>
      <c r="P756" s="919"/>
      <c r="Q756" s="919"/>
      <c r="R756" s="1277"/>
      <c r="S756" s="1277"/>
      <c r="T756" s="1277"/>
      <c r="U756" s="1277"/>
      <c r="V756" s="1277"/>
      <c r="W756" s="1277"/>
      <c r="X756" s="1277"/>
    </row>
    <row r="757" spans="7:24">
      <c r="G757" s="921"/>
      <c r="H757" s="1277"/>
      <c r="I757" s="921"/>
      <c r="J757" s="1277"/>
      <c r="K757" s="921"/>
      <c r="L757" s="1277"/>
      <c r="M757" s="1277"/>
      <c r="N757" s="1277"/>
      <c r="O757" s="1277"/>
      <c r="P757" s="919"/>
      <c r="Q757" s="919"/>
      <c r="R757" s="1277"/>
      <c r="S757" s="1277"/>
      <c r="T757" s="1277"/>
      <c r="U757" s="1277"/>
      <c r="V757" s="1277"/>
      <c r="W757" s="1277"/>
      <c r="X757" s="1277"/>
    </row>
    <row r="758" spans="7:24">
      <c r="G758" s="921"/>
      <c r="H758" s="1277"/>
      <c r="I758" s="921"/>
      <c r="J758" s="1277"/>
      <c r="K758" s="921"/>
      <c r="L758" s="1277"/>
      <c r="M758" s="1277"/>
      <c r="N758" s="1277"/>
      <c r="O758" s="1277"/>
      <c r="P758" s="919"/>
      <c r="Q758" s="919"/>
      <c r="R758" s="1277"/>
      <c r="S758" s="1277"/>
      <c r="T758" s="1277"/>
      <c r="U758" s="1277"/>
      <c r="V758" s="1277"/>
      <c r="W758" s="1277"/>
      <c r="X758" s="1277"/>
    </row>
    <row r="759" spans="7:24">
      <c r="G759" s="921"/>
      <c r="H759" s="1277"/>
      <c r="I759" s="921"/>
      <c r="J759" s="1277"/>
      <c r="K759" s="921"/>
      <c r="L759" s="1277"/>
      <c r="M759" s="1277"/>
      <c r="N759" s="1277"/>
      <c r="O759" s="1277"/>
      <c r="P759" s="919"/>
      <c r="Q759" s="919"/>
      <c r="R759" s="1277"/>
      <c r="S759" s="1277"/>
      <c r="T759" s="1277"/>
      <c r="U759" s="1277"/>
      <c r="V759" s="1277"/>
      <c r="W759" s="1277"/>
      <c r="X759" s="1277"/>
    </row>
    <row r="760" spans="7:24">
      <c r="G760" s="921"/>
      <c r="H760" s="1277"/>
      <c r="I760" s="921"/>
      <c r="J760" s="1277"/>
      <c r="K760" s="921"/>
      <c r="L760" s="1277"/>
      <c r="M760" s="1277"/>
      <c r="N760" s="1277"/>
      <c r="O760" s="1277"/>
      <c r="P760" s="919"/>
      <c r="Q760" s="919"/>
      <c r="R760" s="1277"/>
      <c r="S760" s="1277"/>
      <c r="T760" s="1277"/>
      <c r="U760" s="1277"/>
      <c r="V760" s="1277"/>
      <c r="W760" s="1277"/>
      <c r="X760" s="1277"/>
    </row>
    <row r="761" spans="7:24">
      <c r="G761" s="921"/>
      <c r="H761" s="1277"/>
      <c r="I761" s="921"/>
      <c r="J761" s="1277"/>
      <c r="K761" s="921"/>
      <c r="L761" s="1277"/>
      <c r="M761" s="1277"/>
      <c r="N761" s="1277"/>
      <c r="O761" s="1277"/>
      <c r="P761" s="919"/>
      <c r="Q761" s="919"/>
      <c r="R761" s="1277"/>
      <c r="S761" s="1277"/>
      <c r="T761" s="1277"/>
      <c r="U761" s="1277"/>
      <c r="V761" s="1277"/>
      <c r="W761" s="1277"/>
      <c r="X761" s="1277"/>
    </row>
    <row r="762" spans="7:24">
      <c r="G762" s="921"/>
      <c r="H762" s="1277"/>
      <c r="I762" s="921"/>
      <c r="J762" s="1277"/>
      <c r="K762" s="921"/>
      <c r="L762" s="1277"/>
      <c r="M762" s="1277"/>
      <c r="N762" s="1277"/>
      <c r="O762" s="1277"/>
      <c r="P762" s="919"/>
      <c r="Q762" s="919"/>
      <c r="R762" s="1277"/>
      <c r="S762" s="1277"/>
      <c r="T762" s="1277"/>
      <c r="U762" s="1277"/>
      <c r="V762" s="1277"/>
      <c r="W762" s="1277"/>
      <c r="X762" s="1277"/>
    </row>
    <row r="763" spans="7:24">
      <c r="G763" s="921"/>
      <c r="H763" s="1277"/>
      <c r="I763" s="921"/>
      <c r="J763" s="1277"/>
      <c r="K763" s="921"/>
      <c r="L763" s="1277"/>
      <c r="M763" s="1277"/>
      <c r="N763" s="1277"/>
      <c r="O763" s="1277"/>
      <c r="P763" s="919"/>
      <c r="Q763" s="919"/>
      <c r="R763" s="1277"/>
      <c r="S763" s="1277"/>
      <c r="T763" s="1277"/>
      <c r="U763" s="1277"/>
      <c r="V763" s="1277"/>
      <c r="W763" s="1277"/>
      <c r="X763" s="1277"/>
    </row>
    <row r="764" spans="7:24">
      <c r="G764" s="921"/>
      <c r="H764" s="1277"/>
      <c r="I764" s="921"/>
      <c r="J764" s="1277"/>
      <c r="K764" s="921"/>
      <c r="L764" s="1277"/>
      <c r="M764" s="1277"/>
      <c r="N764" s="1277"/>
      <c r="O764" s="1277"/>
      <c r="P764" s="919"/>
      <c r="Q764" s="919"/>
      <c r="R764" s="1277"/>
      <c r="S764" s="1277"/>
      <c r="T764" s="1277"/>
      <c r="U764" s="1277"/>
      <c r="V764" s="1277"/>
      <c r="W764" s="1277"/>
      <c r="X764" s="1277"/>
    </row>
    <row r="765" spans="7:24">
      <c r="G765" s="921"/>
      <c r="H765" s="1277"/>
      <c r="I765" s="921"/>
      <c r="J765" s="1277"/>
      <c r="K765" s="921"/>
      <c r="L765" s="1277"/>
      <c r="M765" s="1277"/>
      <c r="N765" s="1277"/>
      <c r="O765" s="1277"/>
      <c r="P765" s="919"/>
      <c r="Q765" s="919"/>
      <c r="R765" s="1277"/>
      <c r="S765" s="1277"/>
      <c r="T765" s="1277"/>
      <c r="U765" s="1277"/>
      <c r="V765" s="1277"/>
      <c r="W765" s="1277"/>
      <c r="X765" s="1277"/>
    </row>
    <row r="766" spans="7:24">
      <c r="G766" s="921"/>
      <c r="H766" s="1277"/>
      <c r="I766" s="921"/>
      <c r="J766" s="1277"/>
      <c r="K766" s="921"/>
      <c r="L766" s="1277"/>
      <c r="M766" s="1277"/>
      <c r="N766" s="1277"/>
      <c r="O766" s="1277"/>
      <c r="P766" s="919"/>
      <c r="Q766" s="919"/>
      <c r="R766" s="1277"/>
      <c r="S766" s="1277"/>
      <c r="T766" s="1277"/>
      <c r="U766" s="1277"/>
      <c r="V766" s="1277"/>
      <c r="W766" s="1277"/>
      <c r="X766" s="1277"/>
    </row>
    <row r="767" spans="7:24">
      <c r="G767" s="921"/>
      <c r="H767" s="1277"/>
      <c r="I767" s="921"/>
      <c r="J767" s="1277"/>
      <c r="K767" s="921"/>
      <c r="L767" s="1277"/>
      <c r="M767" s="1277"/>
      <c r="N767" s="1277"/>
      <c r="O767" s="1277"/>
      <c r="P767" s="919"/>
      <c r="Q767" s="919"/>
      <c r="R767" s="1277"/>
      <c r="S767" s="1277"/>
      <c r="T767" s="1277"/>
      <c r="U767" s="1277"/>
      <c r="V767" s="1277"/>
      <c r="W767" s="1277"/>
      <c r="X767" s="1277"/>
    </row>
    <row r="768" spans="7:24">
      <c r="G768" s="921"/>
      <c r="H768" s="1277"/>
      <c r="I768" s="921"/>
      <c r="J768" s="1277"/>
      <c r="K768" s="921"/>
      <c r="L768" s="1277"/>
      <c r="M768" s="1277"/>
      <c r="N768" s="1277"/>
      <c r="O768" s="1277"/>
      <c r="P768" s="919"/>
      <c r="Q768" s="919"/>
      <c r="R768" s="1277"/>
      <c r="S768" s="1277"/>
      <c r="T768" s="1277"/>
      <c r="U768" s="1277"/>
      <c r="V768" s="1277"/>
      <c r="W768" s="1277"/>
      <c r="X768" s="1277"/>
    </row>
    <row r="769" spans="7:24">
      <c r="G769" s="921"/>
      <c r="H769" s="1277"/>
      <c r="I769" s="921"/>
      <c r="J769" s="1277"/>
      <c r="K769" s="921"/>
      <c r="L769" s="1277"/>
      <c r="M769" s="1277"/>
      <c r="N769" s="1277"/>
      <c r="O769" s="1277"/>
      <c r="P769" s="919"/>
      <c r="Q769" s="919"/>
      <c r="R769" s="1277"/>
      <c r="S769" s="1277"/>
      <c r="T769" s="1277"/>
      <c r="U769" s="1277"/>
      <c r="V769" s="1277"/>
      <c r="W769" s="1277"/>
      <c r="X769" s="1277"/>
    </row>
    <row r="770" spans="7:24">
      <c r="G770" s="921"/>
      <c r="H770" s="1277"/>
      <c r="I770" s="921"/>
      <c r="J770" s="1277"/>
      <c r="K770" s="921"/>
      <c r="L770" s="1277"/>
      <c r="M770" s="1277"/>
      <c r="N770" s="1277"/>
      <c r="O770" s="1277"/>
      <c r="P770" s="919"/>
      <c r="Q770" s="919"/>
      <c r="R770" s="1277"/>
      <c r="S770" s="1277"/>
      <c r="T770" s="1277"/>
      <c r="U770" s="1277"/>
      <c r="V770" s="1277"/>
      <c r="W770" s="1277"/>
      <c r="X770" s="1277"/>
    </row>
    <row r="771" spans="7:24">
      <c r="G771" s="921"/>
      <c r="H771" s="1277"/>
      <c r="I771" s="921"/>
      <c r="J771" s="1277"/>
      <c r="K771" s="921"/>
      <c r="L771" s="1277"/>
      <c r="M771" s="1277"/>
      <c r="N771" s="1277"/>
      <c r="O771" s="1277"/>
      <c r="P771" s="919"/>
      <c r="Q771" s="919"/>
      <c r="R771" s="1277"/>
      <c r="S771" s="1277"/>
      <c r="T771" s="1277"/>
      <c r="U771" s="1277"/>
      <c r="V771" s="1277"/>
      <c r="W771" s="1277"/>
      <c r="X771" s="1277"/>
    </row>
    <row r="772" spans="7:24">
      <c r="G772" s="921"/>
      <c r="H772" s="1277"/>
      <c r="I772" s="921"/>
      <c r="J772" s="1277"/>
      <c r="K772" s="921"/>
      <c r="L772" s="1277"/>
      <c r="M772" s="1277"/>
      <c r="N772" s="1277"/>
      <c r="O772" s="1277"/>
      <c r="P772" s="919"/>
      <c r="Q772" s="919"/>
      <c r="R772" s="1277"/>
      <c r="S772" s="1277"/>
      <c r="T772" s="1277"/>
      <c r="U772" s="1277"/>
      <c r="V772" s="1277"/>
      <c r="W772" s="1277"/>
      <c r="X772" s="1277"/>
    </row>
    <row r="773" spans="7:24">
      <c r="G773" s="921"/>
      <c r="H773" s="1277"/>
      <c r="I773" s="921"/>
      <c r="J773" s="1277"/>
      <c r="K773" s="921"/>
      <c r="L773" s="1277"/>
      <c r="M773" s="1277"/>
      <c r="N773" s="1277"/>
      <c r="O773" s="1277"/>
      <c r="P773" s="919"/>
      <c r="Q773" s="919"/>
      <c r="R773" s="1277"/>
      <c r="S773" s="1277"/>
      <c r="T773" s="1277"/>
      <c r="U773" s="1277"/>
      <c r="V773" s="1277"/>
      <c r="W773" s="1277"/>
      <c r="X773" s="1277"/>
    </row>
    <row r="774" spans="7:24">
      <c r="G774" s="921"/>
      <c r="H774" s="1277"/>
      <c r="I774" s="921"/>
      <c r="J774" s="1277"/>
      <c r="K774" s="921"/>
      <c r="L774" s="1277"/>
      <c r="M774" s="1277"/>
      <c r="N774" s="1277"/>
      <c r="O774" s="1277"/>
      <c r="P774" s="919"/>
      <c r="Q774" s="919"/>
      <c r="R774" s="1277"/>
      <c r="S774" s="1277"/>
      <c r="T774" s="1277"/>
      <c r="U774" s="1277"/>
      <c r="V774" s="1277"/>
      <c r="W774" s="1277"/>
      <c r="X774" s="1277"/>
    </row>
    <row r="775" spans="7:24">
      <c r="G775" s="921"/>
      <c r="H775" s="1277"/>
      <c r="I775" s="921"/>
      <c r="J775" s="1277"/>
      <c r="K775" s="921"/>
      <c r="L775" s="1277"/>
      <c r="M775" s="1277"/>
      <c r="N775" s="1277"/>
      <c r="O775" s="1277"/>
      <c r="P775" s="919"/>
      <c r="Q775" s="919"/>
      <c r="R775" s="1277"/>
      <c r="S775" s="1277"/>
      <c r="T775" s="1277"/>
      <c r="U775" s="1277"/>
      <c r="V775" s="1277"/>
      <c r="W775" s="1277"/>
      <c r="X775" s="1277"/>
    </row>
    <row r="776" spans="7:24">
      <c r="G776" s="921"/>
      <c r="H776" s="1277"/>
      <c r="I776" s="921"/>
      <c r="J776" s="1277"/>
      <c r="K776" s="921"/>
      <c r="L776" s="1277"/>
      <c r="M776" s="1277"/>
      <c r="N776" s="1277"/>
      <c r="O776" s="1277"/>
      <c r="P776" s="919"/>
      <c r="Q776" s="919"/>
      <c r="R776" s="1277"/>
      <c r="S776" s="1277"/>
      <c r="T776" s="1277"/>
      <c r="U776" s="1277"/>
      <c r="V776" s="1277"/>
      <c r="W776" s="1277"/>
      <c r="X776" s="1277"/>
    </row>
    <row r="777" spans="7:24">
      <c r="G777" s="921"/>
      <c r="H777" s="1277"/>
      <c r="I777" s="921"/>
      <c r="J777" s="1277"/>
      <c r="K777" s="921"/>
      <c r="L777" s="1277"/>
      <c r="M777" s="1277"/>
      <c r="N777" s="1277"/>
      <c r="O777" s="1277"/>
      <c r="P777" s="919"/>
      <c r="Q777" s="919"/>
      <c r="R777" s="1277"/>
      <c r="S777" s="1277"/>
      <c r="T777" s="1277"/>
      <c r="U777" s="1277"/>
      <c r="V777" s="1277"/>
      <c r="W777" s="1277"/>
      <c r="X777" s="1277"/>
    </row>
    <row r="778" spans="7:24">
      <c r="G778" s="921"/>
      <c r="H778" s="1277"/>
      <c r="I778" s="921"/>
      <c r="J778" s="1277"/>
      <c r="K778" s="921"/>
      <c r="L778" s="1277"/>
      <c r="M778" s="1277"/>
      <c r="N778" s="1277"/>
      <c r="O778" s="1277"/>
      <c r="P778" s="919"/>
      <c r="Q778" s="919"/>
      <c r="R778" s="1277"/>
      <c r="S778" s="1277"/>
      <c r="T778" s="1277"/>
      <c r="U778" s="1277"/>
      <c r="V778" s="1277"/>
      <c r="W778" s="1277"/>
      <c r="X778" s="1277"/>
    </row>
    <row r="779" spans="7:24">
      <c r="G779" s="921"/>
      <c r="H779" s="1277"/>
      <c r="I779" s="921"/>
      <c r="J779" s="1277"/>
      <c r="K779" s="921"/>
      <c r="L779" s="1277"/>
      <c r="M779" s="1277"/>
      <c r="N779" s="1277"/>
      <c r="O779" s="1277"/>
      <c r="P779" s="919"/>
      <c r="Q779" s="919"/>
      <c r="R779" s="1277"/>
      <c r="S779" s="1277"/>
      <c r="T779" s="1277"/>
      <c r="U779" s="1277"/>
      <c r="V779" s="1277"/>
      <c r="W779" s="1277"/>
      <c r="X779" s="1277"/>
    </row>
    <row r="780" spans="7:24">
      <c r="G780" s="921"/>
      <c r="H780" s="1277"/>
      <c r="I780" s="921"/>
      <c r="J780" s="1277"/>
      <c r="K780" s="921"/>
      <c r="L780" s="1277"/>
      <c r="M780" s="1277"/>
      <c r="N780" s="1277"/>
      <c r="O780" s="1277"/>
      <c r="P780" s="919"/>
      <c r="Q780" s="919"/>
      <c r="R780" s="1277"/>
      <c r="S780" s="1277"/>
      <c r="T780" s="1277"/>
      <c r="U780" s="1277"/>
      <c r="V780" s="1277"/>
      <c r="W780" s="1277"/>
      <c r="X780" s="1277"/>
    </row>
    <row r="781" spans="7:24">
      <c r="G781" s="921"/>
      <c r="H781" s="1277"/>
      <c r="I781" s="921"/>
      <c r="J781" s="1277"/>
      <c r="K781" s="921"/>
      <c r="L781" s="1277"/>
      <c r="M781" s="1277"/>
      <c r="N781" s="1277"/>
      <c r="O781" s="1277"/>
      <c r="P781" s="919"/>
      <c r="Q781" s="919"/>
      <c r="R781" s="1277"/>
      <c r="S781" s="1277"/>
      <c r="T781" s="1277"/>
      <c r="U781" s="1277"/>
      <c r="V781" s="1277"/>
      <c r="W781" s="1277"/>
      <c r="X781" s="1277"/>
    </row>
    <row r="782" spans="7:24">
      <c r="G782" s="921"/>
      <c r="H782" s="1277"/>
      <c r="I782" s="921"/>
      <c r="J782" s="1277"/>
      <c r="K782" s="921"/>
      <c r="L782" s="1277"/>
      <c r="M782" s="1277"/>
      <c r="N782" s="1277"/>
      <c r="O782" s="1277"/>
      <c r="P782" s="919"/>
      <c r="Q782" s="919"/>
      <c r="R782" s="1277"/>
      <c r="S782" s="1277"/>
      <c r="T782" s="1277"/>
      <c r="U782" s="1277"/>
      <c r="V782" s="1277"/>
      <c r="W782" s="1277"/>
      <c r="X782" s="1277"/>
    </row>
    <row r="783" spans="7:24">
      <c r="G783" s="921"/>
      <c r="H783" s="1277"/>
      <c r="I783" s="921"/>
      <c r="J783" s="1277"/>
      <c r="K783" s="921"/>
      <c r="L783" s="1277"/>
      <c r="M783" s="1277"/>
      <c r="N783" s="1277"/>
      <c r="O783" s="1277"/>
      <c r="P783" s="919"/>
      <c r="Q783" s="919"/>
      <c r="R783" s="1277"/>
      <c r="S783" s="1277"/>
      <c r="T783" s="1277"/>
      <c r="U783" s="1277"/>
      <c r="V783" s="1277"/>
      <c r="W783" s="1277"/>
      <c r="X783" s="1277"/>
    </row>
    <row r="784" spans="7:24">
      <c r="G784" s="921"/>
      <c r="H784" s="1277"/>
      <c r="I784" s="921"/>
      <c r="J784" s="1277"/>
      <c r="K784" s="921"/>
      <c r="L784" s="1277"/>
      <c r="M784" s="1277"/>
      <c r="N784" s="1277"/>
      <c r="O784" s="1277"/>
      <c r="P784" s="919"/>
      <c r="Q784" s="919"/>
      <c r="R784" s="1277"/>
      <c r="S784" s="1277"/>
      <c r="T784" s="1277"/>
      <c r="U784" s="1277"/>
      <c r="V784" s="1277"/>
      <c r="W784" s="1277"/>
      <c r="X784" s="1277"/>
    </row>
    <row r="785" spans="7:24">
      <c r="G785" s="921"/>
      <c r="H785" s="1277"/>
      <c r="I785" s="921"/>
      <c r="J785" s="1277"/>
      <c r="K785" s="921"/>
      <c r="L785" s="1277"/>
      <c r="M785" s="1277"/>
      <c r="N785" s="1277"/>
      <c r="O785" s="1277"/>
      <c r="P785" s="919"/>
      <c r="Q785" s="919"/>
      <c r="R785" s="1277"/>
      <c r="S785" s="1277"/>
      <c r="T785" s="1277"/>
      <c r="U785" s="1277"/>
      <c r="V785" s="1277"/>
      <c r="W785" s="1277"/>
      <c r="X785" s="1277"/>
    </row>
    <row r="786" spans="7:24">
      <c r="G786" s="921"/>
      <c r="H786" s="1277"/>
      <c r="I786" s="921"/>
      <c r="J786" s="1277"/>
      <c r="K786" s="921"/>
      <c r="L786" s="1277"/>
      <c r="M786" s="1277"/>
      <c r="N786" s="1277"/>
      <c r="O786" s="1277"/>
      <c r="P786" s="919"/>
      <c r="Q786" s="919"/>
      <c r="R786" s="1277"/>
      <c r="S786" s="1277"/>
      <c r="T786" s="1277"/>
      <c r="U786" s="1277"/>
      <c r="V786" s="1277"/>
      <c r="W786" s="1277"/>
      <c r="X786" s="1277"/>
    </row>
    <row r="787" spans="7:24">
      <c r="G787" s="921"/>
      <c r="H787" s="1277"/>
      <c r="I787" s="921"/>
      <c r="J787" s="1277"/>
      <c r="K787" s="921"/>
      <c r="L787" s="1277"/>
      <c r="M787" s="1277"/>
      <c r="N787" s="1277"/>
      <c r="O787" s="1277"/>
      <c r="P787" s="919"/>
      <c r="Q787" s="919"/>
      <c r="R787" s="1277"/>
      <c r="S787" s="1277"/>
      <c r="T787" s="1277"/>
      <c r="U787" s="1277"/>
      <c r="V787" s="1277"/>
      <c r="W787" s="1277"/>
      <c r="X787" s="1277"/>
    </row>
    <row r="788" spans="7:24">
      <c r="G788" s="921"/>
      <c r="H788" s="1277"/>
      <c r="I788" s="921"/>
      <c r="J788" s="1277"/>
      <c r="K788" s="921"/>
      <c r="L788" s="1277"/>
      <c r="M788" s="1277"/>
      <c r="N788" s="1277"/>
      <c r="O788" s="1277"/>
      <c r="P788" s="919"/>
      <c r="Q788" s="919"/>
      <c r="R788" s="1277"/>
      <c r="S788" s="1277"/>
      <c r="T788" s="1277"/>
      <c r="U788" s="1277"/>
      <c r="V788" s="1277"/>
      <c r="W788" s="1277"/>
      <c r="X788" s="1277"/>
    </row>
    <row r="789" spans="7:24">
      <c r="G789" s="921"/>
      <c r="H789" s="1277"/>
      <c r="I789" s="921"/>
      <c r="J789" s="1277"/>
      <c r="K789" s="921"/>
      <c r="L789" s="1277"/>
      <c r="M789" s="1277"/>
      <c r="N789" s="1277"/>
      <c r="O789" s="1277"/>
      <c r="P789" s="919"/>
      <c r="Q789" s="919"/>
      <c r="R789" s="1277"/>
      <c r="S789" s="1277"/>
      <c r="T789" s="1277"/>
      <c r="U789" s="1277"/>
      <c r="V789" s="1277"/>
      <c r="W789" s="1277"/>
      <c r="X789" s="1277"/>
    </row>
    <row r="790" spans="7:24">
      <c r="G790" s="921"/>
      <c r="H790" s="1277"/>
      <c r="I790" s="921"/>
      <c r="J790" s="1277"/>
      <c r="K790" s="921"/>
      <c r="L790" s="1277"/>
      <c r="M790" s="1277"/>
      <c r="N790" s="1277"/>
      <c r="O790" s="1277"/>
      <c r="P790" s="919"/>
      <c r="Q790" s="919"/>
      <c r="R790" s="1277"/>
      <c r="S790" s="1277"/>
      <c r="T790" s="1277"/>
      <c r="U790" s="1277"/>
      <c r="V790" s="1277"/>
      <c r="W790" s="1277"/>
      <c r="X790" s="1277"/>
    </row>
    <row r="791" spans="7:24">
      <c r="G791" s="921"/>
      <c r="H791" s="1277"/>
      <c r="I791" s="921"/>
      <c r="J791" s="1277"/>
      <c r="K791" s="921"/>
      <c r="L791" s="1277"/>
      <c r="M791" s="1277"/>
      <c r="N791" s="1277"/>
      <c r="O791" s="1277"/>
      <c r="P791" s="919"/>
      <c r="Q791" s="919"/>
      <c r="R791" s="1277"/>
      <c r="S791" s="1277"/>
      <c r="T791" s="1277"/>
      <c r="U791" s="1277"/>
      <c r="V791" s="1277"/>
      <c r="W791" s="1277"/>
      <c r="X791" s="1277"/>
    </row>
    <row r="792" spans="7:24">
      <c r="G792" s="921"/>
      <c r="H792" s="1277"/>
      <c r="I792" s="921"/>
      <c r="J792" s="1277"/>
      <c r="K792" s="921"/>
      <c r="L792" s="1277"/>
      <c r="M792" s="1277"/>
      <c r="N792" s="1277"/>
      <c r="O792" s="1277"/>
      <c r="P792" s="919"/>
      <c r="Q792" s="919"/>
      <c r="R792" s="1277"/>
      <c r="S792" s="1277"/>
      <c r="T792" s="1277"/>
      <c r="U792" s="1277"/>
      <c r="V792" s="1277"/>
      <c r="W792" s="1277"/>
      <c r="X792" s="1277"/>
    </row>
    <row r="793" spans="7:24">
      <c r="G793" s="921"/>
      <c r="H793" s="1277"/>
      <c r="I793" s="921"/>
      <c r="J793" s="1277"/>
      <c r="K793" s="921"/>
      <c r="L793" s="1277"/>
      <c r="M793" s="1277"/>
      <c r="N793" s="1277"/>
      <c r="O793" s="1277"/>
      <c r="P793" s="919"/>
      <c r="Q793" s="919"/>
      <c r="R793" s="1277"/>
      <c r="S793" s="1277"/>
      <c r="T793" s="1277"/>
      <c r="U793" s="1277"/>
      <c r="V793" s="1277"/>
      <c r="W793" s="1277"/>
      <c r="X793" s="1277"/>
    </row>
    <row r="794" spans="7:24">
      <c r="G794" s="921"/>
      <c r="H794" s="1277"/>
      <c r="I794" s="921"/>
      <c r="J794" s="1277"/>
      <c r="K794" s="921"/>
      <c r="L794" s="1277"/>
      <c r="M794" s="1277"/>
      <c r="N794" s="1277"/>
      <c r="O794" s="1277"/>
      <c r="P794" s="919"/>
      <c r="Q794" s="919"/>
      <c r="R794" s="1277"/>
      <c r="S794" s="1277"/>
      <c r="T794" s="1277"/>
      <c r="U794" s="1277"/>
      <c r="V794" s="1277"/>
      <c r="W794" s="1277"/>
      <c r="X794" s="1277"/>
    </row>
    <row r="795" spans="7:24">
      <c r="G795" s="921"/>
      <c r="H795" s="1277"/>
      <c r="I795" s="921"/>
      <c r="J795" s="1277"/>
      <c r="K795" s="921"/>
      <c r="L795" s="1277"/>
      <c r="M795" s="1277"/>
      <c r="N795" s="1277"/>
      <c r="O795" s="1277"/>
      <c r="P795" s="919"/>
      <c r="Q795" s="919"/>
      <c r="R795" s="1277"/>
      <c r="S795" s="1277"/>
      <c r="T795" s="1277"/>
      <c r="U795" s="1277"/>
      <c r="V795" s="1277"/>
      <c r="W795" s="1277"/>
      <c r="X795" s="1277"/>
    </row>
    <row r="796" spans="7:24">
      <c r="G796" s="921"/>
      <c r="H796" s="1277"/>
      <c r="I796" s="921"/>
      <c r="J796" s="1277"/>
      <c r="K796" s="921"/>
      <c r="L796" s="1277"/>
      <c r="M796" s="1277"/>
      <c r="N796" s="1277"/>
      <c r="O796" s="1277"/>
      <c r="P796" s="919"/>
      <c r="Q796" s="919"/>
      <c r="R796" s="1277"/>
      <c r="S796" s="1277"/>
      <c r="T796" s="1277"/>
      <c r="U796" s="1277"/>
      <c r="V796" s="1277"/>
      <c r="W796" s="1277"/>
      <c r="X796" s="1277"/>
    </row>
    <row r="797" spans="7:24">
      <c r="G797" s="921"/>
      <c r="H797" s="1277"/>
      <c r="I797" s="921"/>
      <c r="J797" s="1277"/>
      <c r="K797" s="921"/>
      <c r="L797" s="1277"/>
      <c r="M797" s="1277"/>
      <c r="N797" s="1277"/>
      <c r="O797" s="1277"/>
      <c r="P797" s="919"/>
      <c r="Q797" s="919"/>
      <c r="R797" s="1277"/>
      <c r="S797" s="1277"/>
      <c r="T797" s="1277"/>
      <c r="U797" s="1277"/>
      <c r="V797" s="1277"/>
      <c r="W797" s="1277"/>
      <c r="X797" s="1277"/>
    </row>
    <row r="798" spans="7:24">
      <c r="G798" s="921"/>
      <c r="H798" s="1277"/>
      <c r="I798" s="921"/>
      <c r="J798" s="1277"/>
      <c r="K798" s="921"/>
      <c r="L798" s="1277"/>
      <c r="M798" s="1277"/>
      <c r="N798" s="1277"/>
      <c r="O798" s="1277"/>
      <c r="P798" s="919"/>
      <c r="Q798" s="919"/>
      <c r="R798" s="1277"/>
      <c r="S798" s="1277"/>
      <c r="T798" s="1277"/>
      <c r="U798" s="1277"/>
      <c r="V798" s="1277"/>
      <c r="W798" s="1277"/>
      <c r="X798" s="1277"/>
    </row>
    <row r="799" spans="7:24">
      <c r="G799" s="921"/>
      <c r="H799" s="1277"/>
      <c r="I799" s="921"/>
      <c r="J799" s="1277"/>
      <c r="K799" s="921"/>
      <c r="L799" s="1277"/>
      <c r="M799" s="1277"/>
      <c r="N799" s="1277"/>
      <c r="O799" s="1277"/>
      <c r="P799" s="919"/>
      <c r="Q799" s="919"/>
      <c r="R799" s="1277"/>
      <c r="S799" s="1277"/>
      <c r="T799" s="1277"/>
      <c r="U799" s="1277"/>
      <c r="V799" s="1277"/>
      <c r="W799" s="1277"/>
      <c r="X799" s="1277"/>
    </row>
    <row r="800" spans="7:24">
      <c r="G800" s="921"/>
      <c r="H800" s="1277"/>
      <c r="I800" s="921"/>
      <c r="J800" s="1277"/>
      <c r="K800" s="921"/>
      <c r="L800" s="1277"/>
      <c r="M800" s="1277"/>
      <c r="N800" s="1277"/>
      <c r="O800" s="1277"/>
      <c r="P800" s="919"/>
      <c r="Q800" s="919"/>
      <c r="R800" s="1277"/>
      <c r="S800" s="1277"/>
      <c r="T800" s="1277"/>
      <c r="U800" s="1277"/>
      <c r="V800" s="1277"/>
      <c r="W800" s="1277"/>
      <c r="X800" s="1277"/>
    </row>
    <row r="801" spans="7:24">
      <c r="G801" s="921"/>
      <c r="H801" s="1277"/>
      <c r="I801" s="921"/>
      <c r="J801" s="1277"/>
      <c r="K801" s="921"/>
      <c r="L801" s="1277"/>
      <c r="M801" s="1277"/>
      <c r="N801" s="1277"/>
      <c r="O801" s="1277"/>
      <c r="P801" s="919"/>
      <c r="Q801" s="919"/>
      <c r="R801" s="1277"/>
      <c r="S801" s="1277"/>
      <c r="T801" s="1277"/>
      <c r="U801" s="1277"/>
      <c r="V801" s="1277"/>
      <c r="W801" s="1277"/>
      <c r="X801" s="1277"/>
    </row>
    <row r="802" spans="7:24">
      <c r="G802" s="921"/>
      <c r="H802" s="1277"/>
      <c r="I802" s="921"/>
      <c r="J802" s="1277"/>
      <c r="K802" s="921"/>
      <c r="L802" s="1277"/>
      <c r="M802" s="1277"/>
      <c r="N802" s="1277"/>
      <c r="O802" s="1277"/>
      <c r="P802" s="919"/>
      <c r="Q802" s="919"/>
      <c r="R802" s="1277"/>
      <c r="S802" s="1277"/>
      <c r="T802" s="1277"/>
      <c r="U802" s="1277"/>
      <c r="V802" s="1277"/>
      <c r="W802" s="1277"/>
      <c r="X802" s="1277"/>
    </row>
    <row r="803" spans="7:24">
      <c r="G803" s="921"/>
      <c r="H803" s="1277"/>
      <c r="I803" s="921"/>
      <c r="J803" s="1277"/>
      <c r="K803" s="921"/>
      <c r="L803" s="1277"/>
      <c r="M803" s="1277"/>
      <c r="N803" s="1277"/>
      <c r="O803" s="1277"/>
      <c r="P803" s="919"/>
      <c r="Q803" s="919"/>
      <c r="R803" s="1277"/>
      <c r="S803" s="1277"/>
      <c r="T803" s="1277"/>
      <c r="U803" s="1277"/>
      <c r="V803" s="1277"/>
      <c r="W803" s="1277"/>
      <c r="X803" s="1277"/>
    </row>
    <row r="804" spans="7:24">
      <c r="G804" s="921"/>
      <c r="H804" s="1277"/>
      <c r="I804" s="921"/>
      <c r="J804" s="1277"/>
      <c r="K804" s="921"/>
      <c r="L804" s="1277"/>
      <c r="M804" s="1277"/>
      <c r="N804" s="1277"/>
      <c r="O804" s="1277"/>
      <c r="P804" s="919"/>
      <c r="Q804" s="919"/>
      <c r="R804" s="1277"/>
      <c r="S804" s="1277"/>
      <c r="T804" s="1277"/>
      <c r="U804" s="1277"/>
      <c r="V804" s="1277"/>
      <c r="W804" s="1277"/>
      <c r="X804" s="1277"/>
    </row>
    <row r="805" spans="7:24">
      <c r="G805" s="921"/>
      <c r="H805" s="1277"/>
      <c r="I805" s="921"/>
      <c r="J805" s="1277"/>
      <c r="K805" s="921"/>
      <c r="L805" s="1277"/>
      <c r="M805" s="1277"/>
      <c r="N805" s="1277"/>
      <c r="O805" s="1277"/>
      <c r="P805" s="919"/>
      <c r="Q805" s="919"/>
      <c r="R805" s="1277"/>
      <c r="S805" s="1277"/>
      <c r="T805" s="1277"/>
      <c r="U805" s="1277"/>
      <c r="V805" s="1277"/>
      <c r="W805" s="1277"/>
      <c r="X805" s="1277"/>
    </row>
    <row r="806" spans="7:24">
      <c r="G806" s="921"/>
      <c r="H806" s="1277"/>
      <c r="I806" s="921"/>
      <c r="J806" s="1277"/>
      <c r="K806" s="921"/>
      <c r="L806" s="1277"/>
      <c r="M806" s="1277"/>
      <c r="N806" s="1277"/>
      <c r="O806" s="1277"/>
      <c r="P806" s="919"/>
      <c r="Q806" s="919"/>
      <c r="R806" s="1277"/>
      <c r="S806" s="1277"/>
      <c r="T806" s="1277"/>
      <c r="U806" s="1277"/>
      <c r="V806" s="1277"/>
      <c r="W806" s="1277"/>
      <c r="X806" s="1277"/>
    </row>
    <row r="807" spans="7:24">
      <c r="G807" s="921"/>
      <c r="H807" s="1277"/>
      <c r="I807" s="921"/>
      <c r="J807" s="1277"/>
      <c r="K807" s="921"/>
      <c r="L807" s="1277"/>
      <c r="M807" s="1277"/>
      <c r="N807" s="1277"/>
      <c r="O807" s="1277"/>
      <c r="P807" s="919"/>
      <c r="Q807" s="919"/>
      <c r="R807" s="1277"/>
      <c r="S807" s="1277"/>
      <c r="T807" s="1277"/>
      <c r="U807" s="1277"/>
      <c r="V807" s="1277"/>
      <c r="W807" s="1277"/>
      <c r="X807" s="1277"/>
    </row>
    <row r="808" spans="7:24">
      <c r="G808" s="921"/>
      <c r="H808" s="1277"/>
      <c r="I808" s="921"/>
      <c r="J808" s="1277"/>
      <c r="K808" s="921"/>
      <c r="L808" s="1277"/>
      <c r="M808" s="1277"/>
      <c r="N808" s="1277"/>
      <c r="O808" s="1277"/>
      <c r="P808" s="919"/>
      <c r="Q808" s="919"/>
      <c r="R808" s="1277"/>
      <c r="S808" s="1277"/>
      <c r="T808" s="1277"/>
      <c r="U808" s="1277"/>
      <c r="V808" s="1277"/>
      <c r="W808" s="1277"/>
      <c r="X808" s="1277"/>
    </row>
    <row r="809" spans="7:24">
      <c r="G809" s="921"/>
      <c r="H809" s="1277"/>
      <c r="I809" s="921"/>
      <c r="J809" s="1277"/>
      <c r="K809" s="921"/>
      <c r="L809" s="1277"/>
      <c r="M809" s="1277"/>
      <c r="N809" s="1277"/>
      <c r="O809" s="1277"/>
      <c r="P809" s="919"/>
      <c r="Q809" s="919"/>
      <c r="R809" s="1277"/>
      <c r="S809" s="1277"/>
      <c r="T809" s="1277"/>
      <c r="U809" s="1277"/>
      <c r="V809" s="1277"/>
      <c r="W809" s="1277"/>
      <c r="X809" s="1277"/>
    </row>
    <row r="810" spans="7:24">
      <c r="G810" s="921"/>
      <c r="H810" s="1277"/>
      <c r="I810" s="921"/>
      <c r="J810" s="1277"/>
      <c r="K810" s="921"/>
      <c r="L810" s="1277"/>
      <c r="M810" s="1277"/>
      <c r="N810" s="1277"/>
      <c r="O810" s="1277"/>
      <c r="P810" s="919"/>
      <c r="Q810" s="919"/>
      <c r="R810" s="1277"/>
      <c r="S810" s="1277"/>
      <c r="T810" s="1277"/>
      <c r="U810" s="1277"/>
      <c r="V810" s="1277"/>
      <c r="W810" s="1277"/>
      <c r="X810" s="1277"/>
    </row>
    <row r="811" spans="7:24">
      <c r="G811" s="921"/>
      <c r="H811" s="1277"/>
      <c r="I811" s="921"/>
      <c r="J811" s="1277"/>
      <c r="K811" s="921"/>
      <c r="L811" s="1277"/>
      <c r="M811" s="1277"/>
      <c r="N811" s="1277"/>
      <c r="O811" s="1277"/>
      <c r="P811" s="919"/>
      <c r="Q811" s="919"/>
      <c r="R811" s="1277"/>
      <c r="S811" s="1277"/>
      <c r="T811" s="1277"/>
      <c r="U811" s="1277"/>
      <c r="V811" s="1277"/>
      <c r="W811" s="1277"/>
      <c r="X811" s="1277"/>
    </row>
    <row r="812" spans="7:24">
      <c r="G812" s="921"/>
      <c r="H812" s="1277"/>
      <c r="I812" s="921"/>
      <c r="J812" s="1277"/>
      <c r="K812" s="921"/>
      <c r="L812" s="1277"/>
      <c r="M812" s="1277"/>
      <c r="N812" s="1277"/>
      <c r="O812" s="1277"/>
      <c r="P812" s="919"/>
      <c r="Q812" s="919"/>
      <c r="R812" s="1277"/>
      <c r="S812" s="1277"/>
      <c r="T812" s="1277"/>
      <c r="U812" s="1277"/>
      <c r="V812" s="1277"/>
      <c r="W812" s="1277"/>
      <c r="X812" s="1277"/>
    </row>
    <row r="813" spans="7:24">
      <c r="G813" s="921"/>
      <c r="H813" s="1277"/>
      <c r="I813" s="921"/>
      <c r="J813" s="1277"/>
      <c r="K813" s="921"/>
      <c r="L813" s="1277"/>
      <c r="M813" s="1277"/>
      <c r="N813" s="1277"/>
      <c r="O813" s="1277"/>
      <c r="P813" s="919"/>
      <c r="Q813" s="919"/>
      <c r="R813" s="1277"/>
      <c r="S813" s="1277"/>
      <c r="T813" s="1277"/>
      <c r="U813" s="1277"/>
      <c r="V813" s="1277"/>
      <c r="W813" s="1277"/>
      <c r="X813" s="1277"/>
    </row>
    <row r="814" spans="7:24">
      <c r="G814" s="921"/>
      <c r="H814" s="1277"/>
      <c r="I814" s="921"/>
      <c r="J814" s="1277"/>
      <c r="K814" s="921"/>
      <c r="L814" s="1277"/>
      <c r="M814" s="1277"/>
      <c r="N814" s="1277"/>
      <c r="O814" s="1277"/>
      <c r="P814" s="919"/>
      <c r="Q814" s="919"/>
      <c r="R814" s="1277"/>
      <c r="S814" s="1277"/>
      <c r="T814" s="1277"/>
      <c r="U814" s="1277"/>
      <c r="V814" s="1277"/>
      <c r="W814" s="1277"/>
      <c r="X814" s="1277"/>
    </row>
    <row r="815" spans="7:24">
      <c r="G815" s="921"/>
      <c r="H815" s="1277"/>
      <c r="I815" s="921"/>
      <c r="J815" s="1277"/>
      <c r="K815" s="921"/>
      <c r="L815" s="1277"/>
      <c r="M815" s="1277"/>
      <c r="N815" s="1277"/>
      <c r="O815" s="1277"/>
      <c r="P815" s="919"/>
      <c r="Q815" s="919"/>
      <c r="R815" s="1277"/>
      <c r="S815" s="1277"/>
      <c r="T815" s="1277"/>
      <c r="U815" s="1277"/>
      <c r="V815" s="1277"/>
      <c r="W815" s="1277"/>
      <c r="X815" s="1277"/>
    </row>
    <row r="816" spans="7:24">
      <c r="G816" s="921"/>
      <c r="H816" s="1277"/>
      <c r="I816" s="921"/>
      <c r="J816" s="1277"/>
      <c r="K816" s="921"/>
      <c r="L816" s="1277"/>
      <c r="M816" s="1277"/>
      <c r="N816" s="1277"/>
      <c r="O816" s="1277"/>
      <c r="P816" s="919"/>
      <c r="Q816" s="919"/>
      <c r="R816" s="1277"/>
      <c r="S816" s="1277"/>
      <c r="T816" s="1277"/>
      <c r="U816" s="1277"/>
      <c r="V816" s="1277"/>
      <c r="W816" s="1277"/>
      <c r="X816" s="1277"/>
    </row>
    <row r="817" spans="7:24">
      <c r="G817" s="921"/>
      <c r="H817" s="1277"/>
      <c r="I817" s="921"/>
      <c r="J817" s="1277"/>
      <c r="K817" s="921"/>
      <c r="L817" s="1277"/>
      <c r="M817" s="1277"/>
      <c r="N817" s="1277"/>
      <c r="O817" s="1277"/>
      <c r="P817" s="919"/>
      <c r="Q817" s="919"/>
      <c r="R817" s="1277"/>
      <c r="S817" s="1277"/>
      <c r="T817" s="1277"/>
      <c r="U817" s="1277"/>
      <c r="V817" s="1277"/>
      <c r="W817" s="1277"/>
      <c r="X817" s="1277"/>
    </row>
    <row r="818" spans="7:24">
      <c r="G818" s="921"/>
      <c r="H818" s="1277"/>
      <c r="I818" s="921"/>
      <c r="J818" s="1277"/>
      <c r="K818" s="921"/>
      <c r="L818" s="1277"/>
      <c r="M818" s="1277"/>
      <c r="N818" s="1277"/>
      <c r="O818" s="1277"/>
      <c r="P818" s="919"/>
      <c r="Q818" s="919"/>
      <c r="R818" s="1277"/>
      <c r="S818" s="1277"/>
      <c r="T818" s="1277"/>
      <c r="U818" s="1277"/>
      <c r="V818" s="1277"/>
      <c r="W818" s="1277"/>
      <c r="X818" s="1277"/>
    </row>
    <row r="819" spans="7:24">
      <c r="G819" s="921"/>
      <c r="H819" s="1277"/>
      <c r="I819" s="921"/>
      <c r="J819" s="1277"/>
      <c r="K819" s="921"/>
      <c r="L819" s="1277"/>
      <c r="M819" s="1277"/>
      <c r="N819" s="1277"/>
      <c r="O819" s="1277"/>
      <c r="P819" s="919"/>
      <c r="Q819" s="919"/>
      <c r="R819" s="1277"/>
      <c r="S819" s="1277"/>
      <c r="T819" s="1277"/>
      <c r="U819" s="1277"/>
      <c r="V819" s="1277"/>
      <c r="W819" s="1277"/>
      <c r="X819" s="1277"/>
    </row>
    <row r="820" spans="7:24">
      <c r="G820" s="921"/>
      <c r="H820" s="1277"/>
      <c r="I820" s="921"/>
      <c r="J820" s="1277"/>
      <c r="K820" s="921"/>
      <c r="L820" s="1277"/>
      <c r="M820" s="1277"/>
      <c r="N820" s="1277"/>
      <c r="O820" s="1277"/>
      <c r="P820" s="919"/>
      <c r="Q820" s="919"/>
      <c r="R820" s="1277"/>
      <c r="S820" s="1277"/>
      <c r="T820" s="1277"/>
      <c r="U820" s="1277"/>
      <c r="V820" s="1277"/>
      <c r="W820" s="1277"/>
      <c r="X820" s="1277"/>
    </row>
    <row r="821" spans="7:24">
      <c r="G821" s="921"/>
      <c r="H821" s="1277"/>
      <c r="I821" s="921"/>
      <c r="J821" s="1277"/>
      <c r="K821" s="921"/>
      <c r="L821" s="1277"/>
      <c r="M821" s="1277"/>
      <c r="N821" s="1277"/>
      <c r="O821" s="1277"/>
      <c r="P821" s="919"/>
      <c r="Q821" s="919"/>
      <c r="R821" s="1277"/>
      <c r="S821" s="1277"/>
      <c r="T821" s="1277"/>
      <c r="U821" s="1277"/>
      <c r="V821" s="1277"/>
      <c r="W821" s="1277"/>
      <c r="X821" s="1277"/>
    </row>
    <row r="822" spans="7:24">
      <c r="G822" s="921"/>
      <c r="H822" s="1277"/>
      <c r="I822" s="921"/>
      <c r="J822" s="1277"/>
      <c r="K822" s="921"/>
      <c r="L822" s="1277"/>
      <c r="M822" s="1277"/>
      <c r="N822" s="1277"/>
      <c r="O822" s="1277"/>
      <c r="P822" s="919"/>
      <c r="Q822" s="919"/>
      <c r="R822" s="1277"/>
      <c r="S822" s="1277"/>
      <c r="T822" s="1277"/>
      <c r="U822" s="1277"/>
      <c r="V822" s="1277"/>
      <c r="W822" s="1277"/>
      <c r="X822" s="1277"/>
    </row>
    <row r="823" spans="7:24">
      <c r="G823" s="921"/>
      <c r="H823" s="1277"/>
      <c r="I823" s="921"/>
      <c r="J823" s="1277"/>
      <c r="K823" s="921"/>
      <c r="L823" s="1277"/>
      <c r="M823" s="1277"/>
      <c r="N823" s="1277"/>
      <c r="O823" s="1277"/>
      <c r="P823" s="919"/>
      <c r="Q823" s="919"/>
      <c r="R823" s="1277"/>
      <c r="S823" s="1277"/>
      <c r="T823" s="1277"/>
      <c r="U823" s="1277"/>
      <c r="V823" s="1277"/>
      <c r="W823" s="1277"/>
      <c r="X823" s="1277"/>
    </row>
    <row r="824" spans="7:24">
      <c r="G824" s="921"/>
      <c r="H824" s="1277"/>
      <c r="I824" s="921"/>
      <c r="J824" s="1277"/>
      <c r="K824" s="921"/>
      <c r="L824" s="1277"/>
      <c r="M824" s="1277"/>
      <c r="N824" s="1277"/>
      <c r="O824" s="1277"/>
      <c r="P824" s="919"/>
      <c r="Q824" s="919"/>
      <c r="R824" s="1277"/>
      <c r="S824" s="1277"/>
      <c r="T824" s="1277"/>
      <c r="U824" s="1277"/>
      <c r="V824" s="1277"/>
      <c r="W824" s="1277"/>
      <c r="X824" s="1277"/>
    </row>
    <row r="825" spans="7:24">
      <c r="G825" s="921"/>
      <c r="H825" s="1277"/>
      <c r="I825" s="921"/>
      <c r="J825" s="1277"/>
      <c r="K825" s="921"/>
      <c r="L825" s="1277"/>
      <c r="M825" s="1277"/>
      <c r="N825" s="1277"/>
      <c r="O825" s="1277"/>
      <c r="P825" s="919"/>
      <c r="Q825" s="919"/>
      <c r="R825" s="1277"/>
      <c r="S825" s="1277"/>
      <c r="T825" s="1277"/>
      <c r="U825" s="1277"/>
      <c r="V825" s="1277"/>
      <c r="W825" s="1277"/>
      <c r="X825" s="1277"/>
    </row>
    <row r="826" spans="7:24">
      <c r="G826" s="921"/>
      <c r="H826" s="1277"/>
      <c r="I826" s="921"/>
      <c r="J826" s="1277"/>
      <c r="K826" s="921"/>
      <c r="L826" s="1277"/>
      <c r="M826" s="1277"/>
      <c r="N826" s="1277"/>
      <c r="O826" s="1277"/>
      <c r="P826" s="919"/>
      <c r="Q826" s="919"/>
      <c r="R826" s="1277"/>
      <c r="S826" s="1277"/>
      <c r="T826" s="1277"/>
      <c r="U826" s="1277"/>
      <c r="V826" s="1277"/>
      <c r="W826" s="1277"/>
      <c r="X826" s="1277"/>
    </row>
    <row r="827" spans="7:24">
      <c r="G827" s="921"/>
      <c r="H827" s="1277"/>
      <c r="I827" s="921"/>
      <c r="J827" s="1277"/>
      <c r="K827" s="921"/>
      <c r="L827" s="1277"/>
      <c r="M827" s="1277"/>
      <c r="N827" s="1277"/>
      <c r="O827" s="1277"/>
      <c r="P827" s="919"/>
      <c r="Q827" s="919"/>
      <c r="R827" s="1277"/>
      <c r="S827" s="1277"/>
      <c r="T827" s="1277"/>
      <c r="U827" s="1277"/>
      <c r="V827" s="1277"/>
      <c r="W827" s="1277"/>
      <c r="X827" s="1277"/>
    </row>
    <row r="828" spans="7:24">
      <c r="G828" s="921"/>
      <c r="H828" s="1277"/>
      <c r="I828" s="921"/>
      <c r="J828" s="1277"/>
      <c r="K828" s="921"/>
      <c r="L828" s="1277"/>
      <c r="M828" s="1277"/>
      <c r="N828" s="1277"/>
      <c r="O828" s="1277"/>
      <c r="P828" s="919"/>
      <c r="Q828" s="919"/>
      <c r="R828" s="1277"/>
      <c r="S828" s="1277"/>
      <c r="T828" s="1277"/>
      <c r="U828" s="1277"/>
      <c r="V828" s="1277"/>
      <c r="W828" s="1277"/>
      <c r="X828" s="1277"/>
    </row>
    <row r="829" spans="7:24">
      <c r="G829" s="921"/>
      <c r="H829" s="1277"/>
      <c r="I829" s="921"/>
      <c r="J829" s="1277"/>
      <c r="K829" s="921"/>
      <c r="L829" s="1277"/>
      <c r="M829" s="1277"/>
      <c r="N829" s="1277"/>
      <c r="O829" s="1277"/>
      <c r="P829" s="919"/>
      <c r="Q829" s="919"/>
      <c r="R829" s="1277"/>
      <c r="S829" s="1277"/>
      <c r="T829" s="1277"/>
      <c r="U829" s="1277"/>
      <c r="V829" s="1277"/>
      <c r="W829" s="1277"/>
      <c r="X829" s="1277"/>
    </row>
    <row r="830" spans="7:24">
      <c r="G830" s="921"/>
      <c r="H830" s="1277"/>
      <c r="I830" s="921"/>
      <c r="J830" s="1277"/>
      <c r="K830" s="921"/>
      <c r="L830" s="1277"/>
      <c r="M830" s="1277"/>
      <c r="N830" s="1277"/>
      <c r="O830" s="1277"/>
      <c r="P830" s="919"/>
      <c r="Q830" s="919"/>
      <c r="R830" s="1277"/>
      <c r="S830" s="1277"/>
      <c r="T830" s="1277"/>
      <c r="U830" s="1277"/>
      <c r="V830" s="1277"/>
      <c r="W830" s="1277"/>
      <c r="X830" s="1277"/>
    </row>
    <row r="831" spans="7:24">
      <c r="G831" s="921"/>
      <c r="H831" s="1277"/>
      <c r="I831" s="921"/>
      <c r="J831" s="1277"/>
      <c r="K831" s="921"/>
      <c r="L831" s="1277"/>
      <c r="M831" s="1277"/>
      <c r="N831" s="1277"/>
      <c r="O831" s="1277"/>
      <c r="P831" s="919"/>
      <c r="Q831" s="919"/>
      <c r="R831" s="1277"/>
      <c r="S831" s="1277"/>
      <c r="T831" s="1277"/>
      <c r="U831" s="1277"/>
      <c r="V831" s="1277"/>
      <c r="W831" s="1277"/>
      <c r="X831" s="1277"/>
    </row>
    <row r="832" spans="7:24">
      <c r="G832" s="921"/>
      <c r="H832" s="1277"/>
      <c r="I832" s="921"/>
      <c r="J832" s="1277"/>
      <c r="K832" s="921"/>
      <c r="L832" s="1277"/>
      <c r="M832" s="1277"/>
      <c r="N832" s="1277"/>
      <c r="O832" s="1277"/>
      <c r="P832" s="919"/>
      <c r="Q832" s="919"/>
      <c r="R832" s="1277"/>
      <c r="S832" s="1277"/>
      <c r="T832" s="1277"/>
      <c r="U832" s="1277"/>
      <c r="V832" s="1277"/>
      <c r="W832" s="1277"/>
      <c r="X832" s="1277"/>
    </row>
    <row r="833" spans="7:24">
      <c r="G833" s="921"/>
      <c r="H833" s="1277"/>
      <c r="I833" s="921"/>
      <c r="J833" s="1277"/>
      <c r="K833" s="921"/>
      <c r="L833" s="1277"/>
      <c r="M833" s="1277"/>
      <c r="N833" s="1277"/>
      <c r="O833" s="1277"/>
      <c r="P833" s="919"/>
      <c r="Q833" s="919"/>
      <c r="R833" s="1277"/>
      <c r="S833" s="1277"/>
      <c r="T833" s="1277"/>
      <c r="U833" s="1277"/>
      <c r="V833" s="1277"/>
      <c r="W833" s="1277"/>
      <c r="X833" s="1277"/>
    </row>
    <row r="834" spans="7:24">
      <c r="G834" s="921"/>
      <c r="H834" s="1277"/>
      <c r="I834" s="921"/>
      <c r="J834" s="1277"/>
      <c r="K834" s="921"/>
      <c r="L834" s="1277"/>
      <c r="M834" s="1277"/>
      <c r="N834" s="1277"/>
      <c r="O834" s="1277"/>
      <c r="P834" s="919"/>
      <c r="Q834" s="919"/>
      <c r="R834" s="1277"/>
      <c r="S834" s="1277"/>
      <c r="T834" s="1277"/>
      <c r="U834" s="1277"/>
      <c r="V834" s="1277"/>
      <c r="W834" s="1277"/>
      <c r="X834" s="1277"/>
    </row>
    <row r="835" spans="7:24">
      <c r="G835" s="921"/>
      <c r="H835" s="1277"/>
      <c r="I835" s="921"/>
      <c r="J835" s="1277"/>
      <c r="K835" s="921"/>
      <c r="L835" s="1277"/>
      <c r="M835" s="1277"/>
      <c r="N835" s="1277"/>
      <c r="O835" s="1277"/>
      <c r="P835" s="919"/>
      <c r="Q835" s="919"/>
      <c r="R835" s="1277"/>
      <c r="S835" s="1277"/>
      <c r="T835" s="1277"/>
      <c r="U835" s="1277"/>
      <c r="V835" s="1277"/>
      <c r="W835" s="1277"/>
      <c r="X835" s="1277"/>
    </row>
    <row r="836" spans="7:24">
      <c r="G836" s="921"/>
      <c r="H836" s="1277"/>
      <c r="I836" s="921"/>
      <c r="J836" s="1277"/>
      <c r="K836" s="921"/>
      <c r="L836" s="1277"/>
      <c r="M836" s="1277"/>
      <c r="N836" s="1277"/>
      <c r="O836" s="1277"/>
      <c r="P836" s="919"/>
      <c r="Q836" s="919"/>
      <c r="R836" s="1277"/>
      <c r="S836" s="1277"/>
      <c r="T836" s="1277"/>
      <c r="U836" s="1277"/>
      <c r="V836" s="1277"/>
      <c r="W836" s="1277"/>
      <c r="X836" s="1277"/>
    </row>
    <row r="837" spans="7:24">
      <c r="G837" s="921"/>
      <c r="H837" s="1277"/>
      <c r="I837" s="921"/>
      <c r="J837" s="1277"/>
      <c r="K837" s="921"/>
      <c r="L837" s="1277"/>
      <c r="M837" s="1277"/>
      <c r="N837" s="1277"/>
      <c r="O837" s="1277"/>
      <c r="P837" s="919"/>
      <c r="Q837" s="919"/>
      <c r="R837" s="1277"/>
      <c r="S837" s="1277"/>
      <c r="T837" s="1277"/>
      <c r="U837" s="1277"/>
      <c r="V837" s="1277"/>
      <c r="W837" s="1277"/>
      <c r="X837" s="1277"/>
    </row>
    <row r="838" spans="7:24">
      <c r="G838" s="921"/>
      <c r="H838" s="1277"/>
      <c r="I838" s="921"/>
      <c r="J838" s="1277"/>
      <c r="K838" s="921"/>
      <c r="L838" s="1277"/>
      <c r="M838" s="1277"/>
      <c r="N838" s="1277"/>
      <c r="O838" s="1277"/>
      <c r="P838" s="919"/>
      <c r="Q838" s="919"/>
      <c r="R838" s="1277"/>
      <c r="S838" s="1277"/>
      <c r="T838" s="1277"/>
      <c r="U838" s="1277"/>
      <c r="V838" s="1277"/>
      <c r="W838" s="1277"/>
      <c r="X838" s="1277"/>
    </row>
    <row r="839" spans="7:24">
      <c r="G839" s="921"/>
      <c r="H839" s="1277"/>
      <c r="I839" s="921"/>
      <c r="J839" s="1277"/>
      <c r="K839" s="921"/>
      <c r="L839" s="1277"/>
      <c r="M839" s="1277"/>
      <c r="N839" s="1277"/>
      <c r="O839" s="1277"/>
      <c r="P839" s="919"/>
      <c r="Q839" s="919"/>
      <c r="R839" s="1277"/>
      <c r="S839" s="1277"/>
      <c r="T839" s="1277"/>
      <c r="U839" s="1277"/>
      <c r="V839" s="1277"/>
      <c r="W839" s="1277"/>
      <c r="X839" s="1277"/>
    </row>
    <row r="840" spans="7:24">
      <c r="G840" s="921"/>
      <c r="H840" s="1277"/>
      <c r="I840" s="921"/>
      <c r="J840" s="1277"/>
      <c r="K840" s="921"/>
      <c r="L840" s="1277"/>
      <c r="M840" s="1277"/>
      <c r="N840" s="1277"/>
      <c r="O840" s="1277"/>
      <c r="P840" s="919"/>
      <c r="Q840" s="919"/>
      <c r="R840" s="1277"/>
      <c r="S840" s="1277"/>
      <c r="T840" s="1277"/>
      <c r="U840" s="1277"/>
      <c r="V840" s="1277"/>
      <c r="W840" s="1277"/>
      <c r="X840" s="1277"/>
    </row>
    <row r="841" spans="7:24">
      <c r="G841" s="921"/>
      <c r="H841" s="1277"/>
      <c r="I841" s="921"/>
      <c r="J841" s="1277"/>
      <c r="K841" s="921"/>
      <c r="L841" s="1277"/>
      <c r="M841" s="1277"/>
      <c r="N841" s="1277"/>
      <c r="O841" s="1277"/>
      <c r="P841" s="919"/>
      <c r="Q841" s="919"/>
      <c r="R841" s="1277"/>
      <c r="S841" s="1277"/>
      <c r="T841" s="1277"/>
      <c r="U841" s="1277"/>
      <c r="V841" s="1277"/>
      <c r="W841" s="1277"/>
      <c r="X841" s="1277"/>
    </row>
    <row r="842" spans="7:24">
      <c r="G842" s="921"/>
      <c r="H842" s="1277"/>
      <c r="I842" s="921"/>
      <c r="J842" s="1277"/>
      <c r="K842" s="921"/>
      <c r="L842" s="1277"/>
      <c r="M842" s="1277"/>
      <c r="N842" s="1277"/>
      <c r="O842" s="1277"/>
      <c r="P842" s="919"/>
      <c r="Q842" s="919"/>
      <c r="R842" s="1277"/>
      <c r="S842" s="1277"/>
      <c r="T842" s="1277"/>
      <c r="U842" s="1277"/>
      <c r="V842" s="1277"/>
      <c r="W842" s="1277"/>
      <c r="X842" s="1277"/>
    </row>
    <row r="843" spans="7:24">
      <c r="G843" s="921"/>
      <c r="H843" s="1277"/>
      <c r="I843" s="921"/>
      <c r="J843" s="1277"/>
      <c r="K843" s="921"/>
      <c r="L843" s="1277"/>
      <c r="M843" s="1277"/>
      <c r="N843" s="1277"/>
      <c r="O843" s="1277"/>
      <c r="P843" s="919"/>
      <c r="Q843" s="919"/>
      <c r="R843" s="1277"/>
      <c r="S843" s="1277"/>
      <c r="T843" s="1277"/>
      <c r="U843" s="1277"/>
      <c r="V843" s="1277"/>
      <c r="W843" s="1277"/>
      <c r="X843" s="1277"/>
    </row>
    <row r="844" spans="7:24">
      <c r="G844" s="921"/>
      <c r="H844" s="1277"/>
      <c r="I844" s="921"/>
      <c r="J844" s="1277"/>
      <c r="K844" s="921"/>
      <c r="L844" s="1277"/>
      <c r="M844" s="1277"/>
      <c r="N844" s="1277"/>
      <c r="O844" s="1277"/>
      <c r="P844" s="919"/>
      <c r="Q844" s="919"/>
      <c r="R844" s="1277"/>
      <c r="S844" s="1277"/>
      <c r="T844" s="1277"/>
      <c r="U844" s="1277"/>
      <c r="V844" s="1277"/>
      <c r="W844" s="1277"/>
      <c r="X844" s="1277"/>
    </row>
    <row r="845" spans="7:24">
      <c r="G845" s="921"/>
      <c r="H845" s="1277"/>
      <c r="I845" s="921"/>
      <c r="J845" s="1277"/>
      <c r="K845" s="921"/>
      <c r="L845" s="1277"/>
      <c r="M845" s="1277"/>
      <c r="N845" s="1277"/>
      <c r="O845" s="1277"/>
      <c r="P845" s="919"/>
      <c r="Q845" s="919"/>
      <c r="R845" s="1277"/>
      <c r="S845" s="1277"/>
      <c r="T845" s="1277"/>
      <c r="U845" s="1277"/>
      <c r="V845" s="1277"/>
      <c r="W845" s="1277"/>
      <c r="X845" s="1277"/>
    </row>
    <row r="846" spans="7:24">
      <c r="G846" s="921"/>
      <c r="H846" s="1277"/>
      <c r="I846" s="921"/>
      <c r="J846" s="1277"/>
      <c r="K846" s="921"/>
      <c r="L846" s="1277"/>
      <c r="M846" s="1277"/>
      <c r="N846" s="1277"/>
      <c r="O846" s="1277"/>
      <c r="P846" s="919"/>
      <c r="Q846" s="919"/>
      <c r="R846" s="1277"/>
      <c r="S846" s="1277"/>
      <c r="T846" s="1277"/>
      <c r="U846" s="1277"/>
      <c r="V846" s="1277"/>
      <c r="W846" s="1277"/>
      <c r="X846" s="1277"/>
    </row>
    <row r="847" spans="7:24">
      <c r="G847" s="921"/>
      <c r="H847" s="1277"/>
      <c r="I847" s="921"/>
      <c r="J847" s="1277"/>
      <c r="K847" s="921"/>
      <c r="L847" s="1277"/>
      <c r="M847" s="1277"/>
      <c r="N847" s="1277"/>
      <c r="O847" s="1277"/>
      <c r="P847" s="919"/>
      <c r="Q847" s="919"/>
      <c r="R847" s="1277"/>
      <c r="S847" s="1277"/>
      <c r="T847" s="1277"/>
      <c r="U847" s="1277"/>
      <c r="V847" s="1277"/>
      <c r="W847" s="1277"/>
      <c r="X847" s="1277"/>
    </row>
    <row r="848" spans="7:24">
      <c r="G848" s="921"/>
      <c r="H848" s="1277"/>
      <c r="I848" s="921"/>
      <c r="J848" s="1277"/>
      <c r="K848" s="921"/>
      <c r="L848" s="1277"/>
      <c r="M848" s="1277"/>
      <c r="N848" s="1277"/>
      <c r="O848" s="1277"/>
      <c r="P848" s="919"/>
      <c r="Q848" s="919"/>
      <c r="R848" s="1277"/>
      <c r="S848" s="1277"/>
      <c r="T848" s="1277"/>
      <c r="U848" s="1277"/>
      <c r="V848" s="1277"/>
      <c r="W848" s="1277"/>
      <c r="X848" s="1277"/>
    </row>
    <row r="849" spans="7:24">
      <c r="G849" s="921"/>
      <c r="H849" s="1277"/>
      <c r="I849" s="921"/>
      <c r="J849" s="1277"/>
      <c r="K849" s="921"/>
      <c r="L849" s="1277"/>
      <c r="M849" s="1277"/>
      <c r="N849" s="1277"/>
      <c r="O849" s="1277"/>
      <c r="P849" s="919"/>
      <c r="Q849" s="919"/>
      <c r="R849" s="1277"/>
      <c r="S849" s="1277"/>
      <c r="T849" s="1277"/>
      <c r="U849" s="1277"/>
      <c r="V849" s="1277"/>
      <c r="W849" s="1277"/>
      <c r="X849" s="1277"/>
    </row>
    <row r="850" spans="7:24">
      <c r="G850" s="921"/>
      <c r="H850" s="1277"/>
      <c r="I850" s="921"/>
      <c r="J850" s="1277"/>
      <c r="K850" s="921"/>
      <c r="L850" s="1277"/>
      <c r="M850" s="1277"/>
      <c r="N850" s="1277"/>
      <c r="O850" s="1277"/>
      <c r="P850" s="919"/>
      <c r="Q850" s="919"/>
      <c r="R850" s="1277"/>
      <c r="S850" s="1277"/>
      <c r="T850" s="1277"/>
      <c r="U850" s="1277"/>
      <c r="V850" s="1277"/>
      <c r="W850" s="1277"/>
      <c r="X850" s="1277"/>
    </row>
    <row r="851" spans="7:24">
      <c r="G851" s="921"/>
      <c r="H851" s="1277"/>
      <c r="I851" s="921"/>
      <c r="J851" s="1277"/>
      <c r="K851" s="921"/>
      <c r="L851" s="1277"/>
      <c r="M851" s="1277"/>
      <c r="N851" s="1277"/>
      <c r="O851" s="1277"/>
      <c r="P851" s="919"/>
      <c r="Q851" s="919"/>
      <c r="R851" s="1277"/>
      <c r="S851" s="1277"/>
      <c r="T851" s="1277"/>
      <c r="U851" s="1277"/>
      <c r="V851" s="1277"/>
      <c r="W851" s="1277"/>
      <c r="X851" s="1277"/>
    </row>
    <row r="852" spans="7:24">
      <c r="G852" s="921"/>
      <c r="H852" s="1277"/>
      <c r="I852" s="921"/>
      <c r="J852" s="1277"/>
      <c r="K852" s="921"/>
      <c r="L852" s="1277"/>
      <c r="M852" s="1277"/>
      <c r="N852" s="1277"/>
      <c r="O852" s="1277"/>
      <c r="P852" s="919"/>
      <c r="Q852" s="919"/>
      <c r="R852" s="1277"/>
      <c r="S852" s="1277"/>
      <c r="T852" s="1277"/>
      <c r="U852" s="1277"/>
      <c r="V852" s="1277"/>
      <c r="W852" s="1277"/>
      <c r="X852" s="1277"/>
    </row>
    <row r="853" spans="7:24">
      <c r="G853" s="921"/>
      <c r="H853" s="1277"/>
      <c r="I853" s="921"/>
      <c r="J853" s="1277"/>
      <c r="K853" s="921"/>
      <c r="L853" s="1277"/>
      <c r="M853" s="1277"/>
      <c r="N853" s="1277"/>
      <c r="O853" s="1277"/>
      <c r="P853" s="919"/>
      <c r="Q853" s="919"/>
      <c r="R853" s="1277"/>
      <c r="S853" s="1277"/>
      <c r="T853" s="1277"/>
      <c r="U853" s="1277"/>
      <c r="V853" s="1277"/>
      <c r="W853" s="1277"/>
      <c r="X853" s="1277"/>
    </row>
    <row r="854" spans="7:24">
      <c r="G854" s="921"/>
      <c r="H854" s="1277"/>
      <c r="I854" s="921"/>
      <c r="J854" s="1277"/>
      <c r="K854" s="921"/>
      <c r="L854" s="1277"/>
      <c r="M854" s="1277"/>
      <c r="N854" s="1277"/>
      <c r="O854" s="1277"/>
      <c r="P854" s="919"/>
      <c r="Q854" s="919"/>
      <c r="R854" s="1277"/>
      <c r="S854" s="1277"/>
      <c r="T854" s="1277"/>
      <c r="U854" s="1277"/>
      <c r="V854" s="1277"/>
      <c r="W854" s="1277"/>
      <c r="X854" s="1277"/>
    </row>
    <row r="855" spans="7:24">
      <c r="G855" s="921"/>
      <c r="H855" s="1277"/>
      <c r="I855" s="921"/>
      <c r="J855" s="1277"/>
      <c r="K855" s="921"/>
      <c r="L855" s="1277"/>
      <c r="M855" s="1277"/>
      <c r="N855" s="1277"/>
      <c r="O855" s="1277"/>
      <c r="P855" s="919"/>
      <c r="Q855" s="919"/>
      <c r="R855" s="1277"/>
      <c r="S855" s="1277"/>
      <c r="T855" s="1277"/>
      <c r="U855" s="1277"/>
      <c r="V855" s="1277"/>
      <c r="W855" s="1277"/>
      <c r="X855" s="1277"/>
    </row>
    <row r="856" spans="7:24">
      <c r="G856" s="921"/>
      <c r="H856" s="1277"/>
      <c r="I856" s="921"/>
      <c r="J856" s="1277"/>
      <c r="K856" s="921"/>
      <c r="L856" s="1277"/>
      <c r="M856" s="1277"/>
      <c r="N856" s="1277"/>
      <c r="O856" s="1277"/>
      <c r="P856" s="919"/>
      <c r="Q856" s="919"/>
      <c r="R856" s="1277"/>
      <c r="S856" s="1277"/>
      <c r="T856" s="1277"/>
      <c r="U856" s="1277"/>
      <c r="V856" s="1277"/>
      <c r="W856" s="1277"/>
      <c r="X856" s="1277"/>
    </row>
    <row r="857" spans="7:24">
      <c r="G857" s="921"/>
      <c r="H857" s="1277"/>
      <c r="I857" s="921"/>
      <c r="J857" s="1277"/>
      <c r="K857" s="921"/>
      <c r="L857" s="1277"/>
      <c r="M857" s="1277"/>
      <c r="N857" s="1277"/>
      <c r="O857" s="1277"/>
      <c r="P857" s="919"/>
      <c r="Q857" s="919"/>
      <c r="R857" s="1277"/>
      <c r="S857" s="1277"/>
      <c r="T857" s="1277"/>
      <c r="U857" s="1277"/>
      <c r="V857" s="1277"/>
      <c r="W857" s="1277"/>
      <c r="X857" s="1277"/>
    </row>
    <row r="858" spans="7:24">
      <c r="G858" s="921"/>
      <c r="H858" s="1277"/>
      <c r="I858" s="921"/>
      <c r="J858" s="1277"/>
      <c r="K858" s="921"/>
      <c r="L858" s="1277"/>
      <c r="M858" s="1277"/>
      <c r="N858" s="1277"/>
      <c r="O858" s="1277"/>
      <c r="P858" s="919"/>
      <c r="Q858" s="919"/>
      <c r="R858" s="1277"/>
      <c r="S858" s="1277"/>
      <c r="T858" s="1277"/>
      <c r="U858" s="1277"/>
      <c r="V858" s="1277"/>
      <c r="W858" s="1277"/>
      <c r="X858" s="1277"/>
    </row>
    <row r="859" spans="7:24">
      <c r="G859" s="921"/>
      <c r="H859" s="1277"/>
      <c r="I859" s="921"/>
      <c r="J859" s="1277"/>
      <c r="K859" s="921"/>
      <c r="L859" s="1277"/>
      <c r="M859" s="1277"/>
      <c r="N859" s="1277"/>
      <c r="O859" s="1277"/>
      <c r="P859" s="919"/>
      <c r="Q859" s="919"/>
      <c r="R859" s="1277"/>
      <c r="S859" s="1277"/>
      <c r="T859" s="1277"/>
      <c r="U859" s="1277"/>
      <c r="V859" s="1277"/>
      <c r="W859" s="1277"/>
      <c r="X859" s="1277"/>
    </row>
    <row r="860" spans="7:24">
      <c r="G860" s="921"/>
      <c r="H860" s="1277"/>
      <c r="I860" s="921"/>
      <c r="J860" s="1277"/>
      <c r="K860" s="921"/>
      <c r="L860" s="1277"/>
      <c r="M860" s="1277"/>
      <c r="N860" s="1277"/>
      <c r="O860" s="1277"/>
      <c r="P860" s="919"/>
      <c r="Q860" s="919"/>
      <c r="R860" s="1277"/>
      <c r="S860" s="1277"/>
      <c r="T860" s="1277"/>
      <c r="U860" s="1277"/>
      <c r="V860" s="1277"/>
      <c r="W860" s="1277"/>
      <c r="X860" s="1277"/>
    </row>
    <row r="861" spans="7:24">
      <c r="G861" s="921"/>
      <c r="H861" s="1277"/>
      <c r="I861" s="921"/>
      <c r="J861" s="1277"/>
      <c r="K861" s="921"/>
      <c r="L861" s="1277"/>
      <c r="M861" s="1277"/>
      <c r="N861" s="1277"/>
      <c r="O861" s="1277"/>
      <c r="P861" s="919"/>
      <c r="Q861" s="919"/>
      <c r="R861" s="1277"/>
      <c r="S861" s="1277"/>
      <c r="T861" s="1277"/>
      <c r="U861" s="1277"/>
      <c r="V861" s="1277"/>
      <c r="W861" s="1277"/>
      <c r="X861" s="1277"/>
    </row>
    <row r="862" spans="7:24">
      <c r="G862" s="921"/>
      <c r="H862" s="1277"/>
      <c r="I862" s="921"/>
      <c r="J862" s="1277"/>
      <c r="K862" s="921"/>
      <c r="L862" s="1277"/>
      <c r="M862" s="1277"/>
      <c r="N862" s="1277"/>
      <c r="O862" s="1277"/>
      <c r="P862" s="919"/>
      <c r="Q862" s="919"/>
      <c r="R862" s="1277"/>
      <c r="S862" s="1277"/>
      <c r="T862" s="1277"/>
      <c r="U862" s="1277"/>
      <c r="V862" s="1277"/>
      <c r="W862" s="1277"/>
      <c r="X862" s="1277"/>
    </row>
    <row r="863" spans="7:24">
      <c r="G863" s="921"/>
      <c r="H863" s="1277"/>
      <c r="I863" s="921"/>
      <c r="J863" s="1277"/>
      <c r="K863" s="921"/>
      <c r="L863" s="1277"/>
      <c r="M863" s="1277"/>
      <c r="N863" s="1277"/>
      <c r="O863" s="1277"/>
      <c r="P863" s="919"/>
      <c r="Q863" s="919"/>
      <c r="R863" s="1277"/>
      <c r="S863" s="1277"/>
      <c r="T863" s="1277"/>
      <c r="U863" s="1277"/>
      <c r="V863" s="1277"/>
      <c r="W863" s="1277"/>
      <c r="X863" s="1277"/>
    </row>
    <row r="864" spans="7:24">
      <c r="G864" s="921"/>
      <c r="H864" s="1277"/>
      <c r="I864" s="921"/>
      <c r="J864" s="1277"/>
      <c r="K864" s="921"/>
      <c r="L864" s="1277"/>
      <c r="M864" s="1277"/>
      <c r="N864" s="1277"/>
      <c r="O864" s="1277"/>
      <c r="P864" s="919"/>
      <c r="Q864" s="919"/>
      <c r="R864" s="1277"/>
      <c r="S864" s="1277"/>
      <c r="T864" s="1277"/>
      <c r="U864" s="1277"/>
      <c r="V864" s="1277"/>
      <c r="W864" s="1277"/>
      <c r="X864" s="1277"/>
    </row>
    <row r="865" spans="7:24">
      <c r="G865" s="921"/>
      <c r="H865" s="1277"/>
      <c r="I865" s="921"/>
      <c r="J865" s="1277"/>
      <c r="K865" s="921"/>
      <c r="L865" s="1277"/>
      <c r="M865" s="1277"/>
      <c r="N865" s="1277"/>
      <c r="O865" s="1277"/>
      <c r="P865" s="919"/>
      <c r="Q865" s="919"/>
      <c r="R865" s="1277"/>
      <c r="S865" s="1277"/>
      <c r="T865" s="1277"/>
      <c r="U865" s="1277"/>
      <c r="V865" s="1277"/>
      <c r="W865" s="1277"/>
      <c r="X865" s="1277"/>
    </row>
    <row r="866" spans="7:24">
      <c r="G866" s="921"/>
      <c r="H866" s="1277"/>
      <c r="I866" s="921"/>
      <c r="J866" s="1277"/>
      <c r="K866" s="921"/>
      <c r="L866" s="1277"/>
      <c r="M866" s="1277"/>
      <c r="N866" s="1277"/>
      <c r="O866" s="1277"/>
      <c r="P866" s="919"/>
      <c r="Q866" s="919"/>
      <c r="R866" s="1277"/>
      <c r="S866" s="1277"/>
      <c r="T866" s="1277"/>
      <c r="U866" s="1277"/>
      <c r="V866" s="1277"/>
      <c r="W866" s="1277"/>
      <c r="X866" s="1277"/>
    </row>
    <row r="867" spans="7:24">
      <c r="G867" s="921"/>
      <c r="H867" s="1277"/>
      <c r="I867" s="921"/>
      <c r="J867" s="1277"/>
      <c r="K867" s="921"/>
      <c r="L867" s="1277"/>
      <c r="M867" s="1277"/>
      <c r="N867" s="1277"/>
      <c r="O867" s="1277"/>
      <c r="P867" s="919"/>
      <c r="Q867" s="919"/>
      <c r="R867" s="1277"/>
      <c r="S867" s="1277"/>
      <c r="T867" s="1277"/>
      <c r="U867" s="1277"/>
      <c r="V867" s="1277"/>
      <c r="W867" s="1277"/>
      <c r="X867" s="1277"/>
    </row>
    <row r="868" spans="7:24">
      <c r="G868" s="921"/>
      <c r="H868" s="1277"/>
      <c r="I868" s="921"/>
      <c r="J868" s="1277"/>
      <c r="K868" s="921"/>
      <c r="L868" s="1277"/>
      <c r="M868" s="1277"/>
      <c r="N868" s="1277"/>
      <c r="O868" s="1277"/>
      <c r="P868" s="919"/>
      <c r="Q868" s="919"/>
      <c r="R868" s="1277"/>
      <c r="S868" s="1277"/>
      <c r="T868" s="1277"/>
      <c r="U868" s="1277"/>
      <c r="V868" s="1277"/>
      <c r="W868" s="1277"/>
      <c r="X868" s="1277"/>
    </row>
    <row r="869" spans="7:24">
      <c r="G869" s="921"/>
      <c r="H869" s="1277"/>
      <c r="I869" s="921"/>
      <c r="J869" s="1277"/>
      <c r="K869" s="921"/>
      <c r="L869" s="1277"/>
      <c r="M869" s="1277"/>
      <c r="N869" s="1277"/>
      <c r="O869" s="1277"/>
      <c r="P869" s="919"/>
      <c r="Q869" s="919"/>
      <c r="R869" s="1277"/>
      <c r="S869" s="1277"/>
      <c r="T869" s="1277"/>
      <c r="U869" s="1277"/>
      <c r="V869" s="1277"/>
      <c r="W869" s="1277"/>
      <c r="X869" s="1277"/>
    </row>
    <row r="870" spans="7:24">
      <c r="G870" s="921"/>
      <c r="H870" s="1277"/>
      <c r="I870" s="921"/>
      <c r="J870" s="1277"/>
      <c r="K870" s="921"/>
      <c r="L870" s="1277"/>
      <c r="M870" s="1277"/>
      <c r="N870" s="1277"/>
      <c r="O870" s="1277"/>
      <c r="P870" s="919"/>
      <c r="Q870" s="919"/>
      <c r="R870" s="1277"/>
      <c r="S870" s="1277"/>
      <c r="T870" s="1277"/>
      <c r="U870" s="1277"/>
      <c r="V870" s="1277"/>
      <c r="W870" s="1277"/>
      <c r="X870" s="1277"/>
    </row>
    <row r="871" spans="7:24">
      <c r="G871" s="921"/>
      <c r="H871" s="1277"/>
      <c r="I871" s="921"/>
      <c r="J871" s="1277"/>
      <c r="K871" s="921"/>
      <c r="L871" s="1277"/>
      <c r="M871" s="1277"/>
      <c r="N871" s="1277"/>
      <c r="O871" s="1277"/>
      <c r="P871" s="919"/>
      <c r="Q871" s="919"/>
      <c r="R871" s="1277"/>
      <c r="S871" s="1277"/>
      <c r="T871" s="1277"/>
      <c r="U871" s="1277"/>
      <c r="V871" s="1277"/>
      <c r="W871" s="1277"/>
      <c r="X871" s="1277"/>
    </row>
    <row r="872" spans="7:24">
      <c r="G872" s="921"/>
      <c r="H872" s="1277"/>
      <c r="I872" s="921"/>
      <c r="J872" s="1277"/>
      <c r="K872" s="921"/>
      <c r="L872" s="1277"/>
      <c r="M872" s="1277"/>
      <c r="N872" s="1277"/>
      <c r="O872" s="1277"/>
      <c r="P872" s="919"/>
      <c r="Q872" s="919"/>
      <c r="R872" s="1277"/>
      <c r="S872" s="1277"/>
      <c r="T872" s="1277"/>
      <c r="U872" s="1277"/>
      <c r="V872" s="1277"/>
      <c r="W872" s="1277"/>
      <c r="X872" s="1277"/>
    </row>
    <row r="873" spans="7:24">
      <c r="G873" s="921"/>
      <c r="H873" s="1277"/>
      <c r="I873" s="921"/>
      <c r="J873" s="1277"/>
      <c r="K873" s="921"/>
      <c r="L873" s="1277"/>
      <c r="M873" s="1277"/>
      <c r="N873" s="1277"/>
      <c r="O873" s="1277"/>
      <c r="P873" s="919"/>
      <c r="Q873" s="919"/>
      <c r="R873" s="1277"/>
      <c r="S873" s="1277"/>
      <c r="T873" s="1277"/>
      <c r="U873" s="1277"/>
      <c r="V873" s="1277"/>
      <c r="W873" s="1277"/>
      <c r="X873" s="1277"/>
    </row>
    <row r="874" spans="7:24">
      <c r="G874" s="921"/>
      <c r="H874" s="1277"/>
      <c r="I874" s="921"/>
      <c r="J874" s="1277"/>
      <c r="K874" s="921"/>
      <c r="L874" s="1277"/>
      <c r="M874" s="1277"/>
      <c r="N874" s="1277"/>
      <c r="O874" s="1277"/>
      <c r="P874" s="919"/>
      <c r="Q874" s="919"/>
      <c r="R874" s="1277"/>
      <c r="S874" s="1277"/>
      <c r="T874" s="1277"/>
      <c r="U874" s="1277"/>
      <c r="V874" s="1277"/>
      <c r="W874" s="1277"/>
      <c r="X874" s="1277"/>
    </row>
    <row r="875" spans="7:24">
      <c r="G875" s="921"/>
      <c r="H875" s="1277"/>
      <c r="I875" s="921"/>
      <c r="J875" s="1277"/>
      <c r="K875" s="921"/>
      <c r="L875" s="1277"/>
      <c r="M875" s="1277"/>
      <c r="N875" s="1277"/>
      <c r="O875" s="1277"/>
      <c r="P875" s="919"/>
      <c r="Q875" s="919"/>
      <c r="R875" s="1277"/>
      <c r="S875" s="1277"/>
      <c r="T875" s="1277"/>
      <c r="U875" s="1277"/>
      <c r="V875" s="1277"/>
      <c r="W875" s="1277"/>
      <c r="X875" s="1277"/>
    </row>
    <row r="876" spans="7:24">
      <c r="G876" s="921"/>
      <c r="H876" s="1277"/>
      <c r="I876" s="921"/>
      <c r="J876" s="1277"/>
      <c r="K876" s="921"/>
      <c r="L876" s="1277"/>
      <c r="M876" s="1277"/>
      <c r="N876" s="1277"/>
      <c r="O876" s="1277"/>
      <c r="P876" s="919"/>
      <c r="Q876" s="919"/>
      <c r="R876" s="1277"/>
      <c r="S876" s="1277"/>
      <c r="T876" s="1277"/>
      <c r="U876" s="1277"/>
      <c r="V876" s="1277"/>
      <c r="W876" s="1277"/>
      <c r="X876" s="1277"/>
    </row>
    <row r="877" spans="7:24">
      <c r="G877" s="921"/>
      <c r="H877" s="1277"/>
      <c r="I877" s="921"/>
      <c r="J877" s="1277"/>
      <c r="K877" s="921"/>
      <c r="L877" s="1277"/>
      <c r="M877" s="1277"/>
      <c r="N877" s="1277"/>
      <c r="O877" s="1277"/>
      <c r="P877" s="919"/>
      <c r="Q877" s="919"/>
      <c r="R877" s="1277"/>
      <c r="S877" s="1277"/>
      <c r="T877" s="1277"/>
      <c r="U877" s="1277"/>
      <c r="V877" s="1277"/>
      <c r="W877" s="1277"/>
      <c r="X877" s="1277"/>
    </row>
    <row r="878" spans="7:24">
      <c r="G878" s="921"/>
      <c r="H878" s="1277"/>
      <c r="I878" s="921"/>
      <c r="J878" s="1277"/>
      <c r="K878" s="921"/>
      <c r="L878" s="1277"/>
      <c r="M878" s="1277"/>
      <c r="N878" s="1277"/>
      <c r="O878" s="1277"/>
      <c r="P878" s="919"/>
      <c r="Q878" s="919"/>
      <c r="R878" s="1277"/>
      <c r="S878" s="1277"/>
      <c r="T878" s="1277"/>
      <c r="U878" s="1277"/>
      <c r="V878" s="1277"/>
      <c r="W878" s="1277"/>
      <c r="X878" s="1277"/>
    </row>
    <row r="879" spans="7:24">
      <c r="G879" s="921"/>
      <c r="H879" s="1277"/>
      <c r="I879" s="921"/>
      <c r="J879" s="1277"/>
      <c r="K879" s="921"/>
      <c r="L879" s="1277"/>
      <c r="M879" s="1277"/>
      <c r="N879" s="1277"/>
      <c r="O879" s="1277"/>
      <c r="P879" s="919"/>
      <c r="Q879" s="919"/>
      <c r="R879" s="1277"/>
      <c r="S879" s="1277"/>
      <c r="T879" s="1277"/>
      <c r="U879" s="1277"/>
      <c r="V879" s="1277"/>
      <c r="W879" s="1277"/>
      <c r="X879" s="1277"/>
    </row>
    <row r="880" spans="7:24">
      <c r="G880" s="921"/>
      <c r="H880" s="1277"/>
      <c r="I880" s="921"/>
      <c r="J880" s="1277"/>
      <c r="K880" s="921"/>
      <c r="L880" s="1277"/>
      <c r="M880" s="1277"/>
      <c r="N880" s="1277"/>
      <c r="O880" s="1277"/>
      <c r="P880" s="919"/>
      <c r="Q880" s="919"/>
      <c r="R880" s="1277"/>
      <c r="S880" s="1277"/>
      <c r="T880" s="1277"/>
      <c r="U880" s="1277"/>
      <c r="V880" s="1277"/>
      <c r="W880" s="1277"/>
      <c r="X880" s="1277"/>
    </row>
    <row r="881" spans="7:24">
      <c r="G881" s="921"/>
      <c r="H881" s="1277"/>
      <c r="I881" s="921"/>
      <c r="J881" s="1277"/>
      <c r="K881" s="921"/>
      <c r="L881" s="1277"/>
      <c r="M881" s="1277"/>
      <c r="N881" s="1277"/>
      <c r="O881" s="1277"/>
      <c r="P881" s="919"/>
      <c r="Q881" s="919"/>
      <c r="R881" s="1277"/>
      <c r="S881" s="1277"/>
      <c r="T881" s="1277"/>
      <c r="U881" s="1277"/>
      <c r="V881" s="1277"/>
      <c r="W881" s="1277"/>
      <c r="X881" s="1277"/>
    </row>
    <row r="882" spans="7:24">
      <c r="G882" s="921"/>
      <c r="H882" s="1277"/>
      <c r="I882" s="921"/>
      <c r="J882" s="1277"/>
      <c r="K882" s="921"/>
      <c r="L882" s="1277"/>
      <c r="M882" s="1277"/>
      <c r="N882" s="1277"/>
      <c r="O882" s="1277"/>
      <c r="P882" s="919"/>
      <c r="Q882" s="919"/>
      <c r="R882" s="1277"/>
      <c r="S882" s="1277"/>
      <c r="T882" s="1277"/>
      <c r="U882" s="1277"/>
      <c r="V882" s="1277"/>
      <c r="W882" s="1277"/>
      <c r="X882" s="1277"/>
    </row>
    <row r="883" spans="7:24">
      <c r="G883" s="921"/>
      <c r="H883" s="1277"/>
      <c r="I883" s="921"/>
      <c r="J883" s="1277"/>
      <c r="K883" s="921"/>
      <c r="L883" s="1277"/>
      <c r="M883" s="1277"/>
      <c r="N883" s="1277"/>
      <c r="O883" s="1277"/>
      <c r="P883" s="919"/>
      <c r="Q883" s="919"/>
      <c r="R883" s="1277"/>
      <c r="S883" s="1277"/>
      <c r="T883" s="1277"/>
      <c r="U883" s="1277"/>
      <c r="V883" s="1277"/>
      <c r="W883" s="1277"/>
      <c r="X883" s="1277"/>
    </row>
    <row r="884" spans="7:24">
      <c r="G884" s="921"/>
      <c r="H884" s="1277"/>
      <c r="I884" s="921"/>
      <c r="J884" s="1277"/>
      <c r="K884" s="921"/>
      <c r="L884" s="1277"/>
      <c r="M884" s="1277"/>
      <c r="N884" s="1277"/>
      <c r="O884" s="1277"/>
      <c r="P884" s="919"/>
      <c r="Q884" s="919"/>
      <c r="R884" s="1277"/>
      <c r="S884" s="1277"/>
      <c r="T884" s="1277"/>
      <c r="U884" s="1277"/>
      <c r="V884" s="1277"/>
      <c r="W884" s="1277"/>
      <c r="X884" s="1277"/>
    </row>
    <row r="885" spans="7:24">
      <c r="G885" s="921"/>
      <c r="H885" s="1277"/>
      <c r="I885" s="921"/>
      <c r="J885" s="1277"/>
      <c r="K885" s="921"/>
      <c r="L885" s="1277"/>
      <c r="M885" s="1277"/>
      <c r="N885" s="1277"/>
      <c r="O885" s="1277"/>
      <c r="P885" s="919"/>
      <c r="Q885" s="919"/>
      <c r="R885" s="1277"/>
      <c r="S885" s="1277"/>
      <c r="T885" s="1277"/>
      <c r="U885" s="1277"/>
      <c r="V885" s="1277"/>
      <c r="W885" s="1277"/>
      <c r="X885" s="1277"/>
    </row>
    <row r="886" spans="7:24">
      <c r="G886" s="921"/>
      <c r="H886" s="1277"/>
      <c r="I886" s="921"/>
      <c r="J886" s="1277"/>
      <c r="K886" s="921"/>
      <c r="L886" s="1277"/>
      <c r="M886" s="1277"/>
      <c r="N886" s="1277"/>
      <c r="O886" s="1277"/>
      <c r="P886" s="919"/>
      <c r="Q886" s="919"/>
      <c r="R886" s="1277"/>
      <c r="S886" s="1277"/>
      <c r="T886" s="1277"/>
      <c r="U886" s="1277"/>
      <c r="V886" s="1277"/>
      <c r="W886" s="1277"/>
      <c r="X886" s="1277"/>
    </row>
    <row r="887" spans="7:24">
      <c r="G887" s="921"/>
      <c r="H887" s="1277"/>
      <c r="I887" s="921"/>
      <c r="J887" s="1277"/>
      <c r="K887" s="921"/>
      <c r="L887" s="1277"/>
      <c r="M887" s="1277"/>
      <c r="N887" s="1277"/>
      <c r="O887" s="1277"/>
      <c r="P887" s="919"/>
      <c r="Q887" s="919"/>
      <c r="R887" s="1277"/>
      <c r="S887" s="1277"/>
      <c r="T887" s="1277"/>
      <c r="U887" s="1277"/>
      <c r="V887" s="1277"/>
      <c r="W887" s="1277"/>
      <c r="X887" s="1277"/>
    </row>
    <row r="888" spans="7:24">
      <c r="G888" s="921"/>
      <c r="H888" s="1277"/>
      <c r="I888" s="921"/>
      <c r="J888" s="1277"/>
      <c r="K888" s="921"/>
      <c r="L888" s="1277"/>
      <c r="M888" s="1277"/>
      <c r="N888" s="1277"/>
      <c r="O888" s="1277"/>
      <c r="P888" s="919"/>
      <c r="Q888" s="919"/>
      <c r="R888" s="1277"/>
      <c r="S888" s="1277"/>
      <c r="T888" s="1277"/>
      <c r="U888" s="1277"/>
      <c r="V888" s="1277"/>
      <c r="W888" s="1277"/>
      <c r="X888" s="1277"/>
    </row>
    <row r="889" spans="7:24">
      <c r="G889" s="921"/>
      <c r="H889" s="1277"/>
      <c r="I889" s="921"/>
      <c r="J889" s="1277"/>
      <c r="K889" s="921"/>
      <c r="L889" s="1277"/>
      <c r="M889" s="1277"/>
      <c r="N889" s="1277"/>
      <c r="O889" s="1277"/>
      <c r="P889" s="919"/>
      <c r="Q889" s="919"/>
      <c r="R889" s="1277"/>
      <c r="S889" s="1277"/>
      <c r="T889" s="1277"/>
      <c r="U889" s="1277"/>
      <c r="V889" s="1277"/>
      <c r="W889" s="1277"/>
      <c r="X889" s="1277"/>
    </row>
    <row r="890" spans="7:24">
      <c r="G890" s="921"/>
      <c r="H890" s="1277"/>
      <c r="I890" s="921"/>
      <c r="J890" s="1277"/>
      <c r="K890" s="921"/>
      <c r="L890" s="1277"/>
      <c r="M890" s="1277"/>
      <c r="N890" s="1277"/>
      <c r="O890" s="1277"/>
      <c r="P890" s="919"/>
      <c r="Q890" s="919"/>
      <c r="R890" s="1277"/>
      <c r="S890" s="1277"/>
      <c r="T890" s="1277"/>
      <c r="U890" s="1277"/>
      <c r="V890" s="1277"/>
      <c r="W890" s="1277"/>
      <c r="X890" s="1277"/>
    </row>
    <row r="891" spans="7:24">
      <c r="G891" s="921"/>
      <c r="H891" s="1277"/>
      <c r="I891" s="921"/>
      <c r="J891" s="1277"/>
      <c r="K891" s="921"/>
      <c r="L891" s="1277"/>
      <c r="M891" s="1277"/>
      <c r="N891" s="1277"/>
      <c r="O891" s="1277"/>
      <c r="P891" s="919"/>
      <c r="Q891" s="919"/>
      <c r="R891" s="1277"/>
      <c r="S891" s="1277"/>
      <c r="T891" s="1277"/>
      <c r="U891" s="1277"/>
      <c r="V891" s="1277"/>
      <c r="W891" s="1277"/>
      <c r="X891" s="1277"/>
    </row>
    <row r="892" spans="7:24">
      <c r="G892" s="921"/>
      <c r="H892" s="1277"/>
      <c r="I892" s="921"/>
      <c r="J892" s="1277"/>
      <c r="K892" s="921"/>
      <c r="L892" s="1277"/>
      <c r="M892" s="1277"/>
      <c r="N892" s="1277"/>
      <c r="O892" s="1277"/>
      <c r="P892" s="919"/>
      <c r="Q892" s="919"/>
      <c r="R892" s="1277"/>
      <c r="S892" s="1277"/>
      <c r="T892" s="1277"/>
      <c r="U892" s="1277"/>
      <c r="V892" s="1277"/>
      <c r="W892" s="1277"/>
      <c r="X892" s="1277"/>
    </row>
    <row r="893" spans="7:24">
      <c r="G893" s="921"/>
      <c r="H893" s="1277"/>
      <c r="I893" s="921"/>
      <c r="J893" s="1277"/>
      <c r="K893" s="921"/>
      <c r="L893" s="1277"/>
      <c r="M893" s="1277"/>
      <c r="N893" s="1277"/>
      <c r="O893" s="1277"/>
      <c r="P893" s="919"/>
      <c r="Q893" s="919"/>
      <c r="R893" s="1277"/>
      <c r="S893" s="1277"/>
      <c r="T893" s="1277"/>
      <c r="U893" s="1277"/>
      <c r="V893" s="1277"/>
      <c r="W893" s="1277"/>
      <c r="X893" s="1277"/>
    </row>
    <row r="894" spans="7:24">
      <c r="G894" s="921"/>
      <c r="H894" s="1277"/>
      <c r="I894" s="921"/>
      <c r="J894" s="1277"/>
      <c r="K894" s="921"/>
      <c r="L894" s="1277"/>
      <c r="M894" s="1277"/>
      <c r="N894" s="1277"/>
      <c r="O894" s="1277"/>
      <c r="P894" s="919"/>
      <c r="Q894" s="919"/>
      <c r="R894" s="1277"/>
      <c r="S894" s="1277"/>
      <c r="T894" s="1277"/>
      <c r="U894" s="1277"/>
      <c r="V894" s="1277"/>
      <c r="W894" s="1277"/>
      <c r="X894" s="1277"/>
    </row>
    <row r="895" spans="7:24">
      <c r="G895" s="921"/>
      <c r="H895" s="1277"/>
      <c r="I895" s="921"/>
      <c r="J895" s="1277"/>
      <c r="K895" s="921"/>
      <c r="L895" s="1277"/>
      <c r="M895" s="1277"/>
      <c r="N895" s="1277"/>
      <c r="O895" s="1277"/>
      <c r="P895" s="919"/>
      <c r="Q895" s="919"/>
      <c r="R895" s="1277"/>
      <c r="S895" s="1277"/>
      <c r="T895" s="1277"/>
      <c r="U895" s="1277"/>
      <c r="V895" s="1277"/>
      <c r="W895" s="1277"/>
      <c r="X895" s="1277"/>
    </row>
    <row r="896" spans="7:24">
      <c r="G896" s="921"/>
      <c r="H896" s="1277"/>
      <c r="I896" s="921"/>
      <c r="J896" s="1277"/>
      <c r="K896" s="921"/>
      <c r="L896" s="1277"/>
      <c r="M896" s="1277"/>
      <c r="N896" s="1277"/>
      <c r="O896" s="1277"/>
      <c r="P896" s="919"/>
      <c r="Q896" s="919"/>
      <c r="R896" s="1277"/>
      <c r="S896" s="1277"/>
      <c r="T896" s="1277"/>
      <c r="U896" s="1277"/>
      <c r="V896" s="1277"/>
      <c r="W896" s="1277"/>
      <c r="X896" s="1277"/>
    </row>
    <row r="897" spans="7:24">
      <c r="G897" s="921"/>
      <c r="H897" s="1277"/>
      <c r="I897" s="921"/>
      <c r="J897" s="1277"/>
      <c r="K897" s="921"/>
      <c r="L897" s="1277"/>
      <c r="M897" s="1277"/>
      <c r="N897" s="1277"/>
      <c r="O897" s="1277"/>
      <c r="P897" s="919"/>
      <c r="Q897" s="919"/>
      <c r="R897" s="1277"/>
      <c r="S897" s="1277"/>
      <c r="T897" s="1277"/>
      <c r="U897" s="1277"/>
      <c r="V897" s="1277"/>
      <c r="W897" s="1277"/>
      <c r="X897" s="1277"/>
    </row>
    <row r="898" spans="7:24">
      <c r="G898" s="921"/>
      <c r="H898" s="1277"/>
      <c r="I898" s="921"/>
      <c r="J898" s="1277"/>
      <c r="K898" s="921"/>
      <c r="L898" s="1277"/>
      <c r="M898" s="1277"/>
      <c r="N898" s="1277"/>
      <c r="O898" s="1277"/>
      <c r="P898" s="919"/>
      <c r="Q898" s="919"/>
      <c r="R898" s="1277"/>
      <c r="S898" s="1277"/>
      <c r="T898" s="1277"/>
      <c r="U898" s="1277"/>
      <c r="V898" s="1277"/>
      <c r="W898" s="1277"/>
      <c r="X898" s="1277"/>
    </row>
    <row r="899" spans="7:24">
      <c r="G899" s="921"/>
      <c r="H899" s="1277"/>
      <c r="I899" s="921"/>
      <c r="J899" s="1277"/>
      <c r="K899" s="921"/>
      <c r="L899" s="1277"/>
      <c r="M899" s="1277"/>
      <c r="N899" s="1277"/>
      <c r="O899" s="1277"/>
      <c r="P899" s="919"/>
      <c r="Q899" s="919"/>
      <c r="R899" s="1277"/>
      <c r="S899" s="1277"/>
      <c r="T899" s="1277"/>
      <c r="U899" s="1277"/>
      <c r="V899" s="1277"/>
      <c r="W899" s="1277"/>
      <c r="X899" s="1277"/>
    </row>
    <row r="900" spans="7:24">
      <c r="G900" s="921"/>
      <c r="H900" s="1277"/>
      <c r="I900" s="921"/>
      <c r="J900" s="1277"/>
      <c r="K900" s="921"/>
      <c r="L900" s="1277"/>
      <c r="M900" s="1277"/>
      <c r="N900" s="1277"/>
      <c r="O900" s="1277"/>
      <c r="P900" s="919"/>
      <c r="Q900" s="919"/>
      <c r="R900" s="1277"/>
      <c r="S900" s="1277"/>
      <c r="T900" s="1277"/>
      <c r="U900" s="1277"/>
      <c r="V900" s="1277"/>
      <c r="W900" s="1277"/>
      <c r="X900" s="1277"/>
    </row>
    <row r="901" spans="7:24">
      <c r="G901" s="921"/>
      <c r="H901" s="1277"/>
      <c r="I901" s="921"/>
      <c r="J901" s="1277"/>
      <c r="K901" s="921"/>
      <c r="L901" s="1277"/>
      <c r="M901" s="1277"/>
      <c r="N901" s="1277"/>
      <c r="O901" s="1277"/>
      <c r="P901" s="919"/>
      <c r="Q901" s="919"/>
      <c r="R901" s="1277"/>
      <c r="S901" s="1277"/>
      <c r="T901" s="1277"/>
      <c r="U901" s="1277"/>
      <c r="V901" s="1277"/>
      <c r="W901" s="1277"/>
      <c r="X901" s="1277"/>
    </row>
    <row r="902" spans="7:24">
      <c r="G902" s="921"/>
      <c r="H902" s="1277"/>
      <c r="I902" s="921"/>
      <c r="J902" s="1277"/>
      <c r="K902" s="921"/>
      <c r="L902" s="1277"/>
      <c r="M902" s="1277"/>
      <c r="N902" s="1277"/>
      <c r="O902" s="1277"/>
      <c r="P902" s="919"/>
      <c r="Q902" s="919"/>
      <c r="R902" s="1277"/>
      <c r="S902" s="1277"/>
      <c r="T902" s="1277"/>
      <c r="U902" s="1277"/>
      <c r="V902" s="1277"/>
      <c r="W902" s="1277"/>
      <c r="X902" s="1277"/>
    </row>
    <row r="903" spans="7:24">
      <c r="G903" s="921"/>
      <c r="H903" s="1277"/>
      <c r="I903" s="921"/>
      <c r="J903" s="1277"/>
      <c r="K903" s="921"/>
      <c r="L903" s="1277"/>
      <c r="M903" s="1277"/>
      <c r="N903" s="1277"/>
      <c r="O903" s="1277"/>
      <c r="P903" s="919"/>
      <c r="Q903" s="919"/>
      <c r="R903" s="1277"/>
      <c r="S903" s="1277"/>
      <c r="T903" s="1277"/>
      <c r="U903" s="1277"/>
      <c r="V903" s="1277"/>
      <c r="W903" s="1277"/>
      <c r="X903" s="1277"/>
    </row>
    <row r="904" spans="7:24">
      <c r="G904" s="921"/>
      <c r="H904" s="1277"/>
      <c r="I904" s="921"/>
      <c r="J904" s="1277"/>
      <c r="K904" s="921"/>
      <c r="L904" s="1277"/>
      <c r="M904" s="1277"/>
      <c r="N904" s="1277"/>
      <c r="O904" s="1277"/>
      <c r="P904" s="919"/>
      <c r="Q904" s="919"/>
      <c r="R904" s="1277"/>
      <c r="S904" s="1277"/>
      <c r="T904" s="1277"/>
      <c r="U904" s="1277"/>
      <c r="V904" s="1277"/>
      <c r="W904" s="1277"/>
      <c r="X904" s="1277"/>
    </row>
    <row r="905" spans="7:24">
      <c r="G905" s="921"/>
      <c r="H905" s="1277"/>
      <c r="I905" s="921"/>
      <c r="J905" s="1277"/>
      <c r="K905" s="921"/>
      <c r="L905" s="1277"/>
      <c r="M905" s="1277"/>
      <c r="N905" s="1277"/>
      <c r="O905" s="1277"/>
      <c r="P905" s="919"/>
      <c r="Q905" s="919"/>
      <c r="R905" s="1277"/>
      <c r="S905" s="1277"/>
      <c r="T905" s="1277"/>
      <c r="U905" s="1277"/>
      <c r="V905" s="1277"/>
      <c r="W905" s="1277"/>
      <c r="X905" s="1277"/>
    </row>
    <row r="906" spans="7:24">
      <c r="G906" s="921"/>
      <c r="H906" s="1277"/>
      <c r="I906" s="921"/>
      <c r="J906" s="1277"/>
      <c r="K906" s="921"/>
      <c r="L906" s="1277"/>
      <c r="M906" s="1277"/>
      <c r="N906" s="1277"/>
      <c r="O906" s="1277"/>
      <c r="P906" s="919"/>
      <c r="Q906" s="919"/>
      <c r="R906" s="1277"/>
      <c r="S906" s="1277"/>
      <c r="T906" s="1277"/>
      <c r="U906" s="1277"/>
      <c r="V906" s="1277"/>
      <c r="W906" s="1277"/>
      <c r="X906" s="1277"/>
    </row>
    <row r="907" spans="7:24">
      <c r="G907" s="921"/>
      <c r="H907" s="1277"/>
      <c r="I907" s="921"/>
      <c r="J907" s="1277"/>
      <c r="K907" s="921"/>
      <c r="L907" s="1277"/>
      <c r="M907" s="1277"/>
      <c r="N907" s="1277"/>
      <c r="O907" s="1277"/>
      <c r="P907" s="919"/>
      <c r="Q907" s="919"/>
      <c r="R907" s="1277"/>
      <c r="S907" s="1277"/>
      <c r="T907" s="1277"/>
      <c r="U907" s="1277"/>
      <c r="V907" s="1277"/>
      <c r="W907" s="1277"/>
      <c r="X907" s="1277"/>
    </row>
    <row r="908" spans="7:24">
      <c r="G908" s="921"/>
      <c r="H908" s="1277"/>
      <c r="I908" s="921"/>
      <c r="J908" s="1277"/>
      <c r="K908" s="921"/>
      <c r="L908" s="1277"/>
      <c r="M908" s="1277"/>
      <c r="N908" s="1277"/>
      <c r="O908" s="1277"/>
      <c r="P908" s="919"/>
      <c r="Q908" s="919"/>
      <c r="R908" s="1277"/>
      <c r="S908" s="1277"/>
      <c r="T908" s="1277"/>
      <c r="U908" s="1277"/>
      <c r="V908" s="1277"/>
      <c r="W908" s="1277"/>
      <c r="X908" s="1277"/>
    </row>
    <row r="909" spans="7:24">
      <c r="G909" s="921"/>
      <c r="H909" s="1277"/>
      <c r="I909" s="921"/>
      <c r="J909" s="1277"/>
      <c r="K909" s="921"/>
      <c r="L909" s="1277"/>
      <c r="M909" s="1277"/>
      <c r="N909" s="1277"/>
      <c r="O909" s="1277"/>
      <c r="P909" s="919"/>
      <c r="Q909" s="919"/>
      <c r="R909" s="1277"/>
      <c r="S909" s="1277"/>
      <c r="T909" s="1277"/>
      <c r="U909" s="1277"/>
      <c r="V909" s="1277"/>
      <c r="W909" s="1277"/>
      <c r="X909" s="1277"/>
    </row>
    <row r="910" spans="7:24">
      <c r="G910" s="921"/>
      <c r="H910" s="1277"/>
      <c r="I910" s="921"/>
      <c r="J910" s="1277"/>
      <c r="K910" s="921"/>
      <c r="L910" s="1277"/>
      <c r="M910" s="1277"/>
      <c r="N910" s="1277"/>
      <c r="O910" s="1277"/>
      <c r="P910" s="919"/>
      <c r="Q910" s="919"/>
      <c r="R910" s="1277"/>
      <c r="S910" s="1277"/>
      <c r="T910" s="1277"/>
      <c r="U910" s="1277"/>
      <c r="V910" s="1277"/>
      <c r="W910" s="1277"/>
      <c r="X910" s="1277"/>
    </row>
    <row r="911" spans="7:24">
      <c r="G911" s="921"/>
      <c r="H911" s="1277"/>
      <c r="I911" s="921"/>
      <c r="J911" s="1277"/>
      <c r="K911" s="921"/>
      <c r="L911" s="1277"/>
      <c r="M911" s="1277"/>
      <c r="N911" s="1277"/>
      <c r="O911" s="1277"/>
      <c r="P911" s="919"/>
      <c r="Q911" s="919"/>
      <c r="R911" s="1277"/>
      <c r="S911" s="1277"/>
      <c r="T911" s="1277"/>
      <c r="U911" s="1277"/>
      <c r="V911" s="1277"/>
      <c r="W911" s="1277"/>
      <c r="X911" s="1277"/>
    </row>
    <row r="912" spans="7:24">
      <c r="G912" s="921"/>
      <c r="H912" s="1277"/>
      <c r="I912" s="921"/>
      <c r="J912" s="1277"/>
      <c r="K912" s="921"/>
      <c r="L912" s="1277"/>
      <c r="M912" s="1277"/>
      <c r="N912" s="1277"/>
      <c r="O912" s="1277"/>
      <c r="P912" s="919"/>
      <c r="Q912" s="919"/>
      <c r="R912" s="1277"/>
      <c r="S912" s="1277"/>
      <c r="T912" s="1277"/>
      <c r="U912" s="1277"/>
      <c r="V912" s="1277"/>
      <c r="W912" s="1277"/>
      <c r="X912" s="1277"/>
    </row>
    <row r="913" spans="7:24">
      <c r="G913" s="921"/>
      <c r="H913" s="1277"/>
      <c r="I913" s="921"/>
      <c r="J913" s="1277"/>
      <c r="K913" s="921"/>
      <c r="L913" s="1277"/>
      <c r="M913" s="1277"/>
      <c r="N913" s="1277"/>
      <c r="O913" s="1277"/>
      <c r="P913" s="919"/>
      <c r="Q913" s="919"/>
      <c r="R913" s="1277"/>
      <c r="S913" s="1277"/>
      <c r="T913" s="1277"/>
      <c r="U913" s="1277"/>
      <c r="V913" s="1277"/>
      <c r="W913" s="1277"/>
      <c r="X913" s="1277"/>
    </row>
    <row r="914" spans="7:24">
      <c r="G914" s="921"/>
      <c r="H914" s="1277"/>
      <c r="I914" s="921"/>
      <c r="J914" s="1277"/>
      <c r="K914" s="921"/>
      <c r="L914" s="1277"/>
      <c r="M914" s="1277"/>
      <c r="N914" s="1277"/>
      <c r="O914" s="1277"/>
      <c r="P914" s="919"/>
      <c r="Q914" s="919"/>
      <c r="R914" s="1277"/>
      <c r="S914" s="1277"/>
      <c r="T914" s="1277"/>
      <c r="U914" s="1277"/>
      <c r="V914" s="1277"/>
      <c r="W914" s="1277"/>
      <c r="X914" s="1277"/>
    </row>
    <row r="915" spans="7:24">
      <c r="G915" s="921"/>
      <c r="H915" s="1277"/>
      <c r="I915" s="921"/>
      <c r="J915" s="1277"/>
      <c r="K915" s="921"/>
      <c r="L915" s="1277"/>
      <c r="M915" s="1277"/>
      <c r="N915" s="1277"/>
      <c r="O915" s="1277"/>
      <c r="P915" s="919"/>
      <c r="Q915" s="919"/>
      <c r="R915" s="1277"/>
      <c r="S915" s="1277"/>
      <c r="T915" s="1277"/>
      <c r="U915" s="1277"/>
      <c r="V915" s="1277"/>
      <c r="W915" s="1277"/>
      <c r="X915" s="1277"/>
    </row>
    <row r="916" spans="7:24">
      <c r="G916" s="921"/>
      <c r="H916" s="1277"/>
      <c r="I916" s="921"/>
      <c r="J916" s="1277"/>
      <c r="K916" s="921"/>
      <c r="L916" s="1277"/>
      <c r="M916" s="1277"/>
      <c r="N916" s="1277"/>
      <c r="O916" s="1277"/>
      <c r="P916" s="919"/>
      <c r="Q916" s="919"/>
      <c r="R916" s="1277"/>
      <c r="S916" s="1277"/>
      <c r="T916" s="1277"/>
      <c r="U916" s="1277"/>
      <c r="V916" s="1277"/>
      <c r="W916" s="1277"/>
      <c r="X916" s="1277"/>
    </row>
    <row r="917" spans="7:24">
      <c r="G917" s="921"/>
      <c r="H917" s="1277"/>
      <c r="I917" s="921"/>
      <c r="J917" s="1277"/>
      <c r="K917" s="921"/>
      <c r="L917" s="1277"/>
      <c r="M917" s="1277"/>
      <c r="N917" s="1277"/>
      <c r="O917" s="1277"/>
      <c r="P917" s="919"/>
      <c r="Q917" s="919"/>
      <c r="R917" s="1277"/>
      <c r="S917" s="1277"/>
      <c r="T917" s="1277"/>
      <c r="U917" s="1277"/>
      <c r="V917" s="1277"/>
      <c r="W917" s="1277"/>
      <c r="X917" s="1277"/>
    </row>
    <row r="918" spans="7:24">
      <c r="G918" s="921"/>
      <c r="H918" s="1277"/>
      <c r="I918" s="921"/>
      <c r="J918" s="1277"/>
      <c r="K918" s="921"/>
      <c r="L918" s="1277"/>
      <c r="M918" s="1277"/>
      <c r="N918" s="1277"/>
      <c r="O918" s="1277"/>
      <c r="P918" s="919"/>
      <c r="Q918" s="919"/>
      <c r="R918" s="1277"/>
      <c r="S918" s="1277"/>
      <c r="T918" s="1277"/>
      <c r="U918" s="1277"/>
      <c r="V918" s="1277"/>
      <c r="W918" s="1277"/>
      <c r="X918" s="1277"/>
    </row>
    <row r="919" spans="7:24">
      <c r="G919" s="921"/>
      <c r="H919" s="1277"/>
      <c r="I919" s="921"/>
      <c r="J919" s="1277"/>
      <c r="K919" s="921"/>
      <c r="L919" s="1277"/>
      <c r="M919" s="1277"/>
      <c r="N919" s="1277"/>
      <c r="O919" s="1277"/>
      <c r="P919" s="919"/>
      <c r="Q919" s="919"/>
      <c r="R919" s="1277"/>
      <c r="S919" s="1277"/>
      <c r="T919" s="1277"/>
      <c r="U919" s="1277"/>
      <c r="V919" s="1277"/>
      <c r="W919" s="1277"/>
      <c r="X919" s="1277"/>
    </row>
    <row r="920" spans="7:24">
      <c r="G920" s="921"/>
      <c r="H920" s="1277"/>
      <c r="I920" s="921"/>
      <c r="J920" s="1277"/>
      <c r="K920" s="921"/>
      <c r="L920" s="1277"/>
      <c r="M920" s="1277"/>
      <c r="N920" s="1277"/>
      <c r="O920" s="1277"/>
      <c r="P920" s="919"/>
      <c r="Q920" s="919"/>
      <c r="R920" s="1277"/>
      <c r="S920" s="1277"/>
      <c r="T920" s="1277"/>
      <c r="U920" s="1277"/>
      <c r="V920" s="1277"/>
      <c r="W920" s="1277"/>
      <c r="X920" s="1277"/>
    </row>
    <row r="921" spans="7:24">
      <c r="G921" s="921"/>
      <c r="H921" s="1277"/>
      <c r="I921" s="921"/>
      <c r="J921" s="1277"/>
      <c r="K921" s="921"/>
      <c r="L921" s="1277"/>
      <c r="M921" s="1277"/>
      <c r="N921" s="1277"/>
      <c r="O921" s="1277"/>
      <c r="P921" s="919"/>
      <c r="Q921" s="919"/>
      <c r="R921" s="1277"/>
      <c r="S921" s="1277"/>
      <c r="T921" s="1277"/>
      <c r="U921" s="1277"/>
      <c r="V921" s="1277"/>
      <c r="W921" s="1277"/>
      <c r="X921" s="1277"/>
    </row>
    <row r="922" spans="7:24">
      <c r="G922" s="921"/>
      <c r="H922" s="1277"/>
      <c r="I922" s="921"/>
      <c r="J922" s="1277"/>
      <c r="K922" s="921"/>
      <c r="L922" s="1277"/>
      <c r="M922" s="1277"/>
      <c r="N922" s="1277"/>
      <c r="O922" s="1277"/>
      <c r="P922" s="919"/>
      <c r="Q922" s="919"/>
      <c r="R922" s="1277"/>
      <c r="S922" s="1277"/>
      <c r="T922" s="1277"/>
      <c r="U922" s="1277"/>
      <c r="V922" s="1277"/>
      <c r="W922" s="1277"/>
      <c r="X922" s="1277"/>
    </row>
    <row r="923" spans="7:24">
      <c r="G923" s="921"/>
      <c r="H923" s="1277"/>
      <c r="I923" s="921"/>
      <c r="J923" s="1277"/>
      <c r="K923" s="921"/>
      <c r="L923" s="1277"/>
      <c r="M923" s="1277"/>
      <c r="N923" s="1277"/>
      <c r="O923" s="1277"/>
      <c r="P923" s="919"/>
      <c r="Q923" s="919"/>
      <c r="R923" s="1277"/>
      <c r="S923" s="1277"/>
      <c r="T923" s="1277"/>
      <c r="U923" s="1277"/>
      <c r="V923" s="1277"/>
      <c r="W923" s="1277"/>
      <c r="X923" s="1277"/>
    </row>
    <row r="924" spans="7:24">
      <c r="G924" s="921"/>
      <c r="H924" s="1277"/>
      <c r="I924" s="921"/>
      <c r="J924" s="1277"/>
      <c r="K924" s="921"/>
      <c r="L924" s="1277"/>
      <c r="M924" s="1277"/>
      <c r="N924" s="1277"/>
      <c r="O924" s="1277"/>
      <c r="P924" s="919"/>
      <c r="Q924" s="919"/>
      <c r="R924" s="1277"/>
      <c r="S924" s="1277"/>
      <c r="T924" s="1277"/>
      <c r="U924" s="1277"/>
      <c r="V924" s="1277"/>
      <c r="W924" s="1277"/>
      <c r="X924" s="1277"/>
    </row>
    <row r="925" spans="7:24">
      <c r="G925" s="921"/>
      <c r="H925" s="1277"/>
      <c r="I925" s="921"/>
      <c r="J925" s="1277"/>
      <c r="K925" s="921"/>
      <c r="L925" s="1277"/>
      <c r="M925" s="1277"/>
      <c r="N925" s="1277"/>
      <c r="O925" s="1277"/>
      <c r="P925" s="919"/>
      <c r="Q925" s="919"/>
      <c r="R925" s="1277"/>
      <c r="S925" s="1277"/>
      <c r="T925" s="1277"/>
      <c r="U925" s="1277"/>
      <c r="V925" s="1277"/>
      <c r="W925" s="1277"/>
      <c r="X925" s="1277"/>
    </row>
    <row r="926" spans="7:24">
      <c r="G926" s="921"/>
      <c r="H926" s="1277"/>
      <c r="I926" s="921"/>
      <c r="J926" s="1277"/>
      <c r="K926" s="921"/>
      <c r="L926" s="1277"/>
      <c r="M926" s="1277"/>
      <c r="N926" s="1277"/>
      <c r="O926" s="1277"/>
      <c r="P926" s="919"/>
      <c r="Q926" s="919"/>
      <c r="R926" s="1277"/>
      <c r="S926" s="1277"/>
      <c r="T926" s="1277"/>
      <c r="U926" s="1277"/>
      <c r="V926" s="1277"/>
      <c r="W926" s="1277"/>
      <c r="X926" s="1277"/>
    </row>
    <row r="927" spans="7:24">
      <c r="G927" s="921"/>
      <c r="H927" s="1277"/>
      <c r="I927" s="921"/>
      <c r="J927" s="1277"/>
      <c r="K927" s="921"/>
      <c r="L927" s="1277"/>
      <c r="M927" s="1277"/>
      <c r="N927" s="1277"/>
      <c r="O927" s="1277"/>
      <c r="P927" s="919"/>
      <c r="Q927" s="919"/>
      <c r="R927" s="1277"/>
      <c r="S927" s="1277"/>
      <c r="T927" s="1277"/>
      <c r="U927" s="1277"/>
      <c r="V927" s="1277"/>
      <c r="W927" s="1277"/>
      <c r="X927" s="1277"/>
    </row>
    <row r="928" spans="7:24">
      <c r="G928" s="921"/>
      <c r="H928" s="1277"/>
      <c r="I928" s="921"/>
      <c r="J928" s="1277"/>
      <c r="K928" s="921"/>
      <c r="L928" s="1277"/>
      <c r="M928" s="1277"/>
      <c r="N928" s="1277"/>
      <c r="O928" s="1277"/>
      <c r="P928" s="919"/>
      <c r="Q928" s="919"/>
      <c r="R928" s="1277"/>
      <c r="S928" s="1277"/>
      <c r="T928" s="1277"/>
      <c r="U928" s="1277"/>
      <c r="V928" s="1277"/>
      <c r="W928" s="1277"/>
      <c r="X928" s="1277"/>
    </row>
    <row r="929" spans="7:24">
      <c r="G929" s="921"/>
      <c r="H929" s="1277"/>
      <c r="I929" s="921"/>
      <c r="J929" s="1277"/>
      <c r="K929" s="921"/>
      <c r="L929" s="1277"/>
      <c r="M929" s="1277"/>
      <c r="N929" s="1277"/>
      <c r="O929" s="1277"/>
      <c r="P929" s="919"/>
      <c r="Q929" s="919"/>
      <c r="R929" s="1277"/>
      <c r="S929" s="1277"/>
      <c r="T929" s="1277"/>
      <c r="U929" s="1277"/>
      <c r="V929" s="1277"/>
      <c r="W929" s="1277"/>
      <c r="X929" s="1277"/>
    </row>
    <row r="930" spans="7:24">
      <c r="G930" s="921"/>
      <c r="H930" s="1277"/>
      <c r="I930" s="921"/>
      <c r="J930" s="1277"/>
      <c r="K930" s="921"/>
      <c r="L930" s="1277"/>
      <c r="M930" s="1277"/>
      <c r="N930" s="1277"/>
      <c r="O930" s="1277"/>
      <c r="P930" s="919"/>
      <c r="Q930" s="919"/>
      <c r="R930" s="1277"/>
      <c r="S930" s="1277"/>
      <c r="T930" s="1277"/>
      <c r="U930" s="1277"/>
      <c r="V930" s="1277"/>
      <c r="W930" s="1277"/>
      <c r="X930" s="1277"/>
    </row>
    <row r="931" spans="7:24">
      <c r="G931" s="921"/>
      <c r="H931" s="1277"/>
      <c r="I931" s="921"/>
      <c r="J931" s="1277"/>
      <c r="K931" s="921"/>
      <c r="L931" s="1277"/>
      <c r="M931" s="1277"/>
      <c r="N931" s="1277"/>
      <c r="O931" s="1277"/>
      <c r="P931" s="919"/>
      <c r="Q931" s="919"/>
      <c r="R931" s="1277"/>
      <c r="S931" s="1277"/>
      <c r="T931" s="1277"/>
      <c r="U931" s="1277"/>
      <c r="V931" s="1277"/>
      <c r="W931" s="1277"/>
      <c r="X931" s="1277"/>
    </row>
    <row r="932" spans="7:24">
      <c r="G932" s="921"/>
      <c r="H932" s="1277"/>
      <c r="I932" s="921"/>
      <c r="J932" s="1277"/>
      <c r="K932" s="921"/>
      <c r="L932" s="1277"/>
      <c r="M932" s="1277"/>
      <c r="N932" s="1277"/>
      <c r="O932" s="1277"/>
      <c r="P932" s="919"/>
      <c r="Q932" s="919"/>
      <c r="R932" s="1277"/>
      <c r="S932" s="1277"/>
      <c r="T932" s="1277"/>
      <c r="U932" s="1277"/>
      <c r="V932" s="1277"/>
      <c r="W932" s="1277"/>
      <c r="X932" s="1277"/>
    </row>
    <row r="933" spans="7:24">
      <c r="G933" s="921"/>
      <c r="H933" s="1277"/>
      <c r="I933" s="921"/>
      <c r="J933" s="1277"/>
      <c r="K933" s="921"/>
      <c r="L933" s="1277"/>
      <c r="M933" s="1277"/>
      <c r="N933" s="1277"/>
      <c r="O933" s="1277"/>
      <c r="P933" s="919"/>
      <c r="Q933" s="919"/>
      <c r="R933" s="1277"/>
      <c r="S933" s="1277"/>
      <c r="T933" s="1277"/>
      <c r="U933" s="1277"/>
      <c r="V933" s="1277"/>
      <c r="W933" s="1277"/>
      <c r="X933" s="1277"/>
    </row>
    <row r="934" spans="7:24">
      <c r="G934" s="921"/>
      <c r="H934" s="1277"/>
      <c r="I934" s="921"/>
      <c r="J934" s="1277"/>
      <c r="K934" s="921"/>
      <c r="L934" s="1277"/>
      <c r="M934" s="1277"/>
      <c r="N934" s="1277"/>
      <c r="O934" s="1277"/>
      <c r="P934" s="919"/>
      <c r="Q934" s="919"/>
      <c r="R934" s="1277"/>
      <c r="S934" s="1277"/>
      <c r="T934" s="1277"/>
      <c r="U934" s="1277"/>
      <c r="V934" s="1277"/>
      <c r="W934" s="1277"/>
      <c r="X934" s="1277"/>
    </row>
    <row r="935" spans="7:24">
      <c r="G935" s="921"/>
      <c r="H935" s="1277"/>
      <c r="I935" s="921"/>
      <c r="J935" s="1277"/>
      <c r="K935" s="921"/>
      <c r="L935" s="1277"/>
      <c r="M935" s="1277"/>
      <c r="N935" s="1277"/>
      <c r="O935" s="1277"/>
      <c r="P935" s="919"/>
      <c r="Q935" s="919"/>
      <c r="R935" s="1277"/>
      <c r="S935" s="1277"/>
      <c r="T935" s="1277"/>
      <c r="U935" s="1277"/>
      <c r="V935" s="1277"/>
      <c r="W935" s="1277"/>
      <c r="X935" s="1277"/>
    </row>
    <row r="936" spans="7:24">
      <c r="G936" s="921"/>
      <c r="H936" s="1277"/>
      <c r="I936" s="921"/>
      <c r="J936" s="1277"/>
      <c r="K936" s="921"/>
      <c r="L936" s="1277"/>
      <c r="M936" s="1277"/>
      <c r="N936" s="1277"/>
      <c r="O936" s="1277"/>
      <c r="P936" s="919"/>
      <c r="Q936" s="919"/>
      <c r="R936" s="1277"/>
      <c r="S936" s="1277"/>
      <c r="T936" s="1277"/>
      <c r="U936" s="1277"/>
      <c r="V936" s="1277"/>
      <c r="W936" s="1277"/>
      <c r="X936" s="1277"/>
    </row>
    <row r="937" spans="7:24">
      <c r="G937" s="921"/>
      <c r="H937" s="1277"/>
      <c r="I937" s="921"/>
      <c r="J937" s="1277"/>
      <c r="K937" s="921"/>
      <c r="L937" s="1277"/>
      <c r="M937" s="1277"/>
      <c r="N937" s="1277"/>
      <c r="O937" s="1277"/>
      <c r="P937" s="919"/>
      <c r="Q937" s="919"/>
      <c r="R937" s="1277"/>
      <c r="S937" s="1277"/>
      <c r="T937" s="1277"/>
      <c r="U937" s="1277"/>
      <c r="V937" s="1277"/>
      <c r="W937" s="1277"/>
      <c r="X937" s="1277"/>
    </row>
    <row r="938" spans="7:24">
      <c r="G938" s="921"/>
      <c r="H938" s="1277"/>
      <c r="I938" s="921"/>
      <c r="J938" s="1277"/>
      <c r="K938" s="921"/>
      <c r="L938" s="1277"/>
      <c r="M938" s="1277"/>
      <c r="N938" s="1277"/>
      <c r="O938" s="1277"/>
      <c r="P938" s="919"/>
      <c r="Q938" s="919"/>
      <c r="R938" s="1277"/>
      <c r="S938" s="1277"/>
      <c r="T938" s="1277"/>
      <c r="U938" s="1277"/>
      <c r="V938" s="1277"/>
      <c r="W938" s="1277"/>
      <c r="X938" s="1277"/>
    </row>
    <row r="939" spans="7:24">
      <c r="G939" s="921"/>
      <c r="H939" s="1277"/>
      <c r="I939" s="921"/>
      <c r="J939" s="1277"/>
      <c r="K939" s="921"/>
      <c r="L939" s="1277"/>
      <c r="M939" s="1277"/>
      <c r="N939" s="1277"/>
      <c r="O939" s="1277"/>
      <c r="P939" s="919"/>
      <c r="Q939" s="919"/>
      <c r="R939" s="1277"/>
      <c r="S939" s="1277"/>
      <c r="T939" s="1277"/>
      <c r="U939" s="1277"/>
      <c r="V939" s="1277"/>
      <c r="W939" s="1277"/>
      <c r="X939" s="1277"/>
    </row>
    <row r="940" spans="7:24">
      <c r="G940" s="921"/>
      <c r="H940" s="1277"/>
      <c r="I940" s="921"/>
      <c r="J940" s="1277"/>
      <c r="K940" s="921"/>
      <c r="L940" s="1277"/>
      <c r="M940" s="1277"/>
      <c r="N940" s="1277"/>
      <c r="O940" s="1277"/>
      <c r="P940" s="919"/>
      <c r="Q940" s="919"/>
      <c r="R940" s="1277"/>
      <c r="S940" s="1277"/>
      <c r="T940" s="1277"/>
      <c r="U940" s="1277"/>
      <c r="V940" s="1277"/>
      <c r="W940" s="1277"/>
      <c r="X940" s="1277"/>
    </row>
    <row r="941" spans="7:24">
      <c r="G941" s="921"/>
      <c r="H941" s="1277"/>
      <c r="I941" s="921"/>
      <c r="J941" s="1277"/>
      <c r="K941" s="921"/>
      <c r="L941" s="1277"/>
      <c r="M941" s="1277"/>
      <c r="N941" s="1277"/>
      <c r="O941" s="1277"/>
      <c r="P941" s="919"/>
      <c r="Q941" s="919"/>
      <c r="R941" s="1277"/>
      <c r="S941" s="1277"/>
      <c r="T941" s="1277"/>
      <c r="U941" s="1277"/>
      <c r="V941" s="1277"/>
      <c r="W941" s="1277"/>
      <c r="X941" s="1277"/>
    </row>
    <row r="942" spans="7:24">
      <c r="G942" s="921"/>
      <c r="H942" s="1277"/>
      <c r="I942" s="921"/>
      <c r="J942" s="1277"/>
      <c r="K942" s="921"/>
      <c r="L942" s="1277"/>
      <c r="M942" s="1277"/>
      <c r="N942" s="1277"/>
      <c r="O942" s="1277"/>
      <c r="P942" s="919"/>
      <c r="Q942" s="919"/>
      <c r="R942" s="1277"/>
      <c r="S942" s="1277"/>
      <c r="T942" s="1277"/>
      <c r="U942" s="1277"/>
      <c r="V942" s="1277"/>
      <c r="W942" s="1277"/>
      <c r="X942" s="1277"/>
    </row>
    <row r="943" spans="7:24">
      <c r="G943" s="921"/>
      <c r="H943" s="1277"/>
      <c r="I943" s="921"/>
      <c r="J943" s="1277"/>
      <c r="K943" s="921"/>
      <c r="L943" s="1277"/>
      <c r="M943" s="1277"/>
      <c r="N943" s="1277"/>
      <c r="O943" s="1277"/>
      <c r="P943" s="919"/>
      <c r="Q943" s="919"/>
      <c r="R943" s="1277"/>
      <c r="S943" s="1277"/>
      <c r="T943" s="1277"/>
      <c r="U943" s="1277"/>
      <c r="V943" s="1277"/>
      <c r="W943" s="1277"/>
      <c r="X943" s="1277"/>
    </row>
    <row r="944" spans="7:24">
      <c r="G944" s="921"/>
      <c r="H944" s="1277"/>
      <c r="I944" s="921"/>
      <c r="J944" s="1277"/>
      <c r="K944" s="921"/>
      <c r="L944" s="1277"/>
      <c r="M944" s="1277"/>
      <c r="N944" s="1277"/>
      <c r="O944" s="1277"/>
      <c r="P944" s="919"/>
      <c r="Q944" s="919"/>
      <c r="R944" s="1277"/>
      <c r="S944" s="1277"/>
      <c r="T944" s="1277"/>
      <c r="U944" s="1277"/>
      <c r="V944" s="1277"/>
      <c r="W944" s="1277"/>
      <c r="X944" s="1277"/>
    </row>
    <row r="945" spans="7:24">
      <c r="G945" s="921"/>
      <c r="H945" s="1277"/>
      <c r="I945" s="921"/>
      <c r="J945" s="1277"/>
      <c r="K945" s="921"/>
      <c r="L945" s="1277"/>
      <c r="M945" s="1277"/>
      <c r="N945" s="1277"/>
      <c r="O945" s="1277"/>
      <c r="P945" s="919"/>
      <c r="Q945" s="919"/>
      <c r="R945" s="1277"/>
      <c r="S945" s="1277"/>
      <c r="T945" s="1277"/>
      <c r="U945" s="1277"/>
      <c r="V945" s="1277"/>
      <c r="W945" s="1277"/>
      <c r="X945" s="1277"/>
    </row>
    <row r="946" spans="7:24">
      <c r="G946" s="921"/>
      <c r="H946" s="1277"/>
      <c r="I946" s="921"/>
      <c r="J946" s="1277"/>
      <c r="K946" s="921"/>
      <c r="L946" s="1277"/>
      <c r="M946" s="1277"/>
      <c r="N946" s="1277"/>
      <c r="O946" s="1277"/>
      <c r="P946" s="919"/>
      <c r="Q946" s="919"/>
      <c r="R946" s="1277"/>
      <c r="S946" s="1277"/>
      <c r="T946" s="1277"/>
      <c r="U946" s="1277"/>
      <c r="V946" s="1277"/>
      <c r="W946" s="1277"/>
      <c r="X946" s="1277"/>
    </row>
    <row r="947" spans="7:24">
      <c r="G947" s="921"/>
      <c r="H947" s="1277"/>
      <c r="I947" s="921"/>
      <c r="J947" s="1277"/>
      <c r="K947" s="921"/>
      <c r="L947" s="1277"/>
      <c r="M947" s="1277"/>
      <c r="N947" s="1277"/>
      <c r="O947" s="1277"/>
      <c r="P947" s="919"/>
      <c r="Q947" s="919"/>
      <c r="R947" s="1277"/>
      <c r="S947" s="1277"/>
      <c r="T947" s="1277"/>
      <c r="U947" s="1277"/>
      <c r="V947" s="1277"/>
      <c r="W947" s="1277"/>
      <c r="X947" s="1277"/>
    </row>
    <row r="948" spans="7:24">
      <c r="G948" s="921"/>
      <c r="H948" s="1277"/>
      <c r="I948" s="921"/>
      <c r="J948" s="1277"/>
      <c r="K948" s="921"/>
      <c r="L948" s="1277"/>
      <c r="M948" s="1277"/>
      <c r="N948" s="1277"/>
      <c r="O948" s="1277"/>
      <c r="P948" s="919"/>
      <c r="Q948" s="919"/>
      <c r="R948" s="1277"/>
      <c r="S948" s="1277"/>
      <c r="T948" s="1277"/>
      <c r="U948" s="1277"/>
      <c r="V948" s="1277"/>
      <c r="W948" s="1277"/>
      <c r="X948" s="1277"/>
    </row>
    <row r="949" spans="7:24">
      <c r="G949" s="921"/>
      <c r="H949" s="1277"/>
      <c r="I949" s="921"/>
      <c r="J949" s="1277"/>
      <c r="K949" s="921"/>
      <c r="L949" s="1277"/>
      <c r="M949" s="1277"/>
      <c r="N949" s="1277"/>
      <c r="O949" s="1277"/>
      <c r="P949" s="919"/>
      <c r="Q949" s="919"/>
      <c r="R949" s="1277"/>
      <c r="S949" s="1277"/>
      <c r="T949" s="1277"/>
      <c r="U949" s="1277"/>
      <c r="V949" s="1277"/>
      <c r="W949" s="1277"/>
      <c r="X949" s="1277"/>
    </row>
    <row r="950" spans="7:24">
      <c r="G950" s="921"/>
      <c r="H950" s="1277"/>
      <c r="I950" s="921"/>
      <c r="J950" s="1277"/>
      <c r="K950" s="921"/>
      <c r="L950" s="1277"/>
      <c r="M950" s="1277"/>
      <c r="N950" s="1277"/>
      <c r="O950" s="1277"/>
      <c r="P950" s="919"/>
      <c r="Q950" s="919"/>
      <c r="R950" s="1277"/>
      <c r="S950" s="1277"/>
      <c r="T950" s="1277"/>
      <c r="U950" s="1277"/>
      <c r="V950" s="1277"/>
      <c r="W950" s="1277"/>
      <c r="X950" s="1277"/>
    </row>
    <row r="951" spans="7:24">
      <c r="G951" s="921"/>
      <c r="H951" s="1277"/>
      <c r="I951" s="921"/>
      <c r="J951" s="1277"/>
      <c r="K951" s="921"/>
      <c r="L951" s="1277"/>
      <c r="M951" s="1277"/>
      <c r="N951" s="1277"/>
      <c r="O951" s="1277"/>
      <c r="P951" s="919"/>
      <c r="Q951" s="919"/>
      <c r="R951" s="1277"/>
      <c r="S951" s="1277"/>
      <c r="T951" s="1277"/>
      <c r="U951" s="1277"/>
      <c r="V951" s="1277"/>
      <c r="W951" s="1277"/>
      <c r="X951" s="1277"/>
    </row>
    <row r="952" spans="7:24">
      <c r="G952" s="921"/>
      <c r="H952" s="1277"/>
      <c r="I952" s="921"/>
      <c r="J952" s="1277"/>
      <c r="K952" s="921"/>
      <c r="L952" s="1277"/>
      <c r="M952" s="1277"/>
      <c r="N952" s="1277"/>
      <c r="O952" s="1277"/>
      <c r="P952" s="919"/>
      <c r="Q952" s="919"/>
      <c r="R952" s="1277"/>
      <c r="S952" s="1277"/>
      <c r="T952" s="1277"/>
      <c r="U952" s="1277"/>
      <c r="V952" s="1277"/>
      <c r="W952" s="1277"/>
      <c r="X952" s="1277"/>
    </row>
    <row r="953" spans="7:24">
      <c r="G953" s="921"/>
      <c r="H953" s="1277"/>
      <c r="I953" s="921"/>
      <c r="J953" s="1277"/>
      <c r="K953" s="921"/>
      <c r="L953" s="1277"/>
      <c r="M953" s="1277"/>
      <c r="N953" s="1277"/>
      <c r="O953" s="1277"/>
      <c r="P953" s="919"/>
      <c r="Q953" s="919"/>
      <c r="R953" s="1277"/>
      <c r="S953" s="1277"/>
      <c r="T953" s="1277"/>
      <c r="U953" s="1277"/>
      <c r="V953" s="1277"/>
      <c r="W953" s="1277"/>
      <c r="X953" s="1277"/>
    </row>
    <row r="954" spans="7:24">
      <c r="G954" s="921"/>
      <c r="H954" s="1277"/>
      <c r="I954" s="921"/>
      <c r="J954" s="1277"/>
      <c r="K954" s="921"/>
      <c r="L954" s="1277"/>
      <c r="M954" s="1277"/>
      <c r="N954" s="1277"/>
      <c r="O954" s="1277"/>
      <c r="P954" s="919"/>
      <c r="Q954" s="919"/>
      <c r="R954" s="1277"/>
      <c r="S954" s="1277"/>
      <c r="T954" s="1277"/>
      <c r="U954" s="1277"/>
      <c r="V954" s="1277"/>
      <c r="W954" s="1277"/>
      <c r="X954" s="1277"/>
    </row>
    <row r="955" spans="7:24">
      <c r="G955" s="921"/>
      <c r="H955" s="1277"/>
      <c r="I955" s="921"/>
      <c r="J955" s="1277"/>
      <c r="K955" s="921"/>
      <c r="L955" s="1277"/>
      <c r="M955" s="1277"/>
      <c r="N955" s="1277"/>
      <c r="O955" s="1277"/>
      <c r="P955" s="919"/>
      <c r="Q955" s="919"/>
      <c r="R955" s="1277"/>
      <c r="S955" s="1277"/>
      <c r="T955" s="1277"/>
      <c r="U955" s="1277"/>
      <c r="V955" s="1277"/>
      <c r="W955" s="1277"/>
      <c r="X955" s="1277"/>
    </row>
    <row r="956" spans="7:24">
      <c r="G956" s="921"/>
      <c r="H956" s="1277"/>
      <c r="I956" s="921"/>
      <c r="J956" s="1277"/>
      <c r="K956" s="921"/>
      <c r="L956" s="1277"/>
      <c r="M956" s="1277"/>
      <c r="N956" s="1277"/>
      <c r="O956" s="1277"/>
      <c r="P956" s="919"/>
      <c r="Q956" s="919"/>
      <c r="R956" s="1277"/>
      <c r="S956" s="1277"/>
      <c r="T956" s="1277"/>
      <c r="U956" s="1277"/>
      <c r="V956" s="1277"/>
      <c r="W956" s="1277"/>
      <c r="X956" s="1277"/>
    </row>
    <row r="957" spans="7:24">
      <c r="G957" s="921"/>
      <c r="H957" s="1277"/>
      <c r="I957" s="921"/>
      <c r="J957" s="1277"/>
      <c r="K957" s="921"/>
      <c r="L957" s="1277"/>
      <c r="M957" s="1277"/>
      <c r="N957" s="1277"/>
      <c r="O957" s="1277"/>
      <c r="P957" s="919"/>
      <c r="Q957" s="919"/>
      <c r="R957" s="1277"/>
      <c r="S957" s="1277"/>
      <c r="T957" s="1277"/>
      <c r="U957" s="1277"/>
      <c r="V957" s="1277"/>
      <c r="W957" s="1277"/>
      <c r="X957" s="1277"/>
    </row>
    <row r="958" spans="7:24">
      <c r="G958" s="921"/>
      <c r="H958" s="1277"/>
      <c r="I958" s="921"/>
      <c r="J958" s="1277"/>
      <c r="K958" s="921"/>
      <c r="L958" s="1277"/>
      <c r="M958" s="1277"/>
      <c r="N958" s="1277"/>
      <c r="O958" s="1277"/>
      <c r="P958" s="919"/>
      <c r="Q958" s="919"/>
      <c r="R958" s="1277"/>
      <c r="S958" s="1277"/>
      <c r="T958" s="1277"/>
      <c r="U958" s="1277"/>
      <c r="V958" s="1277"/>
      <c r="W958" s="1277"/>
      <c r="X958" s="1277"/>
    </row>
    <row r="959" spans="7:24">
      <c r="G959" s="921"/>
      <c r="H959" s="1277"/>
      <c r="I959" s="921"/>
      <c r="J959" s="1277"/>
      <c r="K959" s="921"/>
      <c r="L959" s="1277"/>
      <c r="M959" s="1277"/>
      <c r="N959" s="1277"/>
      <c r="O959" s="1277"/>
      <c r="P959" s="919"/>
      <c r="Q959" s="919"/>
      <c r="R959" s="1277"/>
      <c r="S959" s="1277"/>
      <c r="T959" s="1277"/>
      <c r="U959" s="1277"/>
      <c r="V959" s="1277"/>
      <c r="W959" s="1277"/>
      <c r="X959" s="1277"/>
    </row>
    <row r="960" spans="7:24">
      <c r="G960" s="921"/>
      <c r="H960" s="1277"/>
      <c r="I960" s="921"/>
      <c r="J960" s="1277"/>
      <c r="K960" s="921"/>
      <c r="L960" s="1277"/>
      <c r="M960" s="1277"/>
      <c r="N960" s="1277"/>
      <c r="O960" s="1277"/>
      <c r="P960" s="919"/>
      <c r="Q960" s="919"/>
      <c r="R960" s="1277"/>
      <c r="S960" s="1277"/>
      <c r="T960" s="1277"/>
      <c r="U960" s="1277"/>
      <c r="V960" s="1277"/>
      <c r="W960" s="1277"/>
      <c r="X960" s="1277"/>
    </row>
    <row r="961" spans="7:24">
      <c r="G961" s="921"/>
      <c r="H961" s="1277"/>
      <c r="I961" s="921"/>
      <c r="J961" s="1277"/>
      <c r="K961" s="921"/>
      <c r="L961" s="1277"/>
      <c r="M961" s="1277"/>
      <c r="N961" s="1277"/>
      <c r="O961" s="1277"/>
      <c r="P961" s="919"/>
      <c r="Q961" s="919"/>
      <c r="R961" s="1277"/>
      <c r="S961" s="1277"/>
      <c r="T961" s="1277"/>
      <c r="U961" s="1277"/>
      <c r="V961" s="1277"/>
      <c r="W961" s="1277"/>
      <c r="X961" s="1277"/>
    </row>
    <row r="962" spans="7:24">
      <c r="G962" s="921"/>
      <c r="H962" s="1277"/>
      <c r="I962" s="921"/>
      <c r="J962" s="1277"/>
      <c r="K962" s="921"/>
      <c r="L962" s="1277"/>
      <c r="M962" s="1277"/>
      <c r="N962" s="1277"/>
      <c r="O962" s="1277"/>
      <c r="P962" s="919"/>
      <c r="Q962" s="919"/>
      <c r="R962" s="1277"/>
      <c r="S962" s="1277"/>
      <c r="T962" s="1277"/>
      <c r="U962" s="1277"/>
      <c r="V962" s="1277"/>
      <c r="W962" s="1277"/>
      <c r="X962" s="1277"/>
    </row>
    <row r="963" spans="7:24">
      <c r="G963" s="921"/>
      <c r="H963" s="1277"/>
      <c r="I963" s="921"/>
      <c r="J963" s="1277"/>
      <c r="K963" s="921"/>
      <c r="L963" s="1277"/>
      <c r="M963" s="1277"/>
      <c r="N963" s="1277"/>
      <c r="O963" s="1277"/>
      <c r="P963" s="919"/>
      <c r="Q963" s="919"/>
      <c r="R963" s="1277"/>
      <c r="S963" s="1277"/>
      <c r="T963" s="1277"/>
      <c r="U963" s="1277"/>
      <c r="V963" s="1277"/>
      <c r="W963" s="1277"/>
      <c r="X963" s="1277"/>
    </row>
    <row r="964" spans="7:24">
      <c r="G964" s="921"/>
      <c r="H964" s="1277"/>
      <c r="I964" s="921"/>
      <c r="J964" s="1277"/>
      <c r="K964" s="921"/>
      <c r="L964" s="1277"/>
      <c r="M964" s="1277"/>
      <c r="N964" s="1277"/>
      <c r="O964" s="1277"/>
      <c r="P964" s="919"/>
      <c r="Q964" s="919"/>
      <c r="R964" s="1277"/>
      <c r="S964" s="1277"/>
      <c r="T964" s="1277"/>
      <c r="U964" s="1277"/>
      <c r="V964" s="1277"/>
      <c r="W964" s="1277"/>
      <c r="X964" s="1277"/>
    </row>
    <row r="965" spans="7:24">
      <c r="G965" s="921"/>
      <c r="H965" s="1277"/>
      <c r="I965" s="921"/>
      <c r="J965" s="1277"/>
      <c r="K965" s="921"/>
      <c r="L965" s="1277"/>
      <c r="M965" s="1277"/>
      <c r="N965" s="1277"/>
      <c r="O965" s="1277"/>
      <c r="P965" s="919"/>
      <c r="Q965" s="919"/>
      <c r="R965" s="1277"/>
      <c r="S965" s="1277"/>
      <c r="T965" s="1277"/>
      <c r="U965" s="1277"/>
      <c r="V965" s="1277"/>
      <c r="W965" s="1277"/>
      <c r="X965" s="1277"/>
    </row>
    <row r="966" spans="7:24">
      <c r="G966" s="921"/>
      <c r="H966" s="1277"/>
      <c r="I966" s="921"/>
      <c r="J966" s="1277"/>
      <c r="K966" s="921"/>
      <c r="L966" s="1277"/>
      <c r="M966" s="1277"/>
      <c r="N966" s="1277"/>
      <c r="O966" s="1277"/>
      <c r="P966" s="919"/>
      <c r="Q966" s="919"/>
      <c r="R966" s="1277"/>
      <c r="S966" s="1277"/>
      <c r="T966" s="1277"/>
      <c r="U966" s="1277"/>
      <c r="V966" s="1277"/>
      <c r="W966" s="1277"/>
      <c r="X966" s="1277"/>
    </row>
    <row r="967" spans="7:24">
      <c r="G967" s="921"/>
      <c r="H967" s="1277"/>
      <c r="I967" s="921"/>
      <c r="J967" s="1277"/>
      <c r="K967" s="921"/>
      <c r="L967" s="1277"/>
      <c r="M967" s="1277"/>
      <c r="N967" s="1277"/>
      <c r="O967" s="1277"/>
      <c r="P967" s="919"/>
      <c r="Q967" s="919"/>
      <c r="R967" s="1277"/>
      <c r="S967" s="1277"/>
      <c r="T967" s="1277"/>
      <c r="U967" s="1277"/>
      <c r="V967" s="1277"/>
      <c r="W967" s="1277"/>
      <c r="X967" s="1277"/>
    </row>
    <row r="968" spans="7:24">
      <c r="G968" s="921"/>
      <c r="H968" s="1277"/>
      <c r="I968" s="921"/>
      <c r="J968" s="1277"/>
      <c r="K968" s="921"/>
      <c r="L968" s="1277"/>
      <c r="M968" s="1277"/>
      <c r="N968" s="1277"/>
      <c r="O968" s="1277"/>
      <c r="P968" s="919"/>
      <c r="Q968" s="919"/>
      <c r="R968" s="1277"/>
      <c r="S968" s="1277"/>
      <c r="T968" s="1277"/>
      <c r="U968" s="1277"/>
      <c r="V968" s="1277"/>
      <c r="W968" s="1277"/>
      <c r="X968" s="1277"/>
    </row>
    <row r="969" spans="7:24">
      <c r="G969" s="921"/>
      <c r="H969" s="1277"/>
      <c r="I969" s="921"/>
      <c r="J969" s="1277"/>
      <c r="K969" s="921"/>
      <c r="L969" s="1277"/>
      <c r="M969" s="1277"/>
      <c r="N969" s="1277"/>
      <c r="O969" s="1277"/>
      <c r="P969" s="919"/>
      <c r="Q969" s="919"/>
      <c r="R969" s="1277"/>
      <c r="S969" s="1277"/>
      <c r="T969" s="1277"/>
      <c r="U969" s="1277"/>
      <c r="V969" s="1277"/>
      <c r="W969" s="1277"/>
      <c r="X969" s="1277"/>
    </row>
    <row r="970" spans="7:24">
      <c r="G970" s="921"/>
      <c r="H970" s="1277"/>
      <c r="I970" s="921"/>
      <c r="J970" s="1277"/>
      <c r="K970" s="921"/>
      <c r="L970" s="1277"/>
      <c r="M970" s="1277"/>
      <c r="N970" s="1277"/>
      <c r="O970" s="1277"/>
      <c r="P970" s="919"/>
      <c r="Q970" s="919"/>
      <c r="R970" s="1277"/>
      <c r="S970" s="1277"/>
      <c r="T970" s="1277"/>
      <c r="U970" s="1277"/>
      <c r="V970" s="1277"/>
      <c r="W970" s="1277"/>
      <c r="X970" s="1277"/>
    </row>
    <row r="971" spans="7:24">
      <c r="G971" s="921"/>
      <c r="H971" s="1277"/>
      <c r="I971" s="921"/>
      <c r="J971" s="1277"/>
      <c r="K971" s="921"/>
      <c r="L971" s="1277"/>
      <c r="M971" s="1277"/>
      <c r="N971" s="1277"/>
      <c r="O971" s="1277"/>
      <c r="P971" s="919"/>
      <c r="Q971" s="919"/>
      <c r="R971" s="1277"/>
      <c r="S971" s="1277"/>
      <c r="T971" s="1277"/>
      <c r="U971" s="1277"/>
      <c r="V971" s="1277"/>
      <c r="W971" s="1277"/>
      <c r="X971" s="1277"/>
    </row>
    <row r="972" spans="7:24">
      <c r="G972" s="921"/>
      <c r="H972" s="1277"/>
      <c r="I972" s="921"/>
      <c r="J972" s="1277"/>
      <c r="K972" s="921"/>
      <c r="L972" s="1277"/>
      <c r="M972" s="1277"/>
      <c r="N972" s="1277"/>
      <c r="O972" s="1277"/>
      <c r="P972" s="919"/>
      <c r="Q972" s="919"/>
      <c r="R972" s="1277"/>
      <c r="S972" s="1277"/>
      <c r="T972" s="1277"/>
      <c r="U972" s="1277"/>
      <c r="V972" s="1277"/>
      <c r="W972" s="1277"/>
      <c r="X972" s="1277"/>
    </row>
    <row r="973" spans="7:24">
      <c r="G973" s="921"/>
      <c r="H973" s="1277"/>
      <c r="I973" s="921"/>
      <c r="J973" s="1277"/>
      <c r="K973" s="921"/>
      <c r="L973" s="1277"/>
      <c r="M973" s="1277"/>
      <c r="N973" s="1277"/>
      <c r="O973" s="1277"/>
      <c r="P973" s="919"/>
      <c r="Q973" s="919"/>
      <c r="R973" s="1277"/>
      <c r="S973" s="1277"/>
      <c r="T973" s="1277"/>
      <c r="U973" s="1277"/>
      <c r="V973" s="1277"/>
      <c r="W973" s="1277"/>
      <c r="X973" s="1277"/>
    </row>
    <row r="974" spans="7:24">
      <c r="G974" s="921"/>
      <c r="H974" s="1277"/>
      <c r="I974" s="921"/>
      <c r="J974" s="1277"/>
      <c r="K974" s="921"/>
      <c r="L974" s="1277"/>
      <c r="M974" s="1277"/>
      <c r="N974" s="1277"/>
      <c r="O974" s="1277"/>
      <c r="P974" s="919"/>
      <c r="Q974" s="919"/>
      <c r="R974" s="1277"/>
      <c r="S974" s="1277"/>
      <c r="T974" s="1277"/>
      <c r="U974" s="1277"/>
      <c r="V974" s="1277"/>
      <c r="W974" s="1277"/>
      <c r="X974" s="1277"/>
    </row>
    <row r="975" spans="7:24">
      <c r="G975" s="921"/>
      <c r="H975" s="1277"/>
      <c r="I975" s="921"/>
      <c r="J975" s="1277"/>
      <c r="K975" s="921"/>
      <c r="L975" s="1277"/>
      <c r="M975" s="1277"/>
      <c r="N975" s="1277"/>
      <c r="O975" s="1277"/>
      <c r="P975" s="919"/>
      <c r="Q975" s="919"/>
      <c r="R975" s="1277"/>
      <c r="S975" s="1277"/>
      <c r="T975" s="1277"/>
      <c r="U975" s="1277"/>
      <c r="V975" s="1277"/>
      <c r="W975" s="1277"/>
      <c r="X975" s="1277"/>
    </row>
    <row r="976" spans="7:24">
      <c r="G976" s="921"/>
      <c r="H976" s="1277"/>
      <c r="I976" s="921"/>
      <c r="J976" s="1277"/>
      <c r="K976" s="921"/>
      <c r="L976" s="1277"/>
      <c r="M976" s="1277"/>
      <c r="N976" s="1277"/>
      <c r="O976" s="1277"/>
      <c r="P976" s="919"/>
      <c r="Q976" s="919"/>
      <c r="R976" s="1277"/>
      <c r="S976" s="1277"/>
      <c r="T976" s="1277"/>
      <c r="U976" s="1277"/>
      <c r="V976" s="1277"/>
      <c r="W976" s="1277"/>
      <c r="X976" s="1277"/>
    </row>
    <row r="977" spans="7:24">
      <c r="G977" s="921"/>
      <c r="H977" s="1277"/>
      <c r="I977" s="921"/>
      <c r="J977" s="1277"/>
      <c r="K977" s="921"/>
      <c r="L977" s="1277"/>
      <c r="M977" s="1277"/>
      <c r="N977" s="1277"/>
      <c r="O977" s="1277"/>
      <c r="P977" s="919"/>
      <c r="Q977" s="919"/>
      <c r="R977" s="1277"/>
      <c r="S977" s="1277"/>
      <c r="T977" s="1277"/>
      <c r="U977" s="1277"/>
      <c r="V977" s="1277"/>
      <c r="W977" s="1277"/>
      <c r="X977" s="1277"/>
    </row>
    <row r="978" spans="7:24">
      <c r="G978" s="921"/>
      <c r="H978" s="1277"/>
      <c r="I978" s="921"/>
      <c r="J978" s="1277"/>
      <c r="K978" s="921"/>
      <c r="L978" s="1277"/>
      <c r="M978" s="1277"/>
      <c r="N978" s="1277"/>
      <c r="O978" s="1277"/>
      <c r="P978" s="919"/>
      <c r="Q978" s="919"/>
      <c r="R978" s="1277"/>
      <c r="S978" s="1277"/>
      <c r="T978" s="1277"/>
      <c r="U978" s="1277"/>
      <c r="V978" s="1277"/>
      <c r="W978" s="1277"/>
      <c r="X978" s="1277"/>
    </row>
    <row r="979" spans="7:24">
      <c r="G979" s="921"/>
      <c r="H979" s="1277"/>
      <c r="I979" s="921"/>
      <c r="J979" s="1277"/>
      <c r="K979" s="921"/>
      <c r="L979" s="1277"/>
      <c r="M979" s="1277"/>
      <c r="N979" s="1277"/>
      <c r="O979" s="1277"/>
      <c r="P979" s="919"/>
      <c r="Q979" s="919"/>
      <c r="R979" s="1277"/>
      <c r="S979" s="1277"/>
      <c r="T979" s="1277"/>
      <c r="U979" s="1277"/>
      <c r="V979" s="1277"/>
      <c r="W979" s="1277"/>
      <c r="X979" s="1277"/>
    </row>
    <row r="980" spans="7:24">
      <c r="G980" s="921"/>
      <c r="H980" s="1277"/>
      <c r="I980" s="921"/>
      <c r="J980" s="1277"/>
      <c r="K980" s="921"/>
      <c r="L980" s="1277"/>
      <c r="M980" s="1277"/>
      <c r="N980" s="1277"/>
      <c r="O980" s="1277"/>
      <c r="P980" s="919"/>
      <c r="Q980" s="919"/>
      <c r="R980" s="1277"/>
      <c r="S980" s="1277"/>
      <c r="T980" s="1277"/>
      <c r="U980" s="1277"/>
      <c r="V980" s="1277"/>
      <c r="W980" s="1277"/>
      <c r="X980" s="1277"/>
    </row>
    <row r="981" spans="7:24">
      <c r="G981" s="921"/>
      <c r="H981" s="1277"/>
      <c r="I981" s="921"/>
      <c r="J981" s="1277"/>
      <c r="K981" s="921"/>
      <c r="L981" s="1277"/>
      <c r="M981" s="1277"/>
      <c r="N981" s="1277"/>
      <c r="O981" s="1277"/>
      <c r="P981" s="919"/>
      <c r="Q981" s="919"/>
      <c r="R981" s="1277"/>
      <c r="S981" s="1277"/>
      <c r="T981" s="1277"/>
      <c r="U981" s="1277"/>
      <c r="V981" s="1277"/>
      <c r="W981" s="1277"/>
      <c r="X981" s="1277"/>
    </row>
    <row r="982" spans="7:24">
      <c r="G982" s="921"/>
      <c r="H982" s="1277"/>
      <c r="I982" s="921"/>
      <c r="J982" s="1277"/>
      <c r="K982" s="921"/>
      <c r="L982" s="1277"/>
      <c r="M982" s="1277"/>
      <c r="N982" s="1277"/>
      <c r="O982" s="1277"/>
      <c r="P982" s="919"/>
      <c r="Q982" s="919"/>
      <c r="R982" s="1277"/>
      <c r="S982" s="1277"/>
      <c r="T982" s="1277"/>
      <c r="U982" s="1277"/>
      <c r="V982" s="1277"/>
      <c r="W982" s="1277"/>
      <c r="X982" s="1277"/>
    </row>
    <row r="983" spans="7:24">
      <c r="G983" s="921"/>
      <c r="H983" s="1277"/>
      <c r="I983" s="921"/>
      <c r="J983" s="1277"/>
      <c r="K983" s="921"/>
      <c r="L983" s="1277"/>
      <c r="M983" s="1277"/>
      <c r="N983" s="1277"/>
      <c r="O983" s="1277"/>
      <c r="P983" s="919"/>
      <c r="Q983" s="919"/>
      <c r="R983" s="1277"/>
      <c r="S983" s="1277"/>
      <c r="T983" s="1277"/>
      <c r="U983" s="1277"/>
      <c r="V983" s="1277"/>
      <c r="W983" s="1277"/>
      <c r="X983" s="1277"/>
    </row>
    <row r="984" spans="7:24">
      <c r="G984" s="921"/>
      <c r="H984" s="1277"/>
      <c r="I984" s="921"/>
      <c r="J984" s="1277"/>
      <c r="K984" s="921"/>
      <c r="L984" s="1277"/>
      <c r="M984" s="1277"/>
      <c r="N984" s="1277"/>
      <c r="O984" s="1277"/>
      <c r="P984" s="919"/>
      <c r="Q984" s="919"/>
      <c r="R984" s="1277"/>
      <c r="S984" s="1277"/>
      <c r="T984" s="1277"/>
      <c r="U984" s="1277"/>
      <c r="V984" s="1277"/>
      <c r="W984" s="1277"/>
      <c r="X984" s="1277"/>
    </row>
    <row r="985" spans="7:24">
      <c r="G985" s="921"/>
      <c r="H985" s="1277"/>
      <c r="I985" s="921"/>
      <c r="J985" s="1277"/>
      <c r="K985" s="921"/>
      <c r="L985" s="1277"/>
      <c r="M985" s="1277"/>
      <c r="N985" s="1277"/>
      <c r="O985" s="1277"/>
      <c r="P985" s="919"/>
      <c r="Q985" s="919"/>
      <c r="R985" s="1277"/>
      <c r="S985" s="1277"/>
      <c r="T985" s="1277"/>
      <c r="U985" s="1277"/>
      <c r="V985" s="1277"/>
      <c r="W985" s="1277"/>
      <c r="X985" s="1277"/>
    </row>
    <row r="986" spans="7:24">
      <c r="G986" s="921"/>
      <c r="H986" s="1277"/>
      <c r="I986" s="921"/>
      <c r="J986" s="1277"/>
      <c r="K986" s="921"/>
      <c r="L986" s="1277"/>
      <c r="M986" s="1277"/>
      <c r="N986" s="1277"/>
      <c r="O986" s="1277"/>
      <c r="P986" s="919"/>
      <c r="Q986" s="919"/>
      <c r="R986" s="1277"/>
      <c r="S986" s="1277"/>
      <c r="T986" s="1277"/>
      <c r="U986" s="1277"/>
      <c r="V986" s="1277"/>
      <c r="W986" s="1277"/>
      <c r="X986" s="1277"/>
    </row>
    <row r="987" spans="7:24">
      <c r="G987" s="921"/>
      <c r="H987" s="1277"/>
      <c r="I987" s="921"/>
      <c r="J987" s="1277"/>
      <c r="K987" s="921"/>
      <c r="L987" s="1277"/>
      <c r="M987" s="1277"/>
      <c r="N987" s="1277"/>
      <c r="O987" s="1277"/>
      <c r="P987" s="919"/>
      <c r="Q987" s="919"/>
      <c r="R987" s="1277"/>
      <c r="S987" s="1277"/>
      <c r="T987" s="1277"/>
      <c r="U987" s="1277"/>
      <c r="V987" s="1277"/>
      <c r="W987" s="1277"/>
      <c r="X987" s="1277"/>
    </row>
    <row r="988" spans="7:24">
      <c r="G988" s="921"/>
      <c r="H988" s="1277"/>
      <c r="I988" s="921"/>
      <c r="J988" s="1277"/>
      <c r="K988" s="921"/>
      <c r="L988" s="1277"/>
      <c r="M988" s="1277"/>
      <c r="N988" s="1277"/>
      <c r="O988" s="1277"/>
      <c r="P988" s="919"/>
      <c r="Q988" s="919"/>
      <c r="R988" s="1277"/>
      <c r="S988" s="1277"/>
      <c r="T988" s="1277"/>
      <c r="U988" s="1277"/>
      <c r="V988" s="1277"/>
      <c r="W988" s="1277"/>
      <c r="X988" s="1277"/>
    </row>
    <row r="989" spans="7:24">
      <c r="G989" s="921"/>
      <c r="H989" s="1277"/>
      <c r="I989" s="921"/>
      <c r="J989" s="1277"/>
      <c r="K989" s="921"/>
      <c r="L989" s="1277"/>
      <c r="M989" s="1277"/>
      <c r="N989" s="1277"/>
      <c r="O989" s="1277"/>
      <c r="P989" s="919"/>
      <c r="Q989" s="919"/>
      <c r="R989" s="1277"/>
      <c r="S989" s="1277"/>
      <c r="T989" s="1277"/>
      <c r="U989" s="1277"/>
      <c r="V989" s="1277"/>
      <c r="W989" s="1277"/>
      <c r="X989" s="1277"/>
    </row>
    <row r="990" spans="7:24">
      <c r="G990" s="921"/>
      <c r="H990" s="1277"/>
      <c r="I990" s="921"/>
      <c r="J990" s="1277"/>
      <c r="K990" s="921"/>
      <c r="L990" s="1277"/>
      <c r="M990" s="1277"/>
      <c r="N990" s="1277"/>
      <c r="O990" s="1277"/>
      <c r="P990" s="919"/>
      <c r="Q990" s="919"/>
      <c r="R990" s="1277"/>
      <c r="S990" s="1277"/>
      <c r="T990" s="1277"/>
      <c r="U990" s="1277"/>
      <c r="V990" s="1277"/>
      <c r="W990" s="1277"/>
      <c r="X990" s="1277"/>
    </row>
    <row r="991" spans="7:24">
      <c r="G991" s="921"/>
      <c r="H991" s="1277"/>
      <c r="I991" s="921"/>
      <c r="J991" s="1277"/>
      <c r="K991" s="921"/>
      <c r="L991" s="1277"/>
      <c r="M991" s="1277"/>
      <c r="N991" s="1277"/>
      <c r="O991" s="1277"/>
      <c r="P991" s="919"/>
      <c r="Q991" s="919"/>
      <c r="R991" s="1277"/>
      <c r="S991" s="1277"/>
      <c r="T991" s="1277"/>
      <c r="U991" s="1277"/>
      <c r="V991" s="1277"/>
      <c r="W991" s="1277"/>
      <c r="X991" s="1277"/>
    </row>
    <row r="992" spans="7:24">
      <c r="G992" s="921"/>
      <c r="H992" s="1277"/>
      <c r="I992" s="921"/>
      <c r="J992" s="1277"/>
      <c r="K992" s="921"/>
      <c r="L992" s="1277"/>
      <c r="M992" s="1277"/>
      <c r="N992" s="1277"/>
      <c r="O992" s="1277"/>
      <c r="P992" s="919"/>
      <c r="Q992" s="919"/>
      <c r="R992" s="1277"/>
      <c r="S992" s="1277"/>
      <c r="T992" s="1277"/>
      <c r="U992" s="1277"/>
      <c r="V992" s="1277"/>
      <c r="W992" s="1277"/>
      <c r="X992" s="1277"/>
    </row>
    <row r="993" spans="7:24">
      <c r="G993" s="921"/>
      <c r="H993" s="1277"/>
      <c r="I993" s="921"/>
      <c r="J993" s="1277"/>
      <c r="K993" s="921"/>
      <c r="L993" s="1277"/>
      <c r="M993" s="1277"/>
      <c r="N993" s="1277"/>
      <c r="O993" s="1277"/>
      <c r="P993" s="919"/>
      <c r="Q993" s="919"/>
      <c r="R993" s="1277"/>
      <c r="S993" s="1277"/>
      <c r="T993" s="1277"/>
      <c r="U993" s="1277"/>
      <c r="V993" s="1277"/>
      <c r="W993" s="1277"/>
      <c r="X993" s="1277"/>
    </row>
    <row r="994" spans="7:24">
      <c r="G994" s="921"/>
      <c r="H994" s="1277"/>
      <c r="I994" s="921"/>
      <c r="J994" s="1277"/>
      <c r="K994" s="921"/>
      <c r="L994" s="1277"/>
      <c r="M994" s="1277"/>
      <c r="N994" s="1277"/>
      <c r="O994" s="1277"/>
      <c r="P994" s="919"/>
      <c r="Q994" s="919"/>
      <c r="R994" s="1277"/>
      <c r="S994" s="1277"/>
      <c r="T994" s="1277"/>
      <c r="U994" s="1277"/>
      <c r="V994" s="1277"/>
      <c r="W994" s="1277"/>
      <c r="X994" s="1277"/>
    </row>
    <row r="995" spans="7:24">
      <c r="G995" s="921"/>
      <c r="H995" s="1277"/>
      <c r="I995" s="921"/>
      <c r="J995" s="1277"/>
      <c r="K995" s="921"/>
      <c r="L995" s="1277"/>
      <c r="M995" s="1277"/>
      <c r="N995" s="1277"/>
      <c r="O995" s="1277"/>
      <c r="P995" s="919"/>
      <c r="Q995" s="919"/>
      <c r="R995" s="1277"/>
      <c r="S995" s="1277"/>
      <c r="T995" s="1277"/>
      <c r="U995" s="1277"/>
      <c r="V995" s="1277"/>
      <c r="W995" s="1277"/>
      <c r="X995" s="1277"/>
    </row>
    <row r="996" spans="7:24">
      <c r="G996" s="921"/>
      <c r="H996" s="1277"/>
      <c r="I996" s="921"/>
      <c r="J996" s="1277"/>
      <c r="K996" s="921"/>
      <c r="L996" s="1277"/>
      <c r="M996" s="1277"/>
      <c r="N996" s="1277"/>
      <c r="O996" s="1277"/>
      <c r="P996" s="919"/>
      <c r="Q996" s="919"/>
      <c r="R996" s="1277"/>
      <c r="S996" s="1277"/>
      <c r="T996" s="1277"/>
      <c r="U996" s="1277"/>
      <c r="V996" s="1277"/>
      <c r="W996" s="1277"/>
      <c r="X996" s="1277"/>
    </row>
    <row r="997" spans="7:24">
      <c r="G997" s="921"/>
      <c r="H997" s="1277"/>
      <c r="I997" s="921"/>
      <c r="J997" s="1277"/>
      <c r="K997" s="921"/>
      <c r="L997" s="1277"/>
      <c r="M997" s="1277"/>
      <c r="N997" s="1277"/>
      <c r="O997" s="1277"/>
      <c r="P997" s="919"/>
      <c r="Q997" s="919"/>
      <c r="R997" s="1277"/>
      <c r="S997" s="1277"/>
      <c r="T997" s="1277"/>
      <c r="U997" s="1277"/>
      <c r="V997" s="1277"/>
      <c r="W997" s="1277"/>
      <c r="X997" s="1277"/>
    </row>
    <row r="998" spans="7:24">
      <c r="G998" s="921"/>
      <c r="H998" s="1277"/>
      <c r="I998" s="921"/>
      <c r="J998" s="1277"/>
      <c r="K998" s="921"/>
      <c r="L998" s="1277"/>
      <c r="M998" s="1277"/>
      <c r="N998" s="1277"/>
      <c r="O998" s="1277"/>
      <c r="P998" s="919"/>
      <c r="Q998" s="919"/>
      <c r="R998" s="1277"/>
      <c r="S998" s="1277"/>
      <c r="T998" s="1277"/>
      <c r="U998" s="1277"/>
      <c r="V998" s="1277"/>
      <c r="W998" s="1277"/>
      <c r="X998" s="1277"/>
    </row>
    <row r="999" spans="7:24">
      <c r="G999" s="921"/>
      <c r="H999" s="1277"/>
      <c r="I999" s="921"/>
      <c r="J999" s="1277"/>
      <c r="K999" s="921"/>
      <c r="L999" s="1277"/>
      <c r="M999" s="1277"/>
      <c r="N999" s="1277"/>
      <c r="O999" s="1277"/>
      <c r="P999" s="919"/>
      <c r="Q999" s="919"/>
      <c r="R999" s="1277"/>
      <c r="S999" s="1277"/>
      <c r="T999" s="1277"/>
      <c r="U999" s="1277"/>
      <c r="V999" s="1277"/>
      <c r="W999" s="1277"/>
      <c r="X999" s="1277"/>
    </row>
    <row r="1000" spans="7:24">
      <c r="G1000" s="921"/>
      <c r="H1000" s="1277"/>
      <c r="I1000" s="921"/>
      <c r="J1000" s="1277"/>
      <c r="K1000" s="921"/>
      <c r="L1000" s="1277"/>
      <c r="M1000" s="1277"/>
      <c r="N1000" s="1277"/>
      <c r="O1000" s="1277"/>
      <c r="P1000" s="919"/>
      <c r="Q1000" s="919"/>
      <c r="R1000" s="1277"/>
      <c r="S1000" s="1277"/>
      <c r="T1000" s="1277"/>
      <c r="U1000" s="1277"/>
      <c r="V1000" s="1277"/>
      <c r="W1000" s="1277"/>
      <c r="X1000" s="1277"/>
    </row>
    <row r="1001" spans="7:24">
      <c r="G1001" s="921"/>
      <c r="H1001" s="1277"/>
      <c r="I1001" s="921"/>
      <c r="J1001" s="1277"/>
      <c r="K1001" s="921"/>
      <c r="L1001" s="1277"/>
      <c r="M1001" s="1277"/>
      <c r="N1001" s="1277"/>
      <c r="O1001" s="1277"/>
      <c r="P1001" s="919"/>
      <c r="Q1001" s="919"/>
      <c r="R1001" s="1277"/>
      <c r="S1001" s="1277"/>
      <c r="T1001" s="1277"/>
      <c r="U1001" s="1277"/>
      <c r="V1001" s="1277"/>
      <c r="W1001" s="1277"/>
      <c r="X1001" s="1277"/>
    </row>
    <row r="1002" spans="7:24">
      <c r="G1002" s="921"/>
      <c r="H1002" s="1277"/>
      <c r="I1002" s="921"/>
      <c r="J1002" s="1277"/>
      <c r="K1002" s="921"/>
      <c r="L1002" s="1277"/>
      <c r="M1002" s="1277"/>
      <c r="N1002" s="1277"/>
      <c r="O1002" s="1277"/>
      <c r="P1002" s="919"/>
      <c r="Q1002" s="919"/>
      <c r="R1002" s="1277"/>
      <c r="S1002" s="1277"/>
      <c r="T1002" s="1277"/>
      <c r="U1002" s="1277"/>
      <c r="V1002" s="1277"/>
      <c r="W1002" s="1277"/>
      <c r="X1002" s="1277"/>
    </row>
    <row r="1003" spans="7:24">
      <c r="G1003" s="921"/>
      <c r="H1003" s="1277"/>
      <c r="I1003" s="921"/>
      <c r="J1003" s="1277"/>
      <c r="K1003" s="921"/>
      <c r="L1003" s="1277"/>
      <c r="M1003" s="1277"/>
      <c r="N1003" s="1277"/>
      <c r="O1003" s="1277"/>
      <c r="P1003" s="919"/>
      <c r="Q1003" s="919"/>
      <c r="R1003" s="1277"/>
      <c r="S1003" s="1277"/>
      <c r="T1003" s="1277"/>
      <c r="U1003" s="1277"/>
      <c r="V1003" s="1277"/>
      <c r="W1003" s="1277"/>
      <c r="X1003" s="1277"/>
    </row>
    <row r="1004" spans="7:24">
      <c r="G1004" s="921"/>
      <c r="H1004" s="1277"/>
      <c r="I1004" s="921"/>
      <c r="J1004" s="1277"/>
      <c r="K1004" s="921"/>
      <c r="L1004" s="1277"/>
      <c r="M1004" s="1277"/>
      <c r="N1004" s="1277"/>
      <c r="O1004" s="1277"/>
      <c r="P1004" s="919"/>
      <c r="Q1004" s="919"/>
      <c r="R1004" s="1277"/>
      <c r="S1004" s="1277"/>
      <c r="T1004" s="1277"/>
      <c r="U1004" s="1277"/>
      <c r="V1004" s="1277"/>
      <c r="W1004" s="1277"/>
      <c r="X1004" s="1277"/>
    </row>
    <row r="1005" spans="7:24">
      <c r="G1005" s="921"/>
      <c r="H1005" s="1277"/>
      <c r="I1005" s="921"/>
      <c r="J1005" s="1277"/>
      <c r="K1005" s="921"/>
      <c r="L1005" s="1277"/>
      <c r="M1005" s="1277"/>
      <c r="N1005" s="1277"/>
      <c r="O1005" s="1277"/>
      <c r="P1005" s="919"/>
      <c r="Q1005" s="919"/>
      <c r="R1005" s="1277"/>
      <c r="S1005" s="1277"/>
      <c r="T1005" s="1277"/>
      <c r="U1005" s="1277"/>
      <c r="V1005" s="1277"/>
      <c r="W1005" s="1277"/>
      <c r="X1005" s="1277"/>
    </row>
    <row r="1006" spans="7:24">
      <c r="G1006" s="921"/>
      <c r="H1006" s="1277"/>
      <c r="I1006" s="921"/>
      <c r="J1006" s="1277"/>
      <c r="K1006" s="921"/>
      <c r="L1006" s="1277"/>
      <c r="M1006" s="1277"/>
      <c r="N1006" s="1277"/>
      <c r="O1006" s="1277"/>
      <c r="P1006" s="919"/>
      <c r="Q1006" s="919"/>
      <c r="R1006" s="1277"/>
      <c r="S1006" s="1277"/>
      <c r="T1006" s="1277"/>
      <c r="U1006" s="1277"/>
      <c r="V1006" s="1277"/>
      <c r="W1006" s="1277"/>
      <c r="X1006" s="1277"/>
    </row>
    <row r="1007" spans="7:24">
      <c r="G1007" s="921"/>
      <c r="H1007" s="1277"/>
      <c r="I1007" s="921"/>
      <c r="J1007" s="1277"/>
      <c r="K1007" s="921"/>
      <c r="L1007" s="1277"/>
      <c r="M1007" s="1277"/>
      <c r="N1007" s="1277"/>
      <c r="O1007" s="1277"/>
      <c r="P1007" s="919"/>
      <c r="Q1007" s="919"/>
      <c r="R1007" s="1277"/>
      <c r="S1007" s="1277"/>
      <c r="T1007" s="1277"/>
      <c r="U1007" s="1277"/>
      <c r="V1007" s="1277"/>
      <c r="W1007" s="1277"/>
      <c r="X1007" s="1277"/>
    </row>
    <row r="1008" spans="7:24">
      <c r="G1008" s="921"/>
      <c r="H1008" s="1277"/>
      <c r="I1008" s="921"/>
      <c r="J1008" s="1277"/>
      <c r="K1008" s="921"/>
      <c r="L1008" s="1277"/>
      <c r="M1008" s="1277"/>
      <c r="N1008" s="1277"/>
      <c r="O1008" s="1277"/>
      <c r="P1008" s="919"/>
      <c r="Q1008" s="919"/>
      <c r="R1008" s="1277"/>
      <c r="S1008" s="1277"/>
      <c r="T1008" s="1277"/>
      <c r="U1008" s="1277"/>
      <c r="V1008" s="1277"/>
      <c r="W1008" s="1277"/>
      <c r="X1008" s="1277"/>
    </row>
    <row r="1009" spans="7:24">
      <c r="G1009" s="921"/>
      <c r="H1009" s="1277"/>
      <c r="I1009" s="921"/>
      <c r="J1009" s="1277"/>
      <c r="K1009" s="921"/>
      <c r="L1009" s="1277"/>
      <c r="M1009" s="1277"/>
      <c r="N1009" s="1277"/>
      <c r="O1009" s="1277"/>
      <c r="P1009" s="919"/>
      <c r="Q1009" s="919"/>
      <c r="R1009" s="1277"/>
      <c r="S1009" s="1277"/>
      <c r="T1009" s="1277"/>
      <c r="U1009" s="1277"/>
      <c r="V1009" s="1277"/>
      <c r="W1009" s="1277"/>
      <c r="X1009" s="1277"/>
    </row>
    <row r="1010" spans="7:24">
      <c r="G1010" s="921"/>
      <c r="H1010" s="1277"/>
      <c r="I1010" s="921"/>
      <c r="J1010" s="1277"/>
      <c r="K1010" s="921"/>
      <c r="L1010" s="1277"/>
      <c r="M1010" s="1277"/>
      <c r="N1010" s="1277"/>
      <c r="O1010" s="1277"/>
      <c r="P1010" s="919"/>
      <c r="Q1010" s="919"/>
      <c r="R1010" s="1277"/>
      <c r="S1010" s="1277"/>
      <c r="T1010" s="1277"/>
      <c r="U1010" s="1277"/>
      <c r="V1010" s="1277"/>
      <c r="W1010" s="1277"/>
      <c r="X1010" s="1277"/>
    </row>
    <row r="1011" spans="7:24">
      <c r="G1011" s="921"/>
      <c r="H1011" s="1277"/>
      <c r="I1011" s="921"/>
      <c r="J1011" s="1277"/>
      <c r="K1011" s="921"/>
      <c r="L1011" s="1277"/>
      <c r="M1011" s="1277"/>
      <c r="N1011" s="1277"/>
      <c r="O1011" s="1277"/>
      <c r="P1011" s="919"/>
      <c r="Q1011" s="919"/>
      <c r="R1011" s="1277"/>
      <c r="S1011" s="1277"/>
      <c r="T1011" s="1277"/>
      <c r="U1011" s="1277"/>
      <c r="V1011" s="1277"/>
      <c r="W1011" s="1277"/>
      <c r="X1011" s="1277"/>
    </row>
    <row r="1012" spans="7:24">
      <c r="G1012" s="921"/>
      <c r="H1012" s="1277"/>
      <c r="I1012" s="921"/>
      <c r="J1012" s="1277"/>
      <c r="K1012" s="921"/>
      <c r="L1012" s="1277"/>
      <c r="M1012" s="1277"/>
      <c r="N1012" s="1277"/>
      <c r="O1012" s="1277"/>
      <c r="P1012" s="919"/>
      <c r="Q1012" s="919"/>
      <c r="R1012" s="1277"/>
      <c r="S1012" s="1277"/>
      <c r="T1012" s="1277"/>
      <c r="U1012" s="1277"/>
      <c r="V1012" s="1277"/>
      <c r="W1012" s="1277"/>
      <c r="X1012" s="1277"/>
    </row>
    <row r="1013" spans="7:24">
      <c r="G1013" s="921"/>
      <c r="H1013" s="1277"/>
      <c r="I1013" s="921"/>
      <c r="J1013" s="1277"/>
      <c r="K1013" s="921"/>
      <c r="L1013" s="1277"/>
      <c r="M1013" s="1277"/>
      <c r="N1013" s="1277"/>
      <c r="O1013" s="1277"/>
      <c r="P1013" s="919"/>
      <c r="Q1013" s="919"/>
      <c r="R1013" s="1277"/>
      <c r="S1013" s="1277"/>
      <c r="T1013" s="1277"/>
      <c r="U1013" s="1277"/>
      <c r="V1013" s="1277"/>
      <c r="W1013" s="1277"/>
      <c r="X1013" s="1277"/>
    </row>
    <row r="1014" spans="7:24">
      <c r="G1014" s="921"/>
      <c r="H1014" s="1277"/>
      <c r="I1014" s="921"/>
      <c r="J1014" s="1277"/>
      <c r="K1014" s="921"/>
      <c r="L1014" s="1277"/>
      <c r="M1014" s="1277"/>
      <c r="N1014" s="1277"/>
      <c r="O1014" s="1277"/>
      <c r="P1014" s="919"/>
      <c r="Q1014" s="919"/>
      <c r="R1014" s="1277"/>
      <c r="S1014" s="1277"/>
      <c r="T1014" s="1277"/>
      <c r="U1014" s="1277"/>
      <c r="V1014" s="1277"/>
      <c r="W1014" s="1277"/>
      <c r="X1014" s="1277"/>
    </row>
    <row r="1015" spans="7:24">
      <c r="G1015" s="921"/>
      <c r="H1015" s="1277"/>
      <c r="I1015" s="921"/>
      <c r="J1015" s="1277"/>
      <c r="K1015" s="921"/>
      <c r="L1015" s="1277"/>
      <c r="M1015" s="1277"/>
      <c r="N1015" s="1277"/>
      <c r="O1015" s="1277"/>
      <c r="P1015" s="919"/>
      <c r="Q1015" s="919"/>
      <c r="R1015" s="1277"/>
      <c r="S1015" s="1277"/>
      <c r="T1015" s="1277"/>
      <c r="U1015" s="1277"/>
      <c r="V1015" s="1277"/>
      <c r="W1015" s="1277"/>
      <c r="X1015" s="1277"/>
    </row>
    <row r="1016" spans="7:24">
      <c r="G1016" s="921"/>
      <c r="H1016" s="1277"/>
      <c r="I1016" s="921"/>
      <c r="J1016" s="1277"/>
      <c r="K1016" s="921"/>
      <c r="L1016" s="1277"/>
      <c r="M1016" s="1277"/>
      <c r="N1016" s="1277"/>
      <c r="O1016" s="1277"/>
      <c r="P1016" s="919"/>
      <c r="Q1016" s="919"/>
      <c r="R1016" s="1277"/>
      <c r="S1016" s="1277"/>
      <c r="T1016" s="1277"/>
      <c r="U1016" s="1277"/>
      <c r="V1016" s="1277"/>
      <c r="W1016" s="1277"/>
      <c r="X1016" s="1277"/>
    </row>
    <row r="1017" spans="7:24">
      <c r="G1017" s="921"/>
      <c r="H1017" s="1277"/>
      <c r="I1017" s="921"/>
      <c r="J1017" s="1277"/>
      <c r="K1017" s="921"/>
      <c r="L1017" s="1277"/>
      <c r="M1017" s="1277"/>
      <c r="N1017" s="1277"/>
      <c r="O1017" s="1277"/>
      <c r="P1017" s="919"/>
      <c r="Q1017" s="919"/>
      <c r="R1017" s="1277"/>
      <c r="S1017" s="1277"/>
      <c r="T1017" s="1277"/>
      <c r="U1017" s="1277"/>
      <c r="V1017" s="1277"/>
      <c r="W1017" s="1277"/>
      <c r="X1017" s="1277"/>
    </row>
    <row r="1018" spans="7:24">
      <c r="G1018" s="921"/>
      <c r="H1018" s="1277"/>
      <c r="I1018" s="921"/>
      <c r="J1018" s="1277"/>
      <c r="K1018" s="921"/>
      <c r="L1018" s="1277"/>
      <c r="M1018" s="1277"/>
      <c r="N1018" s="1277"/>
      <c r="O1018" s="1277"/>
      <c r="P1018" s="919"/>
      <c r="Q1018" s="919"/>
      <c r="R1018" s="1277"/>
      <c r="S1018" s="1277"/>
      <c r="T1018" s="1277"/>
      <c r="U1018" s="1277"/>
      <c r="V1018" s="1277"/>
      <c r="W1018" s="1277"/>
      <c r="X1018" s="1277"/>
    </row>
    <row r="1019" spans="7:24">
      <c r="G1019" s="921"/>
      <c r="H1019" s="1277"/>
      <c r="I1019" s="921"/>
      <c r="J1019" s="1277"/>
      <c r="K1019" s="921"/>
      <c r="L1019" s="1277"/>
      <c r="M1019" s="1277"/>
      <c r="N1019" s="1277"/>
      <c r="O1019" s="1277"/>
      <c r="P1019" s="919"/>
      <c r="Q1019" s="919"/>
      <c r="R1019" s="1277"/>
      <c r="S1019" s="1277"/>
      <c r="T1019" s="1277"/>
      <c r="U1019" s="1277"/>
      <c r="V1019" s="1277"/>
      <c r="W1019" s="1277"/>
      <c r="X1019" s="1277"/>
    </row>
    <row r="1020" spans="7:24">
      <c r="G1020" s="921"/>
      <c r="H1020" s="1277"/>
      <c r="I1020" s="921"/>
      <c r="J1020" s="1277"/>
      <c r="K1020" s="921"/>
      <c r="L1020" s="1277"/>
      <c r="M1020" s="1277"/>
      <c r="N1020" s="1277"/>
      <c r="O1020" s="1277"/>
      <c r="P1020" s="919"/>
      <c r="Q1020" s="919"/>
      <c r="R1020" s="1277"/>
      <c r="S1020" s="1277"/>
      <c r="T1020" s="1277"/>
      <c r="U1020" s="1277"/>
      <c r="V1020" s="1277"/>
      <c r="W1020" s="1277"/>
      <c r="X1020" s="1277"/>
    </row>
    <row r="1021" spans="7:24">
      <c r="G1021" s="921"/>
      <c r="H1021" s="1277"/>
      <c r="I1021" s="921"/>
      <c r="J1021" s="1277"/>
      <c r="K1021" s="921"/>
      <c r="L1021" s="1277"/>
      <c r="M1021" s="1277"/>
      <c r="N1021" s="1277"/>
      <c r="O1021" s="1277"/>
      <c r="P1021" s="919"/>
      <c r="Q1021" s="919"/>
      <c r="R1021" s="1277"/>
      <c r="S1021" s="1277"/>
      <c r="T1021" s="1277"/>
      <c r="U1021" s="1277"/>
      <c r="V1021" s="1277"/>
      <c r="W1021" s="1277"/>
      <c r="X1021" s="1277"/>
    </row>
    <row r="1022" spans="7:24">
      <c r="G1022" s="921"/>
      <c r="H1022" s="1277"/>
      <c r="I1022" s="921"/>
      <c r="J1022" s="1277"/>
      <c r="K1022" s="921"/>
      <c r="L1022" s="1277"/>
      <c r="M1022" s="1277"/>
      <c r="N1022" s="1277"/>
      <c r="O1022" s="1277"/>
      <c r="P1022" s="919"/>
      <c r="Q1022" s="919"/>
      <c r="R1022" s="1277"/>
      <c r="S1022" s="1277"/>
      <c r="T1022" s="1277"/>
      <c r="U1022" s="1277"/>
      <c r="V1022" s="1277"/>
      <c r="W1022" s="1277"/>
      <c r="X1022" s="1277"/>
    </row>
    <row r="1023" spans="7:24">
      <c r="G1023" s="921"/>
      <c r="H1023" s="1277"/>
      <c r="I1023" s="921"/>
      <c r="J1023" s="1277"/>
      <c r="K1023" s="921"/>
      <c r="L1023" s="1277"/>
      <c r="M1023" s="1277"/>
      <c r="N1023" s="1277"/>
      <c r="O1023" s="1277"/>
      <c r="P1023" s="919"/>
      <c r="Q1023" s="919"/>
      <c r="R1023" s="1277"/>
      <c r="S1023" s="1277"/>
      <c r="T1023" s="1277"/>
      <c r="U1023" s="1277"/>
      <c r="V1023" s="1277"/>
      <c r="W1023" s="1277"/>
      <c r="X1023" s="1277"/>
    </row>
    <row r="1024" spans="7:24">
      <c r="G1024" s="921"/>
      <c r="H1024" s="1277"/>
      <c r="I1024" s="921"/>
      <c r="J1024" s="1277"/>
      <c r="K1024" s="921"/>
      <c r="L1024" s="1277"/>
      <c r="M1024" s="1277"/>
      <c r="N1024" s="1277"/>
      <c r="O1024" s="1277"/>
      <c r="P1024" s="919"/>
      <c r="Q1024" s="919"/>
      <c r="R1024" s="1277"/>
      <c r="S1024" s="1277"/>
      <c r="T1024" s="1277"/>
      <c r="U1024" s="1277"/>
      <c r="V1024" s="1277"/>
      <c r="W1024" s="1277"/>
      <c r="X1024" s="1277"/>
    </row>
    <row r="1025" spans="7:24">
      <c r="G1025" s="921"/>
      <c r="H1025" s="1277"/>
      <c r="I1025" s="921"/>
      <c r="J1025" s="1277"/>
      <c r="K1025" s="921"/>
      <c r="L1025" s="1277"/>
      <c r="M1025" s="1277"/>
      <c r="N1025" s="1277"/>
      <c r="O1025" s="1277"/>
      <c r="P1025" s="919"/>
      <c r="Q1025" s="919"/>
      <c r="R1025" s="1277"/>
      <c r="S1025" s="1277"/>
      <c r="T1025" s="1277"/>
      <c r="U1025" s="1277"/>
      <c r="V1025" s="1277"/>
      <c r="W1025" s="1277"/>
      <c r="X1025" s="1277"/>
    </row>
    <row r="1026" spans="7:24">
      <c r="G1026" s="921"/>
      <c r="H1026" s="1277"/>
      <c r="I1026" s="921"/>
      <c r="J1026" s="1277"/>
      <c r="K1026" s="921"/>
      <c r="L1026" s="1277"/>
      <c r="M1026" s="1277"/>
      <c r="N1026" s="1277"/>
      <c r="O1026" s="1277"/>
      <c r="P1026" s="919"/>
      <c r="Q1026" s="919"/>
      <c r="R1026" s="1277"/>
      <c r="S1026" s="1277"/>
      <c r="T1026" s="1277"/>
      <c r="U1026" s="1277"/>
      <c r="V1026" s="1277"/>
      <c r="W1026" s="1277"/>
      <c r="X1026" s="1277"/>
    </row>
    <row r="1027" spans="7:24">
      <c r="G1027" s="921"/>
      <c r="H1027" s="1277"/>
      <c r="I1027" s="921"/>
      <c r="J1027" s="1277"/>
      <c r="K1027" s="921"/>
      <c r="L1027" s="1277"/>
      <c r="M1027" s="1277"/>
      <c r="N1027" s="1277"/>
      <c r="O1027" s="1277"/>
      <c r="P1027" s="919"/>
      <c r="Q1027" s="919"/>
      <c r="R1027" s="1277"/>
      <c r="S1027" s="1277"/>
      <c r="T1027" s="1277"/>
      <c r="U1027" s="1277"/>
      <c r="V1027" s="1277"/>
      <c r="W1027" s="1277"/>
      <c r="X1027" s="1277"/>
    </row>
    <row r="1028" spans="7:24">
      <c r="G1028" s="921"/>
      <c r="H1028" s="1277"/>
      <c r="I1028" s="921"/>
      <c r="J1028" s="1277"/>
      <c r="K1028" s="921"/>
      <c r="L1028" s="1277"/>
      <c r="M1028" s="1277"/>
      <c r="N1028" s="1277"/>
      <c r="O1028" s="1277"/>
      <c r="P1028" s="919"/>
      <c r="Q1028" s="919"/>
      <c r="R1028" s="1277"/>
      <c r="S1028" s="1277"/>
      <c r="T1028" s="1277"/>
      <c r="U1028" s="1277"/>
      <c r="V1028" s="1277"/>
      <c r="W1028" s="1277"/>
      <c r="X1028" s="1277"/>
    </row>
    <row r="1029" spans="7:24">
      <c r="G1029" s="921"/>
      <c r="H1029" s="1277"/>
      <c r="I1029" s="921"/>
      <c r="J1029" s="1277"/>
      <c r="K1029" s="921"/>
      <c r="L1029" s="1277"/>
      <c r="M1029" s="1277"/>
      <c r="N1029" s="1277"/>
      <c r="O1029" s="1277"/>
      <c r="P1029" s="919"/>
      <c r="Q1029" s="919"/>
      <c r="R1029" s="1277"/>
      <c r="S1029" s="1277"/>
      <c r="T1029" s="1277"/>
      <c r="U1029" s="1277"/>
      <c r="V1029" s="1277"/>
      <c r="W1029" s="1277"/>
      <c r="X1029" s="1277"/>
    </row>
    <row r="1030" spans="7:24">
      <c r="G1030" s="921"/>
      <c r="H1030" s="1277"/>
      <c r="I1030" s="921"/>
      <c r="J1030" s="1277"/>
      <c r="K1030" s="921"/>
      <c r="L1030" s="1277"/>
      <c r="M1030" s="1277"/>
      <c r="N1030" s="1277"/>
      <c r="O1030" s="1277"/>
      <c r="P1030" s="919"/>
      <c r="Q1030" s="919"/>
      <c r="R1030" s="1277"/>
      <c r="S1030" s="1277"/>
      <c r="T1030" s="1277"/>
      <c r="U1030" s="1277"/>
      <c r="V1030" s="1277"/>
      <c r="W1030" s="1277"/>
      <c r="X1030" s="1277"/>
    </row>
    <row r="1031" spans="7:24">
      <c r="G1031" s="921"/>
      <c r="H1031" s="1277"/>
      <c r="I1031" s="921"/>
      <c r="J1031" s="1277"/>
      <c r="K1031" s="921"/>
      <c r="L1031" s="1277"/>
      <c r="M1031" s="1277"/>
      <c r="N1031" s="1277"/>
      <c r="O1031" s="1277"/>
      <c r="P1031" s="919"/>
      <c r="Q1031" s="919"/>
      <c r="R1031" s="1277"/>
      <c r="S1031" s="1277"/>
      <c r="T1031" s="1277"/>
      <c r="U1031" s="1277"/>
      <c r="V1031" s="1277"/>
      <c r="W1031" s="1277"/>
      <c r="X1031" s="1277"/>
    </row>
    <row r="1032" spans="7:24">
      <c r="G1032" s="921"/>
      <c r="H1032" s="1277"/>
      <c r="I1032" s="921"/>
      <c r="J1032" s="1277"/>
      <c r="K1032" s="921"/>
      <c r="L1032" s="1277"/>
      <c r="M1032" s="1277"/>
      <c r="N1032" s="1277"/>
      <c r="O1032" s="1277"/>
      <c r="P1032" s="919"/>
      <c r="Q1032" s="919"/>
      <c r="R1032" s="1277"/>
      <c r="S1032" s="1277"/>
      <c r="T1032" s="1277"/>
      <c r="U1032" s="1277"/>
      <c r="V1032" s="1277"/>
      <c r="W1032" s="1277"/>
      <c r="X1032" s="1277"/>
    </row>
    <row r="1033" spans="7:24">
      <c r="G1033" s="921"/>
      <c r="H1033" s="1277"/>
      <c r="I1033" s="921"/>
      <c r="J1033" s="1277"/>
      <c r="K1033" s="921"/>
      <c r="L1033" s="1277"/>
      <c r="M1033" s="1277"/>
      <c r="N1033" s="1277"/>
      <c r="O1033" s="1277"/>
      <c r="P1033" s="919"/>
      <c r="Q1033" s="919"/>
      <c r="R1033" s="1277"/>
      <c r="S1033" s="1277"/>
      <c r="T1033" s="1277"/>
      <c r="U1033" s="1277"/>
      <c r="V1033" s="1277"/>
      <c r="W1033" s="1277"/>
      <c r="X1033" s="1277"/>
    </row>
    <row r="1034" spans="7:24">
      <c r="G1034" s="921"/>
      <c r="H1034" s="1277"/>
      <c r="I1034" s="921"/>
      <c r="J1034" s="1277"/>
      <c r="K1034" s="921"/>
      <c r="L1034" s="1277"/>
      <c r="M1034" s="1277"/>
      <c r="N1034" s="1277"/>
      <c r="O1034" s="1277"/>
      <c r="P1034" s="919"/>
      <c r="Q1034" s="919"/>
      <c r="R1034" s="1277"/>
      <c r="S1034" s="1277"/>
      <c r="T1034" s="1277"/>
      <c r="U1034" s="1277"/>
      <c r="V1034" s="1277"/>
      <c r="W1034" s="1277"/>
      <c r="X1034" s="1277"/>
    </row>
    <row r="1035" spans="7:24">
      <c r="G1035" s="921"/>
      <c r="H1035" s="1277"/>
      <c r="I1035" s="921"/>
      <c r="J1035" s="1277"/>
      <c r="K1035" s="921"/>
      <c r="L1035" s="1277"/>
      <c r="M1035" s="1277"/>
      <c r="N1035" s="1277"/>
      <c r="O1035" s="1277"/>
      <c r="P1035" s="919"/>
      <c r="Q1035" s="919"/>
      <c r="R1035" s="1277"/>
      <c r="S1035" s="1277"/>
      <c r="T1035" s="1277"/>
      <c r="U1035" s="1277"/>
      <c r="V1035" s="1277"/>
      <c r="W1035" s="1277"/>
      <c r="X1035" s="1277"/>
    </row>
    <row r="1036" spans="7:24">
      <c r="G1036" s="921"/>
      <c r="H1036" s="1277"/>
      <c r="I1036" s="921"/>
      <c r="J1036" s="1277"/>
      <c r="K1036" s="921"/>
      <c r="L1036" s="1277"/>
      <c r="M1036" s="1277"/>
      <c r="N1036" s="1277"/>
      <c r="O1036" s="1277"/>
      <c r="P1036" s="919"/>
      <c r="Q1036" s="919"/>
      <c r="R1036" s="1277"/>
      <c r="S1036" s="1277"/>
      <c r="T1036" s="1277"/>
      <c r="U1036" s="1277"/>
      <c r="V1036" s="1277"/>
      <c r="W1036" s="1277"/>
      <c r="X1036" s="1277"/>
    </row>
    <row r="1037" spans="7:24">
      <c r="G1037" s="921"/>
      <c r="H1037" s="1277"/>
      <c r="I1037" s="921"/>
      <c r="J1037" s="1277"/>
      <c r="K1037" s="921"/>
      <c r="L1037" s="1277"/>
      <c r="M1037" s="1277"/>
      <c r="N1037" s="1277"/>
      <c r="O1037" s="1277"/>
      <c r="P1037" s="919"/>
      <c r="Q1037" s="919"/>
      <c r="R1037" s="1277"/>
      <c r="S1037" s="1277"/>
      <c r="T1037" s="1277"/>
      <c r="U1037" s="1277"/>
      <c r="V1037" s="1277"/>
      <c r="W1037" s="1277"/>
      <c r="X1037" s="1277"/>
    </row>
    <row r="1038" spans="7:24">
      <c r="G1038" s="921"/>
      <c r="H1038" s="1277"/>
      <c r="I1038" s="921"/>
      <c r="J1038" s="1277"/>
      <c r="K1038" s="921"/>
      <c r="L1038" s="1277"/>
      <c r="M1038" s="1277"/>
      <c r="N1038" s="1277"/>
      <c r="O1038" s="1277"/>
      <c r="P1038" s="919"/>
      <c r="Q1038" s="919"/>
      <c r="R1038" s="1277"/>
      <c r="S1038" s="1277"/>
      <c r="T1038" s="1277"/>
      <c r="U1038" s="1277"/>
      <c r="V1038" s="1277"/>
      <c r="W1038" s="1277"/>
      <c r="X1038" s="1277"/>
    </row>
    <row r="1039" spans="7:24">
      <c r="G1039" s="921"/>
      <c r="H1039" s="1277"/>
      <c r="I1039" s="921"/>
      <c r="J1039" s="1277"/>
      <c r="K1039" s="921"/>
      <c r="L1039" s="1277"/>
      <c r="M1039" s="1277"/>
      <c r="N1039" s="1277"/>
      <c r="O1039" s="1277"/>
      <c r="P1039" s="919"/>
      <c r="Q1039" s="919"/>
      <c r="R1039" s="1277"/>
      <c r="S1039" s="1277"/>
      <c r="T1039" s="1277"/>
      <c r="U1039" s="1277"/>
      <c r="V1039" s="1277"/>
      <c r="W1039" s="1277"/>
      <c r="X1039" s="1277"/>
    </row>
    <row r="1040" spans="7:24">
      <c r="G1040" s="921"/>
      <c r="H1040" s="1277"/>
      <c r="I1040" s="921"/>
      <c r="J1040" s="1277"/>
      <c r="K1040" s="921"/>
      <c r="L1040" s="1277"/>
      <c r="M1040" s="1277"/>
      <c r="N1040" s="1277"/>
      <c r="O1040" s="1277"/>
      <c r="P1040" s="919"/>
      <c r="Q1040" s="919"/>
      <c r="R1040" s="1277"/>
      <c r="S1040" s="1277"/>
      <c r="T1040" s="1277"/>
      <c r="U1040" s="1277"/>
      <c r="V1040" s="1277"/>
      <c r="W1040" s="1277"/>
      <c r="X1040" s="1277"/>
    </row>
    <row r="1041" spans="7:24">
      <c r="G1041" s="921"/>
      <c r="H1041" s="1277"/>
      <c r="I1041" s="921"/>
      <c r="J1041" s="1277"/>
      <c r="K1041" s="921"/>
      <c r="L1041" s="1277"/>
      <c r="M1041" s="1277"/>
      <c r="N1041" s="1277"/>
      <c r="O1041" s="1277"/>
      <c r="P1041" s="919"/>
      <c r="Q1041" s="919"/>
      <c r="R1041" s="1277"/>
      <c r="S1041" s="1277"/>
      <c r="T1041" s="1277"/>
      <c r="U1041" s="1277"/>
      <c r="V1041" s="1277"/>
      <c r="W1041" s="1277"/>
      <c r="X1041" s="1277"/>
    </row>
    <row r="1042" spans="7:24">
      <c r="G1042" s="921"/>
      <c r="H1042" s="1277"/>
      <c r="I1042" s="921"/>
      <c r="J1042" s="1277"/>
      <c r="K1042" s="921"/>
      <c r="L1042" s="1277"/>
      <c r="M1042" s="1277"/>
      <c r="N1042" s="1277"/>
      <c r="O1042" s="1277"/>
      <c r="P1042" s="919"/>
      <c r="Q1042" s="919"/>
      <c r="R1042" s="1277"/>
      <c r="S1042" s="1277"/>
      <c r="T1042" s="1277"/>
      <c r="U1042" s="1277"/>
      <c r="V1042" s="1277"/>
      <c r="W1042" s="1277"/>
      <c r="X1042" s="1277"/>
    </row>
    <row r="1043" spans="7:24">
      <c r="G1043" s="921"/>
      <c r="H1043" s="1277"/>
      <c r="I1043" s="921"/>
      <c r="J1043" s="1277"/>
      <c r="K1043" s="921"/>
      <c r="L1043" s="1277"/>
      <c r="M1043" s="1277"/>
      <c r="N1043" s="1277"/>
      <c r="O1043" s="1277"/>
      <c r="P1043" s="919"/>
      <c r="Q1043" s="919"/>
      <c r="R1043" s="1277"/>
      <c r="S1043" s="1277"/>
      <c r="T1043" s="1277"/>
      <c r="U1043" s="1277"/>
      <c r="V1043" s="1277"/>
      <c r="W1043" s="1277"/>
      <c r="X1043" s="1277"/>
    </row>
    <row r="1044" spans="7:24">
      <c r="G1044" s="921"/>
      <c r="H1044" s="1277"/>
      <c r="I1044" s="921"/>
      <c r="J1044" s="1277"/>
      <c r="K1044" s="921"/>
      <c r="L1044" s="1277"/>
      <c r="M1044" s="1277"/>
      <c r="N1044" s="1277"/>
      <c r="O1044" s="1277"/>
      <c r="P1044" s="919"/>
      <c r="Q1044" s="919"/>
      <c r="R1044" s="1277"/>
      <c r="S1044" s="1277"/>
      <c r="T1044" s="1277"/>
      <c r="U1044" s="1277"/>
      <c r="V1044" s="1277"/>
      <c r="W1044" s="1277"/>
      <c r="X1044" s="1277"/>
    </row>
    <row r="1045" spans="7:24">
      <c r="G1045" s="921"/>
      <c r="H1045" s="1277"/>
      <c r="I1045" s="921"/>
      <c r="J1045" s="1277"/>
      <c r="K1045" s="921"/>
      <c r="L1045" s="1277"/>
      <c r="M1045" s="1277"/>
      <c r="N1045" s="1277"/>
      <c r="O1045" s="1277"/>
      <c r="P1045" s="919"/>
      <c r="Q1045" s="919"/>
      <c r="R1045" s="1277"/>
      <c r="S1045" s="1277"/>
      <c r="T1045" s="1277"/>
      <c r="U1045" s="1277"/>
      <c r="V1045" s="1277"/>
      <c r="W1045" s="1277"/>
      <c r="X1045" s="1277"/>
    </row>
    <row r="1046" spans="7:24">
      <c r="G1046" s="921"/>
      <c r="H1046" s="1277"/>
      <c r="I1046" s="921"/>
      <c r="J1046" s="1277"/>
      <c r="K1046" s="921"/>
      <c r="L1046" s="1277"/>
      <c r="M1046" s="1277"/>
      <c r="N1046" s="1277"/>
      <c r="O1046" s="1277"/>
      <c r="P1046" s="919"/>
      <c r="Q1046" s="919"/>
      <c r="R1046" s="1277"/>
      <c r="S1046" s="1277"/>
      <c r="T1046" s="1277"/>
      <c r="U1046" s="1277"/>
      <c r="V1046" s="1277"/>
      <c r="W1046" s="1277"/>
      <c r="X1046" s="1277"/>
    </row>
    <row r="1047" spans="7:24">
      <c r="G1047" s="921"/>
      <c r="H1047" s="1277"/>
      <c r="I1047" s="921"/>
      <c r="J1047" s="1277"/>
      <c r="K1047" s="921"/>
      <c r="L1047" s="1277"/>
      <c r="M1047" s="1277"/>
      <c r="N1047" s="1277"/>
      <c r="O1047" s="1277"/>
      <c r="P1047" s="919"/>
      <c r="Q1047" s="919"/>
      <c r="R1047" s="1277"/>
      <c r="S1047" s="1277"/>
      <c r="T1047" s="1277"/>
      <c r="U1047" s="1277"/>
      <c r="V1047" s="1277"/>
      <c r="W1047" s="1277"/>
      <c r="X1047" s="1277"/>
    </row>
    <row r="1048" spans="7:24">
      <c r="G1048" s="921"/>
      <c r="H1048" s="1277"/>
      <c r="I1048" s="921"/>
      <c r="J1048" s="1277"/>
      <c r="K1048" s="921"/>
      <c r="L1048" s="1277"/>
      <c r="M1048" s="1277"/>
      <c r="N1048" s="1277"/>
      <c r="O1048" s="1277"/>
      <c r="P1048" s="919"/>
      <c r="Q1048" s="919"/>
      <c r="R1048" s="1277"/>
      <c r="S1048" s="1277"/>
      <c r="T1048" s="1277"/>
      <c r="U1048" s="1277"/>
      <c r="V1048" s="1277"/>
      <c r="W1048" s="1277"/>
      <c r="X1048" s="1277"/>
    </row>
    <row r="1049" spans="7:24">
      <c r="G1049" s="921"/>
      <c r="H1049" s="1277"/>
      <c r="I1049" s="921"/>
      <c r="J1049" s="1277"/>
      <c r="K1049" s="921"/>
      <c r="L1049" s="1277"/>
      <c r="M1049" s="1277"/>
      <c r="N1049" s="1277"/>
      <c r="O1049" s="1277"/>
      <c r="P1049" s="919"/>
      <c r="Q1049" s="919"/>
      <c r="R1049" s="1277"/>
      <c r="S1049" s="1277"/>
      <c r="T1049" s="1277"/>
      <c r="U1049" s="1277"/>
      <c r="V1049" s="1277"/>
      <c r="W1049" s="1277"/>
      <c r="X1049" s="1277"/>
    </row>
    <row r="1050" spans="7:24">
      <c r="G1050" s="921"/>
      <c r="H1050" s="1277"/>
      <c r="I1050" s="921"/>
      <c r="J1050" s="1277"/>
      <c r="K1050" s="921"/>
      <c r="L1050" s="1277"/>
      <c r="M1050" s="1277"/>
      <c r="N1050" s="1277"/>
      <c r="O1050" s="1277"/>
      <c r="P1050" s="919"/>
      <c r="Q1050" s="919"/>
      <c r="R1050" s="1277"/>
      <c r="S1050" s="1277"/>
      <c r="T1050" s="1277"/>
      <c r="U1050" s="1277"/>
      <c r="V1050" s="1277"/>
      <c r="W1050" s="1277"/>
      <c r="X1050" s="1277"/>
    </row>
    <row r="1051" spans="7:24">
      <c r="G1051" s="921"/>
      <c r="H1051" s="1277"/>
      <c r="I1051" s="921"/>
      <c r="J1051" s="1277"/>
      <c r="K1051" s="921"/>
      <c r="L1051" s="1277"/>
      <c r="M1051" s="1277"/>
      <c r="N1051" s="1277"/>
      <c r="O1051" s="1277"/>
      <c r="P1051" s="919"/>
      <c r="Q1051" s="919"/>
      <c r="R1051" s="1277"/>
      <c r="S1051" s="1277"/>
      <c r="T1051" s="1277"/>
      <c r="U1051" s="1277"/>
      <c r="V1051" s="1277"/>
      <c r="W1051" s="1277"/>
      <c r="X1051" s="1277"/>
    </row>
    <row r="1052" spans="7:24">
      <c r="G1052" s="921"/>
      <c r="H1052" s="1277"/>
      <c r="I1052" s="921"/>
      <c r="J1052" s="1277"/>
      <c r="K1052" s="921"/>
      <c r="L1052" s="1277"/>
      <c r="M1052" s="1277"/>
      <c r="N1052" s="1277"/>
      <c r="O1052" s="1277"/>
      <c r="P1052" s="919"/>
      <c r="Q1052" s="919"/>
      <c r="R1052" s="1277"/>
      <c r="S1052" s="1277"/>
      <c r="T1052" s="1277"/>
      <c r="U1052" s="1277"/>
      <c r="V1052" s="1277"/>
      <c r="W1052" s="1277"/>
      <c r="X1052" s="1277"/>
    </row>
    <row r="1053" spans="7:24">
      <c r="G1053" s="921"/>
      <c r="H1053" s="1277"/>
      <c r="I1053" s="921"/>
      <c r="J1053" s="1277"/>
      <c r="K1053" s="921"/>
      <c r="L1053" s="1277"/>
      <c r="M1053" s="1277"/>
      <c r="N1053" s="1277"/>
      <c r="O1053" s="1277"/>
      <c r="P1053" s="919"/>
      <c r="Q1053" s="919"/>
      <c r="R1053" s="1277"/>
      <c r="S1053" s="1277"/>
      <c r="T1053" s="1277"/>
      <c r="U1053" s="1277"/>
      <c r="V1053" s="1277"/>
      <c r="W1053" s="1277"/>
      <c r="X1053" s="1277"/>
    </row>
    <row r="1054" spans="7:24">
      <c r="G1054" s="921"/>
      <c r="H1054" s="1277"/>
      <c r="I1054" s="921"/>
      <c r="J1054" s="1277"/>
      <c r="K1054" s="921"/>
      <c r="L1054" s="1277"/>
      <c r="M1054" s="1277"/>
      <c r="N1054" s="1277"/>
      <c r="O1054" s="1277"/>
      <c r="P1054" s="919"/>
      <c r="Q1054" s="919"/>
      <c r="R1054" s="1277"/>
      <c r="S1054" s="1277"/>
      <c r="T1054" s="1277"/>
      <c r="U1054" s="1277"/>
      <c r="V1054" s="1277"/>
      <c r="W1054" s="1277"/>
      <c r="X1054" s="1277"/>
    </row>
    <row r="1055" spans="7:24">
      <c r="G1055" s="921"/>
      <c r="H1055" s="1277"/>
      <c r="I1055" s="921"/>
      <c r="J1055" s="1277"/>
      <c r="K1055" s="921"/>
      <c r="L1055" s="1277"/>
      <c r="M1055" s="1277"/>
      <c r="N1055" s="1277"/>
      <c r="O1055" s="1277"/>
      <c r="P1055" s="919"/>
      <c r="Q1055" s="919"/>
      <c r="R1055" s="1277"/>
      <c r="S1055" s="1277"/>
      <c r="T1055" s="1277"/>
      <c r="U1055" s="1277"/>
      <c r="V1055" s="1277"/>
      <c r="W1055" s="1277"/>
      <c r="X1055" s="1277"/>
    </row>
    <row r="1056" spans="7:24">
      <c r="G1056" s="921"/>
      <c r="H1056" s="1277"/>
      <c r="I1056" s="921"/>
      <c r="J1056" s="1277"/>
      <c r="K1056" s="921"/>
      <c r="L1056" s="1277"/>
      <c r="M1056" s="1277"/>
      <c r="N1056" s="1277"/>
      <c r="O1056" s="1277"/>
      <c r="P1056" s="919"/>
      <c r="Q1056" s="919"/>
      <c r="R1056" s="1277"/>
      <c r="S1056" s="1277"/>
      <c r="T1056" s="1277"/>
      <c r="U1056" s="1277"/>
      <c r="V1056" s="1277"/>
      <c r="W1056" s="1277"/>
      <c r="X1056" s="1277"/>
    </row>
    <row r="1057" spans="7:24">
      <c r="G1057" s="921"/>
      <c r="H1057" s="1277"/>
      <c r="I1057" s="921"/>
      <c r="J1057" s="1277"/>
      <c r="K1057" s="921"/>
      <c r="L1057" s="1277"/>
      <c r="M1057" s="1277"/>
      <c r="N1057" s="1277"/>
      <c r="O1057" s="1277"/>
      <c r="P1057" s="919"/>
      <c r="Q1057" s="919"/>
      <c r="R1057" s="1277"/>
      <c r="S1057" s="1277"/>
      <c r="T1057" s="1277"/>
      <c r="U1057" s="1277"/>
      <c r="V1057" s="1277"/>
      <c r="W1057" s="1277"/>
      <c r="X1057" s="1277"/>
    </row>
    <row r="1058" spans="7:24">
      <c r="G1058" s="921"/>
      <c r="H1058" s="1277"/>
      <c r="I1058" s="921"/>
      <c r="J1058" s="1277"/>
      <c r="K1058" s="921"/>
      <c r="L1058" s="1277"/>
      <c r="M1058" s="1277"/>
      <c r="N1058" s="1277"/>
      <c r="O1058" s="1277"/>
      <c r="P1058" s="919"/>
      <c r="Q1058" s="919"/>
      <c r="R1058" s="1277"/>
      <c r="S1058" s="1277"/>
      <c r="T1058" s="1277"/>
      <c r="U1058" s="1277"/>
      <c r="V1058" s="1277"/>
      <c r="W1058" s="1277"/>
      <c r="X1058" s="1277"/>
    </row>
    <row r="1059" spans="7:24">
      <c r="G1059" s="921"/>
      <c r="H1059" s="1277"/>
      <c r="I1059" s="921"/>
      <c r="J1059" s="1277"/>
      <c r="K1059" s="921"/>
      <c r="L1059" s="1277"/>
      <c r="M1059" s="1277"/>
      <c r="N1059" s="1277"/>
      <c r="O1059" s="1277"/>
      <c r="P1059" s="919"/>
      <c r="Q1059" s="919"/>
      <c r="R1059" s="1277"/>
      <c r="S1059" s="1277"/>
      <c r="T1059" s="1277"/>
      <c r="U1059" s="1277"/>
      <c r="V1059" s="1277"/>
      <c r="W1059" s="1277"/>
      <c r="X1059" s="1277"/>
    </row>
    <row r="1060" spans="7:24">
      <c r="G1060" s="921"/>
      <c r="H1060" s="1277"/>
      <c r="I1060" s="921"/>
      <c r="J1060" s="1277"/>
      <c r="K1060" s="921"/>
      <c r="L1060" s="1277"/>
      <c r="M1060" s="1277"/>
      <c r="N1060" s="1277"/>
      <c r="O1060" s="1277"/>
      <c r="P1060" s="919"/>
      <c r="Q1060" s="919"/>
      <c r="R1060" s="1277"/>
      <c r="S1060" s="1277"/>
      <c r="T1060" s="1277"/>
      <c r="U1060" s="1277"/>
      <c r="V1060" s="1277"/>
      <c r="W1060" s="1277"/>
      <c r="X1060" s="1277"/>
    </row>
    <row r="1061" spans="7:24">
      <c r="G1061" s="921"/>
      <c r="H1061" s="1277"/>
      <c r="I1061" s="921"/>
      <c r="J1061" s="1277"/>
      <c r="K1061" s="921"/>
      <c r="L1061" s="1277"/>
      <c r="M1061" s="1277"/>
      <c r="N1061" s="1277"/>
      <c r="O1061" s="1277"/>
      <c r="P1061" s="919"/>
      <c r="Q1061" s="919"/>
      <c r="R1061" s="1277"/>
      <c r="S1061" s="1277"/>
      <c r="T1061" s="1277"/>
      <c r="U1061" s="1277"/>
      <c r="V1061" s="1277"/>
      <c r="W1061" s="1277"/>
      <c r="X1061" s="1277"/>
    </row>
    <row r="1062" spans="7:24">
      <c r="G1062" s="921"/>
      <c r="H1062" s="1277"/>
      <c r="I1062" s="921"/>
      <c r="J1062" s="1277"/>
      <c r="K1062" s="921"/>
      <c r="L1062" s="1277"/>
      <c r="M1062" s="1277"/>
      <c r="N1062" s="1277"/>
      <c r="O1062" s="1277"/>
      <c r="P1062" s="919"/>
      <c r="Q1062" s="919"/>
      <c r="R1062" s="1277"/>
      <c r="S1062" s="1277"/>
      <c r="T1062" s="1277"/>
      <c r="U1062" s="1277"/>
      <c r="V1062" s="1277"/>
      <c r="W1062" s="1277"/>
      <c r="X1062" s="1277"/>
    </row>
    <row r="1063" spans="7:24">
      <c r="G1063" s="921"/>
      <c r="H1063" s="1277"/>
      <c r="I1063" s="921"/>
      <c r="J1063" s="1277"/>
      <c r="K1063" s="921"/>
      <c r="L1063" s="1277"/>
      <c r="M1063" s="1277"/>
      <c r="N1063" s="1277"/>
      <c r="O1063" s="1277"/>
      <c r="P1063" s="919"/>
      <c r="Q1063" s="919"/>
      <c r="R1063" s="1277"/>
      <c r="S1063" s="1277"/>
      <c r="T1063" s="1277"/>
      <c r="U1063" s="1277"/>
      <c r="V1063" s="1277"/>
      <c r="W1063" s="1277"/>
      <c r="X1063" s="1277"/>
    </row>
    <row r="1064" spans="7:24">
      <c r="G1064" s="921"/>
      <c r="H1064" s="1277"/>
      <c r="I1064" s="921"/>
      <c r="J1064" s="1277"/>
      <c r="K1064" s="921"/>
      <c r="L1064" s="1277"/>
      <c r="M1064" s="1277"/>
      <c r="N1064" s="1277"/>
      <c r="O1064" s="1277"/>
      <c r="P1064" s="919"/>
      <c r="Q1064" s="919"/>
      <c r="R1064" s="1277"/>
      <c r="S1064" s="1277"/>
      <c r="T1064" s="1277"/>
      <c r="U1064" s="1277"/>
      <c r="V1064" s="1277"/>
      <c r="W1064" s="1277"/>
      <c r="X1064" s="1277"/>
    </row>
    <row r="1065" spans="7:24">
      <c r="G1065" s="921"/>
      <c r="H1065" s="1277"/>
      <c r="I1065" s="921"/>
      <c r="J1065" s="1277"/>
      <c r="K1065" s="921"/>
      <c r="L1065" s="1277"/>
      <c r="M1065" s="1277"/>
      <c r="N1065" s="1277"/>
      <c r="O1065" s="1277"/>
      <c r="P1065" s="919"/>
      <c r="Q1065" s="919"/>
      <c r="R1065" s="1277"/>
      <c r="S1065" s="1277"/>
      <c r="T1065" s="1277"/>
      <c r="U1065" s="1277"/>
      <c r="V1065" s="1277"/>
      <c r="W1065" s="1277"/>
      <c r="X1065" s="1277"/>
    </row>
    <row r="1066" spans="7:24">
      <c r="G1066" s="921"/>
      <c r="H1066" s="1277"/>
      <c r="I1066" s="921"/>
      <c r="J1066" s="1277"/>
      <c r="K1066" s="921"/>
      <c r="L1066" s="1277"/>
      <c r="M1066" s="1277"/>
      <c r="N1066" s="1277"/>
      <c r="O1066" s="1277"/>
      <c r="P1066" s="919"/>
      <c r="Q1066" s="919"/>
      <c r="R1066" s="1277"/>
      <c r="S1066" s="1277"/>
      <c r="T1066" s="1277"/>
      <c r="U1066" s="1277"/>
      <c r="V1066" s="1277"/>
      <c r="W1066" s="1277"/>
      <c r="X1066" s="1277"/>
    </row>
    <row r="1067" spans="7:24">
      <c r="G1067" s="921"/>
      <c r="H1067" s="1277"/>
      <c r="I1067" s="921"/>
      <c r="J1067" s="1277"/>
      <c r="K1067" s="921"/>
      <c r="L1067" s="1277"/>
      <c r="M1067" s="1277"/>
      <c r="N1067" s="1277"/>
      <c r="O1067" s="1277"/>
      <c r="P1067" s="919"/>
      <c r="Q1067" s="919"/>
      <c r="R1067" s="1277"/>
      <c r="S1067" s="1277"/>
      <c r="T1067" s="1277"/>
      <c r="U1067" s="1277"/>
      <c r="V1067" s="1277"/>
      <c r="W1067" s="1277"/>
      <c r="X1067" s="1277"/>
    </row>
    <row r="1068" spans="7:24">
      <c r="G1068" s="921"/>
      <c r="H1068" s="1277"/>
      <c r="I1068" s="921"/>
      <c r="J1068" s="1277"/>
      <c r="K1068" s="921"/>
      <c r="L1068" s="1277"/>
      <c r="M1068" s="1277"/>
      <c r="N1068" s="1277"/>
      <c r="O1068" s="1277"/>
      <c r="P1068" s="919"/>
      <c r="Q1068" s="919"/>
      <c r="R1068" s="1277"/>
      <c r="S1068" s="1277"/>
      <c r="T1068" s="1277"/>
      <c r="U1068" s="1277"/>
      <c r="V1068" s="1277"/>
      <c r="W1068" s="1277"/>
      <c r="X1068" s="1277"/>
    </row>
    <row r="1069" spans="7:24">
      <c r="G1069" s="921"/>
      <c r="H1069" s="1277"/>
      <c r="I1069" s="921"/>
      <c r="J1069" s="1277"/>
      <c r="K1069" s="921"/>
      <c r="L1069" s="1277"/>
      <c r="M1069" s="1277"/>
      <c r="N1069" s="1277"/>
      <c r="O1069" s="1277"/>
      <c r="P1069" s="919"/>
      <c r="Q1069" s="919"/>
      <c r="R1069" s="1277"/>
      <c r="S1069" s="1277"/>
      <c r="T1069" s="1277"/>
      <c r="U1069" s="1277"/>
      <c r="V1069" s="1277"/>
      <c r="W1069" s="1277"/>
      <c r="X1069" s="1277"/>
    </row>
    <row r="1070" spans="7:24">
      <c r="G1070" s="921"/>
      <c r="H1070" s="1277"/>
      <c r="I1070" s="921"/>
      <c r="J1070" s="1277"/>
      <c r="K1070" s="921"/>
      <c r="L1070" s="1277"/>
      <c r="M1070" s="1277"/>
      <c r="N1070" s="1277"/>
      <c r="O1070" s="1277"/>
      <c r="P1070" s="919"/>
      <c r="Q1070" s="919"/>
      <c r="R1070" s="1277"/>
      <c r="S1070" s="1277"/>
      <c r="T1070" s="1277"/>
      <c r="U1070" s="1277"/>
      <c r="V1070" s="1277"/>
      <c r="W1070" s="1277"/>
      <c r="X1070" s="1277"/>
    </row>
    <row r="1071" spans="7:24">
      <c r="G1071" s="921"/>
      <c r="H1071" s="1277"/>
      <c r="I1071" s="921"/>
      <c r="J1071" s="1277"/>
      <c r="K1071" s="921"/>
      <c r="L1071" s="1277"/>
      <c r="M1071" s="1277"/>
      <c r="N1071" s="1277"/>
      <c r="O1071" s="1277"/>
      <c r="P1071" s="919"/>
      <c r="Q1071" s="919"/>
      <c r="R1071" s="1277"/>
      <c r="S1071" s="1277"/>
      <c r="T1071" s="1277"/>
      <c r="U1071" s="1277"/>
      <c r="V1071" s="1277"/>
      <c r="W1071" s="1277"/>
      <c r="X1071" s="1277"/>
    </row>
    <row r="1072" spans="7:24">
      <c r="G1072" s="921"/>
      <c r="H1072" s="1277"/>
      <c r="I1072" s="921"/>
      <c r="J1072" s="1277"/>
      <c r="K1072" s="921"/>
      <c r="L1072" s="1277"/>
      <c r="M1072" s="1277"/>
      <c r="N1072" s="1277"/>
      <c r="O1072" s="1277"/>
      <c r="P1072" s="919"/>
      <c r="Q1072" s="919"/>
      <c r="R1072" s="1277"/>
      <c r="S1072" s="1277"/>
      <c r="T1072" s="1277"/>
      <c r="U1072" s="1277"/>
      <c r="V1072" s="1277"/>
      <c r="W1072" s="1277"/>
      <c r="X1072" s="1277"/>
    </row>
    <row r="1073" spans="7:24">
      <c r="G1073" s="921"/>
      <c r="H1073" s="1277"/>
      <c r="I1073" s="921"/>
      <c r="J1073" s="1277"/>
      <c r="K1073" s="921"/>
      <c r="L1073" s="1277"/>
      <c r="M1073" s="1277"/>
      <c r="N1073" s="1277"/>
      <c r="O1073" s="1277"/>
      <c r="P1073" s="919"/>
      <c r="Q1073" s="919"/>
      <c r="R1073" s="1277"/>
      <c r="S1073" s="1277"/>
      <c r="T1073" s="1277"/>
      <c r="U1073" s="1277"/>
      <c r="V1073" s="1277"/>
      <c r="W1073" s="1277"/>
      <c r="X1073" s="1277"/>
    </row>
    <row r="1074" spans="7:24">
      <c r="G1074" s="921"/>
      <c r="H1074" s="1277"/>
      <c r="I1074" s="921"/>
      <c r="J1074" s="1277"/>
      <c r="K1074" s="921"/>
      <c r="L1074" s="1277"/>
      <c r="M1074" s="1277"/>
      <c r="N1074" s="1277"/>
      <c r="O1074" s="1277"/>
      <c r="P1074" s="919"/>
      <c r="Q1074" s="919"/>
      <c r="R1074" s="1277"/>
      <c r="S1074" s="1277"/>
      <c r="T1074" s="1277"/>
      <c r="U1074" s="1277"/>
      <c r="V1074" s="1277"/>
      <c r="W1074" s="1277"/>
      <c r="X1074" s="1277"/>
    </row>
    <row r="1075" spans="7:24">
      <c r="G1075" s="921"/>
      <c r="H1075" s="1277"/>
      <c r="I1075" s="921"/>
      <c r="J1075" s="1277"/>
      <c r="K1075" s="921"/>
      <c r="L1075" s="1277"/>
      <c r="M1075" s="1277"/>
      <c r="N1075" s="1277"/>
      <c r="O1075" s="1277"/>
      <c r="P1075" s="919"/>
      <c r="Q1075" s="919"/>
      <c r="R1075" s="1277"/>
      <c r="S1075" s="1277"/>
      <c r="T1075" s="1277"/>
      <c r="U1075" s="1277"/>
      <c r="V1075" s="1277"/>
      <c r="W1075" s="1277"/>
      <c r="X1075" s="1277"/>
    </row>
    <row r="1076" spans="7:24">
      <c r="G1076" s="921"/>
      <c r="H1076" s="1277"/>
      <c r="I1076" s="921"/>
      <c r="J1076" s="1277"/>
      <c r="K1076" s="921"/>
      <c r="L1076" s="1277"/>
      <c r="M1076" s="1277"/>
      <c r="N1076" s="1277"/>
      <c r="O1076" s="1277"/>
      <c r="P1076" s="919"/>
      <c r="Q1076" s="919"/>
      <c r="R1076" s="1277"/>
      <c r="S1076" s="1277"/>
      <c r="T1076" s="1277"/>
      <c r="U1076" s="1277"/>
      <c r="V1076" s="1277"/>
      <c r="W1076" s="1277"/>
      <c r="X1076" s="1277"/>
    </row>
    <row r="1077" spans="7:24">
      <c r="G1077" s="921"/>
      <c r="H1077" s="1277"/>
      <c r="I1077" s="921"/>
      <c r="J1077" s="1277"/>
      <c r="K1077" s="921"/>
      <c r="L1077" s="1277"/>
      <c r="M1077" s="1277"/>
      <c r="N1077" s="1277"/>
      <c r="O1077" s="1277"/>
      <c r="P1077" s="919"/>
      <c r="Q1077" s="919"/>
      <c r="R1077" s="1277"/>
      <c r="S1077" s="1277"/>
      <c r="T1077" s="1277"/>
      <c r="U1077" s="1277"/>
      <c r="V1077" s="1277"/>
      <c r="W1077" s="1277"/>
      <c r="X1077" s="1277"/>
    </row>
    <row r="1078" spans="7:24">
      <c r="G1078" s="921"/>
      <c r="H1078" s="1277"/>
      <c r="I1078" s="921"/>
      <c r="J1078" s="1277"/>
      <c r="K1078" s="921"/>
      <c r="L1078" s="1277"/>
      <c r="M1078" s="1277"/>
      <c r="N1078" s="1277"/>
      <c r="O1078" s="1277"/>
      <c r="P1078" s="919"/>
      <c r="Q1078" s="919"/>
      <c r="R1078" s="1277"/>
      <c r="S1078" s="1277"/>
      <c r="T1078" s="1277"/>
      <c r="U1078" s="1277"/>
      <c r="V1078" s="1277"/>
      <c r="W1078" s="1277"/>
      <c r="X1078" s="1277"/>
    </row>
    <row r="1079" spans="7:24">
      <c r="G1079" s="921"/>
      <c r="H1079" s="1277"/>
      <c r="I1079" s="921"/>
      <c r="J1079" s="1277"/>
      <c r="K1079" s="921"/>
      <c r="L1079" s="1277"/>
      <c r="M1079" s="1277"/>
      <c r="N1079" s="1277"/>
      <c r="O1079" s="1277"/>
      <c r="P1079" s="919"/>
      <c r="Q1079" s="919"/>
      <c r="R1079" s="1277"/>
      <c r="S1079" s="1277"/>
      <c r="T1079" s="1277"/>
      <c r="U1079" s="1277"/>
      <c r="V1079" s="1277"/>
      <c r="W1079" s="1277"/>
      <c r="X1079" s="1277"/>
    </row>
    <row r="1080" spans="7:24">
      <c r="G1080" s="921"/>
      <c r="H1080" s="1277"/>
      <c r="I1080" s="921"/>
      <c r="J1080" s="1277"/>
      <c r="K1080" s="921"/>
      <c r="L1080" s="1277"/>
      <c r="M1080" s="1277"/>
      <c r="N1080" s="1277"/>
      <c r="O1080" s="1277"/>
      <c r="P1080" s="919"/>
      <c r="Q1080" s="919"/>
      <c r="R1080" s="1277"/>
      <c r="S1080" s="1277"/>
      <c r="T1080" s="1277"/>
      <c r="U1080" s="1277"/>
      <c r="V1080" s="1277"/>
      <c r="W1080" s="1277"/>
      <c r="X1080" s="1277"/>
    </row>
    <row r="1081" spans="7:24">
      <c r="G1081" s="921"/>
      <c r="H1081" s="1277"/>
      <c r="I1081" s="921"/>
      <c r="J1081" s="1277"/>
      <c r="K1081" s="921"/>
      <c r="L1081" s="1277"/>
      <c r="M1081" s="1277"/>
      <c r="N1081" s="1277"/>
      <c r="O1081" s="1277"/>
      <c r="P1081" s="919"/>
      <c r="Q1081" s="919"/>
      <c r="R1081" s="1277"/>
      <c r="S1081" s="1277"/>
      <c r="T1081" s="1277"/>
      <c r="U1081" s="1277"/>
      <c r="V1081" s="1277"/>
      <c r="W1081" s="1277"/>
      <c r="X1081" s="1277"/>
    </row>
    <row r="1082" spans="7:24">
      <c r="G1082" s="921"/>
      <c r="H1082" s="1277"/>
      <c r="I1082" s="921"/>
      <c r="J1082" s="1277"/>
      <c r="K1082" s="921"/>
      <c r="L1082" s="1277"/>
      <c r="M1082" s="1277"/>
      <c r="N1082" s="1277"/>
      <c r="O1082" s="1277"/>
      <c r="P1082" s="919"/>
      <c r="Q1082" s="919"/>
      <c r="R1082" s="1277"/>
      <c r="S1082" s="1277"/>
      <c r="T1082" s="1277"/>
      <c r="U1082" s="1277"/>
      <c r="V1082" s="1277"/>
      <c r="W1082" s="1277"/>
      <c r="X1082" s="1277"/>
    </row>
    <row r="1083" spans="7:24">
      <c r="G1083" s="921"/>
      <c r="H1083" s="1277"/>
      <c r="I1083" s="921"/>
      <c r="J1083" s="1277"/>
      <c r="K1083" s="921"/>
      <c r="L1083" s="1277"/>
      <c r="M1083" s="1277"/>
      <c r="N1083" s="1277"/>
      <c r="O1083" s="1277"/>
      <c r="P1083" s="919"/>
      <c r="Q1083" s="919"/>
      <c r="R1083" s="1277"/>
      <c r="S1083" s="1277"/>
      <c r="T1083" s="1277"/>
      <c r="U1083" s="1277"/>
      <c r="V1083" s="1277"/>
      <c r="W1083" s="1277"/>
      <c r="X1083" s="1277"/>
    </row>
    <row r="1084" spans="7:24">
      <c r="G1084" s="921"/>
      <c r="H1084" s="1277"/>
      <c r="I1084" s="921"/>
      <c r="J1084" s="1277"/>
      <c r="K1084" s="921"/>
      <c r="L1084" s="1277"/>
      <c r="M1084" s="1277"/>
      <c r="N1084" s="1277"/>
      <c r="O1084" s="1277"/>
      <c r="P1084" s="919"/>
      <c r="Q1084" s="919"/>
      <c r="R1084" s="1277"/>
      <c r="S1084" s="1277"/>
      <c r="T1084" s="1277"/>
      <c r="U1084" s="1277"/>
      <c r="V1084" s="1277"/>
      <c r="W1084" s="1277"/>
      <c r="X1084" s="1277"/>
    </row>
    <row r="1085" spans="7:24">
      <c r="G1085" s="921"/>
      <c r="H1085" s="1277"/>
      <c r="I1085" s="921"/>
      <c r="J1085" s="1277"/>
      <c r="K1085" s="921"/>
      <c r="L1085" s="1277"/>
      <c r="M1085" s="1277"/>
      <c r="N1085" s="1277"/>
      <c r="O1085" s="1277"/>
      <c r="P1085" s="919"/>
      <c r="Q1085" s="919"/>
      <c r="R1085" s="1277"/>
      <c r="S1085" s="1277"/>
      <c r="T1085" s="1277"/>
      <c r="U1085" s="1277"/>
      <c r="V1085" s="1277"/>
      <c r="W1085" s="1277"/>
      <c r="X1085" s="1277"/>
    </row>
    <row r="1086" spans="7:24">
      <c r="G1086" s="921"/>
      <c r="H1086" s="1277"/>
      <c r="I1086" s="921"/>
      <c r="J1086" s="1277"/>
      <c r="K1086" s="921"/>
      <c r="L1086" s="1277"/>
      <c r="M1086" s="1277"/>
      <c r="N1086" s="1277"/>
      <c r="O1086" s="1277"/>
      <c r="P1086" s="919"/>
      <c r="Q1086" s="919"/>
      <c r="R1086" s="1277"/>
      <c r="S1086" s="1277"/>
      <c r="T1086" s="1277"/>
      <c r="U1086" s="1277"/>
      <c r="V1086" s="1277"/>
      <c r="W1086" s="1277"/>
      <c r="X1086" s="1277"/>
    </row>
    <row r="1087" spans="7:24">
      <c r="G1087" s="921"/>
      <c r="H1087" s="1277"/>
      <c r="I1087" s="921"/>
      <c r="J1087" s="1277"/>
      <c r="K1087" s="921"/>
      <c r="L1087" s="1277"/>
      <c r="M1087" s="1277"/>
      <c r="N1087" s="1277"/>
      <c r="O1087" s="1277"/>
      <c r="P1087" s="919"/>
      <c r="Q1087" s="919"/>
      <c r="R1087" s="1277"/>
      <c r="S1087" s="1277"/>
      <c r="T1087" s="1277"/>
      <c r="U1087" s="1277"/>
      <c r="V1087" s="1277"/>
      <c r="W1087" s="1277"/>
      <c r="X1087" s="1277"/>
    </row>
    <row r="1088" spans="7:24">
      <c r="G1088" s="921"/>
      <c r="H1088" s="1277"/>
      <c r="I1088" s="921"/>
      <c r="J1088" s="1277"/>
      <c r="K1088" s="921"/>
      <c r="L1088" s="1277"/>
      <c r="M1088" s="1277"/>
      <c r="N1088" s="1277"/>
      <c r="O1088" s="1277"/>
      <c r="P1088" s="919"/>
      <c r="Q1088" s="919"/>
      <c r="R1088" s="1277"/>
      <c r="S1088" s="1277"/>
      <c r="T1088" s="1277"/>
      <c r="U1088" s="1277"/>
      <c r="V1088" s="1277"/>
      <c r="W1088" s="1277"/>
      <c r="X1088" s="1277"/>
    </row>
    <row r="1089" spans="7:24">
      <c r="G1089" s="921"/>
      <c r="H1089" s="1277"/>
      <c r="I1089" s="921"/>
      <c r="J1089" s="1277"/>
      <c r="K1089" s="921"/>
      <c r="L1089" s="1277"/>
      <c r="M1089" s="1277"/>
      <c r="N1089" s="1277"/>
      <c r="O1089" s="1277"/>
      <c r="P1089" s="919"/>
      <c r="Q1089" s="919"/>
      <c r="R1089" s="1277"/>
      <c r="S1089" s="1277"/>
      <c r="T1089" s="1277"/>
      <c r="U1089" s="1277"/>
      <c r="V1089" s="1277"/>
      <c r="W1089" s="1277"/>
      <c r="X1089" s="1277"/>
    </row>
    <row r="1090" spans="7:24">
      <c r="G1090" s="921"/>
      <c r="H1090" s="1277"/>
      <c r="I1090" s="921"/>
      <c r="J1090" s="1277"/>
      <c r="K1090" s="921"/>
      <c r="L1090" s="1277"/>
      <c r="M1090" s="1277"/>
      <c r="N1090" s="1277"/>
      <c r="O1090" s="1277"/>
      <c r="P1090" s="919"/>
      <c r="Q1090" s="919"/>
      <c r="R1090" s="1277"/>
      <c r="S1090" s="1277"/>
      <c r="T1090" s="1277"/>
      <c r="U1090" s="1277"/>
      <c r="V1090" s="1277"/>
      <c r="W1090" s="1277"/>
      <c r="X1090" s="1277"/>
    </row>
    <row r="1091" spans="7:24">
      <c r="G1091" s="921"/>
      <c r="H1091" s="1277"/>
      <c r="I1091" s="921"/>
      <c r="J1091" s="1277"/>
      <c r="K1091" s="921"/>
      <c r="L1091" s="1277"/>
      <c r="M1091" s="1277"/>
      <c r="N1091" s="1277"/>
      <c r="O1091" s="1277"/>
      <c r="P1091" s="919"/>
      <c r="Q1091" s="919"/>
      <c r="R1091" s="1277"/>
      <c r="S1091" s="1277"/>
      <c r="T1091" s="1277"/>
      <c r="U1091" s="1277"/>
      <c r="V1091" s="1277"/>
      <c r="W1091" s="1277"/>
      <c r="X1091" s="1277"/>
    </row>
    <row r="1092" spans="7:24">
      <c r="G1092" s="921"/>
      <c r="H1092" s="1277"/>
      <c r="I1092" s="921"/>
      <c r="J1092" s="1277"/>
      <c r="K1092" s="921"/>
      <c r="L1092" s="1277"/>
      <c r="M1092" s="1277"/>
      <c r="N1092" s="1277"/>
      <c r="O1092" s="1277"/>
      <c r="P1092" s="919"/>
      <c r="Q1092" s="919"/>
      <c r="R1092" s="1277"/>
      <c r="S1092" s="1277"/>
      <c r="T1092" s="1277"/>
      <c r="U1092" s="1277"/>
      <c r="V1092" s="1277"/>
      <c r="W1092" s="1277"/>
      <c r="X1092" s="1277"/>
    </row>
    <row r="1093" spans="7:24">
      <c r="G1093" s="921"/>
      <c r="H1093" s="1277"/>
      <c r="I1093" s="921"/>
      <c r="J1093" s="1277"/>
      <c r="K1093" s="921"/>
      <c r="L1093" s="1277"/>
      <c r="M1093" s="1277"/>
      <c r="N1093" s="1277"/>
      <c r="O1093" s="1277"/>
      <c r="P1093" s="919"/>
      <c r="Q1093" s="919"/>
      <c r="R1093" s="1277"/>
      <c r="S1093" s="1277"/>
      <c r="T1093" s="1277"/>
      <c r="U1093" s="1277"/>
      <c r="V1093" s="1277"/>
      <c r="W1093" s="1277"/>
      <c r="X1093" s="1277"/>
    </row>
    <row r="1094" spans="7:24">
      <c r="G1094" s="921"/>
      <c r="H1094" s="1277"/>
      <c r="I1094" s="921"/>
      <c r="J1094" s="1277"/>
      <c r="K1094" s="921"/>
      <c r="L1094" s="1277"/>
      <c r="M1094" s="1277"/>
      <c r="N1094" s="1277"/>
      <c r="O1094" s="1277"/>
      <c r="P1094" s="919"/>
      <c r="Q1094" s="919"/>
      <c r="R1094" s="1277"/>
      <c r="S1094" s="1277"/>
      <c r="T1094" s="1277"/>
      <c r="U1094" s="1277"/>
      <c r="V1094" s="1277"/>
      <c r="W1094" s="1277"/>
      <c r="X1094" s="1277"/>
    </row>
    <row r="1095" spans="7:24">
      <c r="G1095" s="921"/>
      <c r="H1095" s="1277"/>
      <c r="I1095" s="921"/>
      <c r="J1095" s="1277"/>
      <c r="K1095" s="921"/>
      <c r="L1095" s="1277"/>
      <c r="M1095" s="1277"/>
      <c r="N1095" s="1277"/>
      <c r="O1095" s="1277"/>
      <c r="P1095" s="919"/>
      <c r="Q1095" s="919"/>
      <c r="R1095" s="1277"/>
      <c r="S1095" s="1277"/>
      <c r="T1095" s="1277"/>
      <c r="U1095" s="1277"/>
      <c r="V1095" s="1277"/>
      <c r="W1095" s="1277"/>
      <c r="X1095" s="1277"/>
    </row>
    <row r="1096" spans="7:24">
      <c r="G1096" s="921"/>
      <c r="H1096" s="1277"/>
      <c r="I1096" s="921"/>
      <c r="J1096" s="1277"/>
      <c r="K1096" s="921"/>
      <c r="L1096" s="1277"/>
      <c r="M1096" s="1277"/>
      <c r="N1096" s="1277"/>
      <c r="O1096" s="1277"/>
      <c r="P1096" s="919"/>
      <c r="Q1096" s="919"/>
      <c r="R1096" s="1277"/>
      <c r="S1096" s="1277"/>
      <c r="T1096" s="1277"/>
      <c r="U1096" s="1277"/>
      <c r="V1096" s="1277"/>
      <c r="W1096" s="1277"/>
      <c r="X1096" s="1277"/>
    </row>
    <row r="1097" spans="7:24">
      <c r="G1097" s="921"/>
      <c r="H1097" s="1277"/>
      <c r="I1097" s="921"/>
      <c r="J1097" s="1277"/>
      <c r="K1097" s="921"/>
      <c r="L1097" s="1277"/>
      <c r="M1097" s="1277"/>
      <c r="N1097" s="1277"/>
      <c r="O1097" s="1277"/>
      <c r="P1097" s="919"/>
      <c r="Q1097" s="919"/>
      <c r="R1097" s="1277"/>
      <c r="S1097" s="1277"/>
      <c r="T1097" s="1277"/>
      <c r="U1097" s="1277"/>
      <c r="V1097" s="1277"/>
      <c r="W1097" s="1277"/>
      <c r="X1097" s="1277"/>
    </row>
    <row r="1098" spans="7:24">
      <c r="G1098" s="921"/>
      <c r="H1098" s="1277"/>
      <c r="I1098" s="921"/>
      <c r="J1098" s="1277"/>
      <c r="K1098" s="921"/>
      <c r="L1098" s="1277"/>
      <c r="M1098" s="1277"/>
      <c r="N1098" s="1277"/>
      <c r="O1098" s="1277"/>
      <c r="P1098" s="919"/>
      <c r="Q1098" s="919"/>
      <c r="R1098" s="1277"/>
      <c r="S1098" s="1277"/>
      <c r="T1098" s="1277"/>
      <c r="U1098" s="1277"/>
      <c r="V1098" s="1277"/>
      <c r="W1098" s="1277"/>
      <c r="X1098" s="1277"/>
    </row>
    <row r="1099" spans="7:24">
      <c r="G1099" s="921"/>
      <c r="H1099" s="1277"/>
      <c r="I1099" s="921"/>
      <c r="J1099" s="1277"/>
      <c r="K1099" s="921"/>
      <c r="L1099" s="1277"/>
      <c r="M1099" s="1277"/>
      <c r="N1099" s="1277"/>
      <c r="O1099" s="1277"/>
      <c r="P1099" s="919"/>
      <c r="Q1099" s="919"/>
      <c r="R1099" s="1277"/>
      <c r="S1099" s="1277"/>
      <c r="T1099" s="1277"/>
      <c r="U1099" s="1277"/>
      <c r="V1099" s="1277"/>
      <c r="W1099" s="1277"/>
      <c r="X1099" s="1277"/>
    </row>
    <row r="1100" spans="7:24">
      <c r="G1100" s="921"/>
      <c r="H1100" s="1277"/>
      <c r="I1100" s="921"/>
      <c r="J1100" s="1277"/>
      <c r="K1100" s="921"/>
      <c r="L1100" s="1277"/>
      <c r="M1100" s="1277"/>
      <c r="N1100" s="1277"/>
      <c r="O1100" s="1277"/>
      <c r="P1100" s="919"/>
      <c r="Q1100" s="919"/>
      <c r="R1100" s="1277"/>
      <c r="S1100" s="1277"/>
      <c r="T1100" s="1277"/>
      <c r="U1100" s="1277"/>
      <c r="V1100" s="1277"/>
      <c r="W1100" s="1277"/>
      <c r="X1100" s="1277"/>
    </row>
    <row r="1101" spans="7:24">
      <c r="G1101" s="921"/>
      <c r="H1101" s="1277"/>
      <c r="I1101" s="921"/>
      <c r="J1101" s="1277"/>
      <c r="K1101" s="921"/>
      <c r="L1101" s="1277"/>
      <c r="M1101" s="1277"/>
      <c r="N1101" s="1277"/>
      <c r="O1101" s="1277"/>
      <c r="P1101" s="919"/>
      <c r="Q1101" s="919"/>
      <c r="R1101" s="1277"/>
      <c r="S1101" s="1277"/>
      <c r="T1101" s="1277"/>
      <c r="U1101" s="1277"/>
      <c r="V1101" s="1277"/>
      <c r="W1101" s="1277"/>
      <c r="X1101" s="1277"/>
    </row>
    <row r="1102" spans="7:24">
      <c r="G1102" s="921"/>
      <c r="H1102" s="1277"/>
      <c r="I1102" s="921"/>
      <c r="J1102" s="1277"/>
      <c r="K1102" s="921"/>
      <c r="L1102" s="1277"/>
      <c r="M1102" s="1277"/>
      <c r="N1102" s="1277"/>
      <c r="O1102" s="1277"/>
      <c r="P1102" s="919"/>
      <c r="Q1102" s="919"/>
      <c r="R1102" s="1277"/>
      <c r="S1102" s="1277"/>
      <c r="T1102" s="1277"/>
      <c r="U1102" s="1277"/>
      <c r="V1102" s="1277"/>
      <c r="W1102" s="1277"/>
      <c r="X1102" s="1277"/>
    </row>
    <row r="1103" spans="7:24">
      <c r="G1103" s="921"/>
      <c r="H1103" s="1277"/>
      <c r="I1103" s="921"/>
      <c r="J1103" s="1277"/>
      <c r="K1103" s="921"/>
      <c r="L1103" s="1277"/>
      <c r="M1103" s="1277"/>
      <c r="N1103" s="1277"/>
      <c r="O1103" s="1277"/>
      <c r="P1103" s="919"/>
      <c r="Q1103" s="919"/>
      <c r="R1103" s="1277"/>
      <c r="S1103" s="1277"/>
      <c r="T1103" s="1277"/>
      <c r="U1103" s="1277"/>
      <c r="V1103" s="1277"/>
      <c r="W1103" s="1277"/>
      <c r="X1103" s="1277"/>
    </row>
    <row r="1104" spans="7:24">
      <c r="G1104" s="921"/>
      <c r="H1104" s="1277"/>
      <c r="I1104" s="921"/>
      <c r="J1104" s="1277"/>
      <c r="K1104" s="921"/>
      <c r="L1104" s="1277"/>
      <c r="M1104" s="1277"/>
      <c r="N1104" s="1277"/>
      <c r="O1104" s="1277"/>
      <c r="P1104" s="919"/>
      <c r="Q1104" s="919"/>
      <c r="R1104" s="1277"/>
      <c r="S1104" s="1277"/>
      <c r="T1104" s="1277"/>
      <c r="U1104" s="1277"/>
      <c r="V1104" s="1277"/>
      <c r="W1104" s="1277"/>
      <c r="X1104" s="1277"/>
    </row>
    <row r="1105" spans="7:24">
      <c r="G1105" s="921"/>
      <c r="H1105" s="1277"/>
      <c r="I1105" s="921"/>
      <c r="J1105" s="1277"/>
      <c r="K1105" s="921"/>
      <c r="L1105" s="1277"/>
      <c r="M1105" s="1277"/>
      <c r="N1105" s="1277"/>
      <c r="O1105" s="1277"/>
      <c r="P1105" s="919"/>
      <c r="Q1105" s="919"/>
      <c r="R1105" s="1277"/>
      <c r="S1105" s="1277"/>
      <c r="T1105" s="1277"/>
      <c r="U1105" s="1277"/>
      <c r="V1105" s="1277"/>
      <c r="W1105" s="1277"/>
      <c r="X1105" s="1277"/>
    </row>
    <row r="1106" spans="7:24">
      <c r="G1106" s="921"/>
      <c r="H1106" s="1277"/>
      <c r="I1106" s="921"/>
      <c r="J1106" s="1277"/>
      <c r="K1106" s="921"/>
      <c r="L1106" s="1277"/>
      <c r="M1106" s="1277"/>
      <c r="N1106" s="1277"/>
      <c r="O1106" s="1277"/>
      <c r="P1106" s="919"/>
      <c r="Q1106" s="919"/>
      <c r="R1106" s="1277"/>
      <c r="S1106" s="1277"/>
      <c r="T1106" s="1277"/>
      <c r="U1106" s="1277"/>
      <c r="V1106" s="1277"/>
      <c r="W1106" s="1277"/>
      <c r="X1106" s="1277"/>
    </row>
    <row r="1107" spans="7:24">
      <c r="G1107" s="921"/>
      <c r="H1107" s="1277"/>
      <c r="I1107" s="921"/>
      <c r="J1107" s="1277"/>
      <c r="K1107" s="921"/>
      <c r="L1107" s="1277"/>
      <c r="M1107" s="1277"/>
      <c r="N1107" s="1277"/>
      <c r="O1107" s="1277"/>
      <c r="P1107" s="919"/>
      <c r="Q1107" s="919"/>
      <c r="R1107" s="1277"/>
      <c r="S1107" s="1277"/>
      <c r="T1107" s="1277"/>
      <c r="U1107" s="1277"/>
      <c r="V1107" s="1277"/>
      <c r="W1107" s="1277"/>
      <c r="X1107" s="1277"/>
    </row>
    <row r="1108" spans="7:24">
      <c r="G1108" s="921"/>
      <c r="H1108" s="1277"/>
      <c r="I1108" s="921"/>
      <c r="J1108" s="1277"/>
      <c r="K1108" s="921"/>
      <c r="L1108" s="1277"/>
      <c r="M1108" s="1277"/>
      <c r="N1108" s="1277"/>
      <c r="O1108" s="1277"/>
      <c r="P1108" s="919"/>
      <c r="Q1108" s="919"/>
      <c r="R1108" s="1277"/>
      <c r="S1108" s="1277"/>
      <c r="T1108" s="1277"/>
      <c r="U1108" s="1277"/>
      <c r="V1108" s="1277"/>
      <c r="W1108" s="1277"/>
      <c r="X1108" s="1277"/>
    </row>
    <row r="1109" spans="7:24">
      <c r="G1109" s="921"/>
      <c r="H1109" s="1277"/>
      <c r="I1109" s="921"/>
      <c r="J1109" s="1277"/>
      <c r="K1109" s="921"/>
      <c r="L1109" s="1277"/>
      <c r="M1109" s="1277"/>
      <c r="N1109" s="1277"/>
      <c r="O1109" s="1277"/>
      <c r="P1109" s="919"/>
      <c r="Q1109" s="919"/>
      <c r="R1109" s="1277"/>
      <c r="S1109" s="1277"/>
      <c r="T1109" s="1277"/>
      <c r="U1109" s="1277"/>
      <c r="V1109" s="1277"/>
      <c r="W1109" s="1277"/>
      <c r="X1109" s="1277"/>
    </row>
    <row r="1110" spans="7:24">
      <c r="G1110" s="921"/>
      <c r="H1110" s="1277"/>
      <c r="I1110" s="921"/>
      <c r="J1110" s="1277"/>
      <c r="K1110" s="921"/>
      <c r="L1110" s="1277"/>
      <c r="M1110" s="1277"/>
      <c r="N1110" s="1277"/>
      <c r="O1110" s="1277"/>
      <c r="P1110" s="919"/>
      <c r="Q1110" s="919"/>
      <c r="R1110" s="1277"/>
      <c r="S1110" s="1277"/>
      <c r="T1110" s="1277"/>
      <c r="U1110" s="1277"/>
      <c r="V1110" s="1277"/>
      <c r="W1110" s="1277"/>
      <c r="X1110" s="1277"/>
    </row>
    <row r="1111" spans="7:24">
      <c r="G1111" s="921"/>
      <c r="H1111" s="1277"/>
      <c r="I1111" s="921"/>
      <c r="J1111" s="1277"/>
      <c r="K1111" s="921"/>
      <c r="L1111" s="1277"/>
      <c r="M1111" s="1277"/>
      <c r="N1111" s="1277"/>
      <c r="O1111" s="1277"/>
      <c r="P1111" s="919"/>
      <c r="Q1111" s="919"/>
      <c r="R1111" s="1277"/>
      <c r="S1111" s="1277"/>
      <c r="T1111" s="1277"/>
      <c r="U1111" s="1277"/>
      <c r="V1111" s="1277"/>
      <c r="W1111" s="1277"/>
      <c r="X1111" s="1277"/>
    </row>
    <row r="1112" spans="7:24">
      <c r="G1112" s="921"/>
      <c r="H1112" s="1277"/>
      <c r="I1112" s="921"/>
      <c r="J1112" s="1277"/>
      <c r="K1112" s="921"/>
      <c r="L1112" s="1277"/>
      <c r="M1112" s="1277"/>
      <c r="N1112" s="1277"/>
      <c r="O1112" s="1277"/>
      <c r="P1112" s="919"/>
      <c r="Q1112" s="919"/>
      <c r="R1112" s="1277"/>
      <c r="S1112" s="1277"/>
      <c r="T1112" s="1277"/>
      <c r="U1112" s="1277"/>
      <c r="V1112" s="1277"/>
      <c r="W1112" s="1277"/>
      <c r="X1112" s="1277"/>
    </row>
    <row r="1113" spans="7:24">
      <c r="G1113" s="921"/>
      <c r="H1113" s="1277"/>
      <c r="I1113" s="921"/>
      <c r="J1113" s="1277"/>
      <c r="K1113" s="921"/>
      <c r="L1113" s="1277"/>
      <c r="M1113" s="1277"/>
      <c r="N1113" s="1277"/>
      <c r="O1113" s="1277"/>
      <c r="P1113" s="919"/>
      <c r="Q1113" s="919"/>
      <c r="R1113" s="1277"/>
      <c r="S1113" s="1277"/>
      <c r="T1113" s="1277"/>
      <c r="U1113" s="1277"/>
      <c r="V1113" s="1277"/>
      <c r="W1113" s="1277"/>
      <c r="X1113" s="1277"/>
    </row>
    <row r="1114" spans="7:24">
      <c r="G1114" s="921"/>
      <c r="H1114" s="1277"/>
      <c r="I1114" s="921"/>
      <c r="J1114" s="1277"/>
      <c r="K1114" s="921"/>
      <c r="L1114" s="1277"/>
      <c r="M1114" s="1277"/>
      <c r="N1114" s="1277"/>
      <c r="O1114" s="1277"/>
      <c r="P1114" s="919"/>
      <c r="Q1114" s="919"/>
      <c r="R1114" s="1277"/>
      <c r="S1114" s="1277"/>
      <c r="T1114" s="1277"/>
      <c r="U1114" s="1277"/>
      <c r="V1114" s="1277"/>
      <c r="W1114" s="1277"/>
      <c r="X1114" s="1277"/>
    </row>
    <row r="1115" spans="7:24">
      <c r="G1115" s="921"/>
      <c r="H1115" s="1277"/>
      <c r="I1115" s="921"/>
      <c r="J1115" s="1277"/>
      <c r="K1115" s="921"/>
      <c r="L1115" s="1277"/>
      <c r="M1115" s="1277"/>
      <c r="N1115" s="1277"/>
      <c r="O1115" s="1277"/>
      <c r="P1115" s="919"/>
      <c r="Q1115" s="919"/>
      <c r="R1115" s="1277"/>
      <c r="S1115" s="1277"/>
      <c r="T1115" s="1277"/>
      <c r="U1115" s="1277"/>
      <c r="V1115" s="1277"/>
      <c r="W1115" s="1277"/>
      <c r="X1115" s="1277"/>
    </row>
    <row r="1116" spans="7:24">
      <c r="G1116" s="921"/>
      <c r="H1116" s="1277"/>
      <c r="I1116" s="921"/>
      <c r="J1116" s="1277"/>
      <c r="K1116" s="921"/>
      <c r="L1116" s="1277"/>
      <c r="M1116" s="1277"/>
      <c r="N1116" s="1277"/>
      <c r="O1116" s="1277"/>
      <c r="P1116" s="919"/>
      <c r="Q1116" s="919"/>
      <c r="R1116" s="1277"/>
      <c r="S1116" s="1277"/>
      <c r="T1116" s="1277"/>
      <c r="U1116" s="1277"/>
      <c r="V1116" s="1277"/>
      <c r="W1116" s="1277"/>
      <c r="X1116" s="1277"/>
    </row>
    <row r="1117" spans="7:24">
      <c r="G1117" s="921"/>
      <c r="H1117" s="1277"/>
      <c r="I1117" s="921"/>
      <c r="J1117" s="1277"/>
      <c r="K1117" s="921"/>
      <c r="L1117" s="1277"/>
      <c r="M1117" s="1277"/>
      <c r="N1117" s="1277"/>
      <c r="O1117" s="1277"/>
      <c r="P1117" s="919"/>
      <c r="Q1117" s="919"/>
      <c r="R1117" s="1277"/>
      <c r="S1117" s="1277"/>
      <c r="T1117" s="1277"/>
      <c r="U1117" s="1277"/>
      <c r="V1117" s="1277"/>
      <c r="W1117" s="1277"/>
      <c r="X1117" s="1277"/>
    </row>
    <row r="1118" spans="7:24">
      <c r="G1118" s="921"/>
      <c r="H1118" s="1277"/>
      <c r="I1118" s="921"/>
      <c r="J1118" s="1277"/>
      <c r="K1118" s="921"/>
      <c r="L1118" s="1277"/>
      <c r="M1118" s="1277"/>
      <c r="N1118" s="1277"/>
      <c r="O1118" s="1277"/>
      <c r="P1118" s="919"/>
      <c r="Q1118" s="919"/>
      <c r="R1118" s="1277"/>
      <c r="S1118" s="1277"/>
      <c r="T1118" s="1277"/>
      <c r="U1118" s="1277"/>
      <c r="V1118" s="1277"/>
      <c r="W1118" s="1277"/>
      <c r="X1118" s="1277"/>
    </row>
    <row r="1119" spans="7:24">
      <c r="G1119" s="921"/>
      <c r="H1119" s="1277"/>
      <c r="I1119" s="921"/>
      <c r="J1119" s="1277"/>
      <c r="K1119" s="921"/>
      <c r="L1119" s="1277"/>
      <c r="M1119" s="1277"/>
      <c r="N1119" s="1277"/>
      <c r="O1119" s="1277"/>
      <c r="P1119" s="919"/>
      <c r="Q1119" s="919"/>
      <c r="R1119" s="1277"/>
      <c r="S1119" s="1277"/>
      <c r="T1119" s="1277"/>
      <c r="U1119" s="1277"/>
      <c r="V1119" s="1277"/>
      <c r="W1119" s="1277"/>
      <c r="X1119" s="1277"/>
    </row>
    <row r="1120" spans="7:24">
      <c r="G1120" s="921"/>
      <c r="H1120" s="1277"/>
      <c r="I1120" s="921"/>
      <c r="J1120" s="1277"/>
      <c r="K1120" s="921"/>
      <c r="L1120" s="1277"/>
      <c r="M1120" s="1277"/>
      <c r="N1120" s="1277"/>
      <c r="O1120" s="1277"/>
      <c r="P1120" s="919"/>
      <c r="Q1120" s="919"/>
      <c r="R1120" s="1277"/>
      <c r="S1120" s="1277"/>
      <c r="T1120" s="1277"/>
      <c r="U1120" s="1277"/>
      <c r="V1120" s="1277"/>
      <c r="W1120" s="1277"/>
      <c r="X1120" s="1277"/>
    </row>
    <row r="1121" spans="7:24">
      <c r="G1121" s="921"/>
      <c r="H1121" s="1277"/>
      <c r="I1121" s="921"/>
      <c r="J1121" s="1277"/>
      <c r="K1121" s="921"/>
      <c r="L1121" s="1277"/>
      <c r="M1121" s="1277"/>
      <c r="N1121" s="1277"/>
      <c r="O1121" s="1277"/>
      <c r="P1121" s="919"/>
      <c r="Q1121" s="919"/>
      <c r="R1121" s="1277"/>
      <c r="S1121" s="1277"/>
      <c r="T1121" s="1277"/>
      <c r="U1121" s="1277"/>
      <c r="V1121" s="1277"/>
      <c r="W1121" s="1277"/>
      <c r="X1121" s="1277"/>
    </row>
    <row r="1122" spans="7:24">
      <c r="G1122" s="921"/>
      <c r="H1122" s="1277"/>
      <c r="I1122" s="921"/>
      <c r="J1122" s="1277"/>
      <c r="K1122" s="921"/>
      <c r="L1122" s="1277"/>
      <c r="M1122" s="1277"/>
      <c r="N1122" s="1277"/>
      <c r="O1122" s="1277"/>
      <c r="P1122" s="919"/>
      <c r="Q1122" s="919"/>
      <c r="R1122" s="1277"/>
      <c r="S1122" s="1277"/>
      <c r="T1122" s="1277"/>
      <c r="U1122" s="1277"/>
      <c r="V1122" s="1277"/>
      <c r="W1122" s="1277"/>
      <c r="X1122" s="1277"/>
    </row>
    <row r="1123" spans="7:24">
      <c r="G1123" s="921"/>
      <c r="H1123" s="1277"/>
      <c r="I1123" s="921"/>
      <c r="J1123" s="1277"/>
      <c r="K1123" s="921"/>
      <c r="L1123" s="1277"/>
      <c r="M1123" s="1277"/>
      <c r="N1123" s="1277"/>
      <c r="O1123" s="1277"/>
      <c r="P1123" s="919"/>
      <c r="Q1123" s="919"/>
      <c r="R1123" s="1277"/>
      <c r="S1123" s="1277"/>
      <c r="T1123" s="1277"/>
      <c r="U1123" s="1277"/>
      <c r="V1123" s="1277"/>
      <c r="W1123" s="1277"/>
      <c r="X1123" s="1277"/>
    </row>
    <row r="1124" spans="7:24">
      <c r="G1124" s="921"/>
      <c r="H1124" s="1277"/>
      <c r="I1124" s="921"/>
      <c r="J1124" s="1277"/>
      <c r="K1124" s="921"/>
      <c r="L1124" s="1277"/>
      <c r="M1124" s="1277"/>
      <c r="N1124" s="1277"/>
      <c r="O1124" s="1277"/>
      <c r="P1124" s="919"/>
      <c r="Q1124" s="919"/>
      <c r="R1124" s="1277"/>
      <c r="S1124" s="1277"/>
      <c r="T1124" s="1277"/>
      <c r="U1124" s="1277"/>
      <c r="V1124" s="1277"/>
      <c r="W1124" s="1277"/>
      <c r="X1124" s="1277"/>
    </row>
    <row r="1125" spans="7:24">
      <c r="G1125" s="921"/>
      <c r="H1125" s="1277"/>
      <c r="I1125" s="921"/>
      <c r="J1125" s="1277"/>
      <c r="K1125" s="921"/>
      <c r="L1125" s="1277"/>
      <c r="M1125" s="1277"/>
      <c r="N1125" s="1277"/>
      <c r="O1125" s="1277"/>
      <c r="P1125" s="919"/>
      <c r="Q1125" s="919"/>
      <c r="R1125" s="1277"/>
      <c r="S1125" s="1277"/>
      <c r="T1125" s="1277"/>
      <c r="U1125" s="1277"/>
      <c r="V1125" s="1277"/>
      <c r="W1125" s="1277"/>
      <c r="X1125" s="1277"/>
    </row>
    <row r="1126" spans="7:24">
      <c r="G1126" s="921"/>
      <c r="H1126" s="1277"/>
      <c r="I1126" s="921"/>
      <c r="J1126" s="1277"/>
      <c r="K1126" s="921"/>
      <c r="L1126" s="1277"/>
      <c r="M1126" s="1277"/>
      <c r="N1126" s="1277"/>
      <c r="O1126" s="1277"/>
      <c r="P1126" s="919"/>
      <c r="Q1126" s="919"/>
      <c r="R1126" s="1277"/>
      <c r="S1126" s="1277"/>
      <c r="T1126" s="1277"/>
      <c r="U1126" s="1277"/>
      <c r="V1126" s="1277"/>
      <c r="W1126" s="1277"/>
      <c r="X1126" s="1277"/>
    </row>
    <row r="1127" spans="7:24">
      <c r="G1127" s="921"/>
      <c r="H1127" s="1277"/>
      <c r="I1127" s="921"/>
      <c r="J1127" s="1277"/>
      <c r="K1127" s="921"/>
      <c r="L1127" s="1277"/>
      <c r="M1127" s="1277"/>
      <c r="N1127" s="1277"/>
      <c r="O1127" s="1277"/>
      <c r="P1127" s="919"/>
      <c r="Q1127" s="919"/>
      <c r="R1127" s="1277"/>
      <c r="S1127" s="1277"/>
      <c r="T1127" s="1277"/>
      <c r="U1127" s="1277"/>
      <c r="V1127" s="1277"/>
      <c r="W1127" s="1277"/>
      <c r="X1127" s="1277"/>
    </row>
    <row r="1128" spans="7:24">
      <c r="G1128" s="921"/>
      <c r="H1128" s="1277"/>
      <c r="I1128" s="921"/>
      <c r="J1128" s="1277"/>
      <c r="K1128" s="921"/>
      <c r="L1128" s="1277"/>
      <c r="M1128" s="1277"/>
      <c r="N1128" s="1277"/>
      <c r="O1128" s="1277"/>
      <c r="P1128" s="919"/>
      <c r="Q1128" s="919"/>
      <c r="R1128" s="1277"/>
      <c r="S1128" s="1277"/>
      <c r="T1128" s="1277"/>
      <c r="U1128" s="1277"/>
      <c r="V1128" s="1277"/>
      <c r="W1128" s="1277"/>
      <c r="X1128" s="1277"/>
    </row>
    <row r="1129" spans="7:24">
      <c r="G1129" s="921"/>
      <c r="H1129" s="1277"/>
      <c r="I1129" s="921"/>
      <c r="J1129" s="1277"/>
      <c r="K1129" s="921"/>
      <c r="L1129" s="1277"/>
      <c r="M1129" s="1277"/>
      <c r="N1129" s="1277"/>
      <c r="O1129" s="1277"/>
      <c r="P1129" s="919"/>
      <c r="Q1129" s="919"/>
      <c r="R1129" s="1277"/>
      <c r="S1129" s="1277"/>
      <c r="T1129" s="1277"/>
      <c r="U1129" s="1277"/>
      <c r="V1129" s="1277"/>
      <c r="W1129" s="1277"/>
      <c r="X1129" s="1277"/>
    </row>
    <row r="1130" spans="7:24">
      <c r="G1130" s="921"/>
      <c r="H1130" s="1277"/>
      <c r="I1130" s="921"/>
      <c r="J1130" s="1277"/>
      <c r="K1130" s="921"/>
      <c r="L1130" s="1277"/>
      <c r="M1130" s="1277"/>
      <c r="N1130" s="1277"/>
      <c r="O1130" s="1277"/>
      <c r="P1130" s="919"/>
      <c r="Q1130" s="919"/>
      <c r="R1130" s="1277"/>
      <c r="S1130" s="1277"/>
      <c r="T1130" s="1277"/>
      <c r="U1130" s="1277"/>
      <c r="V1130" s="1277"/>
      <c r="W1130" s="1277"/>
      <c r="X1130" s="1277"/>
    </row>
    <row r="1131" spans="7:24">
      <c r="G1131" s="921"/>
      <c r="H1131" s="1277"/>
      <c r="I1131" s="921"/>
      <c r="J1131" s="1277"/>
      <c r="K1131" s="921"/>
      <c r="L1131" s="1277"/>
      <c r="M1131" s="1277"/>
      <c r="N1131" s="1277"/>
      <c r="O1131" s="1277"/>
      <c r="P1131" s="919"/>
      <c r="Q1131" s="919"/>
      <c r="R1131" s="1277"/>
      <c r="S1131" s="1277"/>
      <c r="T1131" s="1277"/>
      <c r="U1131" s="1277"/>
      <c r="V1131" s="1277"/>
      <c r="W1131" s="1277"/>
      <c r="X1131" s="1277"/>
    </row>
    <row r="1132" spans="7:24">
      <c r="G1132" s="921"/>
      <c r="H1132" s="1277"/>
      <c r="I1132" s="921"/>
      <c r="J1132" s="1277"/>
      <c r="K1132" s="921"/>
      <c r="L1132" s="1277"/>
      <c r="M1132" s="1277"/>
      <c r="N1132" s="1277"/>
      <c r="O1132" s="1277"/>
      <c r="P1132" s="919"/>
      <c r="Q1132" s="919"/>
      <c r="R1132" s="1277"/>
      <c r="S1132" s="1277"/>
      <c r="T1132" s="1277"/>
      <c r="U1132" s="1277"/>
      <c r="V1132" s="1277"/>
      <c r="W1132" s="1277"/>
      <c r="X1132" s="1277"/>
    </row>
    <row r="1133" spans="7:24">
      <c r="G1133" s="921"/>
      <c r="H1133" s="1277"/>
      <c r="I1133" s="921"/>
      <c r="J1133" s="1277"/>
      <c r="K1133" s="921"/>
      <c r="L1133" s="1277"/>
      <c r="M1133" s="1277"/>
      <c r="N1133" s="1277"/>
      <c r="O1133" s="1277"/>
      <c r="P1133" s="919"/>
      <c r="Q1133" s="919"/>
      <c r="R1133" s="1277"/>
      <c r="S1133" s="1277"/>
      <c r="T1133" s="1277"/>
      <c r="U1133" s="1277"/>
      <c r="V1133" s="1277"/>
      <c r="W1133" s="1277"/>
      <c r="X1133" s="1277"/>
    </row>
    <row r="1134" spans="7:24">
      <c r="G1134" s="921"/>
      <c r="H1134" s="1277"/>
      <c r="I1134" s="921"/>
      <c r="J1134" s="1277"/>
      <c r="K1134" s="921"/>
      <c r="L1134" s="1277"/>
      <c r="M1134" s="1277"/>
      <c r="N1134" s="1277"/>
      <c r="O1134" s="1277"/>
      <c r="P1134" s="919"/>
      <c r="Q1134" s="919"/>
      <c r="R1134" s="1277"/>
      <c r="S1134" s="1277"/>
      <c r="T1134" s="1277"/>
      <c r="U1134" s="1277"/>
      <c r="V1134" s="1277"/>
      <c r="W1134" s="1277"/>
      <c r="X1134" s="1277"/>
    </row>
    <row r="1135" spans="7:24">
      <c r="G1135" s="921"/>
      <c r="H1135" s="1277"/>
      <c r="I1135" s="921"/>
      <c r="J1135" s="1277"/>
      <c r="K1135" s="921"/>
      <c r="L1135" s="1277"/>
      <c r="M1135" s="1277"/>
      <c r="N1135" s="1277"/>
      <c r="O1135" s="1277"/>
      <c r="P1135" s="919"/>
      <c r="Q1135" s="919"/>
      <c r="R1135" s="1277"/>
      <c r="S1135" s="1277"/>
      <c r="T1135" s="1277"/>
      <c r="U1135" s="1277"/>
      <c r="V1135" s="1277"/>
      <c r="W1135" s="1277"/>
      <c r="X1135" s="1277"/>
    </row>
    <row r="1136" spans="7:24">
      <c r="G1136" s="921"/>
      <c r="H1136" s="1277"/>
      <c r="I1136" s="921"/>
      <c r="J1136" s="1277"/>
      <c r="K1136" s="921"/>
      <c r="L1136" s="1277"/>
      <c r="M1136" s="1277"/>
      <c r="N1136" s="1277"/>
      <c r="O1136" s="1277"/>
      <c r="P1136" s="919"/>
      <c r="Q1136" s="919"/>
      <c r="R1136" s="1277"/>
      <c r="S1136" s="1277"/>
      <c r="T1136" s="1277"/>
      <c r="U1136" s="1277"/>
      <c r="V1136" s="1277"/>
      <c r="W1136" s="1277"/>
      <c r="X1136" s="1277"/>
    </row>
    <row r="1137" spans="7:24">
      <c r="G1137" s="921"/>
      <c r="H1137" s="1277"/>
      <c r="I1137" s="921"/>
      <c r="J1137" s="1277"/>
      <c r="K1137" s="921"/>
      <c r="L1137" s="1277"/>
      <c r="M1137" s="1277"/>
      <c r="N1137" s="1277"/>
      <c r="O1137" s="1277"/>
      <c r="P1137" s="919"/>
      <c r="Q1137" s="919"/>
      <c r="R1137" s="1277"/>
      <c r="S1137" s="1277"/>
      <c r="T1137" s="1277"/>
      <c r="U1137" s="1277"/>
      <c r="V1137" s="1277"/>
      <c r="W1137" s="1277"/>
      <c r="X1137" s="1277"/>
    </row>
    <row r="1138" spans="7:24">
      <c r="G1138" s="921"/>
      <c r="H1138" s="1277"/>
      <c r="I1138" s="921"/>
      <c r="J1138" s="1277"/>
      <c r="K1138" s="921"/>
      <c r="L1138" s="1277"/>
      <c r="M1138" s="1277"/>
      <c r="N1138" s="1277"/>
      <c r="O1138" s="1277"/>
      <c r="P1138" s="919"/>
      <c r="Q1138" s="919"/>
      <c r="R1138" s="1277"/>
      <c r="S1138" s="1277"/>
      <c r="T1138" s="1277"/>
      <c r="U1138" s="1277"/>
      <c r="V1138" s="1277"/>
      <c r="W1138" s="1277"/>
      <c r="X1138" s="1277"/>
    </row>
    <row r="1139" spans="7:24">
      <c r="G1139" s="921"/>
      <c r="H1139" s="1277"/>
      <c r="I1139" s="921"/>
      <c r="J1139" s="1277"/>
      <c r="K1139" s="921"/>
      <c r="L1139" s="1277"/>
      <c r="M1139" s="1277"/>
      <c r="N1139" s="1277"/>
      <c r="O1139" s="1277"/>
      <c r="P1139" s="919"/>
      <c r="Q1139" s="919"/>
      <c r="R1139" s="1277"/>
      <c r="S1139" s="1277"/>
      <c r="T1139" s="1277"/>
      <c r="U1139" s="1277"/>
      <c r="V1139" s="1277"/>
      <c r="W1139" s="1277"/>
      <c r="X1139" s="1277"/>
    </row>
    <row r="1140" spans="7:24">
      <c r="G1140" s="921"/>
      <c r="H1140" s="1277"/>
      <c r="I1140" s="921"/>
      <c r="J1140" s="1277"/>
      <c r="K1140" s="921"/>
      <c r="L1140" s="1277"/>
      <c r="M1140" s="1277"/>
      <c r="N1140" s="1277"/>
      <c r="O1140" s="1277"/>
      <c r="P1140" s="919"/>
      <c r="Q1140" s="919"/>
      <c r="R1140" s="1277"/>
      <c r="S1140" s="1277"/>
      <c r="T1140" s="1277"/>
      <c r="U1140" s="1277"/>
      <c r="V1140" s="1277"/>
      <c r="W1140" s="1277"/>
      <c r="X1140" s="1277"/>
    </row>
    <row r="1141" spans="7:24">
      <c r="G1141" s="921"/>
      <c r="H1141" s="1277"/>
      <c r="I1141" s="921"/>
      <c r="J1141" s="1277"/>
      <c r="K1141" s="921"/>
      <c r="L1141" s="1277"/>
      <c r="M1141" s="1277"/>
      <c r="N1141" s="1277"/>
      <c r="O1141" s="1277"/>
      <c r="P1141" s="919"/>
      <c r="Q1141" s="919"/>
      <c r="R1141" s="1277"/>
      <c r="S1141" s="1277"/>
      <c r="T1141" s="1277"/>
      <c r="U1141" s="1277"/>
      <c r="V1141" s="1277"/>
      <c r="W1141" s="1277"/>
      <c r="X1141" s="1277"/>
    </row>
    <row r="1142" spans="7:24">
      <c r="G1142" s="921"/>
      <c r="H1142" s="1277"/>
      <c r="I1142" s="921"/>
      <c r="J1142" s="1277"/>
      <c r="K1142" s="921"/>
      <c r="L1142" s="1277"/>
      <c r="M1142" s="1277"/>
      <c r="N1142" s="1277"/>
      <c r="O1142" s="1277"/>
      <c r="P1142" s="919"/>
      <c r="Q1142" s="919"/>
      <c r="R1142" s="1277"/>
      <c r="S1142" s="1277"/>
      <c r="T1142" s="1277"/>
      <c r="U1142" s="1277"/>
      <c r="V1142" s="1277"/>
      <c r="W1142" s="1277"/>
      <c r="X1142" s="1277"/>
    </row>
    <row r="1143" spans="7:24">
      <c r="G1143" s="921"/>
      <c r="H1143" s="1277"/>
      <c r="I1143" s="921"/>
      <c r="J1143" s="1277"/>
      <c r="K1143" s="921"/>
      <c r="L1143" s="1277"/>
      <c r="M1143" s="1277"/>
      <c r="N1143" s="1277"/>
      <c r="O1143" s="1277"/>
      <c r="P1143" s="919"/>
      <c r="Q1143" s="919"/>
      <c r="R1143" s="1277"/>
      <c r="S1143" s="1277"/>
      <c r="T1143" s="1277"/>
      <c r="U1143" s="1277"/>
      <c r="V1143" s="1277"/>
      <c r="W1143" s="1277"/>
      <c r="X1143" s="1277"/>
    </row>
    <row r="1144" spans="7:24">
      <c r="G1144" s="921"/>
      <c r="H1144" s="1277"/>
      <c r="I1144" s="921"/>
      <c r="J1144" s="1277"/>
      <c r="K1144" s="921"/>
      <c r="L1144" s="1277"/>
      <c r="M1144" s="1277"/>
      <c r="N1144" s="1277"/>
      <c r="O1144" s="1277"/>
      <c r="P1144" s="919"/>
      <c r="Q1144" s="919"/>
      <c r="R1144" s="1277"/>
      <c r="S1144" s="1277"/>
      <c r="T1144" s="1277"/>
      <c r="U1144" s="1277"/>
      <c r="V1144" s="1277"/>
      <c r="W1144" s="1277"/>
      <c r="X1144" s="1277"/>
    </row>
    <row r="1145" spans="7:24">
      <c r="G1145" s="921"/>
      <c r="H1145" s="1277"/>
      <c r="I1145" s="921"/>
      <c r="J1145" s="1277"/>
      <c r="K1145" s="921"/>
      <c r="L1145" s="1277"/>
      <c r="M1145" s="1277"/>
      <c r="N1145" s="1277"/>
      <c r="O1145" s="1277"/>
      <c r="P1145" s="919"/>
      <c r="Q1145" s="919"/>
      <c r="R1145" s="1277"/>
      <c r="S1145" s="1277"/>
      <c r="T1145" s="1277"/>
      <c r="U1145" s="1277"/>
      <c r="V1145" s="1277"/>
      <c r="W1145" s="1277"/>
      <c r="X1145" s="1277"/>
    </row>
    <row r="1146" spans="7:24">
      <c r="G1146" s="921"/>
      <c r="H1146" s="1277"/>
      <c r="I1146" s="921"/>
      <c r="J1146" s="1277"/>
      <c r="K1146" s="921"/>
      <c r="L1146" s="1277"/>
      <c r="M1146" s="1277"/>
      <c r="N1146" s="1277"/>
      <c r="O1146" s="1277"/>
      <c r="P1146" s="919"/>
      <c r="Q1146" s="919"/>
      <c r="R1146" s="1277"/>
      <c r="S1146" s="1277"/>
      <c r="T1146" s="1277"/>
      <c r="U1146" s="1277"/>
      <c r="V1146" s="1277"/>
      <c r="W1146" s="1277"/>
      <c r="X1146" s="1277"/>
    </row>
    <row r="1147" spans="7:24">
      <c r="G1147" s="921"/>
      <c r="H1147" s="1277"/>
      <c r="I1147" s="921"/>
      <c r="J1147" s="1277"/>
      <c r="K1147" s="921"/>
      <c r="L1147" s="1277"/>
      <c r="M1147" s="1277"/>
      <c r="N1147" s="1277"/>
      <c r="O1147" s="1277"/>
      <c r="P1147" s="919"/>
      <c r="Q1147" s="919"/>
      <c r="R1147" s="1277"/>
      <c r="S1147" s="1277"/>
      <c r="T1147" s="1277"/>
      <c r="U1147" s="1277"/>
      <c r="V1147" s="1277"/>
      <c r="W1147" s="1277"/>
      <c r="X1147" s="1277"/>
    </row>
    <row r="1148" spans="7:24">
      <c r="G1148" s="921"/>
      <c r="H1148" s="1277"/>
      <c r="I1148" s="921"/>
      <c r="J1148" s="1277"/>
      <c r="K1148" s="921"/>
      <c r="L1148" s="1277"/>
      <c r="M1148" s="1277"/>
      <c r="N1148" s="1277"/>
      <c r="O1148" s="1277"/>
      <c r="P1148" s="919"/>
      <c r="Q1148" s="919"/>
      <c r="R1148" s="1277"/>
      <c r="S1148" s="1277"/>
      <c r="T1148" s="1277"/>
      <c r="U1148" s="1277"/>
      <c r="V1148" s="1277"/>
      <c r="W1148" s="1277"/>
      <c r="X1148" s="1277"/>
    </row>
    <row r="1149" spans="7:24">
      <c r="G1149" s="921"/>
      <c r="H1149" s="1277"/>
      <c r="I1149" s="921"/>
      <c r="J1149" s="1277"/>
      <c r="K1149" s="921"/>
      <c r="L1149" s="1277"/>
      <c r="M1149" s="1277"/>
      <c r="N1149" s="1277"/>
      <c r="O1149" s="1277"/>
      <c r="P1149" s="919"/>
      <c r="Q1149" s="919"/>
      <c r="R1149" s="1277"/>
      <c r="S1149" s="1277"/>
      <c r="T1149" s="1277"/>
      <c r="U1149" s="1277"/>
      <c r="V1149" s="1277"/>
      <c r="W1149" s="1277"/>
      <c r="X1149" s="1277"/>
    </row>
    <row r="1150" spans="7:24">
      <c r="G1150" s="921"/>
      <c r="H1150" s="1277"/>
      <c r="I1150" s="921"/>
      <c r="J1150" s="1277"/>
      <c r="K1150" s="921"/>
      <c r="L1150" s="1277"/>
      <c r="M1150" s="1277"/>
      <c r="N1150" s="1277"/>
      <c r="O1150" s="1277"/>
      <c r="P1150" s="919"/>
      <c r="Q1150" s="919"/>
      <c r="R1150" s="1277"/>
      <c r="S1150" s="1277"/>
      <c r="T1150" s="1277"/>
      <c r="U1150" s="1277"/>
      <c r="V1150" s="1277"/>
      <c r="W1150" s="1277"/>
      <c r="X1150" s="1277"/>
    </row>
    <row r="1151" spans="7:24">
      <c r="G1151" s="921"/>
      <c r="H1151" s="1277"/>
      <c r="I1151" s="921"/>
      <c r="J1151" s="1277"/>
      <c r="K1151" s="921"/>
      <c r="L1151" s="1277"/>
      <c r="M1151" s="1277"/>
      <c r="N1151" s="1277"/>
      <c r="O1151" s="1277"/>
      <c r="P1151" s="919"/>
      <c r="Q1151" s="919"/>
      <c r="R1151" s="1277"/>
      <c r="S1151" s="1277"/>
      <c r="T1151" s="1277"/>
      <c r="U1151" s="1277"/>
      <c r="V1151" s="1277"/>
      <c r="W1151" s="1277"/>
      <c r="X1151" s="1277"/>
    </row>
    <row r="1152" spans="7:24">
      <c r="G1152" s="921"/>
      <c r="H1152" s="1277"/>
      <c r="I1152" s="921"/>
      <c r="J1152" s="1277"/>
      <c r="K1152" s="921"/>
      <c r="L1152" s="1277"/>
      <c r="M1152" s="1277"/>
      <c r="N1152" s="1277"/>
      <c r="O1152" s="1277"/>
      <c r="P1152" s="919"/>
      <c r="Q1152" s="919"/>
      <c r="R1152" s="1277"/>
      <c r="S1152" s="1277"/>
      <c r="T1152" s="1277"/>
      <c r="U1152" s="1277"/>
      <c r="V1152" s="1277"/>
      <c r="W1152" s="1277"/>
      <c r="X1152" s="1277"/>
    </row>
    <row r="1153" spans="7:24">
      <c r="G1153" s="921"/>
      <c r="H1153" s="1277"/>
      <c r="I1153" s="921"/>
      <c r="J1153" s="1277"/>
      <c r="K1153" s="921"/>
      <c r="L1153" s="1277"/>
      <c r="M1153" s="1277"/>
      <c r="N1153" s="1277"/>
      <c r="O1153" s="1277"/>
      <c r="P1153" s="919"/>
      <c r="Q1153" s="919"/>
      <c r="R1153" s="1277"/>
      <c r="S1153" s="1277"/>
      <c r="T1153" s="1277"/>
      <c r="U1153" s="1277"/>
      <c r="V1153" s="1277"/>
      <c r="W1153" s="1277"/>
      <c r="X1153" s="1277"/>
    </row>
    <row r="1154" spans="7:24">
      <c r="G1154" s="921"/>
      <c r="H1154" s="1277"/>
      <c r="I1154" s="921"/>
      <c r="J1154" s="1277"/>
      <c r="K1154" s="921"/>
      <c r="L1154" s="1277"/>
      <c r="M1154" s="1277"/>
      <c r="N1154" s="1277"/>
      <c r="O1154" s="1277"/>
      <c r="P1154" s="919"/>
      <c r="Q1154" s="919"/>
      <c r="R1154" s="1277"/>
      <c r="S1154" s="1277"/>
      <c r="T1154" s="1277"/>
      <c r="U1154" s="1277"/>
      <c r="V1154" s="1277"/>
      <c r="W1154" s="1277"/>
      <c r="X1154" s="1277"/>
    </row>
    <row r="1155" spans="7:24">
      <c r="G1155" s="921"/>
      <c r="H1155" s="1277"/>
      <c r="I1155" s="921"/>
      <c r="J1155" s="1277"/>
      <c r="K1155" s="921"/>
      <c r="L1155" s="1277"/>
      <c r="M1155" s="1277"/>
      <c r="N1155" s="1277"/>
      <c r="O1155" s="1277"/>
      <c r="P1155" s="919"/>
      <c r="Q1155" s="919"/>
      <c r="R1155" s="1277"/>
      <c r="S1155" s="1277"/>
      <c r="T1155" s="1277"/>
      <c r="U1155" s="1277"/>
      <c r="V1155" s="1277"/>
      <c r="W1155" s="1277"/>
      <c r="X1155" s="1277"/>
    </row>
    <row r="1156" spans="7:24">
      <c r="G1156" s="921"/>
      <c r="H1156" s="1277"/>
      <c r="I1156" s="921"/>
      <c r="J1156" s="1277"/>
      <c r="K1156" s="921"/>
      <c r="L1156" s="1277"/>
      <c r="M1156" s="1277"/>
      <c r="N1156" s="1277"/>
      <c r="O1156" s="1277"/>
      <c r="P1156" s="919"/>
      <c r="Q1156" s="919"/>
      <c r="R1156" s="1277"/>
      <c r="S1156" s="1277"/>
      <c r="T1156" s="1277"/>
      <c r="U1156" s="1277"/>
      <c r="V1156" s="1277"/>
      <c r="W1156" s="1277"/>
      <c r="X1156" s="1277"/>
    </row>
    <row r="1157" spans="7:24">
      <c r="G1157" s="921"/>
      <c r="H1157" s="1277"/>
      <c r="I1157" s="921"/>
      <c r="J1157" s="1277"/>
      <c r="K1157" s="921"/>
      <c r="L1157" s="1277"/>
      <c r="M1157" s="1277"/>
      <c r="N1157" s="1277"/>
      <c r="O1157" s="1277"/>
      <c r="P1157" s="919"/>
      <c r="Q1157" s="919"/>
      <c r="R1157" s="1277"/>
      <c r="S1157" s="1277"/>
      <c r="T1157" s="1277"/>
      <c r="U1157" s="1277"/>
      <c r="V1157" s="1277"/>
      <c r="W1157" s="1277"/>
      <c r="X1157" s="1277"/>
    </row>
    <row r="1158" spans="7:24">
      <c r="G1158" s="921"/>
      <c r="H1158" s="1277"/>
      <c r="I1158" s="921"/>
      <c r="J1158" s="1277"/>
      <c r="K1158" s="921"/>
      <c r="L1158" s="1277"/>
      <c r="M1158" s="1277"/>
      <c r="N1158" s="1277"/>
      <c r="O1158" s="1277"/>
      <c r="P1158" s="919"/>
      <c r="Q1158" s="919"/>
      <c r="R1158" s="1277"/>
      <c r="S1158" s="1277"/>
      <c r="T1158" s="1277"/>
      <c r="U1158" s="1277"/>
      <c r="V1158" s="1277"/>
      <c r="W1158" s="1277"/>
      <c r="X1158" s="1277"/>
    </row>
    <row r="1159" spans="7:24">
      <c r="G1159" s="921"/>
      <c r="H1159" s="1277"/>
      <c r="I1159" s="921"/>
      <c r="J1159" s="1277"/>
      <c r="K1159" s="921"/>
      <c r="L1159" s="1277"/>
      <c r="M1159" s="1277"/>
      <c r="N1159" s="1277"/>
      <c r="O1159" s="1277"/>
      <c r="P1159" s="919"/>
      <c r="Q1159" s="919"/>
      <c r="R1159" s="1277"/>
      <c r="S1159" s="1277"/>
      <c r="T1159" s="1277"/>
      <c r="U1159" s="1277"/>
      <c r="V1159" s="1277"/>
      <c r="W1159" s="1277"/>
      <c r="X1159" s="1277"/>
    </row>
    <row r="1160" spans="7:24">
      <c r="G1160" s="921"/>
      <c r="H1160" s="1277"/>
      <c r="I1160" s="921"/>
      <c r="J1160" s="1277"/>
      <c r="K1160" s="921"/>
      <c r="L1160" s="1277"/>
      <c r="M1160" s="1277"/>
      <c r="N1160" s="1277"/>
      <c r="O1160" s="1277"/>
      <c r="P1160" s="919"/>
      <c r="Q1160" s="919"/>
      <c r="R1160" s="1277"/>
      <c r="S1160" s="1277"/>
      <c r="T1160" s="1277"/>
      <c r="U1160" s="1277"/>
      <c r="V1160" s="1277"/>
      <c r="W1160" s="1277"/>
      <c r="X1160" s="1277"/>
    </row>
    <row r="1161" spans="7:24">
      <c r="G1161" s="921"/>
      <c r="H1161" s="1277"/>
      <c r="I1161" s="921"/>
      <c r="J1161" s="1277"/>
      <c r="K1161" s="921"/>
      <c r="L1161" s="1277"/>
      <c r="M1161" s="1277"/>
      <c r="N1161" s="1277"/>
      <c r="O1161" s="1277"/>
      <c r="P1161" s="919"/>
      <c r="Q1161" s="919"/>
      <c r="R1161" s="1277"/>
      <c r="S1161" s="1277"/>
      <c r="T1161" s="1277"/>
      <c r="U1161" s="1277"/>
      <c r="V1161" s="1277"/>
      <c r="W1161" s="1277"/>
      <c r="X1161" s="1277"/>
    </row>
    <row r="1162" spans="7:24">
      <c r="G1162" s="921"/>
      <c r="H1162" s="1277"/>
      <c r="I1162" s="921"/>
      <c r="J1162" s="1277"/>
      <c r="K1162" s="921"/>
      <c r="L1162" s="1277"/>
      <c r="M1162" s="1277"/>
      <c r="N1162" s="1277"/>
      <c r="O1162" s="1277"/>
      <c r="P1162" s="919"/>
      <c r="Q1162" s="919"/>
      <c r="R1162" s="1277"/>
      <c r="S1162" s="1277"/>
      <c r="T1162" s="1277"/>
      <c r="U1162" s="1277"/>
      <c r="V1162" s="1277"/>
      <c r="W1162" s="1277"/>
      <c r="X1162" s="1277"/>
    </row>
    <row r="1163" spans="7:24">
      <c r="G1163" s="921"/>
      <c r="H1163" s="1277"/>
      <c r="I1163" s="921"/>
      <c r="J1163" s="1277"/>
      <c r="K1163" s="921"/>
      <c r="L1163" s="1277"/>
      <c r="M1163" s="1277"/>
      <c r="N1163" s="1277"/>
      <c r="O1163" s="1277"/>
      <c r="P1163" s="919"/>
      <c r="Q1163" s="919"/>
      <c r="R1163" s="1277"/>
      <c r="S1163" s="1277"/>
      <c r="T1163" s="1277"/>
      <c r="U1163" s="1277"/>
      <c r="V1163" s="1277"/>
      <c r="W1163" s="1277"/>
      <c r="X1163" s="1277"/>
    </row>
    <row r="1164" spans="7:24">
      <c r="G1164" s="921"/>
      <c r="H1164" s="1277"/>
      <c r="I1164" s="921"/>
      <c r="J1164" s="1277"/>
      <c r="K1164" s="921"/>
      <c r="L1164" s="1277"/>
      <c r="M1164" s="1277"/>
      <c r="N1164" s="1277"/>
      <c r="O1164" s="1277"/>
      <c r="P1164" s="919"/>
      <c r="Q1164" s="919"/>
      <c r="R1164" s="1277"/>
      <c r="S1164" s="1277"/>
      <c r="T1164" s="1277"/>
      <c r="U1164" s="1277"/>
      <c r="V1164" s="1277"/>
      <c r="W1164" s="1277"/>
      <c r="X1164" s="1277"/>
    </row>
    <row r="1165" spans="7:24">
      <c r="G1165" s="921"/>
      <c r="H1165" s="1277"/>
      <c r="I1165" s="921"/>
      <c r="J1165" s="1277"/>
      <c r="K1165" s="921"/>
      <c r="L1165" s="1277"/>
      <c r="M1165" s="1277"/>
      <c r="N1165" s="1277"/>
      <c r="O1165" s="1277"/>
      <c r="P1165" s="919"/>
      <c r="Q1165" s="919"/>
      <c r="R1165" s="1277"/>
      <c r="S1165" s="1277"/>
      <c r="T1165" s="1277"/>
      <c r="U1165" s="1277"/>
      <c r="V1165" s="1277"/>
      <c r="W1165" s="1277"/>
      <c r="X1165" s="1277"/>
    </row>
    <row r="1166" spans="7:24">
      <c r="G1166" s="921"/>
      <c r="H1166" s="1277"/>
      <c r="I1166" s="921"/>
      <c r="J1166" s="1277"/>
      <c r="K1166" s="921"/>
      <c r="L1166" s="1277"/>
      <c r="M1166" s="1277"/>
      <c r="N1166" s="1277"/>
      <c r="O1166" s="1277"/>
      <c r="P1166" s="919"/>
      <c r="Q1166" s="919"/>
      <c r="R1166" s="1277"/>
      <c r="S1166" s="1277"/>
      <c r="T1166" s="1277"/>
      <c r="U1166" s="1277"/>
      <c r="V1166" s="1277"/>
      <c r="W1166" s="1277"/>
      <c r="X1166" s="1277"/>
    </row>
    <row r="1167" spans="7:24">
      <c r="G1167" s="921"/>
      <c r="H1167" s="1277"/>
      <c r="I1167" s="921"/>
      <c r="J1167" s="1277"/>
      <c r="K1167" s="921"/>
      <c r="L1167" s="1277"/>
      <c r="M1167" s="1277"/>
      <c r="N1167" s="1277"/>
      <c r="O1167" s="1277"/>
      <c r="P1167" s="919"/>
      <c r="Q1167" s="919"/>
      <c r="R1167" s="1277"/>
      <c r="S1167" s="1277"/>
      <c r="T1167" s="1277"/>
      <c r="U1167" s="1277"/>
      <c r="V1167" s="1277"/>
      <c r="W1167" s="1277"/>
      <c r="X1167" s="1277"/>
    </row>
    <row r="1168" spans="7:24">
      <c r="G1168" s="921"/>
      <c r="H1168" s="1277"/>
      <c r="I1168" s="921"/>
      <c r="J1168" s="1277"/>
      <c r="K1168" s="921"/>
      <c r="L1168" s="1277"/>
      <c r="M1168" s="1277"/>
      <c r="N1168" s="1277"/>
      <c r="O1168" s="1277"/>
      <c r="P1168" s="919"/>
      <c r="Q1168" s="919"/>
      <c r="R1168" s="1277"/>
      <c r="S1168" s="1277"/>
      <c r="T1168" s="1277"/>
      <c r="U1168" s="1277"/>
      <c r="V1168" s="1277"/>
      <c r="W1168" s="1277"/>
      <c r="X1168" s="1277"/>
    </row>
    <row r="1169" spans="7:24">
      <c r="G1169" s="921"/>
      <c r="H1169" s="1277"/>
      <c r="I1169" s="921"/>
      <c r="J1169" s="1277"/>
      <c r="K1169" s="921"/>
      <c r="L1169" s="1277"/>
      <c r="M1169" s="1277"/>
      <c r="N1169" s="1277"/>
      <c r="O1169" s="1277"/>
      <c r="P1169" s="919"/>
      <c r="Q1169" s="919"/>
      <c r="R1169" s="1277"/>
      <c r="S1169" s="1277"/>
      <c r="T1169" s="1277"/>
      <c r="U1169" s="1277"/>
      <c r="V1169" s="1277"/>
      <c r="W1169" s="1277"/>
      <c r="X1169" s="1277"/>
    </row>
    <row r="1170" spans="7:24">
      <c r="G1170" s="921"/>
      <c r="H1170" s="1277"/>
      <c r="I1170" s="921"/>
      <c r="J1170" s="1277"/>
      <c r="K1170" s="921"/>
      <c r="L1170" s="1277"/>
      <c r="M1170" s="1277"/>
      <c r="N1170" s="1277"/>
      <c r="O1170" s="1277"/>
      <c r="P1170" s="919"/>
      <c r="Q1170" s="919"/>
      <c r="R1170" s="1277"/>
      <c r="S1170" s="1277"/>
      <c r="T1170" s="1277"/>
      <c r="U1170" s="1277"/>
      <c r="V1170" s="1277"/>
      <c r="W1170" s="1277"/>
      <c r="X1170" s="1277"/>
    </row>
    <row r="1171" spans="7:24">
      <c r="G1171" s="921"/>
      <c r="H1171" s="1277"/>
      <c r="I1171" s="921"/>
      <c r="J1171" s="1277"/>
      <c r="K1171" s="921"/>
      <c r="L1171" s="1277"/>
      <c r="M1171" s="1277"/>
      <c r="N1171" s="1277"/>
      <c r="O1171" s="1277"/>
      <c r="P1171" s="919"/>
      <c r="Q1171" s="919"/>
      <c r="R1171" s="1277"/>
      <c r="S1171" s="1277"/>
      <c r="T1171" s="1277"/>
      <c r="U1171" s="1277"/>
      <c r="V1171" s="1277"/>
      <c r="W1171" s="1277"/>
      <c r="X1171" s="1277"/>
    </row>
    <row r="1172" spans="7:24">
      <c r="G1172" s="921"/>
      <c r="H1172" s="1277"/>
      <c r="I1172" s="921"/>
      <c r="J1172" s="1277"/>
      <c r="K1172" s="921"/>
      <c r="L1172" s="1277"/>
      <c r="M1172" s="1277"/>
      <c r="N1172" s="1277"/>
      <c r="O1172" s="1277"/>
      <c r="P1172" s="919"/>
      <c r="Q1172" s="919"/>
      <c r="R1172" s="1277"/>
      <c r="S1172" s="1277"/>
      <c r="T1172" s="1277"/>
      <c r="U1172" s="1277"/>
      <c r="V1172" s="1277"/>
      <c r="W1172" s="1277"/>
      <c r="X1172" s="1277"/>
    </row>
    <row r="1173" spans="7:24">
      <c r="G1173" s="921"/>
      <c r="H1173" s="1277"/>
      <c r="I1173" s="921"/>
      <c r="J1173" s="1277"/>
      <c r="K1173" s="921"/>
      <c r="L1173" s="1277"/>
      <c r="M1173" s="1277"/>
      <c r="N1173" s="1277"/>
      <c r="O1173" s="1277"/>
      <c r="P1173" s="919"/>
      <c r="Q1173" s="919"/>
      <c r="R1173" s="1277"/>
      <c r="S1173" s="1277"/>
      <c r="T1173" s="1277"/>
      <c r="U1173" s="1277"/>
      <c r="V1173" s="1277"/>
      <c r="W1173" s="1277"/>
      <c r="X1173" s="1277"/>
    </row>
    <row r="1174" spans="7:24">
      <c r="G1174" s="921"/>
      <c r="H1174" s="1277"/>
      <c r="I1174" s="921"/>
      <c r="J1174" s="1277"/>
      <c r="K1174" s="921"/>
      <c r="L1174" s="1277"/>
      <c r="M1174" s="1277"/>
      <c r="N1174" s="1277"/>
      <c r="O1174" s="1277"/>
      <c r="P1174" s="919"/>
      <c r="Q1174" s="919"/>
      <c r="R1174" s="1277"/>
      <c r="S1174" s="1277"/>
      <c r="T1174" s="1277"/>
      <c r="U1174" s="1277"/>
      <c r="V1174" s="1277"/>
      <c r="W1174" s="1277"/>
      <c r="X1174" s="1277"/>
    </row>
    <row r="1175" spans="7:24">
      <c r="G1175" s="921"/>
      <c r="H1175" s="1277"/>
      <c r="I1175" s="921"/>
      <c r="J1175" s="1277"/>
      <c r="K1175" s="921"/>
      <c r="L1175" s="1277"/>
      <c r="M1175" s="1277"/>
      <c r="N1175" s="1277"/>
      <c r="O1175" s="1277"/>
      <c r="P1175" s="919"/>
      <c r="Q1175" s="919"/>
      <c r="R1175" s="1277"/>
      <c r="S1175" s="1277"/>
      <c r="T1175" s="1277"/>
      <c r="U1175" s="1277"/>
      <c r="V1175" s="1277"/>
      <c r="W1175" s="1277"/>
      <c r="X1175" s="1277"/>
    </row>
    <row r="1176" spans="7:24">
      <c r="G1176" s="921"/>
      <c r="H1176" s="1277"/>
      <c r="I1176" s="921"/>
      <c r="J1176" s="1277"/>
      <c r="K1176" s="921"/>
      <c r="L1176" s="1277"/>
      <c r="M1176" s="1277"/>
      <c r="N1176" s="1277"/>
      <c r="O1176" s="1277"/>
      <c r="P1176" s="919"/>
      <c r="Q1176" s="919"/>
      <c r="R1176" s="1277"/>
      <c r="S1176" s="1277"/>
      <c r="T1176" s="1277"/>
      <c r="U1176" s="1277"/>
      <c r="V1176" s="1277"/>
      <c r="W1176" s="1277"/>
      <c r="X1176" s="1277"/>
    </row>
    <row r="1177" spans="7:24">
      <c r="G1177" s="921"/>
      <c r="H1177" s="1277"/>
      <c r="I1177" s="921"/>
      <c r="J1177" s="1277"/>
      <c r="K1177" s="921"/>
      <c r="L1177" s="1277"/>
      <c r="M1177" s="1277"/>
      <c r="N1177" s="1277"/>
      <c r="O1177" s="1277"/>
      <c r="P1177" s="919"/>
      <c r="Q1177" s="919"/>
      <c r="R1177" s="1277"/>
      <c r="S1177" s="1277"/>
      <c r="T1177" s="1277"/>
      <c r="U1177" s="1277"/>
      <c r="V1177" s="1277"/>
      <c r="W1177" s="1277"/>
      <c r="X1177" s="1277"/>
    </row>
    <row r="1178" spans="7:24">
      <c r="G1178" s="921"/>
      <c r="H1178" s="1277"/>
      <c r="I1178" s="921"/>
      <c r="J1178" s="1277"/>
      <c r="K1178" s="921"/>
      <c r="L1178" s="1277"/>
      <c r="M1178" s="1277"/>
      <c r="N1178" s="1277"/>
      <c r="O1178" s="1277"/>
      <c r="P1178" s="919"/>
      <c r="Q1178" s="919"/>
      <c r="R1178" s="1277"/>
      <c r="S1178" s="1277"/>
      <c r="T1178" s="1277"/>
      <c r="U1178" s="1277"/>
      <c r="V1178" s="1277"/>
      <c r="W1178" s="1277"/>
      <c r="X1178" s="1277"/>
    </row>
    <row r="1179" spans="7:24">
      <c r="G1179" s="921"/>
      <c r="H1179" s="1277"/>
      <c r="I1179" s="921"/>
      <c r="J1179" s="1277"/>
      <c r="K1179" s="921"/>
      <c r="L1179" s="1277"/>
      <c r="M1179" s="1277"/>
      <c r="N1179" s="1277"/>
      <c r="O1179" s="1277"/>
      <c r="P1179" s="919"/>
      <c r="Q1179" s="919"/>
      <c r="R1179" s="1277"/>
      <c r="S1179" s="1277"/>
      <c r="T1179" s="1277"/>
      <c r="U1179" s="1277"/>
      <c r="V1179" s="1277"/>
      <c r="W1179" s="1277"/>
      <c r="X1179" s="1277"/>
    </row>
    <row r="1180" spans="7:24">
      <c r="G1180" s="921"/>
      <c r="H1180" s="1277"/>
      <c r="I1180" s="921"/>
      <c r="J1180" s="1277"/>
      <c r="K1180" s="921"/>
      <c r="L1180" s="1277"/>
      <c r="M1180" s="1277"/>
      <c r="N1180" s="1277"/>
      <c r="O1180" s="1277"/>
      <c r="P1180" s="919"/>
      <c r="Q1180" s="919"/>
      <c r="R1180" s="1277"/>
      <c r="S1180" s="1277"/>
      <c r="T1180" s="1277"/>
      <c r="U1180" s="1277"/>
      <c r="V1180" s="1277"/>
      <c r="W1180" s="1277"/>
      <c r="X1180" s="1277"/>
    </row>
    <row r="1181" spans="7:24">
      <c r="G1181" s="921"/>
      <c r="H1181" s="1277"/>
      <c r="I1181" s="921"/>
      <c r="J1181" s="1277"/>
      <c r="K1181" s="921"/>
      <c r="L1181" s="1277"/>
      <c r="M1181" s="1277"/>
      <c r="N1181" s="1277"/>
      <c r="O1181" s="1277"/>
      <c r="P1181" s="919"/>
      <c r="Q1181" s="919"/>
      <c r="R1181" s="1277"/>
      <c r="S1181" s="1277"/>
      <c r="T1181" s="1277"/>
      <c r="U1181" s="1277"/>
      <c r="V1181" s="1277"/>
      <c r="W1181" s="1277"/>
      <c r="X1181" s="1277"/>
    </row>
    <row r="1182" spans="7:24">
      <c r="G1182" s="921"/>
      <c r="H1182" s="1277"/>
      <c r="I1182" s="921"/>
      <c r="J1182" s="1277"/>
      <c r="K1182" s="921"/>
      <c r="L1182" s="1277"/>
      <c r="M1182" s="1277"/>
      <c r="N1182" s="1277"/>
      <c r="O1182" s="1277"/>
      <c r="P1182" s="919"/>
      <c r="Q1182" s="919"/>
      <c r="R1182" s="1277"/>
      <c r="S1182" s="1277"/>
      <c r="T1182" s="1277"/>
      <c r="U1182" s="1277"/>
      <c r="V1182" s="1277"/>
      <c r="W1182" s="1277"/>
      <c r="X1182" s="1277"/>
    </row>
    <row r="1183" spans="7:24">
      <c r="G1183" s="921"/>
      <c r="H1183" s="1277"/>
      <c r="I1183" s="921"/>
      <c r="J1183" s="1277"/>
      <c r="K1183" s="921"/>
      <c r="L1183" s="1277"/>
      <c r="M1183" s="1277"/>
      <c r="N1183" s="1277"/>
      <c r="O1183" s="1277"/>
      <c r="P1183" s="919"/>
      <c r="Q1183" s="919"/>
      <c r="R1183" s="1277"/>
      <c r="S1183" s="1277"/>
      <c r="T1183" s="1277"/>
      <c r="U1183" s="1277"/>
      <c r="V1183" s="1277"/>
      <c r="W1183" s="1277"/>
      <c r="X1183" s="1277"/>
    </row>
    <row r="1184" spans="7:24">
      <c r="G1184" s="921"/>
      <c r="H1184" s="1277"/>
      <c r="I1184" s="921"/>
      <c r="J1184" s="1277"/>
      <c r="K1184" s="921"/>
      <c r="L1184" s="1277"/>
      <c r="M1184" s="1277"/>
      <c r="N1184" s="1277"/>
      <c r="O1184" s="1277"/>
      <c r="P1184" s="919"/>
      <c r="Q1184" s="919"/>
      <c r="R1184" s="1277"/>
      <c r="S1184" s="1277"/>
      <c r="T1184" s="1277"/>
      <c r="U1184" s="1277"/>
      <c r="V1184" s="1277"/>
      <c r="W1184" s="1277"/>
      <c r="X1184" s="1277"/>
    </row>
    <row r="1185" spans="7:24">
      <c r="G1185" s="921"/>
      <c r="H1185" s="1277"/>
      <c r="I1185" s="921"/>
      <c r="J1185" s="1277"/>
      <c r="K1185" s="921"/>
      <c r="L1185" s="1277"/>
      <c r="M1185" s="1277"/>
      <c r="N1185" s="1277"/>
      <c r="O1185" s="1277"/>
      <c r="P1185" s="919"/>
      <c r="Q1185" s="919"/>
      <c r="R1185" s="1277"/>
      <c r="S1185" s="1277"/>
      <c r="T1185" s="1277"/>
      <c r="U1185" s="1277"/>
      <c r="V1185" s="1277"/>
      <c r="W1185" s="1277"/>
      <c r="X1185" s="1277"/>
    </row>
    <row r="1186" spans="7:24">
      <c r="G1186" s="921"/>
      <c r="H1186" s="1277"/>
      <c r="I1186" s="921"/>
      <c r="J1186" s="1277"/>
      <c r="K1186" s="921"/>
      <c r="L1186" s="1277"/>
      <c r="M1186" s="1277"/>
      <c r="N1186" s="1277"/>
      <c r="O1186" s="1277"/>
      <c r="P1186" s="919"/>
      <c r="Q1186" s="919"/>
      <c r="R1186" s="1277"/>
      <c r="S1186" s="1277"/>
      <c r="T1186" s="1277"/>
      <c r="U1186" s="1277"/>
      <c r="V1186" s="1277"/>
      <c r="W1186" s="1277"/>
      <c r="X1186" s="1277"/>
    </row>
    <row r="1187" spans="7:24">
      <c r="G1187" s="921"/>
      <c r="H1187" s="1277"/>
      <c r="I1187" s="921"/>
      <c r="J1187" s="1277"/>
      <c r="K1187" s="921"/>
      <c r="L1187" s="1277"/>
      <c r="M1187" s="1277"/>
      <c r="N1187" s="1277"/>
      <c r="O1187" s="1277"/>
      <c r="P1187" s="919"/>
      <c r="Q1187" s="919"/>
      <c r="R1187" s="1277"/>
      <c r="S1187" s="1277"/>
      <c r="T1187" s="1277"/>
      <c r="U1187" s="1277"/>
      <c r="V1187" s="1277"/>
      <c r="W1187" s="1277"/>
      <c r="X1187" s="1277"/>
    </row>
    <row r="1188" spans="7:24">
      <c r="G1188" s="921"/>
      <c r="H1188" s="1277"/>
      <c r="I1188" s="921"/>
      <c r="J1188" s="1277"/>
      <c r="K1188" s="921"/>
      <c r="L1188" s="1277"/>
      <c r="M1188" s="1277"/>
      <c r="N1188" s="1277"/>
      <c r="O1188" s="1277"/>
      <c r="P1188" s="919"/>
      <c r="Q1188" s="919"/>
      <c r="R1188" s="1277"/>
      <c r="S1188" s="1277"/>
      <c r="T1188" s="1277"/>
      <c r="U1188" s="1277"/>
      <c r="V1188" s="1277"/>
      <c r="W1188" s="1277"/>
      <c r="X1188" s="1277"/>
    </row>
    <row r="1189" spans="7:24">
      <c r="G1189" s="921"/>
      <c r="H1189" s="1277"/>
      <c r="I1189" s="921"/>
      <c r="J1189" s="1277"/>
      <c r="K1189" s="921"/>
      <c r="L1189" s="1277"/>
      <c r="M1189" s="1277"/>
      <c r="N1189" s="1277"/>
      <c r="O1189" s="1277"/>
      <c r="P1189" s="919"/>
      <c r="Q1189" s="919"/>
      <c r="R1189" s="1277"/>
      <c r="S1189" s="1277"/>
      <c r="T1189" s="1277"/>
      <c r="U1189" s="1277"/>
      <c r="V1189" s="1277"/>
      <c r="W1189" s="1277"/>
      <c r="X1189" s="1277"/>
    </row>
    <row r="1190" spans="7:24">
      <c r="G1190" s="921"/>
      <c r="H1190" s="1277"/>
      <c r="I1190" s="921"/>
      <c r="J1190" s="1277"/>
      <c r="K1190" s="921"/>
      <c r="L1190" s="1277"/>
      <c r="M1190" s="1277"/>
      <c r="N1190" s="1277"/>
      <c r="O1190" s="1277"/>
      <c r="P1190" s="919"/>
      <c r="Q1190" s="919"/>
      <c r="R1190" s="1277"/>
      <c r="S1190" s="1277"/>
      <c r="T1190" s="1277"/>
      <c r="U1190" s="1277"/>
      <c r="V1190" s="1277"/>
      <c r="W1190" s="1277"/>
      <c r="X1190" s="1277"/>
    </row>
    <row r="1191" spans="7:24">
      <c r="G1191" s="921"/>
      <c r="H1191" s="1277"/>
      <c r="I1191" s="921"/>
      <c r="J1191" s="1277"/>
      <c r="K1191" s="921"/>
      <c r="L1191" s="1277"/>
      <c r="M1191" s="1277"/>
      <c r="N1191" s="1277"/>
      <c r="O1191" s="1277"/>
      <c r="P1191" s="919"/>
      <c r="Q1191" s="919"/>
      <c r="R1191" s="1277"/>
      <c r="S1191" s="1277"/>
      <c r="T1191" s="1277"/>
      <c r="U1191" s="1277"/>
      <c r="V1191" s="1277"/>
      <c r="W1191" s="1277"/>
      <c r="X1191" s="1277"/>
    </row>
    <row r="1192" spans="7:24">
      <c r="G1192" s="921"/>
      <c r="H1192" s="1277"/>
      <c r="I1192" s="921"/>
      <c r="J1192" s="1277"/>
      <c r="K1192" s="921"/>
      <c r="L1192" s="1277"/>
      <c r="M1192" s="1277"/>
      <c r="N1192" s="1277"/>
      <c r="O1192" s="1277"/>
      <c r="P1192" s="919"/>
      <c r="Q1192" s="919"/>
      <c r="R1192" s="1277"/>
      <c r="S1192" s="1277"/>
      <c r="T1192" s="1277"/>
      <c r="U1192" s="1277"/>
      <c r="V1192" s="1277"/>
      <c r="W1192" s="1277"/>
      <c r="X1192" s="1277"/>
    </row>
    <row r="1193" spans="7:24">
      <c r="G1193" s="921"/>
      <c r="H1193" s="1277"/>
      <c r="I1193" s="921"/>
      <c r="J1193" s="1277"/>
      <c r="K1193" s="921"/>
      <c r="L1193" s="1277"/>
      <c r="M1193" s="1277"/>
      <c r="N1193" s="1277"/>
      <c r="O1193" s="1277"/>
      <c r="P1193" s="919"/>
      <c r="Q1193" s="919"/>
      <c r="R1193" s="1277"/>
      <c r="S1193" s="1277"/>
      <c r="T1193" s="1277"/>
      <c r="U1193" s="1277"/>
      <c r="V1193" s="1277"/>
      <c r="W1193" s="1277"/>
      <c r="X1193" s="1277"/>
    </row>
    <row r="1194" spans="7:24">
      <c r="G1194" s="921"/>
      <c r="H1194" s="1277"/>
      <c r="I1194" s="921"/>
      <c r="J1194" s="1277"/>
      <c r="K1194" s="921"/>
      <c r="L1194" s="1277"/>
      <c r="M1194" s="1277"/>
      <c r="N1194" s="1277"/>
      <c r="O1194" s="1277"/>
      <c r="P1194" s="919"/>
      <c r="Q1194" s="919"/>
      <c r="R1194" s="1277"/>
      <c r="S1194" s="1277"/>
      <c r="T1194" s="1277"/>
      <c r="U1194" s="1277"/>
      <c r="V1194" s="1277"/>
      <c r="W1194" s="1277"/>
      <c r="X1194" s="1277"/>
    </row>
    <row r="1195" spans="7:24">
      <c r="G1195" s="921"/>
      <c r="H1195" s="1277"/>
      <c r="I1195" s="921"/>
      <c r="J1195" s="1277"/>
      <c r="K1195" s="921"/>
      <c r="L1195" s="1277"/>
      <c r="M1195" s="1277"/>
      <c r="N1195" s="1277"/>
      <c r="O1195" s="1277"/>
      <c r="P1195" s="919"/>
      <c r="Q1195" s="919"/>
      <c r="R1195" s="1277"/>
      <c r="S1195" s="1277"/>
      <c r="T1195" s="1277"/>
      <c r="U1195" s="1277"/>
      <c r="V1195" s="1277"/>
      <c r="W1195" s="1277"/>
      <c r="X1195" s="1277"/>
    </row>
    <row r="1196" spans="7:24">
      <c r="G1196" s="921"/>
      <c r="H1196" s="1277"/>
      <c r="I1196" s="921"/>
      <c r="J1196" s="1277"/>
      <c r="K1196" s="921"/>
      <c r="L1196" s="1277"/>
      <c r="M1196" s="1277"/>
      <c r="N1196" s="1277"/>
      <c r="O1196" s="1277"/>
      <c r="P1196" s="919"/>
      <c r="Q1196" s="919"/>
      <c r="R1196" s="1277"/>
      <c r="S1196" s="1277"/>
      <c r="T1196" s="1277"/>
      <c r="U1196" s="1277"/>
      <c r="V1196" s="1277"/>
      <c r="W1196" s="1277"/>
      <c r="X1196" s="1277"/>
    </row>
    <row r="1197" spans="7:24">
      <c r="G1197" s="921"/>
      <c r="H1197" s="1277"/>
      <c r="I1197" s="921"/>
      <c r="J1197" s="1277"/>
      <c r="K1197" s="921"/>
      <c r="L1197" s="1277"/>
      <c r="M1197" s="1277"/>
      <c r="N1197" s="1277"/>
      <c r="O1197" s="1277"/>
      <c r="P1197" s="919"/>
      <c r="Q1197" s="919"/>
      <c r="R1197" s="1277"/>
      <c r="S1197" s="1277"/>
      <c r="T1197" s="1277"/>
      <c r="U1197" s="1277"/>
      <c r="V1197" s="1277"/>
      <c r="W1197" s="1277"/>
      <c r="X1197" s="1277"/>
    </row>
    <row r="1198" spans="7:24">
      <c r="G1198" s="921"/>
      <c r="H1198" s="1277"/>
      <c r="I1198" s="921"/>
      <c r="J1198" s="1277"/>
      <c r="K1198" s="921"/>
      <c r="L1198" s="1277"/>
      <c r="M1198" s="1277"/>
      <c r="N1198" s="1277"/>
      <c r="O1198" s="1277"/>
      <c r="P1198" s="919"/>
      <c r="Q1198" s="919"/>
      <c r="R1198" s="1277"/>
      <c r="S1198" s="1277"/>
      <c r="T1198" s="1277"/>
      <c r="U1198" s="1277"/>
      <c r="V1198" s="1277"/>
      <c r="W1198" s="1277"/>
      <c r="X1198" s="1277"/>
    </row>
    <row r="1199" spans="7:24">
      <c r="G1199" s="921"/>
      <c r="H1199" s="1277"/>
      <c r="I1199" s="921"/>
      <c r="J1199" s="1277"/>
      <c r="K1199" s="921"/>
      <c r="L1199" s="1277"/>
      <c r="M1199" s="1277"/>
      <c r="N1199" s="1277"/>
      <c r="O1199" s="1277"/>
      <c r="P1199" s="919"/>
      <c r="Q1199" s="919"/>
      <c r="R1199" s="1277"/>
      <c r="S1199" s="1277"/>
      <c r="T1199" s="1277"/>
      <c r="U1199" s="1277"/>
      <c r="V1199" s="1277"/>
      <c r="W1199" s="1277"/>
      <c r="X1199" s="1277"/>
    </row>
    <row r="1200" spans="7:24">
      <c r="G1200" s="921"/>
      <c r="H1200" s="1277"/>
      <c r="I1200" s="921"/>
      <c r="J1200" s="1277"/>
      <c r="K1200" s="921"/>
      <c r="L1200" s="1277"/>
      <c r="M1200" s="1277"/>
      <c r="N1200" s="1277"/>
      <c r="O1200" s="1277"/>
      <c r="P1200" s="919"/>
      <c r="Q1200" s="919"/>
      <c r="R1200" s="1277"/>
      <c r="S1200" s="1277"/>
      <c r="T1200" s="1277"/>
      <c r="U1200" s="1277"/>
      <c r="V1200" s="1277"/>
      <c r="W1200" s="1277"/>
      <c r="X1200" s="1277"/>
    </row>
    <row r="1201" spans="7:24">
      <c r="G1201" s="921"/>
      <c r="H1201" s="1277"/>
      <c r="I1201" s="921"/>
      <c r="J1201" s="1277"/>
      <c r="K1201" s="921"/>
      <c r="L1201" s="1277"/>
      <c r="M1201" s="1277"/>
      <c r="N1201" s="1277"/>
      <c r="O1201" s="1277"/>
      <c r="P1201" s="919"/>
      <c r="Q1201" s="919"/>
      <c r="R1201" s="1277"/>
      <c r="S1201" s="1277"/>
      <c r="T1201" s="1277"/>
      <c r="U1201" s="1277"/>
      <c r="V1201" s="1277"/>
      <c r="W1201" s="1277"/>
      <c r="X1201" s="1277"/>
    </row>
    <row r="1202" spans="7:24">
      <c r="G1202" s="921"/>
      <c r="H1202" s="1277"/>
      <c r="I1202" s="921"/>
      <c r="J1202" s="1277"/>
      <c r="K1202" s="921"/>
      <c r="L1202" s="1277"/>
      <c r="M1202" s="1277"/>
      <c r="N1202" s="1277"/>
      <c r="O1202" s="1277"/>
      <c r="P1202" s="919"/>
      <c r="Q1202" s="919"/>
      <c r="R1202" s="1277"/>
      <c r="S1202" s="1277"/>
      <c r="T1202" s="1277"/>
      <c r="U1202" s="1277"/>
      <c r="V1202" s="1277"/>
      <c r="W1202" s="1277"/>
      <c r="X1202" s="1277"/>
    </row>
    <row r="1203" spans="7:24">
      <c r="G1203" s="921"/>
      <c r="H1203" s="1277"/>
      <c r="I1203" s="921"/>
      <c r="J1203" s="1277"/>
      <c r="K1203" s="921"/>
      <c r="L1203" s="1277"/>
      <c r="M1203" s="1277"/>
      <c r="N1203" s="1277"/>
      <c r="O1203" s="1277"/>
      <c r="P1203" s="919"/>
      <c r="Q1203" s="919"/>
      <c r="R1203" s="1277"/>
      <c r="S1203" s="1277"/>
      <c r="T1203" s="1277"/>
      <c r="U1203" s="1277"/>
      <c r="V1203" s="1277"/>
      <c r="W1203" s="1277"/>
      <c r="X1203" s="1277"/>
    </row>
    <row r="1204" spans="7:24">
      <c r="G1204" s="921"/>
      <c r="H1204" s="1277"/>
      <c r="I1204" s="921"/>
      <c r="J1204" s="1277"/>
      <c r="K1204" s="921"/>
      <c r="L1204" s="1277"/>
      <c r="M1204" s="1277"/>
      <c r="N1204" s="1277"/>
      <c r="O1204" s="1277"/>
      <c r="P1204" s="919"/>
      <c r="Q1204" s="919"/>
      <c r="R1204" s="1277"/>
      <c r="S1204" s="1277"/>
      <c r="T1204" s="1277"/>
      <c r="U1204" s="1277"/>
      <c r="V1204" s="1277"/>
      <c r="W1204" s="1277"/>
      <c r="X1204" s="1277"/>
    </row>
    <row r="1205" spans="7:24">
      <c r="G1205" s="921"/>
      <c r="H1205" s="1277"/>
      <c r="I1205" s="921"/>
      <c r="J1205" s="1277"/>
      <c r="K1205" s="921"/>
      <c r="L1205" s="1277"/>
      <c r="M1205" s="1277"/>
      <c r="N1205" s="1277"/>
      <c r="O1205" s="1277"/>
      <c r="P1205" s="919"/>
      <c r="Q1205" s="919"/>
      <c r="R1205" s="1277"/>
      <c r="S1205" s="1277"/>
      <c r="T1205" s="1277"/>
      <c r="U1205" s="1277"/>
      <c r="V1205" s="1277"/>
      <c r="W1205" s="1277"/>
      <c r="X1205" s="1277"/>
    </row>
    <row r="1206" spans="7:24">
      <c r="G1206" s="921"/>
      <c r="H1206" s="1277"/>
      <c r="I1206" s="921"/>
      <c r="J1206" s="1277"/>
      <c r="K1206" s="921"/>
      <c r="L1206" s="1277"/>
      <c r="M1206" s="1277"/>
      <c r="N1206" s="1277"/>
      <c r="O1206" s="1277"/>
      <c r="P1206" s="919"/>
      <c r="Q1206" s="919"/>
      <c r="R1206" s="1277"/>
      <c r="S1206" s="1277"/>
      <c r="T1206" s="1277"/>
      <c r="U1206" s="1277"/>
      <c r="V1206" s="1277"/>
      <c r="W1206" s="1277"/>
      <c r="X1206" s="1277"/>
    </row>
    <row r="1207" spans="7:24">
      <c r="G1207" s="921"/>
      <c r="H1207" s="1277"/>
      <c r="I1207" s="921"/>
      <c r="J1207" s="1277"/>
      <c r="K1207" s="921"/>
      <c r="L1207" s="1277"/>
      <c r="M1207" s="1277"/>
      <c r="N1207" s="1277"/>
      <c r="O1207" s="1277"/>
      <c r="P1207" s="919"/>
      <c r="Q1207" s="919"/>
      <c r="R1207" s="1277"/>
      <c r="S1207" s="1277"/>
      <c r="T1207" s="1277"/>
      <c r="U1207" s="1277"/>
      <c r="V1207" s="1277"/>
      <c r="W1207" s="1277"/>
      <c r="X1207" s="1277"/>
    </row>
    <row r="1208" spans="7:24">
      <c r="G1208" s="921"/>
      <c r="H1208" s="1277"/>
      <c r="I1208" s="921"/>
      <c r="J1208" s="1277"/>
      <c r="K1208" s="921"/>
      <c r="L1208" s="1277"/>
      <c r="M1208" s="1277"/>
      <c r="N1208" s="1277"/>
      <c r="O1208" s="1277"/>
      <c r="P1208" s="919"/>
      <c r="Q1208" s="919"/>
      <c r="R1208" s="1277"/>
      <c r="S1208" s="1277"/>
      <c r="T1208" s="1277"/>
      <c r="U1208" s="1277"/>
      <c r="V1208" s="1277"/>
      <c r="W1208" s="1277"/>
      <c r="X1208" s="1277"/>
    </row>
    <row r="1209" spans="7:24">
      <c r="G1209" s="921"/>
      <c r="H1209" s="1277"/>
      <c r="I1209" s="921"/>
      <c r="J1209" s="1277"/>
      <c r="K1209" s="921"/>
      <c r="L1209" s="1277"/>
      <c r="M1209" s="1277"/>
      <c r="N1209" s="1277"/>
      <c r="O1209" s="1277"/>
      <c r="P1209" s="919"/>
      <c r="Q1209" s="919"/>
      <c r="R1209" s="1277"/>
      <c r="S1209" s="1277"/>
      <c r="T1209" s="1277"/>
      <c r="U1209" s="1277"/>
      <c r="V1209" s="1277"/>
      <c r="W1209" s="1277"/>
      <c r="X1209" s="1277"/>
    </row>
    <row r="1210" spans="7:24">
      <c r="G1210" s="921"/>
      <c r="H1210" s="1277"/>
      <c r="I1210" s="921"/>
      <c r="J1210" s="1277"/>
      <c r="K1210" s="921"/>
      <c r="L1210" s="1277"/>
      <c r="M1210" s="1277"/>
      <c r="N1210" s="1277"/>
      <c r="O1210" s="1277"/>
      <c r="P1210" s="919"/>
      <c r="Q1210" s="919"/>
      <c r="R1210" s="1277"/>
      <c r="S1210" s="1277"/>
      <c r="T1210" s="1277"/>
      <c r="U1210" s="1277"/>
      <c r="V1210" s="1277"/>
      <c r="W1210" s="1277"/>
      <c r="X1210" s="1277"/>
    </row>
    <row r="1211" spans="7:24">
      <c r="G1211" s="921"/>
      <c r="H1211" s="1277"/>
      <c r="I1211" s="921"/>
      <c r="J1211" s="1277"/>
      <c r="K1211" s="921"/>
      <c r="L1211" s="1277"/>
      <c r="M1211" s="1277"/>
      <c r="N1211" s="1277"/>
      <c r="O1211" s="1277"/>
      <c r="P1211" s="919"/>
      <c r="Q1211" s="919"/>
      <c r="R1211" s="1277"/>
      <c r="S1211" s="1277"/>
      <c r="T1211" s="1277"/>
      <c r="U1211" s="1277"/>
      <c r="V1211" s="1277"/>
      <c r="W1211" s="1277"/>
      <c r="X1211" s="1277"/>
    </row>
    <row r="1212" spans="7:24">
      <c r="G1212" s="921"/>
      <c r="H1212" s="1277"/>
      <c r="I1212" s="921"/>
      <c r="J1212" s="1277"/>
      <c r="K1212" s="921"/>
      <c r="L1212" s="1277"/>
      <c r="M1212" s="1277"/>
      <c r="N1212" s="1277"/>
      <c r="O1212" s="1277"/>
      <c r="P1212" s="919"/>
      <c r="Q1212" s="919"/>
      <c r="R1212" s="1277"/>
      <c r="S1212" s="1277"/>
      <c r="T1212" s="1277"/>
      <c r="U1212" s="1277"/>
      <c r="V1212" s="1277"/>
      <c r="W1212" s="1277"/>
      <c r="X1212" s="1277"/>
    </row>
    <row r="1213" spans="7:24">
      <c r="G1213" s="921"/>
      <c r="H1213" s="1277"/>
      <c r="I1213" s="921"/>
      <c r="J1213" s="1277"/>
      <c r="K1213" s="921"/>
      <c r="L1213" s="1277"/>
      <c r="M1213" s="1277"/>
      <c r="N1213" s="1277"/>
      <c r="O1213" s="1277"/>
      <c r="P1213" s="919"/>
      <c r="Q1213" s="919"/>
      <c r="R1213" s="1277"/>
      <c r="S1213" s="1277"/>
      <c r="T1213" s="1277"/>
      <c r="U1213" s="1277"/>
      <c r="V1213" s="1277"/>
      <c r="W1213" s="1277"/>
      <c r="X1213" s="1277"/>
    </row>
    <row r="1214" spans="7:24">
      <c r="G1214" s="921"/>
      <c r="H1214" s="1277"/>
      <c r="I1214" s="921"/>
      <c r="J1214" s="1277"/>
      <c r="K1214" s="921"/>
      <c r="L1214" s="1277"/>
      <c r="M1214" s="1277"/>
      <c r="N1214" s="1277"/>
      <c r="O1214" s="1277"/>
      <c r="P1214" s="919"/>
      <c r="Q1214" s="919"/>
      <c r="R1214" s="1277"/>
      <c r="S1214" s="1277"/>
      <c r="T1214" s="1277"/>
      <c r="U1214" s="1277"/>
      <c r="V1214" s="1277"/>
      <c r="W1214" s="1277"/>
      <c r="X1214" s="1277"/>
    </row>
    <row r="1215" spans="7:24">
      <c r="G1215" s="921"/>
      <c r="H1215" s="1277"/>
      <c r="I1215" s="921"/>
      <c r="J1215" s="1277"/>
      <c r="K1215" s="921"/>
      <c r="L1215" s="1277"/>
      <c r="M1215" s="1277"/>
      <c r="N1215" s="1277"/>
      <c r="O1215" s="1277"/>
      <c r="P1215" s="919"/>
      <c r="Q1215" s="919"/>
      <c r="R1215" s="1277"/>
      <c r="S1215" s="1277"/>
      <c r="T1215" s="1277"/>
      <c r="U1215" s="1277"/>
      <c r="V1215" s="1277"/>
      <c r="W1215" s="1277"/>
      <c r="X1215" s="1277"/>
    </row>
    <row r="1216" spans="7:24">
      <c r="G1216" s="921"/>
      <c r="H1216" s="1277"/>
      <c r="I1216" s="921"/>
      <c r="J1216" s="1277"/>
      <c r="K1216" s="921"/>
      <c r="L1216" s="1277"/>
      <c r="M1216" s="1277"/>
      <c r="N1216" s="1277"/>
      <c r="O1216" s="1277"/>
      <c r="P1216" s="919"/>
      <c r="Q1216" s="919"/>
      <c r="R1216" s="1277"/>
      <c r="S1216" s="1277"/>
      <c r="T1216" s="1277"/>
      <c r="U1216" s="1277"/>
      <c r="V1216" s="1277"/>
      <c r="W1216" s="1277"/>
      <c r="X1216" s="1277"/>
    </row>
    <row r="1217" spans="7:24">
      <c r="G1217" s="921"/>
      <c r="H1217" s="1277"/>
      <c r="I1217" s="921"/>
      <c r="J1217" s="1277"/>
      <c r="K1217" s="921"/>
      <c r="L1217" s="1277"/>
      <c r="M1217" s="1277"/>
      <c r="N1217" s="1277"/>
      <c r="O1217" s="1277"/>
      <c r="P1217" s="919"/>
      <c r="Q1217" s="919"/>
      <c r="R1217" s="1277"/>
      <c r="S1217" s="1277"/>
      <c r="T1217" s="1277"/>
      <c r="U1217" s="1277"/>
      <c r="V1217" s="1277"/>
      <c r="W1217" s="1277"/>
      <c r="X1217" s="1277"/>
    </row>
    <row r="1218" spans="7:24">
      <c r="G1218" s="921"/>
      <c r="H1218" s="1277"/>
      <c r="I1218" s="921"/>
      <c r="J1218" s="1277"/>
      <c r="K1218" s="921"/>
      <c r="L1218" s="1277"/>
      <c r="M1218" s="1277"/>
      <c r="N1218" s="1277"/>
      <c r="O1218" s="1277"/>
      <c r="P1218" s="919"/>
      <c r="Q1218" s="919"/>
      <c r="R1218" s="1277"/>
      <c r="S1218" s="1277"/>
      <c r="T1218" s="1277"/>
      <c r="U1218" s="1277"/>
      <c r="V1218" s="1277"/>
      <c r="W1218" s="1277"/>
      <c r="X1218" s="1277"/>
    </row>
    <row r="1219" spans="7:24">
      <c r="G1219" s="921"/>
      <c r="H1219" s="1277"/>
      <c r="I1219" s="921"/>
      <c r="J1219" s="1277"/>
      <c r="K1219" s="921"/>
      <c r="L1219" s="1277"/>
      <c r="M1219" s="1277"/>
      <c r="N1219" s="1277"/>
      <c r="O1219" s="1277"/>
      <c r="P1219" s="919"/>
      <c r="Q1219" s="919"/>
      <c r="R1219" s="1277"/>
      <c r="S1219" s="1277"/>
      <c r="T1219" s="1277"/>
      <c r="U1219" s="1277"/>
      <c r="V1219" s="1277"/>
      <c r="W1219" s="1277"/>
      <c r="X1219" s="1277"/>
    </row>
    <row r="1220" spans="7:24">
      <c r="G1220" s="921"/>
      <c r="H1220" s="1277"/>
      <c r="I1220" s="921"/>
      <c r="J1220" s="1277"/>
      <c r="K1220" s="921"/>
      <c r="L1220" s="1277"/>
      <c r="M1220" s="1277"/>
      <c r="N1220" s="1277"/>
      <c r="O1220" s="1277"/>
      <c r="P1220" s="919"/>
      <c r="Q1220" s="919"/>
      <c r="R1220" s="1277"/>
      <c r="S1220" s="1277"/>
      <c r="T1220" s="1277"/>
      <c r="U1220" s="1277"/>
      <c r="V1220" s="1277"/>
      <c r="W1220" s="1277"/>
      <c r="X1220" s="1277"/>
    </row>
    <row r="1221" spans="7:24">
      <c r="G1221" s="921"/>
      <c r="H1221" s="1277"/>
      <c r="I1221" s="921"/>
      <c r="J1221" s="1277"/>
      <c r="K1221" s="921"/>
      <c r="L1221" s="1277"/>
      <c r="M1221" s="1277"/>
      <c r="N1221" s="1277"/>
      <c r="O1221" s="1277"/>
      <c r="P1221" s="919"/>
      <c r="Q1221" s="919"/>
      <c r="R1221" s="1277"/>
      <c r="S1221" s="1277"/>
      <c r="T1221" s="1277"/>
      <c r="U1221" s="1277"/>
      <c r="V1221" s="1277"/>
      <c r="W1221" s="1277"/>
      <c r="X1221" s="1277"/>
    </row>
    <row r="1222" spans="7:24">
      <c r="G1222" s="921"/>
      <c r="H1222" s="1277"/>
      <c r="I1222" s="921"/>
      <c r="J1222" s="1277"/>
      <c r="K1222" s="921"/>
      <c r="L1222" s="1277"/>
      <c r="M1222" s="1277"/>
      <c r="N1222" s="1277"/>
      <c r="O1222" s="1277"/>
      <c r="P1222" s="919"/>
      <c r="Q1222" s="919"/>
      <c r="R1222" s="1277"/>
      <c r="S1222" s="1277"/>
      <c r="T1222" s="1277"/>
      <c r="U1222" s="1277"/>
      <c r="V1222" s="1277"/>
      <c r="W1222" s="1277"/>
      <c r="X1222" s="1277"/>
    </row>
    <row r="1223" spans="7:24">
      <c r="G1223" s="921"/>
      <c r="H1223" s="1277"/>
      <c r="I1223" s="921"/>
      <c r="J1223" s="1277"/>
      <c r="K1223" s="921"/>
      <c r="L1223" s="1277"/>
      <c r="M1223" s="1277"/>
      <c r="N1223" s="1277"/>
      <c r="O1223" s="1277"/>
      <c r="P1223" s="919"/>
      <c r="Q1223" s="919"/>
      <c r="R1223" s="1277"/>
      <c r="S1223" s="1277"/>
      <c r="T1223" s="1277"/>
      <c r="U1223" s="1277"/>
      <c r="V1223" s="1277"/>
      <c r="W1223" s="1277"/>
      <c r="X1223" s="1277"/>
    </row>
    <row r="1224" spans="7:24">
      <c r="G1224" s="921"/>
      <c r="H1224" s="1277"/>
      <c r="I1224" s="921"/>
      <c r="J1224" s="1277"/>
      <c r="K1224" s="921"/>
      <c r="L1224" s="1277"/>
      <c r="M1224" s="1277"/>
      <c r="N1224" s="1277"/>
      <c r="O1224" s="1277"/>
      <c r="P1224" s="919"/>
      <c r="Q1224" s="919"/>
      <c r="R1224" s="1277"/>
      <c r="S1224" s="1277"/>
      <c r="T1224" s="1277"/>
      <c r="U1224" s="1277"/>
      <c r="V1224" s="1277"/>
      <c r="W1224" s="1277"/>
      <c r="X1224" s="1277"/>
    </row>
    <row r="1225" spans="7:24">
      <c r="G1225" s="921"/>
      <c r="H1225" s="1277"/>
      <c r="I1225" s="921"/>
      <c r="J1225" s="1277"/>
      <c r="K1225" s="921"/>
      <c r="L1225" s="1277"/>
      <c r="M1225" s="1277"/>
      <c r="N1225" s="1277"/>
      <c r="O1225" s="1277"/>
      <c r="P1225" s="919"/>
      <c r="Q1225" s="919"/>
      <c r="R1225" s="1277"/>
      <c r="S1225" s="1277"/>
      <c r="T1225" s="1277"/>
      <c r="U1225" s="1277"/>
      <c r="V1225" s="1277"/>
      <c r="W1225" s="1277"/>
      <c r="X1225" s="1277"/>
    </row>
    <row r="1226" spans="7:24">
      <c r="G1226" s="921"/>
      <c r="H1226" s="1277"/>
      <c r="I1226" s="921"/>
      <c r="J1226" s="1277"/>
      <c r="K1226" s="921"/>
      <c r="L1226" s="1277"/>
      <c r="M1226" s="1277"/>
      <c r="N1226" s="1277"/>
      <c r="O1226" s="1277"/>
      <c r="P1226" s="919"/>
      <c r="Q1226" s="919"/>
      <c r="R1226" s="1277"/>
      <c r="S1226" s="1277"/>
      <c r="T1226" s="1277"/>
      <c r="U1226" s="1277"/>
      <c r="V1226" s="1277"/>
      <c r="W1226" s="1277"/>
      <c r="X1226" s="1277"/>
    </row>
    <row r="1227" spans="7:24">
      <c r="G1227" s="921"/>
      <c r="H1227" s="1277"/>
      <c r="I1227" s="921"/>
      <c r="J1227" s="1277"/>
      <c r="K1227" s="921"/>
      <c r="L1227" s="1277"/>
      <c r="M1227" s="1277"/>
      <c r="N1227" s="1277"/>
      <c r="O1227" s="1277"/>
      <c r="P1227" s="919"/>
      <c r="Q1227" s="919"/>
      <c r="R1227" s="1277"/>
      <c r="S1227" s="1277"/>
      <c r="T1227" s="1277"/>
      <c r="U1227" s="1277"/>
      <c r="V1227" s="1277"/>
      <c r="W1227" s="1277"/>
      <c r="X1227" s="1277"/>
    </row>
    <row r="1228" spans="7:24">
      <c r="G1228" s="921"/>
      <c r="H1228" s="1277"/>
      <c r="I1228" s="921"/>
      <c r="J1228" s="1277"/>
      <c r="K1228" s="921"/>
      <c r="L1228" s="1277"/>
      <c r="M1228" s="1277"/>
      <c r="N1228" s="1277"/>
      <c r="O1228" s="1277"/>
      <c r="P1228" s="919"/>
      <c r="Q1228" s="919"/>
      <c r="R1228" s="1277"/>
      <c r="S1228" s="1277"/>
      <c r="T1228" s="1277"/>
      <c r="U1228" s="1277"/>
      <c r="V1228" s="1277"/>
      <c r="W1228" s="1277"/>
      <c r="X1228" s="1277"/>
    </row>
    <row r="1229" spans="7:24">
      <c r="G1229" s="921"/>
      <c r="H1229" s="1277"/>
      <c r="I1229" s="921"/>
      <c r="J1229" s="1277"/>
      <c r="K1229" s="921"/>
      <c r="L1229" s="1277"/>
      <c r="M1229" s="1277"/>
      <c r="N1229" s="1277"/>
      <c r="O1229" s="1277"/>
      <c r="P1229" s="919"/>
      <c r="Q1229" s="919"/>
      <c r="R1229" s="1277"/>
      <c r="S1229" s="1277"/>
      <c r="T1229" s="1277"/>
      <c r="U1229" s="1277"/>
      <c r="V1229" s="1277"/>
      <c r="W1229" s="1277"/>
      <c r="X1229" s="1277"/>
    </row>
    <row r="1230" spans="7:24">
      <c r="G1230" s="921"/>
      <c r="H1230" s="1277"/>
      <c r="I1230" s="921"/>
      <c r="J1230" s="1277"/>
      <c r="K1230" s="921"/>
      <c r="L1230" s="1277"/>
      <c r="M1230" s="1277"/>
      <c r="N1230" s="1277"/>
      <c r="O1230" s="1277"/>
      <c r="P1230" s="919"/>
      <c r="Q1230" s="919"/>
      <c r="R1230" s="1277"/>
      <c r="S1230" s="1277"/>
      <c r="T1230" s="1277"/>
      <c r="U1230" s="1277"/>
      <c r="V1230" s="1277"/>
      <c r="W1230" s="1277"/>
      <c r="X1230" s="1277"/>
    </row>
    <row r="1231" spans="7:24">
      <c r="G1231" s="921"/>
      <c r="H1231" s="1277"/>
      <c r="I1231" s="921"/>
      <c r="J1231" s="1277"/>
      <c r="K1231" s="921"/>
      <c r="L1231" s="1277"/>
      <c r="M1231" s="1277"/>
      <c r="N1231" s="1277"/>
      <c r="O1231" s="1277"/>
      <c r="P1231" s="919"/>
      <c r="Q1231" s="919"/>
      <c r="R1231" s="1277"/>
      <c r="S1231" s="1277"/>
      <c r="T1231" s="1277"/>
      <c r="U1231" s="1277"/>
      <c r="V1231" s="1277"/>
      <c r="W1231" s="1277"/>
      <c r="X1231" s="1277"/>
    </row>
    <row r="1232" spans="7:24">
      <c r="G1232" s="921"/>
      <c r="H1232" s="1277"/>
      <c r="I1232" s="921"/>
      <c r="J1232" s="1277"/>
      <c r="K1232" s="921"/>
      <c r="L1232" s="1277"/>
      <c r="M1232" s="1277"/>
      <c r="N1232" s="1277"/>
      <c r="O1232" s="1277"/>
      <c r="P1232" s="919"/>
      <c r="Q1232" s="919"/>
      <c r="R1232" s="1277"/>
      <c r="S1232" s="1277"/>
      <c r="T1232" s="1277"/>
      <c r="U1232" s="1277"/>
      <c r="V1232" s="1277"/>
      <c r="W1232" s="1277"/>
      <c r="X1232" s="1277"/>
    </row>
    <row r="1233" spans="7:24">
      <c r="G1233" s="921"/>
      <c r="H1233" s="1277"/>
      <c r="I1233" s="921"/>
      <c r="J1233" s="1277"/>
      <c r="K1233" s="921"/>
      <c r="L1233" s="1277"/>
      <c r="M1233" s="1277"/>
      <c r="N1233" s="1277"/>
      <c r="O1233" s="1277"/>
      <c r="P1233" s="919"/>
      <c r="Q1233" s="919"/>
      <c r="R1233" s="1277"/>
      <c r="S1233" s="1277"/>
      <c r="T1233" s="1277"/>
      <c r="U1233" s="1277"/>
      <c r="V1233" s="1277"/>
      <c r="W1233" s="1277"/>
      <c r="X1233" s="1277"/>
    </row>
    <row r="1234" spans="7:24">
      <c r="G1234" s="921"/>
      <c r="H1234" s="1277"/>
      <c r="I1234" s="921"/>
      <c r="J1234" s="1277"/>
      <c r="K1234" s="921"/>
      <c r="L1234" s="1277"/>
      <c r="M1234" s="1277"/>
      <c r="N1234" s="1277"/>
      <c r="O1234" s="1277"/>
      <c r="P1234" s="919"/>
      <c r="Q1234" s="919"/>
      <c r="R1234" s="1277"/>
      <c r="S1234" s="1277"/>
      <c r="T1234" s="1277"/>
      <c r="U1234" s="1277"/>
      <c r="V1234" s="1277"/>
      <c r="W1234" s="1277"/>
      <c r="X1234" s="1277"/>
    </row>
    <row r="1235" spans="7:24">
      <c r="G1235" s="921"/>
      <c r="H1235" s="1277"/>
      <c r="I1235" s="921"/>
      <c r="J1235" s="1277"/>
      <c r="K1235" s="921"/>
      <c r="L1235" s="1277"/>
      <c r="M1235" s="1277"/>
      <c r="N1235" s="1277"/>
      <c r="O1235" s="1277"/>
      <c r="P1235" s="919"/>
      <c r="Q1235" s="919"/>
      <c r="R1235" s="1277"/>
      <c r="S1235" s="1277"/>
      <c r="T1235" s="1277"/>
      <c r="U1235" s="1277"/>
      <c r="V1235" s="1277"/>
      <c r="W1235" s="1277"/>
      <c r="X1235" s="1277"/>
    </row>
    <row r="1236" spans="7:24">
      <c r="G1236" s="921"/>
      <c r="H1236" s="1277"/>
      <c r="I1236" s="921"/>
      <c r="J1236" s="1277"/>
      <c r="K1236" s="921"/>
      <c r="L1236" s="1277"/>
      <c r="M1236" s="1277"/>
      <c r="N1236" s="1277"/>
      <c r="O1236" s="1277"/>
      <c r="P1236" s="919"/>
      <c r="Q1236" s="919"/>
      <c r="R1236" s="1277"/>
      <c r="S1236" s="1277"/>
      <c r="T1236" s="1277"/>
      <c r="U1236" s="1277"/>
      <c r="V1236" s="1277"/>
      <c r="W1236" s="1277"/>
      <c r="X1236" s="1277"/>
    </row>
    <row r="1237" spans="7:24">
      <c r="G1237" s="921"/>
      <c r="H1237" s="1277"/>
      <c r="I1237" s="921"/>
      <c r="J1237" s="1277"/>
      <c r="K1237" s="921"/>
      <c r="L1237" s="1277"/>
      <c r="M1237" s="1277"/>
      <c r="N1237" s="1277"/>
      <c r="O1237" s="1277"/>
      <c r="P1237" s="919"/>
      <c r="Q1237" s="919"/>
      <c r="R1237" s="1277"/>
      <c r="S1237" s="1277"/>
      <c r="T1237" s="1277"/>
      <c r="U1237" s="1277"/>
      <c r="V1237" s="1277"/>
      <c r="W1237" s="1277"/>
      <c r="X1237" s="1277"/>
    </row>
    <row r="1238" spans="7:24">
      <c r="G1238" s="921"/>
      <c r="H1238" s="1277"/>
      <c r="I1238" s="921"/>
      <c r="J1238" s="1277"/>
      <c r="K1238" s="921"/>
      <c r="L1238" s="1277"/>
      <c r="M1238" s="1277"/>
      <c r="N1238" s="1277"/>
      <c r="O1238" s="1277"/>
      <c r="P1238" s="919"/>
      <c r="Q1238" s="919"/>
      <c r="R1238" s="1277"/>
      <c r="S1238" s="1277"/>
      <c r="T1238" s="1277"/>
      <c r="U1238" s="1277"/>
      <c r="V1238" s="1277"/>
      <c r="W1238" s="1277"/>
      <c r="X1238" s="1277"/>
    </row>
    <row r="1239" spans="7:24">
      <c r="G1239" s="921"/>
      <c r="H1239" s="1277"/>
      <c r="I1239" s="921"/>
      <c r="J1239" s="1277"/>
      <c r="K1239" s="921"/>
      <c r="L1239" s="1277"/>
      <c r="M1239" s="1277"/>
      <c r="N1239" s="1277"/>
      <c r="O1239" s="1277"/>
      <c r="P1239" s="919"/>
      <c r="Q1239" s="919"/>
      <c r="R1239" s="1277"/>
      <c r="S1239" s="1277"/>
      <c r="T1239" s="1277"/>
      <c r="U1239" s="1277"/>
      <c r="V1239" s="1277"/>
      <c r="W1239" s="1277"/>
      <c r="X1239" s="1277"/>
    </row>
    <row r="1240" spans="7:24">
      <c r="G1240" s="921"/>
      <c r="H1240" s="1277"/>
      <c r="I1240" s="921"/>
      <c r="J1240" s="1277"/>
      <c r="K1240" s="921"/>
      <c r="L1240" s="1277"/>
      <c r="M1240" s="1277"/>
      <c r="N1240" s="1277"/>
      <c r="O1240" s="1277"/>
      <c r="P1240" s="919"/>
      <c r="Q1240" s="919"/>
      <c r="R1240" s="1277"/>
      <c r="S1240" s="1277"/>
      <c r="T1240" s="1277"/>
      <c r="U1240" s="1277"/>
      <c r="V1240" s="1277"/>
      <c r="W1240" s="1277"/>
      <c r="X1240" s="1277"/>
    </row>
    <row r="1241" spans="7:24">
      <c r="G1241" s="921"/>
      <c r="H1241" s="1277"/>
      <c r="I1241" s="921"/>
      <c r="J1241" s="1277"/>
      <c r="K1241" s="921"/>
      <c r="L1241" s="1277"/>
      <c r="M1241" s="1277"/>
      <c r="N1241" s="1277"/>
      <c r="O1241" s="1277"/>
      <c r="P1241" s="919"/>
      <c r="Q1241" s="919"/>
      <c r="R1241" s="1277"/>
      <c r="S1241" s="1277"/>
      <c r="T1241" s="1277"/>
      <c r="U1241" s="1277"/>
      <c r="V1241" s="1277"/>
      <c r="W1241" s="1277"/>
      <c r="X1241" s="1277"/>
    </row>
    <row r="1242" spans="7:24">
      <c r="G1242" s="921"/>
      <c r="H1242" s="1277"/>
      <c r="I1242" s="921"/>
      <c r="J1242" s="1277"/>
      <c r="K1242" s="921"/>
      <c r="L1242" s="1277"/>
      <c r="M1242" s="1277"/>
      <c r="N1242" s="1277"/>
      <c r="O1242" s="1277"/>
      <c r="P1242" s="919"/>
      <c r="Q1242" s="919"/>
      <c r="R1242" s="1277"/>
      <c r="S1242" s="1277"/>
      <c r="T1242" s="1277"/>
      <c r="U1242" s="1277"/>
      <c r="V1242" s="1277"/>
      <c r="W1242" s="1277"/>
      <c r="X1242" s="1277"/>
    </row>
    <row r="1243" spans="7:24">
      <c r="G1243" s="921"/>
      <c r="H1243" s="1277"/>
      <c r="I1243" s="921"/>
      <c r="J1243" s="1277"/>
      <c r="K1243" s="921"/>
      <c r="L1243" s="1277"/>
      <c r="M1243" s="1277"/>
      <c r="N1243" s="1277"/>
      <c r="O1243" s="1277"/>
      <c r="P1243" s="919"/>
      <c r="Q1243" s="919"/>
      <c r="R1243" s="1277"/>
      <c r="S1243" s="1277"/>
      <c r="T1243" s="1277"/>
      <c r="U1243" s="1277"/>
      <c r="V1243" s="1277"/>
      <c r="W1243" s="1277"/>
      <c r="X1243" s="1277"/>
    </row>
    <row r="1244" spans="7:24">
      <c r="G1244" s="921"/>
      <c r="H1244" s="1277"/>
      <c r="I1244" s="921"/>
      <c r="J1244" s="1277"/>
      <c r="K1244" s="921"/>
      <c r="L1244" s="1277"/>
      <c r="M1244" s="1277"/>
      <c r="N1244" s="1277"/>
      <c r="O1244" s="1277"/>
      <c r="P1244" s="919"/>
      <c r="Q1244" s="919"/>
      <c r="R1244" s="1277"/>
      <c r="S1244" s="1277"/>
      <c r="T1244" s="1277"/>
      <c r="U1244" s="1277"/>
      <c r="V1244" s="1277"/>
      <c r="W1244" s="1277"/>
      <c r="X1244" s="1277"/>
    </row>
    <row r="1245" spans="7:24">
      <c r="G1245" s="921"/>
      <c r="H1245" s="1277"/>
      <c r="I1245" s="921"/>
      <c r="J1245" s="1277"/>
      <c r="K1245" s="921"/>
      <c r="L1245" s="1277"/>
      <c r="M1245" s="1277"/>
      <c r="N1245" s="1277"/>
      <c r="O1245" s="1277"/>
      <c r="P1245" s="919"/>
      <c r="Q1245" s="919"/>
      <c r="R1245" s="1277"/>
      <c r="S1245" s="1277"/>
      <c r="T1245" s="1277"/>
      <c r="U1245" s="1277"/>
      <c r="V1245" s="1277"/>
      <c r="W1245" s="1277"/>
      <c r="X1245" s="1277"/>
    </row>
    <row r="1246" spans="7:24">
      <c r="G1246" s="921"/>
      <c r="H1246" s="1277"/>
      <c r="I1246" s="921"/>
      <c r="J1246" s="1277"/>
      <c r="K1246" s="921"/>
      <c r="L1246" s="1277"/>
      <c r="M1246" s="1277"/>
      <c r="N1246" s="1277"/>
      <c r="O1246" s="1277"/>
      <c r="P1246" s="919"/>
      <c r="Q1246" s="919"/>
      <c r="R1246" s="1277"/>
      <c r="S1246" s="1277"/>
      <c r="T1246" s="1277"/>
      <c r="U1246" s="1277"/>
      <c r="V1246" s="1277"/>
      <c r="W1246" s="1277"/>
      <c r="X1246" s="1277"/>
    </row>
    <row r="1247" spans="7:24">
      <c r="G1247" s="921"/>
      <c r="H1247" s="1277"/>
      <c r="I1247" s="921"/>
      <c r="J1247" s="1277"/>
      <c r="K1247" s="921"/>
      <c r="L1247" s="1277"/>
      <c r="M1247" s="1277"/>
      <c r="N1247" s="1277"/>
      <c r="O1247" s="1277"/>
      <c r="P1247" s="919"/>
      <c r="Q1247" s="919"/>
      <c r="R1247" s="1277"/>
      <c r="S1247" s="1277"/>
      <c r="T1247" s="1277"/>
      <c r="U1247" s="1277"/>
      <c r="V1247" s="1277"/>
      <c r="W1247" s="1277"/>
      <c r="X1247" s="1277"/>
    </row>
    <row r="1248" spans="7:24">
      <c r="G1248" s="921"/>
      <c r="H1248" s="1277"/>
      <c r="I1248" s="921"/>
      <c r="J1248" s="1277"/>
      <c r="K1248" s="921"/>
      <c r="L1248" s="1277"/>
      <c r="M1248" s="1277"/>
      <c r="N1248" s="1277"/>
      <c r="O1248" s="1277"/>
      <c r="P1248" s="919"/>
      <c r="Q1248" s="919"/>
      <c r="R1248" s="1277"/>
      <c r="S1248" s="1277"/>
      <c r="T1248" s="1277"/>
      <c r="U1248" s="1277"/>
      <c r="V1248" s="1277"/>
      <c r="W1248" s="1277"/>
      <c r="X1248" s="1277"/>
    </row>
    <row r="1249" spans="7:24">
      <c r="G1249" s="921"/>
      <c r="H1249" s="1277"/>
      <c r="I1249" s="921"/>
      <c r="J1249" s="1277"/>
      <c r="K1249" s="921"/>
      <c r="L1249" s="1277"/>
      <c r="M1249" s="1277"/>
      <c r="N1249" s="1277"/>
      <c r="O1249" s="1277"/>
      <c r="P1249" s="919"/>
      <c r="Q1249" s="919"/>
      <c r="R1249" s="1277"/>
      <c r="S1249" s="1277"/>
      <c r="T1249" s="1277"/>
      <c r="U1249" s="1277"/>
      <c r="V1249" s="1277"/>
      <c r="W1249" s="1277"/>
      <c r="X1249" s="1277"/>
    </row>
    <row r="1250" spans="7:24">
      <c r="G1250" s="921"/>
      <c r="H1250" s="1277"/>
      <c r="I1250" s="921"/>
      <c r="J1250" s="1277"/>
      <c r="K1250" s="921"/>
      <c r="L1250" s="1277"/>
      <c r="M1250" s="1277"/>
      <c r="N1250" s="1277"/>
      <c r="O1250" s="1277"/>
      <c r="P1250" s="919"/>
      <c r="Q1250" s="919"/>
      <c r="R1250" s="1277"/>
      <c r="S1250" s="1277"/>
      <c r="T1250" s="1277"/>
      <c r="U1250" s="1277"/>
      <c r="V1250" s="1277"/>
      <c r="W1250" s="1277"/>
      <c r="X1250" s="1277"/>
    </row>
    <row r="1251" spans="7:24">
      <c r="G1251" s="921"/>
      <c r="H1251" s="1277"/>
      <c r="I1251" s="921"/>
      <c r="J1251" s="1277"/>
      <c r="K1251" s="921"/>
      <c r="L1251" s="1277"/>
      <c r="M1251" s="1277"/>
      <c r="N1251" s="1277"/>
      <c r="O1251" s="1277"/>
      <c r="P1251" s="919"/>
      <c r="Q1251" s="919"/>
      <c r="R1251" s="1277"/>
      <c r="S1251" s="1277"/>
      <c r="T1251" s="1277"/>
      <c r="U1251" s="1277"/>
      <c r="V1251" s="1277"/>
      <c r="W1251" s="1277"/>
      <c r="X1251" s="1277"/>
    </row>
    <row r="1252" spans="7:24">
      <c r="G1252" s="921"/>
      <c r="H1252" s="1277"/>
      <c r="I1252" s="921"/>
      <c r="J1252" s="1277"/>
      <c r="K1252" s="921"/>
      <c r="L1252" s="1277"/>
      <c r="M1252" s="1277"/>
      <c r="N1252" s="1277"/>
      <c r="O1252" s="1277"/>
      <c r="P1252" s="919"/>
      <c r="Q1252" s="919"/>
      <c r="R1252" s="1277"/>
      <c r="S1252" s="1277"/>
      <c r="T1252" s="1277"/>
      <c r="U1252" s="1277"/>
      <c r="V1252" s="1277"/>
      <c r="W1252" s="1277"/>
      <c r="X1252" s="1277"/>
    </row>
    <row r="1253" spans="7:24">
      <c r="G1253" s="921"/>
      <c r="H1253" s="1277"/>
      <c r="I1253" s="921"/>
      <c r="J1253" s="1277"/>
      <c r="K1253" s="921"/>
      <c r="L1253" s="1277"/>
      <c r="M1253" s="1277"/>
      <c r="N1253" s="1277"/>
      <c r="O1253" s="1277"/>
      <c r="P1253" s="919"/>
      <c r="Q1253" s="919"/>
      <c r="R1253" s="1277"/>
      <c r="S1253" s="1277"/>
      <c r="T1253" s="1277"/>
      <c r="U1253" s="1277"/>
      <c r="V1253" s="1277"/>
      <c r="W1253" s="1277"/>
      <c r="X1253" s="1277"/>
    </row>
    <row r="1254" spans="7:24">
      <c r="G1254" s="921"/>
      <c r="H1254" s="1277"/>
      <c r="I1254" s="921"/>
      <c r="J1254" s="1277"/>
      <c r="K1254" s="921"/>
      <c r="L1254" s="1277"/>
      <c r="M1254" s="1277"/>
      <c r="N1254" s="1277"/>
      <c r="O1254" s="1277"/>
      <c r="P1254" s="919"/>
      <c r="Q1254" s="919"/>
      <c r="R1254" s="1277"/>
      <c r="S1254" s="1277"/>
      <c r="T1254" s="1277"/>
      <c r="U1254" s="1277"/>
      <c r="V1254" s="1277"/>
      <c r="W1254" s="1277"/>
      <c r="X1254" s="1277"/>
    </row>
    <row r="1255" spans="7:24">
      <c r="G1255" s="921"/>
      <c r="H1255" s="1277"/>
      <c r="I1255" s="921"/>
      <c r="J1255" s="1277"/>
      <c r="K1255" s="921"/>
      <c r="L1255" s="1277"/>
      <c r="M1255" s="1277"/>
      <c r="N1255" s="1277"/>
      <c r="O1255" s="1277"/>
      <c r="P1255" s="919"/>
      <c r="Q1255" s="919"/>
      <c r="R1255" s="1277"/>
      <c r="S1255" s="1277"/>
      <c r="T1255" s="1277"/>
      <c r="U1255" s="1277"/>
      <c r="V1255" s="1277"/>
      <c r="W1255" s="1277"/>
      <c r="X1255" s="1277"/>
    </row>
    <row r="1256" spans="7:24">
      <c r="G1256" s="921"/>
      <c r="H1256" s="1277"/>
      <c r="I1256" s="921"/>
      <c r="J1256" s="1277"/>
      <c r="K1256" s="921"/>
      <c r="L1256" s="1277"/>
      <c r="M1256" s="1277"/>
      <c r="N1256" s="1277"/>
      <c r="O1256" s="1277"/>
      <c r="P1256" s="919"/>
      <c r="Q1256" s="919"/>
      <c r="R1256" s="1277"/>
      <c r="S1256" s="1277"/>
      <c r="T1256" s="1277"/>
      <c r="U1256" s="1277"/>
      <c r="V1256" s="1277"/>
      <c r="W1256" s="1277"/>
      <c r="X1256" s="1277"/>
    </row>
    <row r="1257" spans="7:24">
      <c r="G1257" s="921"/>
      <c r="H1257" s="1277"/>
      <c r="I1257" s="921"/>
      <c r="J1257" s="1277"/>
      <c r="K1257" s="921"/>
      <c r="L1257" s="1277"/>
      <c r="M1257" s="1277"/>
      <c r="N1257" s="1277"/>
      <c r="O1257" s="1277"/>
      <c r="P1257" s="919"/>
      <c r="Q1257" s="919"/>
      <c r="R1257" s="1277"/>
      <c r="S1257" s="1277"/>
      <c r="T1257" s="1277"/>
      <c r="U1257" s="1277"/>
      <c r="V1257" s="1277"/>
      <c r="W1257" s="1277"/>
      <c r="X1257" s="1277"/>
    </row>
    <row r="1258" spans="7:24">
      <c r="G1258" s="921"/>
      <c r="H1258" s="1277"/>
      <c r="I1258" s="921"/>
      <c r="J1258" s="1277"/>
      <c r="K1258" s="921"/>
      <c r="L1258" s="1277"/>
      <c r="M1258" s="1277"/>
      <c r="N1258" s="1277"/>
      <c r="O1258" s="1277"/>
      <c r="P1258" s="919"/>
      <c r="Q1258" s="919"/>
      <c r="R1258" s="1277"/>
      <c r="S1258" s="1277"/>
      <c r="T1258" s="1277"/>
      <c r="U1258" s="1277"/>
      <c r="V1258" s="1277"/>
      <c r="W1258" s="1277"/>
      <c r="X1258" s="1277"/>
    </row>
    <row r="1259" spans="7:24">
      <c r="G1259" s="921"/>
      <c r="H1259" s="1277"/>
      <c r="I1259" s="921"/>
      <c r="J1259" s="1277"/>
      <c r="K1259" s="921"/>
      <c r="L1259" s="1277"/>
      <c r="M1259" s="1277"/>
      <c r="N1259" s="1277"/>
      <c r="O1259" s="1277"/>
      <c r="P1259" s="919"/>
      <c r="Q1259" s="919"/>
      <c r="R1259" s="1277"/>
      <c r="S1259" s="1277"/>
      <c r="T1259" s="1277"/>
      <c r="U1259" s="1277"/>
      <c r="V1259" s="1277"/>
      <c r="W1259" s="1277"/>
      <c r="X1259" s="1277"/>
    </row>
    <row r="1260" spans="7:24">
      <c r="G1260" s="921"/>
      <c r="H1260" s="1277"/>
      <c r="I1260" s="921"/>
      <c r="J1260" s="1277"/>
      <c r="K1260" s="921"/>
      <c r="L1260" s="1277"/>
      <c r="M1260" s="1277"/>
      <c r="N1260" s="1277"/>
      <c r="O1260" s="1277"/>
      <c r="P1260" s="919"/>
      <c r="Q1260" s="919"/>
      <c r="R1260" s="1277"/>
      <c r="S1260" s="1277"/>
      <c r="T1260" s="1277"/>
      <c r="U1260" s="1277"/>
      <c r="V1260" s="1277"/>
      <c r="W1260" s="1277"/>
      <c r="X1260" s="1277"/>
    </row>
    <row r="1261" spans="7:24">
      <c r="G1261" s="921"/>
      <c r="H1261" s="1277"/>
      <c r="I1261" s="921"/>
      <c r="J1261" s="1277"/>
      <c r="K1261" s="921"/>
      <c r="L1261" s="1277"/>
      <c r="M1261" s="1277"/>
      <c r="N1261" s="1277"/>
      <c r="O1261" s="1277"/>
      <c r="P1261" s="919"/>
      <c r="Q1261" s="919"/>
      <c r="R1261" s="1277"/>
      <c r="S1261" s="1277"/>
      <c r="T1261" s="1277"/>
      <c r="U1261" s="1277"/>
      <c r="V1261" s="1277"/>
      <c r="W1261" s="1277"/>
      <c r="X1261" s="1277"/>
    </row>
    <row r="1262" spans="7:24">
      <c r="G1262" s="921"/>
      <c r="H1262" s="1277"/>
      <c r="I1262" s="921"/>
      <c r="J1262" s="1277"/>
      <c r="K1262" s="921"/>
      <c r="L1262" s="1277"/>
      <c r="M1262" s="1277"/>
      <c r="N1262" s="1277"/>
      <c r="O1262" s="1277"/>
      <c r="P1262" s="919"/>
      <c r="Q1262" s="919"/>
      <c r="R1262" s="1277"/>
      <c r="S1262" s="1277"/>
      <c r="T1262" s="1277"/>
      <c r="U1262" s="1277"/>
      <c r="V1262" s="1277"/>
      <c r="W1262" s="1277"/>
      <c r="X1262" s="1277"/>
    </row>
    <row r="1263" spans="7:24">
      <c r="G1263" s="921"/>
      <c r="H1263" s="1277"/>
      <c r="I1263" s="921"/>
      <c r="J1263" s="1277"/>
      <c r="K1263" s="921"/>
      <c r="L1263" s="1277"/>
      <c r="M1263" s="1277"/>
      <c r="N1263" s="1277"/>
      <c r="O1263" s="1277"/>
      <c r="P1263" s="919"/>
      <c r="Q1263" s="919"/>
      <c r="R1263" s="1277"/>
      <c r="S1263" s="1277"/>
      <c r="T1263" s="1277"/>
      <c r="U1263" s="1277"/>
      <c r="V1263" s="1277"/>
      <c r="W1263" s="1277"/>
      <c r="X1263" s="1277"/>
    </row>
    <row r="1264" spans="7:24">
      <c r="G1264" s="921"/>
      <c r="H1264" s="1277"/>
      <c r="I1264" s="921"/>
      <c r="J1264" s="1277"/>
      <c r="K1264" s="921"/>
      <c r="L1264" s="1277"/>
      <c r="M1264" s="1277"/>
      <c r="N1264" s="1277"/>
      <c r="O1264" s="1277"/>
      <c r="P1264" s="919"/>
      <c r="Q1264" s="919"/>
      <c r="R1264" s="1277"/>
      <c r="S1264" s="1277"/>
      <c r="T1264" s="1277"/>
      <c r="U1264" s="1277"/>
      <c r="V1264" s="1277"/>
      <c r="W1264" s="1277"/>
      <c r="X1264" s="1277"/>
    </row>
    <row r="1265" spans="7:24">
      <c r="G1265" s="921"/>
      <c r="H1265" s="1277"/>
      <c r="I1265" s="921"/>
      <c r="J1265" s="1277"/>
      <c r="K1265" s="921"/>
      <c r="L1265" s="1277"/>
      <c r="M1265" s="1277"/>
      <c r="N1265" s="1277"/>
      <c r="O1265" s="1277"/>
      <c r="P1265" s="919"/>
      <c r="Q1265" s="919"/>
      <c r="R1265" s="1277"/>
      <c r="S1265" s="1277"/>
      <c r="T1265" s="1277"/>
      <c r="U1265" s="1277"/>
      <c r="V1265" s="1277"/>
      <c r="W1265" s="1277"/>
      <c r="X1265" s="1277"/>
    </row>
    <row r="1266" spans="7:24">
      <c r="G1266" s="921"/>
      <c r="H1266" s="1277"/>
      <c r="I1266" s="921"/>
      <c r="J1266" s="1277"/>
      <c r="K1266" s="921"/>
      <c r="L1266" s="1277"/>
      <c r="M1266" s="1277"/>
      <c r="N1266" s="1277"/>
      <c r="O1266" s="1277"/>
      <c r="P1266" s="919"/>
      <c r="Q1266" s="919"/>
      <c r="R1266" s="1277"/>
      <c r="S1266" s="1277"/>
      <c r="T1266" s="1277"/>
      <c r="U1266" s="1277"/>
      <c r="V1266" s="1277"/>
      <c r="W1266" s="1277"/>
      <c r="X1266" s="1277"/>
    </row>
    <row r="1267" spans="7:24">
      <c r="G1267" s="921"/>
      <c r="H1267" s="1277"/>
      <c r="I1267" s="921"/>
      <c r="J1267" s="1277"/>
      <c r="K1267" s="921"/>
      <c r="L1267" s="1277"/>
      <c r="M1267" s="1277"/>
      <c r="N1267" s="1277"/>
      <c r="O1267" s="1277"/>
      <c r="P1267" s="919"/>
      <c r="Q1267" s="919"/>
      <c r="R1267" s="1277"/>
      <c r="S1267" s="1277"/>
      <c r="T1267" s="1277"/>
      <c r="U1267" s="1277"/>
      <c r="V1267" s="1277"/>
      <c r="W1267" s="1277"/>
      <c r="X1267" s="1277"/>
    </row>
    <row r="1268" spans="7:24">
      <c r="G1268" s="921"/>
      <c r="H1268" s="1277"/>
      <c r="I1268" s="921"/>
      <c r="J1268" s="1277"/>
      <c r="K1268" s="921"/>
      <c r="L1268" s="1277"/>
      <c r="M1268" s="1277"/>
      <c r="N1268" s="1277"/>
      <c r="O1268" s="1277"/>
      <c r="P1268" s="919"/>
      <c r="Q1268" s="919"/>
      <c r="R1268" s="1277"/>
      <c r="S1268" s="1277"/>
      <c r="T1268" s="1277"/>
      <c r="U1268" s="1277"/>
      <c r="V1268" s="1277"/>
      <c r="W1268" s="1277"/>
      <c r="X1268" s="1277"/>
    </row>
    <row r="1269" spans="7:24">
      <c r="G1269" s="921"/>
      <c r="H1269" s="1277"/>
      <c r="I1269" s="921"/>
      <c r="J1269" s="1277"/>
      <c r="K1269" s="921"/>
      <c r="L1269" s="1277"/>
      <c r="M1269" s="1277"/>
      <c r="N1269" s="1277"/>
      <c r="O1269" s="1277"/>
      <c r="P1269" s="919"/>
      <c r="Q1269" s="919"/>
      <c r="R1269" s="1277"/>
      <c r="S1269" s="1277"/>
      <c r="T1269" s="1277"/>
      <c r="U1269" s="1277"/>
      <c r="V1269" s="1277"/>
      <c r="W1269" s="1277"/>
      <c r="X1269" s="1277"/>
    </row>
    <row r="1270" spans="7:24">
      <c r="G1270" s="921"/>
      <c r="H1270" s="1277"/>
      <c r="I1270" s="921"/>
      <c r="J1270" s="1277"/>
      <c r="K1270" s="921"/>
      <c r="L1270" s="1277"/>
      <c r="M1270" s="1277"/>
      <c r="N1270" s="1277"/>
      <c r="O1270" s="1277"/>
      <c r="P1270" s="919"/>
      <c r="Q1270" s="919"/>
      <c r="R1270" s="1277"/>
      <c r="S1270" s="1277"/>
      <c r="T1270" s="1277"/>
      <c r="U1270" s="1277"/>
      <c r="V1270" s="1277"/>
      <c r="W1270" s="1277"/>
      <c r="X1270" s="1277"/>
    </row>
    <row r="1271" spans="7:24">
      <c r="G1271" s="921"/>
      <c r="H1271" s="1277"/>
      <c r="I1271" s="921"/>
      <c r="J1271" s="1277"/>
      <c r="K1271" s="921"/>
      <c r="L1271" s="1277"/>
      <c r="M1271" s="1277"/>
      <c r="N1271" s="1277"/>
      <c r="O1271" s="1277"/>
      <c r="P1271" s="919"/>
      <c r="Q1271" s="919"/>
      <c r="R1271" s="1277"/>
      <c r="S1271" s="1277"/>
      <c r="T1271" s="1277"/>
      <c r="U1271" s="1277"/>
      <c r="V1271" s="1277"/>
      <c r="W1271" s="1277"/>
      <c r="X1271" s="1277"/>
    </row>
    <row r="1272" spans="7:24">
      <c r="G1272" s="921"/>
      <c r="H1272" s="1277"/>
      <c r="I1272" s="921"/>
      <c r="J1272" s="1277"/>
      <c r="K1272" s="921"/>
      <c r="L1272" s="1277"/>
      <c r="M1272" s="1277"/>
      <c r="N1272" s="1277"/>
      <c r="O1272" s="1277"/>
      <c r="P1272" s="919"/>
      <c r="Q1272" s="919"/>
      <c r="R1272" s="1277"/>
      <c r="S1272" s="1277"/>
      <c r="T1272" s="1277"/>
      <c r="U1272" s="1277"/>
      <c r="V1272" s="1277"/>
      <c r="W1272" s="1277"/>
      <c r="X1272" s="1277"/>
    </row>
    <row r="1273" spans="7:24">
      <c r="G1273" s="921"/>
      <c r="H1273" s="1277"/>
      <c r="I1273" s="921"/>
      <c r="J1273" s="1277"/>
      <c r="K1273" s="921"/>
      <c r="L1273" s="1277"/>
      <c r="M1273" s="1277"/>
      <c r="N1273" s="1277"/>
      <c r="O1273" s="1277"/>
      <c r="P1273" s="919"/>
      <c r="Q1273" s="919"/>
      <c r="R1273" s="1277"/>
      <c r="S1273" s="1277"/>
      <c r="T1273" s="1277"/>
      <c r="U1273" s="1277"/>
      <c r="V1273" s="1277"/>
      <c r="W1273" s="1277"/>
      <c r="X1273" s="1277"/>
    </row>
    <row r="1274" spans="7:24">
      <c r="G1274" s="921"/>
      <c r="H1274" s="1277"/>
      <c r="I1274" s="921"/>
      <c r="J1274" s="1277"/>
      <c r="K1274" s="921"/>
      <c r="L1274" s="1277"/>
      <c r="M1274" s="1277"/>
      <c r="N1274" s="1277"/>
      <c r="O1274" s="1277"/>
      <c r="P1274" s="919"/>
      <c r="Q1274" s="919"/>
      <c r="R1274" s="1277"/>
      <c r="S1274" s="1277"/>
      <c r="T1274" s="1277"/>
      <c r="U1274" s="1277"/>
      <c r="V1274" s="1277"/>
      <c r="W1274" s="1277"/>
      <c r="X1274" s="1277"/>
    </row>
    <row r="1275" spans="7:24">
      <c r="G1275" s="921"/>
      <c r="H1275" s="1277"/>
      <c r="I1275" s="921"/>
      <c r="J1275" s="1277"/>
      <c r="K1275" s="921"/>
      <c r="L1275" s="1277"/>
      <c r="M1275" s="1277"/>
      <c r="N1275" s="1277"/>
      <c r="O1275" s="1277"/>
      <c r="P1275" s="919"/>
      <c r="Q1275" s="919"/>
      <c r="R1275" s="1277"/>
      <c r="S1275" s="1277"/>
      <c r="T1275" s="1277"/>
      <c r="U1275" s="1277"/>
      <c r="V1275" s="1277"/>
      <c r="W1275" s="1277"/>
      <c r="X1275" s="1277"/>
    </row>
    <row r="1276" spans="7:24">
      <c r="G1276" s="921"/>
      <c r="H1276" s="1277"/>
      <c r="I1276" s="921"/>
      <c r="J1276" s="1277"/>
      <c r="K1276" s="921"/>
      <c r="L1276" s="1277"/>
      <c r="M1276" s="1277"/>
      <c r="N1276" s="1277"/>
      <c r="O1276" s="1277"/>
      <c r="P1276" s="919"/>
      <c r="Q1276" s="919"/>
      <c r="R1276" s="1277"/>
      <c r="S1276" s="1277"/>
      <c r="T1276" s="1277"/>
      <c r="U1276" s="1277"/>
      <c r="V1276" s="1277"/>
      <c r="W1276" s="1277"/>
      <c r="X1276" s="1277"/>
    </row>
    <row r="1277" spans="7:24">
      <c r="G1277" s="921"/>
      <c r="H1277" s="1277"/>
      <c r="I1277" s="921"/>
      <c r="J1277" s="1277"/>
      <c r="K1277" s="921"/>
      <c r="L1277" s="1277"/>
      <c r="M1277" s="1277"/>
      <c r="N1277" s="1277"/>
      <c r="O1277" s="1277"/>
      <c r="P1277" s="919"/>
      <c r="Q1277" s="919"/>
      <c r="R1277" s="1277"/>
      <c r="S1277" s="1277"/>
      <c r="T1277" s="1277"/>
      <c r="U1277" s="1277"/>
      <c r="V1277" s="1277"/>
      <c r="W1277" s="1277"/>
      <c r="X1277" s="1277"/>
    </row>
    <row r="1278" spans="7:24">
      <c r="G1278" s="921"/>
      <c r="H1278" s="1277"/>
      <c r="I1278" s="921"/>
      <c r="J1278" s="1277"/>
      <c r="K1278" s="921"/>
      <c r="L1278" s="1277"/>
      <c r="M1278" s="1277"/>
      <c r="N1278" s="1277"/>
      <c r="O1278" s="1277"/>
      <c r="P1278" s="919"/>
      <c r="Q1278" s="919"/>
      <c r="R1278" s="1277"/>
      <c r="S1278" s="1277"/>
      <c r="T1278" s="1277"/>
      <c r="U1278" s="1277"/>
      <c r="V1278" s="1277"/>
      <c r="W1278" s="1277"/>
      <c r="X1278" s="1277"/>
    </row>
    <row r="1279" spans="7:24">
      <c r="G1279" s="921"/>
      <c r="H1279" s="1277"/>
      <c r="I1279" s="921"/>
      <c r="J1279" s="1277"/>
      <c r="K1279" s="921"/>
      <c r="L1279" s="1277"/>
      <c r="M1279" s="1277"/>
      <c r="N1279" s="1277"/>
      <c r="O1279" s="1277"/>
      <c r="P1279" s="919"/>
      <c r="Q1279" s="919"/>
      <c r="R1279" s="1277"/>
      <c r="S1279" s="1277"/>
      <c r="T1279" s="1277"/>
      <c r="U1279" s="1277"/>
      <c r="V1279" s="1277"/>
      <c r="W1279" s="1277"/>
      <c r="X1279" s="1277"/>
    </row>
    <row r="1280" spans="7:24">
      <c r="G1280" s="921"/>
      <c r="H1280" s="1277"/>
      <c r="I1280" s="921"/>
      <c r="J1280" s="1277"/>
      <c r="K1280" s="921"/>
      <c r="L1280" s="1277"/>
      <c r="M1280" s="1277"/>
      <c r="N1280" s="1277"/>
      <c r="O1280" s="1277"/>
      <c r="P1280" s="919"/>
      <c r="Q1280" s="919"/>
      <c r="R1280" s="1277"/>
      <c r="S1280" s="1277"/>
      <c r="T1280" s="1277"/>
      <c r="U1280" s="1277"/>
      <c r="V1280" s="1277"/>
      <c r="W1280" s="1277"/>
      <c r="X1280" s="1277"/>
    </row>
    <row r="1281" spans="7:24">
      <c r="G1281" s="921"/>
      <c r="H1281" s="1277"/>
      <c r="I1281" s="921"/>
      <c r="J1281" s="1277"/>
      <c r="K1281" s="921"/>
      <c r="L1281" s="1277"/>
      <c r="M1281" s="1277"/>
      <c r="N1281" s="1277"/>
      <c r="O1281" s="1277"/>
      <c r="P1281" s="919"/>
      <c r="Q1281" s="919"/>
      <c r="R1281" s="1277"/>
      <c r="S1281" s="1277"/>
      <c r="T1281" s="1277"/>
      <c r="U1281" s="1277"/>
      <c r="V1281" s="1277"/>
      <c r="W1281" s="1277"/>
      <c r="X1281" s="1277"/>
    </row>
    <row r="1282" spans="7:24">
      <c r="G1282" s="921"/>
      <c r="H1282" s="1277"/>
      <c r="I1282" s="921"/>
      <c r="J1282" s="1277"/>
      <c r="K1282" s="921"/>
      <c r="L1282" s="1277"/>
      <c r="M1282" s="1277"/>
      <c r="N1282" s="1277"/>
      <c r="O1282" s="1277"/>
      <c r="P1282" s="919"/>
      <c r="Q1282" s="919"/>
      <c r="R1282" s="1277"/>
      <c r="S1282" s="1277"/>
      <c r="T1282" s="1277"/>
      <c r="U1282" s="1277"/>
      <c r="V1282" s="1277"/>
      <c r="W1282" s="1277"/>
      <c r="X1282" s="1277"/>
    </row>
    <row r="1283" spans="7:24">
      <c r="G1283" s="921"/>
      <c r="H1283" s="1277"/>
      <c r="I1283" s="921"/>
      <c r="J1283" s="1277"/>
      <c r="K1283" s="921"/>
      <c r="L1283" s="1277"/>
      <c r="M1283" s="1277"/>
      <c r="N1283" s="1277"/>
      <c r="O1283" s="1277"/>
      <c r="P1283" s="919"/>
      <c r="Q1283" s="919"/>
      <c r="R1283" s="1277"/>
      <c r="S1283" s="1277"/>
      <c r="T1283" s="1277"/>
      <c r="U1283" s="1277"/>
      <c r="V1283" s="1277"/>
      <c r="W1283" s="1277"/>
      <c r="X1283" s="1277"/>
    </row>
    <row r="1284" spans="7:24">
      <c r="G1284" s="921"/>
      <c r="H1284" s="1277"/>
      <c r="I1284" s="921"/>
      <c r="J1284" s="1277"/>
      <c r="K1284" s="921"/>
      <c r="L1284" s="1277"/>
      <c r="M1284" s="1277"/>
      <c r="N1284" s="1277"/>
      <c r="O1284" s="1277"/>
      <c r="P1284" s="919"/>
      <c r="Q1284" s="919"/>
      <c r="R1284" s="1277"/>
      <c r="S1284" s="1277"/>
      <c r="T1284" s="1277"/>
      <c r="U1284" s="1277"/>
      <c r="V1284" s="1277"/>
      <c r="W1284" s="1277"/>
      <c r="X1284" s="1277"/>
    </row>
    <row r="1285" spans="7:24">
      <c r="G1285" s="921"/>
      <c r="H1285" s="1277"/>
      <c r="I1285" s="921"/>
      <c r="J1285" s="1277"/>
      <c r="K1285" s="921"/>
      <c r="L1285" s="1277"/>
      <c r="M1285" s="1277"/>
      <c r="N1285" s="1277"/>
      <c r="O1285" s="1277"/>
      <c r="P1285" s="919"/>
      <c r="Q1285" s="919"/>
      <c r="R1285" s="1277"/>
      <c r="S1285" s="1277"/>
      <c r="T1285" s="1277"/>
      <c r="U1285" s="1277"/>
      <c r="V1285" s="1277"/>
      <c r="W1285" s="1277"/>
      <c r="X1285" s="1277"/>
    </row>
    <row r="1286" spans="7:24">
      <c r="G1286" s="921"/>
      <c r="H1286" s="1277"/>
      <c r="I1286" s="921"/>
      <c r="J1286" s="1277"/>
      <c r="K1286" s="921"/>
      <c r="L1286" s="1277"/>
      <c r="M1286" s="1277"/>
      <c r="N1286" s="1277"/>
      <c r="O1286" s="1277"/>
      <c r="P1286" s="919"/>
      <c r="Q1286" s="919"/>
      <c r="R1286" s="1277"/>
      <c r="S1286" s="1277"/>
      <c r="T1286" s="1277"/>
      <c r="U1286" s="1277"/>
      <c r="V1286" s="1277"/>
      <c r="W1286" s="1277"/>
      <c r="X1286" s="1277"/>
    </row>
    <row r="1287" spans="7:24">
      <c r="G1287" s="921"/>
      <c r="H1287" s="1277"/>
      <c r="I1287" s="921"/>
      <c r="J1287" s="1277"/>
      <c r="K1287" s="921"/>
      <c r="L1287" s="1277"/>
      <c r="M1287" s="1277"/>
      <c r="N1287" s="1277"/>
      <c r="O1287" s="1277"/>
      <c r="P1287" s="919"/>
      <c r="Q1287" s="919"/>
      <c r="R1287" s="1277"/>
      <c r="S1287" s="1277"/>
      <c r="T1287" s="1277"/>
      <c r="U1287" s="1277"/>
      <c r="V1287" s="1277"/>
      <c r="W1287" s="1277"/>
      <c r="X1287" s="1277"/>
    </row>
    <row r="1288" spans="7:24">
      <c r="G1288" s="921"/>
      <c r="H1288" s="1277"/>
      <c r="I1288" s="921"/>
      <c r="J1288" s="1277"/>
      <c r="K1288" s="921"/>
      <c r="L1288" s="1277"/>
      <c r="M1288" s="1277"/>
      <c r="N1288" s="1277"/>
      <c r="O1288" s="1277"/>
      <c r="P1288" s="919"/>
      <c r="Q1288" s="919"/>
      <c r="R1288" s="1277"/>
      <c r="S1288" s="1277"/>
      <c r="T1288" s="1277"/>
      <c r="U1288" s="1277"/>
      <c r="V1288" s="1277"/>
      <c r="W1288" s="1277"/>
      <c r="X1288" s="1277"/>
    </row>
    <row r="1289" spans="7:24">
      <c r="G1289" s="921"/>
      <c r="H1289" s="1277"/>
      <c r="I1289" s="921"/>
      <c r="J1289" s="1277"/>
      <c r="K1289" s="921"/>
      <c r="L1289" s="1277"/>
      <c r="M1289" s="1277"/>
      <c r="N1289" s="1277"/>
      <c r="O1289" s="1277"/>
      <c r="P1289" s="919"/>
      <c r="Q1289" s="919"/>
      <c r="R1289" s="1277"/>
      <c r="S1289" s="1277"/>
      <c r="T1289" s="1277"/>
      <c r="U1289" s="1277"/>
      <c r="V1289" s="1277"/>
      <c r="W1289" s="1277"/>
      <c r="X1289" s="1277"/>
    </row>
    <row r="1290" spans="7:24">
      <c r="G1290" s="921"/>
      <c r="H1290" s="1277"/>
      <c r="I1290" s="921"/>
      <c r="J1290" s="1277"/>
      <c r="K1290" s="921"/>
      <c r="L1290" s="1277"/>
      <c r="M1290" s="1277"/>
      <c r="N1290" s="1277"/>
      <c r="O1290" s="1277"/>
      <c r="P1290" s="919"/>
      <c r="Q1290" s="919"/>
      <c r="R1290" s="1277"/>
      <c r="S1290" s="1277"/>
      <c r="T1290" s="1277"/>
      <c r="U1290" s="1277"/>
      <c r="V1290" s="1277"/>
      <c r="W1290" s="1277"/>
      <c r="X1290" s="1277"/>
    </row>
    <row r="1291" spans="7:24">
      <c r="G1291" s="921"/>
      <c r="H1291" s="1277"/>
      <c r="I1291" s="921"/>
      <c r="J1291" s="1277"/>
      <c r="K1291" s="921"/>
      <c r="L1291" s="1277"/>
      <c r="M1291" s="1277"/>
      <c r="N1291" s="1277"/>
      <c r="O1291" s="1277"/>
      <c r="P1291" s="919"/>
      <c r="Q1291" s="919"/>
      <c r="R1291" s="1277"/>
      <c r="S1291" s="1277"/>
      <c r="T1291" s="1277"/>
      <c r="U1291" s="1277"/>
      <c r="V1291" s="1277"/>
      <c r="W1291" s="1277"/>
      <c r="X1291" s="1277"/>
    </row>
    <row r="1292" spans="7:24">
      <c r="G1292" s="921"/>
      <c r="H1292" s="1277"/>
      <c r="I1292" s="921"/>
      <c r="J1292" s="1277"/>
      <c r="K1292" s="921"/>
      <c r="L1292" s="1277"/>
      <c r="M1292" s="1277"/>
      <c r="N1292" s="1277"/>
      <c r="O1292" s="1277"/>
      <c r="P1292" s="919"/>
      <c r="Q1292" s="919"/>
      <c r="R1292" s="1277"/>
      <c r="S1292" s="1277"/>
      <c r="T1292" s="1277"/>
      <c r="U1292" s="1277"/>
      <c r="V1292" s="1277"/>
      <c r="W1292" s="1277"/>
      <c r="X1292" s="1277"/>
    </row>
    <row r="1293" spans="7:24">
      <c r="G1293" s="921"/>
      <c r="H1293" s="1277"/>
      <c r="I1293" s="921"/>
      <c r="J1293" s="1277"/>
      <c r="K1293" s="921"/>
      <c r="L1293" s="1277"/>
      <c r="M1293" s="1277"/>
      <c r="N1293" s="1277"/>
      <c r="O1293" s="1277"/>
      <c r="P1293" s="919"/>
      <c r="Q1293" s="919"/>
      <c r="R1293" s="1277"/>
      <c r="S1293" s="1277"/>
      <c r="T1293" s="1277"/>
      <c r="U1293" s="1277"/>
      <c r="V1293" s="1277"/>
      <c r="W1293" s="1277"/>
      <c r="X1293" s="1277"/>
    </row>
    <row r="1294" spans="7:24">
      <c r="G1294" s="921"/>
      <c r="H1294" s="1277"/>
      <c r="I1294" s="921"/>
      <c r="J1294" s="1277"/>
      <c r="K1294" s="921"/>
      <c r="L1294" s="1277"/>
      <c r="M1294" s="1277"/>
      <c r="N1294" s="1277"/>
      <c r="O1294" s="1277"/>
      <c r="P1294" s="919"/>
      <c r="Q1294" s="919"/>
      <c r="R1294" s="1277"/>
      <c r="S1294" s="1277"/>
      <c r="T1294" s="1277"/>
      <c r="U1294" s="1277"/>
      <c r="V1294" s="1277"/>
      <c r="W1294" s="1277"/>
      <c r="X1294" s="1277"/>
    </row>
    <row r="1295" spans="7:24">
      <c r="G1295" s="921"/>
      <c r="H1295" s="1277"/>
      <c r="I1295" s="921"/>
      <c r="J1295" s="1277"/>
      <c r="K1295" s="921"/>
      <c r="L1295" s="1277"/>
      <c r="M1295" s="1277"/>
      <c r="N1295" s="1277"/>
      <c r="O1295" s="1277"/>
      <c r="P1295" s="919"/>
      <c r="Q1295" s="919"/>
      <c r="R1295" s="1277"/>
      <c r="S1295" s="1277"/>
      <c r="T1295" s="1277"/>
      <c r="U1295" s="1277"/>
      <c r="V1295" s="1277"/>
      <c r="W1295" s="1277"/>
      <c r="X1295" s="1277"/>
    </row>
    <row r="1296" spans="7:24">
      <c r="G1296" s="921"/>
      <c r="H1296" s="1277"/>
      <c r="I1296" s="921"/>
      <c r="J1296" s="1277"/>
      <c r="K1296" s="921"/>
      <c r="L1296" s="1277"/>
      <c r="M1296" s="1277"/>
      <c r="N1296" s="1277"/>
      <c r="O1296" s="1277"/>
      <c r="P1296" s="919"/>
      <c r="Q1296" s="919"/>
      <c r="R1296" s="1277"/>
      <c r="S1296" s="1277"/>
      <c r="T1296" s="1277"/>
      <c r="U1296" s="1277"/>
      <c r="V1296" s="1277"/>
      <c r="W1296" s="1277"/>
      <c r="X1296" s="1277"/>
    </row>
    <row r="1297" spans="7:24">
      <c r="G1297" s="921"/>
      <c r="H1297" s="1277"/>
      <c r="I1297" s="921"/>
      <c r="J1297" s="1277"/>
      <c r="K1297" s="921"/>
      <c r="L1297" s="1277"/>
      <c r="M1297" s="1277"/>
      <c r="N1297" s="1277"/>
      <c r="O1297" s="1277"/>
      <c r="P1297" s="919"/>
      <c r="Q1297" s="919"/>
      <c r="R1297" s="1277"/>
      <c r="S1297" s="1277"/>
      <c r="T1297" s="1277"/>
      <c r="U1297" s="1277"/>
      <c r="V1297" s="1277"/>
      <c r="W1297" s="1277"/>
      <c r="X1297" s="1277"/>
    </row>
    <row r="1298" spans="7:24">
      <c r="G1298" s="921"/>
      <c r="H1298" s="1277"/>
      <c r="I1298" s="921"/>
      <c r="J1298" s="1277"/>
      <c r="K1298" s="921"/>
      <c r="L1298" s="1277"/>
      <c r="M1298" s="1277"/>
      <c r="N1298" s="1277"/>
      <c r="O1298" s="1277"/>
      <c r="P1298" s="919"/>
      <c r="Q1298" s="919"/>
      <c r="R1298" s="1277"/>
      <c r="S1298" s="1277"/>
      <c r="T1298" s="1277"/>
      <c r="U1298" s="1277"/>
      <c r="V1298" s="1277"/>
      <c r="W1298" s="1277"/>
      <c r="X1298" s="1277"/>
    </row>
    <row r="1299" spans="7:24">
      <c r="G1299" s="921"/>
      <c r="H1299" s="1277"/>
      <c r="I1299" s="921"/>
      <c r="J1299" s="1277"/>
      <c r="K1299" s="921"/>
      <c r="L1299" s="1277"/>
      <c r="M1299" s="1277"/>
      <c r="N1299" s="1277"/>
      <c r="O1299" s="1277"/>
      <c r="P1299" s="919"/>
      <c r="Q1299" s="919"/>
      <c r="R1299" s="1277"/>
      <c r="S1299" s="1277"/>
      <c r="T1299" s="1277"/>
      <c r="U1299" s="1277"/>
      <c r="V1299" s="1277"/>
      <c r="W1299" s="1277"/>
      <c r="X1299" s="1277"/>
    </row>
    <row r="1300" spans="7:24">
      <c r="G1300" s="921"/>
      <c r="H1300" s="1277"/>
      <c r="I1300" s="921"/>
      <c r="J1300" s="1277"/>
      <c r="K1300" s="921"/>
      <c r="L1300" s="1277"/>
      <c r="M1300" s="1277"/>
      <c r="N1300" s="1277"/>
      <c r="O1300" s="1277"/>
      <c r="P1300" s="919"/>
      <c r="Q1300" s="919"/>
      <c r="R1300" s="1277"/>
      <c r="S1300" s="1277"/>
      <c r="T1300" s="1277"/>
      <c r="U1300" s="1277"/>
      <c r="V1300" s="1277"/>
      <c r="W1300" s="1277"/>
      <c r="X1300" s="1277"/>
    </row>
    <row r="1301" spans="7:24">
      <c r="G1301" s="921"/>
      <c r="H1301" s="1277"/>
      <c r="I1301" s="921"/>
      <c r="J1301" s="1277"/>
      <c r="K1301" s="921"/>
      <c r="L1301" s="1277"/>
      <c r="M1301" s="1277"/>
      <c r="N1301" s="1277"/>
      <c r="O1301" s="1277"/>
      <c r="P1301" s="919"/>
      <c r="Q1301" s="919"/>
      <c r="R1301" s="1277"/>
      <c r="S1301" s="1277"/>
      <c r="T1301" s="1277"/>
      <c r="U1301" s="1277"/>
      <c r="V1301" s="1277"/>
      <c r="W1301" s="1277"/>
      <c r="X1301" s="1277"/>
    </row>
    <row r="1302" spans="7:24">
      <c r="G1302" s="921"/>
      <c r="H1302" s="1277"/>
      <c r="I1302" s="921"/>
      <c r="J1302" s="1277"/>
      <c r="K1302" s="921"/>
      <c r="L1302" s="1277"/>
      <c r="M1302" s="1277"/>
      <c r="N1302" s="1277"/>
      <c r="O1302" s="1277"/>
      <c r="P1302" s="919"/>
      <c r="Q1302" s="919"/>
      <c r="R1302" s="1277"/>
      <c r="S1302" s="1277"/>
      <c r="T1302" s="1277"/>
      <c r="U1302" s="1277"/>
      <c r="V1302" s="1277"/>
      <c r="W1302" s="1277"/>
      <c r="X1302" s="1277"/>
    </row>
    <row r="1303" spans="7:24">
      <c r="G1303" s="921"/>
      <c r="H1303" s="1277"/>
      <c r="I1303" s="921"/>
      <c r="J1303" s="1277"/>
      <c r="K1303" s="921"/>
      <c r="L1303" s="1277"/>
      <c r="M1303" s="1277"/>
      <c r="N1303" s="1277"/>
      <c r="O1303" s="1277"/>
      <c r="P1303" s="919"/>
      <c r="Q1303" s="919"/>
      <c r="R1303" s="1277"/>
      <c r="S1303" s="1277"/>
      <c r="T1303" s="1277"/>
      <c r="U1303" s="1277"/>
      <c r="V1303" s="1277"/>
      <c r="W1303" s="1277"/>
      <c r="X1303" s="1277"/>
    </row>
    <row r="1304" spans="7:24">
      <c r="G1304" s="921"/>
      <c r="H1304" s="1277"/>
      <c r="I1304" s="921"/>
      <c r="J1304" s="1277"/>
      <c r="K1304" s="921"/>
      <c r="L1304" s="1277"/>
      <c r="M1304" s="1277"/>
      <c r="N1304" s="1277"/>
      <c r="O1304" s="1277"/>
      <c r="P1304" s="919"/>
      <c r="Q1304" s="919"/>
      <c r="R1304" s="1277"/>
      <c r="S1304" s="1277"/>
      <c r="T1304" s="1277"/>
      <c r="U1304" s="1277"/>
      <c r="V1304" s="1277"/>
      <c r="W1304" s="1277"/>
      <c r="X1304" s="1277"/>
    </row>
    <row r="1305" spans="7:24">
      <c r="G1305" s="921"/>
      <c r="H1305" s="1277"/>
      <c r="I1305" s="921"/>
      <c r="J1305" s="1277"/>
      <c r="K1305" s="921"/>
      <c r="L1305" s="1277"/>
      <c r="M1305" s="1277"/>
      <c r="N1305" s="1277"/>
      <c r="O1305" s="1277"/>
      <c r="P1305" s="919"/>
      <c r="Q1305" s="919"/>
      <c r="R1305" s="1277"/>
      <c r="S1305" s="1277"/>
      <c r="T1305" s="1277"/>
      <c r="U1305" s="1277"/>
      <c r="V1305" s="1277"/>
      <c r="W1305" s="1277"/>
      <c r="X1305" s="1277"/>
    </row>
    <row r="1306" spans="7:24">
      <c r="G1306" s="921"/>
      <c r="H1306" s="1277"/>
      <c r="I1306" s="921"/>
      <c r="J1306" s="1277"/>
      <c r="K1306" s="921"/>
      <c r="L1306" s="1277"/>
      <c r="M1306" s="1277"/>
      <c r="N1306" s="1277"/>
      <c r="O1306" s="1277"/>
      <c r="P1306" s="919"/>
      <c r="Q1306" s="919"/>
      <c r="R1306" s="1277"/>
      <c r="S1306" s="1277"/>
      <c r="T1306" s="1277"/>
      <c r="U1306" s="1277"/>
      <c r="V1306" s="1277"/>
      <c r="W1306" s="1277"/>
      <c r="X1306" s="1277"/>
    </row>
    <row r="1307" spans="7:24">
      <c r="G1307" s="921"/>
      <c r="H1307" s="1277"/>
      <c r="I1307" s="921"/>
      <c r="J1307" s="1277"/>
      <c r="K1307" s="921"/>
      <c r="L1307" s="1277"/>
      <c r="M1307" s="1277"/>
      <c r="N1307" s="1277"/>
      <c r="O1307" s="1277"/>
      <c r="P1307" s="919"/>
      <c r="Q1307" s="919"/>
      <c r="R1307" s="1277"/>
      <c r="S1307" s="1277"/>
      <c r="T1307" s="1277"/>
      <c r="U1307" s="1277"/>
      <c r="V1307" s="1277"/>
      <c r="W1307" s="1277"/>
      <c r="X1307" s="1277"/>
    </row>
    <row r="1308" spans="7:24">
      <c r="G1308" s="921"/>
      <c r="H1308" s="1277"/>
      <c r="I1308" s="921"/>
      <c r="J1308" s="1277"/>
      <c r="K1308" s="921"/>
      <c r="L1308" s="1277"/>
      <c r="M1308" s="1277"/>
      <c r="N1308" s="1277"/>
      <c r="O1308" s="1277"/>
      <c r="P1308" s="919"/>
      <c r="Q1308" s="919"/>
      <c r="R1308" s="1277"/>
      <c r="S1308" s="1277"/>
      <c r="T1308" s="1277"/>
      <c r="U1308" s="1277"/>
      <c r="V1308" s="1277"/>
      <c r="W1308" s="1277"/>
      <c r="X1308" s="1277"/>
    </row>
    <row r="1309" spans="7:24">
      <c r="G1309" s="921"/>
      <c r="H1309" s="1277"/>
      <c r="I1309" s="921"/>
      <c r="J1309" s="1277"/>
      <c r="K1309" s="921"/>
      <c r="L1309" s="1277"/>
      <c r="M1309" s="1277"/>
      <c r="N1309" s="1277"/>
      <c r="O1309" s="1277"/>
      <c r="P1309" s="919"/>
      <c r="Q1309" s="919"/>
      <c r="R1309" s="1277"/>
      <c r="S1309" s="1277"/>
      <c r="T1309" s="1277"/>
      <c r="U1309" s="1277"/>
      <c r="V1309" s="1277"/>
      <c r="W1309" s="1277"/>
      <c r="X1309" s="1277"/>
    </row>
    <row r="1310" spans="7:24">
      <c r="G1310" s="921"/>
      <c r="H1310" s="1277"/>
      <c r="I1310" s="921"/>
      <c r="J1310" s="1277"/>
      <c r="K1310" s="921"/>
      <c r="L1310" s="1277"/>
      <c r="M1310" s="1277"/>
      <c r="N1310" s="1277"/>
      <c r="O1310" s="1277"/>
      <c r="P1310" s="919"/>
      <c r="Q1310" s="919"/>
      <c r="R1310" s="1277"/>
      <c r="S1310" s="1277"/>
      <c r="T1310" s="1277"/>
      <c r="U1310" s="1277"/>
      <c r="V1310" s="1277"/>
      <c r="W1310" s="1277"/>
      <c r="X1310" s="1277"/>
    </row>
    <row r="1311" spans="7:24">
      <c r="G1311" s="921"/>
      <c r="H1311" s="1277"/>
      <c r="I1311" s="921"/>
      <c r="J1311" s="1277"/>
      <c r="K1311" s="921"/>
      <c r="L1311" s="1277"/>
      <c r="M1311" s="1277"/>
      <c r="N1311" s="1277"/>
      <c r="O1311" s="1277"/>
      <c r="P1311" s="919"/>
      <c r="Q1311" s="919"/>
      <c r="R1311" s="1277"/>
      <c r="S1311" s="1277"/>
      <c r="T1311" s="1277"/>
      <c r="U1311" s="1277"/>
      <c r="V1311" s="1277"/>
      <c r="W1311" s="1277"/>
      <c r="X1311" s="1277"/>
    </row>
    <row r="1312" spans="7:24">
      <c r="G1312" s="921"/>
      <c r="H1312" s="1277"/>
      <c r="I1312" s="921"/>
      <c r="J1312" s="1277"/>
      <c r="K1312" s="921"/>
      <c r="L1312" s="1277"/>
      <c r="M1312" s="1277"/>
      <c r="N1312" s="1277"/>
      <c r="O1312" s="1277"/>
      <c r="P1312" s="919"/>
      <c r="Q1312" s="919"/>
      <c r="R1312" s="1277"/>
      <c r="S1312" s="1277"/>
      <c r="T1312" s="1277"/>
      <c r="U1312" s="1277"/>
      <c r="V1312" s="1277"/>
      <c r="W1312" s="1277"/>
      <c r="X1312" s="1277"/>
    </row>
    <row r="1313" spans="7:24">
      <c r="G1313" s="921"/>
      <c r="H1313" s="1277"/>
      <c r="I1313" s="921"/>
      <c r="J1313" s="1277"/>
      <c r="K1313" s="921"/>
      <c r="L1313" s="1277"/>
      <c r="M1313" s="1277"/>
      <c r="N1313" s="1277"/>
      <c r="O1313" s="1277"/>
      <c r="P1313" s="919"/>
      <c r="Q1313" s="919"/>
      <c r="R1313" s="1277"/>
      <c r="S1313" s="1277"/>
      <c r="T1313" s="1277"/>
      <c r="U1313" s="1277"/>
      <c r="V1313" s="1277"/>
      <c r="W1313" s="1277"/>
      <c r="X1313" s="1277"/>
    </row>
    <row r="1314" spans="7:24">
      <c r="G1314" s="921"/>
      <c r="H1314" s="1277"/>
      <c r="I1314" s="921"/>
      <c r="J1314" s="1277"/>
      <c r="K1314" s="921"/>
      <c r="L1314" s="1277"/>
      <c r="M1314" s="1277"/>
      <c r="N1314" s="1277"/>
      <c r="O1314" s="1277"/>
      <c r="P1314" s="919"/>
      <c r="Q1314" s="919"/>
      <c r="R1314" s="1277"/>
      <c r="S1314" s="1277"/>
      <c r="T1314" s="1277"/>
      <c r="U1314" s="1277"/>
      <c r="V1314" s="1277"/>
      <c r="W1314" s="1277"/>
      <c r="X1314" s="1277"/>
    </row>
    <row r="1315" spans="7:24">
      <c r="G1315" s="921"/>
      <c r="H1315" s="1277"/>
      <c r="I1315" s="921"/>
      <c r="J1315" s="1277"/>
      <c r="K1315" s="921"/>
      <c r="L1315" s="1277"/>
      <c r="M1315" s="1277"/>
      <c r="N1315" s="1277"/>
      <c r="O1315" s="1277"/>
      <c r="P1315" s="919"/>
      <c r="Q1315" s="919"/>
      <c r="R1315" s="1277"/>
      <c r="S1315" s="1277"/>
      <c r="T1315" s="1277"/>
      <c r="U1315" s="1277"/>
      <c r="V1315" s="1277"/>
      <c r="W1315" s="1277"/>
      <c r="X1315" s="1277"/>
    </row>
    <row r="1316" spans="7:24">
      <c r="G1316" s="921"/>
      <c r="H1316" s="1277"/>
      <c r="I1316" s="921"/>
      <c r="J1316" s="1277"/>
      <c r="K1316" s="921"/>
      <c r="L1316" s="1277"/>
      <c r="M1316" s="1277"/>
      <c r="N1316" s="1277"/>
      <c r="O1316" s="1277"/>
      <c r="P1316" s="919"/>
      <c r="Q1316" s="919"/>
      <c r="R1316" s="1277"/>
      <c r="S1316" s="1277"/>
      <c r="T1316" s="1277"/>
      <c r="U1316" s="1277"/>
      <c r="V1316" s="1277"/>
      <c r="W1316" s="1277"/>
      <c r="X1316" s="1277"/>
    </row>
    <row r="1317" spans="7:24">
      <c r="G1317" s="921"/>
      <c r="H1317" s="1277"/>
      <c r="I1317" s="921"/>
      <c r="J1317" s="1277"/>
      <c r="K1317" s="921"/>
      <c r="L1317" s="1277"/>
      <c r="M1317" s="1277"/>
      <c r="N1317" s="1277"/>
      <c r="O1317" s="1277"/>
      <c r="P1317" s="919"/>
      <c r="Q1317" s="919"/>
      <c r="R1317" s="1277"/>
      <c r="S1317" s="1277"/>
      <c r="T1317" s="1277"/>
      <c r="U1317" s="1277"/>
      <c r="V1317" s="1277"/>
      <c r="W1317" s="1277"/>
      <c r="X1317" s="1277"/>
    </row>
    <row r="1318" spans="7:24">
      <c r="G1318" s="921"/>
      <c r="H1318" s="1277"/>
      <c r="I1318" s="921"/>
      <c r="J1318" s="1277"/>
      <c r="K1318" s="921"/>
      <c r="L1318" s="1277"/>
      <c r="M1318" s="1277"/>
      <c r="N1318" s="1277"/>
      <c r="O1318" s="1277"/>
      <c r="P1318" s="919"/>
      <c r="Q1318" s="919"/>
      <c r="R1318" s="1277"/>
      <c r="S1318" s="1277"/>
      <c r="T1318" s="1277"/>
      <c r="U1318" s="1277"/>
      <c r="V1318" s="1277"/>
      <c r="W1318" s="1277"/>
      <c r="X1318" s="1277"/>
    </row>
    <row r="1319" spans="7:24">
      <c r="G1319" s="921"/>
      <c r="H1319" s="1277"/>
      <c r="I1319" s="921"/>
      <c r="J1319" s="1277"/>
      <c r="K1319" s="921"/>
      <c r="L1319" s="1277"/>
      <c r="M1319" s="1277"/>
      <c r="N1319" s="1277"/>
      <c r="O1319" s="1277"/>
      <c r="P1319" s="919"/>
      <c r="Q1319" s="919"/>
      <c r="R1319" s="1277"/>
      <c r="S1319" s="1277"/>
      <c r="T1319" s="1277"/>
      <c r="U1319" s="1277"/>
      <c r="V1319" s="1277"/>
      <c r="W1319" s="1277"/>
      <c r="X1319" s="1277"/>
    </row>
    <row r="1320" spans="7:24">
      <c r="G1320" s="921"/>
      <c r="H1320" s="1277"/>
      <c r="I1320" s="921"/>
      <c r="J1320" s="1277"/>
      <c r="K1320" s="921"/>
      <c r="L1320" s="1277"/>
      <c r="M1320" s="1277"/>
      <c r="N1320" s="1277"/>
      <c r="O1320" s="1277"/>
      <c r="P1320" s="919"/>
      <c r="Q1320" s="919"/>
      <c r="R1320" s="1277"/>
      <c r="S1320" s="1277"/>
      <c r="T1320" s="1277"/>
      <c r="U1320" s="1277"/>
      <c r="V1320" s="1277"/>
      <c r="W1320" s="1277"/>
      <c r="X1320" s="1277"/>
    </row>
  </sheetData>
  <sheetProtection sheet="1" objects="1" scenarios="1"/>
  <customSheetViews>
    <customSheetView guid="{D1431318-1DB8-4C45-813B-5A8065DFC797}" showPageBreaks="1" showGridLines="0" zeroValues="0" printArea="1" view="pageBreakPreview">
      <selection activeCell="I42" sqref="I42"/>
      <rowBreaks count="1" manualBreakCount="1">
        <brk id="72" max="7" man="1"/>
      </rowBreaks>
      <pageMargins left="0.4" right="0.4" top="0.4" bottom="0.4" header="0.4" footer="0.5"/>
      <printOptions horizontalCentered="1"/>
      <pageSetup scale="61" fitToHeight="2" orientation="portrait" blackAndWhite="1" r:id="rId1"/>
      <headerFooter alignWithMargins="0"/>
    </customSheetView>
  </customSheetViews>
  <mergeCells count="122">
    <mergeCell ref="M51:N51"/>
    <mergeCell ref="O51:P51"/>
    <mergeCell ref="Q51:R51"/>
    <mergeCell ref="S51:U51"/>
    <mergeCell ref="I52:U52"/>
    <mergeCell ref="K49:L49"/>
    <mergeCell ref="M48:N48"/>
    <mergeCell ref="M49:N49"/>
    <mergeCell ref="O49:P49"/>
    <mergeCell ref="K51:L51"/>
    <mergeCell ref="I109:U109"/>
    <mergeCell ref="B99:U99"/>
    <mergeCell ref="I105:U105"/>
    <mergeCell ref="I107:U107"/>
    <mergeCell ref="L91:M91"/>
    <mergeCell ref="G85:T85"/>
    <mergeCell ref="G87:T87"/>
    <mergeCell ref="G89:T89"/>
    <mergeCell ref="L95:U95"/>
    <mergeCell ref="L97:U97"/>
    <mergeCell ref="B93:D97"/>
    <mergeCell ref="I101:U101"/>
    <mergeCell ref="I103:U103"/>
    <mergeCell ref="S91:T91"/>
    <mergeCell ref="L93:U93"/>
    <mergeCell ref="C111:U112"/>
    <mergeCell ref="C46:C47"/>
    <mergeCell ref="D46:H47"/>
    <mergeCell ref="I46:J47"/>
    <mergeCell ref="K46:L47"/>
    <mergeCell ref="M46:N47"/>
    <mergeCell ref="D48:H48"/>
    <mergeCell ref="I48:J48"/>
    <mergeCell ref="K48:L48"/>
    <mergeCell ref="S76:U76"/>
    <mergeCell ref="N74:O74"/>
    <mergeCell ref="S74:U74"/>
    <mergeCell ref="S55:U55"/>
    <mergeCell ref="S57:U57"/>
    <mergeCell ref="S59:U59"/>
    <mergeCell ref="N55:O55"/>
    <mergeCell ref="N57:O57"/>
    <mergeCell ref="N59:O59"/>
    <mergeCell ref="N61:O61"/>
    <mergeCell ref="F67:J67"/>
    <mergeCell ref="D52:H52"/>
    <mergeCell ref="S50:U50"/>
    <mergeCell ref="D51:H51"/>
    <mergeCell ref="I51:J51"/>
    <mergeCell ref="S79:U79"/>
    <mergeCell ref="B81:U81"/>
    <mergeCell ref="S67:T67"/>
    <mergeCell ref="N67:O67"/>
    <mergeCell ref="N70:O70"/>
    <mergeCell ref="S70:U70"/>
    <mergeCell ref="U1:V1"/>
    <mergeCell ref="G5:P5"/>
    <mergeCell ref="G7:P7"/>
    <mergeCell ref="G11:U11"/>
    <mergeCell ref="Q49:R49"/>
    <mergeCell ref="D50:H50"/>
    <mergeCell ref="I50:J50"/>
    <mergeCell ref="K50:L50"/>
    <mergeCell ref="M50:N50"/>
    <mergeCell ref="O50:P50"/>
    <mergeCell ref="Q50:R50"/>
    <mergeCell ref="D49:H49"/>
    <mergeCell ref="I49:J49"/>
    <mergeCell ref="S49:U49"/>
    <mergeCell ref="I34:U34"/>
    <mergeCell ref="N72:O72"/>
    <mergeCell ref="S72:U72"/>
    <mergeCell ref="G3:O3"/>
    <mergeCell ref="P3:R3"/>
    <mergeCell ref="S83:T83"/>
    <mergeCell ref="G83:O83"/>
    <mergeCell ref="N63:O63"/>
    <mergeCell ref="S63:U63"/>
    <mergeCell ref="N25:U25"/>
    <mergeCell ref="I25:J25"/>
    <mergeCell ref="D27:H30"/>
    <mergeCell ref="I32:U32"/>
    <mergeCell ref="S3:U3"/>
    <mergeCell ref="S5:U5"/>
    <mergeCell ref="S7:U7"/>
    <mergeCell ref="S30:U30"/>
    <mergeCell ref="J29:K29"/>
    <mergeCell ref="J27:K27"/>
    <mergeCell ref="J28:K28"/>
    <mergeCell ref="Q7:R7"/>
    <mergeCell ref="B15:U15"/>
    <mergeCell ref="G13:K13"/>
    <mergeCell ref="T21:U21"/>
    <mergeCell ref="J30:K30"/>
    <mergeCell ref="N65:O65"/>
    <mergeCell ref="S65:U65"/>
    <mergeCell ref="T23:U23"/>
    <mergeCell ref="N21:O21"/>
    <mergeCell ref="I21:J21"/>
    <mergeCell ref="N23:O23"/>
    <mergeCell ref="I23:J23"/>
    <mergeCell ref="Q5:R5"/>
    <mergeCell ref="Q13:R13"/>
    <mergeCell ref="T13:U13"/>
    <mergeCell ref="M13:O13"/>
    <mergeCell ref="M19:U19"/>
    <mergeCell ref="Q9:R9"/>
    <mergeCell ref="S9:U9"/>
    <mergeCell ref="G9:P9"/>
    <mergeCell ref="I36:U36"/>
    <mergeCell ref="I37:U37"/>
    <mergeCell ref="I40:J40"/>
    <mergeCell ref="S42:T42"/>
    <mergeCell ref="M42:N42"/>
    <mergeCell ref="I42:J42"/>
    <mergeCell ref="O46:P47"/>
    <mergeCell ref="Q46:R47"/>
    <mergeCell ref="O48:P48"/>
    <mergeCell ref="Q48:R48"/>
    <mergeCell ref="S46:U47"/>
    <mergeCell ref="S48:U48"/>
    <mergeCell ref="R40:U40"/>
  </mergeCells>
  <dataValidations count="3">
    <dataValidation type="list" allowBlank="1" showInputMessage="1" sqref="N70 N57 N61 N59 N55 N63">
      <formula1>YN</formula1>
    </dataValidation>
    <dataValidation type="list" allowBlank="1" showInputMessage="1" sqref="M19">
      <formula1>OtherEstabType</formula1>
    </dataValidation>
    <dataValidation allowBlank="1" showInputMessage="1" sqref="O48"/>
  </dataValidations>
  <printOptions horizontalCentered="1"/>
  <pageMargins left="0.4" right="0.4" top="1" bottom="0.4" header="0.4" footer="0.25"/>
  <pageSetup fitToHeight="2" orientation="portrait" blackAndWhite="1" r:id="rId2"/>
  <headerFooter>
    <oddHeader>&amp;L&amp;G&amp;C&amp;"Trebuchet MS,Regular"&amp;14Preliminary
Evaluation Worksheet&amp;R&amp;G</oddHeader>
    <firstHeader>&amp;L&amp;G&amp;C&amp;"Trebuchet MS,Regular"&amp;14OSTP Preliminary
Evaluation Worksheet&amp;R&amp;G</firstHeader>
    <firstFooter xml:space="preserve">&amp;C
</firstFooter>
  </headerFooter>
  <rowBreaks count="1" manualBreakCount="1">
    <brk id="53" max="16383" man="1"/>
  </rowBreaks>
  <drawing r:id="rId3"/>
  <legacyDrawing r:id="rId4"/>
  <legacyDrawingHF r:id="rId5"/>
  <mc:AlternateContent xmlns:mc="http://schemas.openxmlformats.org/markup-compatibility/2006">
    <mc:Choice Requires="x14">
      <controls>
        <mc:AlternateContent xmlns:mc="http://schemas.openxmlformats.org/markup-compatibility/2006">
          <mc:Choice Requires="x14">
            <control shapeId="2543246" r:id="rId6" name="Check Box 2702">
              <controlPr defaultSize="0" autoFill="0" autoLine="0" autoPict="0">
                <anchor moveWithCells="1" sizeWithCells="1">
                  <from>
                    <xdr:col>5</xdr:col>
                    <xdr:colOff>297180</xdr:colOff>
                    <xdr:row>17</xdr:row>
                    <xdr:rowOff>30480</xdr:rowOff>
                  </from>
                  <to>
                    <xdr:col>9</xdr:col>
                    <xdr:colOff>0</xdr:colOff>
                    <xdr:row>17</xdr:row>
                    <xdr:rowOff>220980</xdr:rowOff>
                  </to>
                </anchor>
              </controlPr>
            </control>
          </mc:Choice>
        </mc:AlternateContent>
        <mc:AlternateContent xmlns:mc="http://schemas.openxmlformats.org/markup-compatibility/2006">
          <mc:Choice Requires="x14">
            <control shapeId="2543247" r:id="rId7" name="Check Box 2703">
              <controlPr defaultSize="0" autoFill="0" autoLine="0" autoPict="0">
                <anchor moveWithCells="1" sizeWithCells="1">
                  <from>
                    <xdr:col>10</xdr:col>
                    <xdr:colOff>76200</xdr:colOff>
                    <xdr:row>17</xdr:row>
                    <xdr:rowOff>7620</xdr:rowOff>
                  </from>
                  <to>
                    <xdr:col>12</xdr:col>
                    <xdr:colOff>182880</xdr:colOff>
                    <xdr:row>17</xdr:row>
                    <xdr:rowOff>220980</xdr:rowOff>
                  </to>
                </anchor>
              </controlPr>
            </control>
          </mc:Choice>
        </mc:AlternateContent>
        <mc:AlternateContent xmlns:mc="http://schemas.openxmlformats.org/markup-compatibility/2006">
          <mc:Choice Requires="x14">
            <control shapeId="2543251" r:id="rId8" name="Check Box 2707">
              <controlPr defaultSize="0" autoFill="0" autoLine="0" autoPict="0">
                <anchor moveWithCells="1" sizeWithCells="1">
                  <from>
                    <xdr:col>5</xdr:col>
                    <xdr:colOff>38100</xdr:colOff>
                    <xdr:row>18</xdr:row>
                    <xdr:rowOff>30480</xdr:rowOff>
                  </from>
                  <to>
                    <xdr:col>7</xdr:col>
                    <xdr:colOff>38100</xdr:colOff>
                    <xdr:row>19</xdr:row>
                    <xdr:rowOff>0</xdr:rowOff>
                  </to>
                </anchor>
              </controlPr>
            </control>
          </mc:Choice>
        </mc:AlternateContent>
        <mc:AlternateContent xmlns:mc="http://schemas.openxmlformats.org/markup-compatibility/2006">
          <mc:Choice Requires="x14">
            <control shapeId="2543252" r:id="rId9" name="Check Box 2708">
              <controlPr defaultSize="0" autoFill="0" autoLine="0" autoPict="0">
                <anchor moveWithCells="1" sizeWithCells="1">
                  <from>
                    <xdr:col>7</xdr:col>
                    <xdr:colOff>228600</xdr:colOff>
                    <xdr:row>18</xdr:row>
                    <xdr:rowOff>7620</xdr:rowOff>
                  </from>
                  <to>
                    <xdr:col>11</xdr:col>
                    <xdr:colOff>144780</xdr:colOff>
                    <xdr:row>19</xdr:row>
                    <xdr:rowOff>7620</xdr:rowOff>
                  </to>
                </anchor>
              </controlPr>
            </control>
          </mc:Choice>
        </mc:AlternateContent>
        <mc:AlternateContent xmlns:mc="http://schemas.openxmlformats.org/markup-compatibility/2006">
          <mc:Choice Requires="x14">
            <control shapeId="2543258" r:id="rId10" name="Check Box 2714">
              <controlPr defaultSize="0" autoFill="0" autoLine="0" autoPict="0">
                <anchor moveWithCells="1" sizeWithCells="1">
                  <from>
                    <xdr:col>7</xdr:col>
                    <xdr:colOff>304800</xdr:colOff>
                    <xdr:row>25</xdr:row>
                    <xdr:rowOff>68580</xdr:rowOff>
                  </from>
                  <to>
                    <xdr:col>12</xdr:col>
                    <xdr:colOff>114300</xdr:colOff>
                    <xdr:row>27</xdr:row>
                    <xdr:rowOff>0</xdr:rowOff>
                  </to>
                </anchor>
              </controlPr>
            </control>
          </mc:Choice>
        </mc:AlternateContent>
        <mc:AlternateContent xmlns:mc="http://schemas.openxmlformats.org/markup-compatibility/2006">
          <mc:Choice Requires="x14">
            <control shapeId="2543260" r:id="rId11" name="Check Box 2716">
              <controlPr defaultSize="0" autoFill="0" autoLine="0" autoPict="0">
                <anchor moveWithCells="1" sizeWithCells="1">
                  <from>
                    <xdr:col>7</xdr:col>
                    <xdr:colOff>304800</xdr:colOff>
                    <xdr:row>28</xdr:row>
                    <xdr:rowOff>7620</xdr:rowOff>
                  </from>
                  <to>
                    <xdr:col>12</xdr:col>
                    <xdr:colOff>114300</xdr:colOff>
                    <xdr:row>29</xdr:row>
                    <xdr:rowOff>0</xdr:rowOff>
                  </to>
                </anchor>
              </controlPr>
            </control>
          </mc:Choice>
        </mc:AlternateContent>
        <mc:AlternateContent xmlns:mc="http://schemas.openxmlformats.org/markup-compatibility/2006">
          <mc:Choice Requires="x14">
            <control shapeId="2543261" r:id="rId12" name="Check Box 2717">
              <controlPr defaultSize="0" autoFill="0" autoLine="0" autoPict="0">
                <anchor moveWithCells="1" sizeWithCells="1">
                  <from>
                    <xdr:col>16</xdr:col>
                    <xdr:colOff>121920</xdr:colOff>
                    <xdr:row>27</xdr:row>
                    <xdr:rowOff>190500</xdr:rowOff>
                  </from>
                  <to>
                    <xdr:col>20</xdr:col>
                    <xdr:colOff>144780</xdr:colOff>
                    <xdr:row>29</xdr:row>
                    <xdr:rowOff>0</xdr:rowOff>
                  </to>
                </anchor>
              </controlPr>
            </control>
          </mc:Choice>
        </mc:AlternateContent>
        <mc:AlternateContent xmlns:mc="http://schemas.openxmlformats.org/markup-compatibility/2006">
          <mc:Choice Requires="x14">
            <control shapeId="2543262" r:id="rId13" name="Check Box 2718">
              <controlPr defaultSize="0" autoFill="0" autoLine="0" autoPict="0">
                <anchor moveWithCells="1" sizeWithCells="1">
                  <from>
                    <xdr:col>12</xdr:col>
                    <xdr:colOff>182880</xdr:colOff>
                    <xdr:row>27</xdr:row>
                    <xdr:rowOff>0</xdr:rowOff>
                  </from>
                  <to>
                    <xdr:col>15</xdr:col>
                    <xdr:colOff>106680</xdr:colOff>
                    <xdr:row>27</xdr:row>
                    <xdr:rowOff>190500</xdr:rowOff>
                  </to>
                </anchor>
              </controlPr>
            </control>
          </mc:Choice>
        </mc:AlternateContent>
        <mc:AlternateContent xmlns:mc="http://schemas.openxmlformats.org/markup-compatibility/2006">
          <mc:Choice Requires="x14">
            <control shapeId="2543263" r:id="rId14" name="Check Box 2719">
              <controlPr defaultSize="0" autoFill="0" autoLine="0" autoPict="0">
                <anchor moveWithCells="1" sizeWithCells="1">
                  <from>
                    <xdr:col>16</xdr:col>
                    <xdr:colOff>121920</xdr:colOff>
                    <xdr:row>26</xdr:row>
                    <xdr:rowOff>190500</xdr:rowOff>
                  </from>
                  <to>
                    <xdr:col>19</xdr:col>
                    <xdr:colOff>68580</xdr:colOff>
                    <xdr:row>27</xdr:row>
                    <xdr:rowOff>190500</xdr:rowOff>
                  </to>
                </anchor>
              </controlPr>
            </control>
          </mc:Choice>
        </mc:AlternateContent>
        <mc:AlternateContent xmlns:mc="http://schemas.openxmlformats.org/markup-compatibility/2006">
          <mc:Choice Requires="x14">
            <control shapeId="2543264" r:id="rId15" name="Check Box 2720">
              <controlPr defaultSize="0" autoFill="0" autoLine="0" autoPict="0">
                <anchor moveWithCells="1" sizeWithCells="1">
                  <from>
                    <xdr:col>12</xdr:col>
                    <xdr:colOff>182880</xdr:colOff>
                    <xdr:row>29</xdr:row>
                    <xdr:rowOff>0</xdr:rowOff>
                  </from>
                  <to>
                    <xdr:col>15</xdr:col>
                    <xdr:colOff>182880</xdr:colOff>
                    <xdr:row>29</xdr:row>
                    <xdr:rowOff>190500</xdr:rowOff>
                  </to>
                </anchor>
              </controlPr>
            </control>
          </mc:Choice>
        </mc:AlternateContent>
        <mc:AlternateContent xmlns:mc="http://schemas.openxmlformats.org/markup-compatibility/2006">
          <mc:Choice Requires="x14">
            <control shapeId="2543265" r:id="rId16" name="Check Box 2721">
              <controlPr defaultSize="0" autoFill="0" autoLine="0" autoPict="0">
                <anchor moveWithCells="1" sizeWithCells="1">
                  <from>
                    <xdr:col>16</xdr:col>
                    <xdr:colOff>121920</xdr:colOff>
                    <xdr:row>26</xdr:row>
                    <xdr:rowOff>0</xdr:rowOff>
                  </from>
                  <to>
                    <xdr:col>18</xdr:col>
                    <xdr:colOff>198120</xdr:colOff>
                    <xdr:row>26</xdr:row>
                    <xdr:rowOff>182880</xdr:rowOff>
                  </to>
                </anchor>
              </controlPr>
            </control>
          </mc:Choice>
        </mc:AlternateContent>
        <mc:AlternateContent xmlns:mc="http://schemas.openxmlformats.org/markup-compatibility/2006">
          <mc:Choice Requires="x14">
            <control shapeId="2543266" r:id="rId17" name="Check Box 2722">
              <controlPr defaultSize="0" autoFill="0" autoLine="0" autoPict="0">
                <anchor moveWithCells="1" sizeWithCells="1">
                  <from>
                    <xdr:col>12</xdr:col>
                    <xdr:colOff>182880</xdr:colOff>
                    <xdr:row>28</xdr:row>
                    <xdr:rowOff>7620</xdr:rowOff>
                  </from>
                  <to>
                    <xdr:col>14</xdr:col>
                    <xdr:colOff>152400</xdr:colOff>
                    <xdr:row>28</xdr:row>
                    <xdr:rowOff>190500</xdr:rowOff>
                  </to>
                </anchor>
              </controlPr>
            </control>
          </mc:Choice>
        </mc:AlternateContent>
        <mc:AlternateContent xmlns:mc="http://schemas.openxmlformats.org/markup-compatibility/2006">
          <mc:Choice Requires="x14">
            <control shapeId="2543300" r:id="rId18" name="Check Box 2756">
              <controlPr defaultSize="0" autoFill="0" autoLine="0" autoPict="0">
                <anchor moveWithCells="1" sizeWithCells="1">
                  <from>
                    <xdr:col>9</xdr:col>
                    <xdr:colOff>259080</xdr:colOff>
                    <xdr:row>74</xdr:row>
                    <xdr:rowOff>45720</xdr:rowOff>
                  </from>
                  <to>
                    <xdr:col>11</xdr:col>
                    <xdr:colOff>114300</xdr:colOff>
                    <xdr:row>76</xdr:row>
                    <xdr:rowOff>30480</xdr:rowOff>
                  </to>
                </anchor>
              </controlPr>
            </control>
          </mc:Choice>
        </mc:AlternateContent>
        <mc:AlternateContent xmlns:mc="http://schemas.openxmlformats.org/markup-compatibility/2006">
          <mc:Choice Requires="x14">
            <control shapeId="2543301" r:id="rId19" name="Check Box 2757">
              <controlPr defaultSize="0" autoFill="0" autoLine="0" autoPict="0">
                <anchor moveWithCells="1" sizeWithCells="1">
                  <from>
                    <xdr:col>14</xdr:col>
                    <xdr:colOff>220980</xdr:colOff>
                    <xdr:row>74</xdr:row>
                    <xdr:rowOff>38100</xdr:rowOff>
                  </from>
                  <to>
                    <xdr:col>16</xdr:col>
                    <xdr:colOff>0</xdr:colOff>
                    <xdr:row>76</xdr:row>
                    <xdr:rowOff>38100</xdr:rowOff>
                  </to>
                </anchor>
              </controlPr>
            </control>
          </mc:Choice>
        </mc:AlternateContent>
        <mc:AlternateContent xmlns:mc="http://schemas.openxmlformats.org/markup-compatibility/2006">
          <mc:Choice Requires="x14">
            <control shapeId="2543305" r:id="rId20" name="Check Box 2761">
              <controlPr defaultSize="0" autoFill="0" autoLine="0" autoPict="0">
                <anchor moveWithCells="1" sizeWithCells="1">
                  <from>
                    <xdr:col>12</xdr:col>
                    <xdr:colOff>0</xdr:colOff>
                    <xdr:row>77</xdr:row>
                    <xdr:rowOff>220980</xdr:rowOff>
                  </from>
                  <to>
                    <xdr:col>14</xdr:col>
                    <xdr:colOff>7620</xdr:colOff>
                    <xdr:row>79</xdr:row>
                    <xdr:rowOff>30480</xdr:rowOff>
                  </to>
                </anchor>
              </controlPr>
            </control>
          </mc:Choice>
        </mc:AlternateContent>
        <mc:AlternateContent xmlns:mc="http://schemas.openxmlformats.org/markup-compatibility/2006">
          <mc:Choice Requires="x14">
            <control shapeId="2543306" r:id="rId21" name="Check Box 2762">
              <controlPr defaultSize="0" autoFill="0" autoLine="0" autoPict="0">
                <anchor moveWithCells="1" sizeWithCells="1">
                  <from>
                    <xdr:col>16</xdr:col>
                    <xdr:colOff>160020</xdr:colOff>
                    <xdr:row>78</xdr:row>
                    <xdr:rowOff>30480</xdr:rowOff>
                  </from>
                  <to>
                    <xdr:col>18</xdr:col>
                    <xdr:colOff>83820</xdr:colOff>
                    <xdr:row>78</xdr:row>
                    <xdr:rowOff>198120</xdr:rowOff>
                  </to>
                </anchor>
              </controlPr>
            </control>
          </mc:Choice>
        </mc:AlternateContent>
        <mc:AlternateContent xmlns:mc="http://schemas.openxmlformats.org/markup-compatibility/2006">
          <mc:Choice Requires="x14">
            <control shapeId="2543307" r:id="rId22" name="Check Box 2763">
              <controlPr defaultSize="0" autoFill="0" autoLine="0" autoPict="0">
                <anchor moveWithCells="1" sizeWithCells="1">
                  <from>
                    <xdr:col>14</xdr:col>
                    <xdr:colOff>228600</xdr:colOff>
                    <xdr:row>78</xdr:row>
                    <xdr:rowOff>7620</xdr:rowOff>
                  </from>
                  <to>
                    <xdr:col>16</xdr:col>
                    <xdr:colOff>68580</xdr:colOff>
                    <xdr:row>79</xdr:row>
                    <xdr:rowOff>0</xdr:rowOff>
                  </to>
                </anchor>
              </controlPr>
            </control>
          </mc:Choice>
        </mc:AlternateContent>
        <mc:AlternateContent xmlns:mc="http://schemas.openxmlformats.org/markup-compatibility/2006">
          <mc:Choice Requires="x14">
            <control shapeId="2543308" r:id="rId23" name="Check Box 2764">
              <controlPr defaultSize="0" autoFill="0" autoLine="0" autoPict="0">
                <anchor moveWithCells="1" sizeWithCells="1">
                  <from>
                    <xdr:col>12</xdr:col>
                    <xdr:colOff>0</xdr:colOff>
                    <xdr:row>77</xdr:row>
                    <xdr:rowOff>0</xdr:rowOff>
                  </from>
                  <to>
                    <xdr:col>14</xdr:col>
                    <xdr:colOff>0</xdr:colOff>
                    <xdr:row>77</xdr:row>
                    <xdr:rowOff>220980</xdr:rowOff>
                  </to>
                </anchor>
              </controlPr>
            </control>
          </mc:Choice>
        </mc:AlternateContent>
        <mc:AlternateContent xmlns:mc="http://schemas.openxmlformats.org/markup-compatibility/2006">
          <mc:Choice Requires="x14">
            <control shapeId="2543309" r:id="rId24" name="Check Box 2765">
              <controlPr defaultSize="0" autoFill="0" autoLine="0" autoPict="0">
                <anchor moveWithCells="1" sizeWithCells="1">
                  <from>
                    <xdr:col>9</xdr:col>
                    <xdr:colOff>259080</xdr:colOff>
                    <xdr:row>77</xdr:row>
                    <xdr:rowOff>7620</xdr:rowOff>
                  </from>
                  <to>
                    <xdr:col>11</xdr:col>
                    <xdr:colOff>114300</xdr:colOff>
                    <xdr:row>77</xdr:row>
                    <xdr:rowOff>220980</xdr:rowOff>
                  </to>
                </anchor>
              </controlPr>
            </control>
          </mc:Choice>
        </mc:AlternateContent>
        <mc:AlternateContent xmlns:mc="http://schemas.openxmlformats.org/markup-compatibility/2006">
          <mc:Choice Requires="x14">
            <control shapeId="2543310" r:id="rId25" name="Check Box 2766">
              <controlPr defaultSize="0" autoFill="0" autoLine="0" autoPict="0">
                <anchor moveWithCells="1" sizeWithCells="1">
                  <from>
                    <xdr:col>14</xdr:col>
                    <xdr:colOff>220980</xdr:colOff>
                    <xdr:row>77</xdr:row>
                    <xdr:rowOff>7620</xdr:rowOff>
                  </from>
                  <to>
                    <xdr:col>16</xdr:col>
                    <xdr:colOff>220980</xdr:colOff>
                    <xdr:row>77</xdr:row>
                    <xdr:rowOff>220980</xdr:rowOff>
                  </to>
                </anchor>
              </controlPr>
            </control>
          </mc:Choice>
        </mc:AlternateContent>
        <mc:AlternateContent xmlns:mc="http://schemas.openxmlformats.org/markup-compatibility/2006">
          <mc:Choice Requires="x14">
            <control shapeId="2543331" r:id="rId26" name="Check Box 2787">
              <controlPr defaultSize="0" autoFill="0" autoLine="0" autoPict="0">
                <anchor moveWithCells="1" sizeWithCells="1">
                  <from>
                    <xdr:col>17</xdr:col>
                    <xdr:colOff>114300</xdr:colOff>
                    <xdr:row>17</xdr:row>
                    <xdr:rowOff>0</xdr:rowOff>
                  </from>
                  <to>
                    <xdr:col>19</xdr:col>
                    <xdr:colOff>160020</xdr:colOff>
                    <xdr:row>17</xdr:row>
                    <xdr:rowOff>220980</xdr:rowOff>
                  </to>
                </anchor>
              </controlPr>
            </control>
          </mc:Choice>
        </mc:AlternateContent>
        <mc:AlternateContent xmlns:mc="http://schemas.openxmlformats.org/markup-compatibility/2006">
          <mc:Choice Requires="x14">
            <control shapeId="2543334" r:id="rId27" name="Check Box 2790">
              <controlPr defaultSize="0" autoFill="0" autoLine="0" autoPict="0">
                <anchor moveWithCells="1" sizeWithCells="1">
                  <from>
                    <xdr:col>7</xdr:col>
                    <xdr:colOff>304800</xdr:colOff>
                    <xdr:row>29</xdr:row>
                    <xdr:rowOff>0</xdr:rowOff>
                  </from>
                  <to>
                    <xdr:col>12</xdr:col>
                    <xdr:colOff>83820</xdr:colOff>
                    <xdr:row>29</xdr:row>
                    <xdr:rowOff>190500</xdr:rowOff>
                  </to>
                </anchor>
              </controlPr>
            </control>
          </mc:Choice>
        </mc:AlternateContent>
        <mc:AlternateContent xmlns:mc="http://schemas.openxmlformats.org/markup-compatibility/2006">
          <mc:Choice Requires="x14">
            <control shapeId="2543335" r:id="rId28" name="Check Box 2791">
              <controlPr defaultSize="0" autoFill="0" autoLine="0" autoPict="0">
                <anchor moveWithCells="1" sizeWithCells="1">
                  <from>
                    <xdr:col>7</xdr:col>
                    <xdr:colOff>304800</xdr:colOff>
                    <xdr:row>27</xdr:row>
                    <xdr:rowOff>0</xdr:rowOff>
                  </from>
                  <to>
                    <xdr:col>12</xdr:col>
                    <xdr:colOff>114300</xdr:colOff>
                    <xdr:row>28</xdr:row>
                    <xdr:rowOff>0</xdr:rowOff>
                  </to>
                </anchor>
              </controlPr>
            </control>
          </mc:Choice>
        </mc:AlternateContent>
        <mc:AlternateContent xmlns:mc="http://schemas.openxmlformats.org/markup-compatibility/2006">
          <mc:Choice Requires="x14">
            <control shapeId="2543338" r:id="rId29" name="Check Box 2794">
              <controlPr defaultSize="0" autoFill="0" autoLine="0" autoPict="0">
                <anchor moveWithCells="1" sizeWithCells="1">
                  <from>
                    <xdr:col>16</xdr:col>
                    <xdr:colOff>121920</xdr:colOff>
                    <xdr:row>29</xdr:row>
                    <xdr:rowOff>0</xdr:rowOff>
                  </from>
                  <to>
                    <xdr:col>18</xdr:col>
                    <xdr:colOff>30480</xdr:colOff>
                    <xdr:row>29</xdr:row>
                    <xdr:rowOff>190500</xdr:rowOff>
                  </to>
                </anchor>
              </controlPr>
            </control>
          </mc:Choice>
        </mc:AlternateContent>
        <mc:AlternateContent xmlns:mc="http://schemas.openxmlformats.org/markup-compatibility/2006">
          <mc:Choice Requires="x14">
            <control shapeId="2543339" r:id="rId30" name="Check Box 2795">
              <controlPr defaultSize="0" autoFill="0" autoLine="0" autoPict="0">
                <anchor moveWithCells="1" sizeWithCells="1">
                  <from>
                    <xdr:col>12</xdr:col>
                    <xdr:colOff>182880</xdr:colOff>
                    <xdr:row>26</xdr:row>
                    <xdr:rowOff>0</xdr:rowOff>
                  </from>
                  <to>
                    <xdr:col>15</xdr:col>
                    <xdr:colOff>182880</xdr:colOff>
                    <xdr:row>27</xdr:row>
                    <xdr:rowOff>7620</xdr:rowOff>
                  </to>
                </anchor>
              </controlPr>
            </control>
          </mc:Choice>
        </mc:AlternateContent>
        <mc:AlternateContent xmlns:mc="http://schemas.openxmlformats.org/markup-compatibility/2006">
          <mc:Choice Requires="x14">
            <control shapeId="2543349" r:id="rId31" name="Check Box 2805">
              <controlPr defaultSize="0" autoFill="0" autoLine="0" autoPict="0">
                <anchor moveWithCells="1" sizeWithCells="1">
                  <from>
                    <xdr:col>9</xdr:col>
                    <xdr:colOff>259080</xdr:colOff>
                    <xdr:row>78</xdr:row>
                    <xdr:rowOff>38100</xdr:rowOff>
                  </from>
                  <to>
                    <xdr:col>11</xdr:col>
                    <xdr:colOff>259080</xdr:colOff>
                    <xdr:row>78</xdr:row>
                    <xdr:rowOff>198120</xdr:rowOff>
                  </to>
                </anchor>
              </controlPr>
            </control>
          </mc:Choice>
        </mc:AlternateContent>
        <mc:AlternateContent xmlns:mc="http://schemas.openxmlformats.org/markup-compatibility/2006">
          <mc:Choice Requires="x14">
            <control shapeId="2543351" r:id="rId32" name="Check Box 2807">
              <controlPr defaultSize="0" autoFill="0" autoLine="0" autoPict="0">
                <anchor moveWithCells="1" sizeWithCells="1">
                  <from>
                    <xdr:col>7</xdr:col>
                    <xdr:colOff>220980</xdr:colOff>
                    <xdr:row>74</xdr:row>
                    <xdr:rowOff>45720</xdr:rowOff>
                  </from>
                  <to>
                    <xdr:col>9</xdr:col>
                    <xdr:colOff>144780</xdr:colOff>
                    <xdr:row>76</xdr:row>
                    <xdr:rowOff>30480</xdr:rowOff>
                  </to>
                </anchor>
              </controlPr>
            </control>
          </mc:Choice>
        </mc:AlternateContent>
        <mc:AlternateContent xmlns:mc="http://schemas.openxmlformats.org/markup-compatibility/2006">
          <mc:Choice Requires="x14">
            <control shapeId="2543352" r:id="rId33" name="Check Box 2808">
              <controlPr defaultSize="0" autoFill="0" autoLine="0" autoPict="0">
                <anchor moveWithCells="1" sizeWithCells="1">
                  <from>
                    <xdr:col>12</xdr:col>
                    <xdr:colOff>0</xdr:colOff>
                    <xdr:row>74</xdr:row>
                    <xdr:rowOff>45720</xdr:rowOff>
                  </from>
                  <to>
                    <xdr:col>14</xdr:col>
                    <xdr:colOff>106680</xdr:colOff>
                    <xdr:row>76</xdr:row>
                    <xdr:rowOff>30480</xdr:rowOff>
                  </to>
                </anchor>
              </controlPr>
            </control>
          </mc:Choice>
        </mc:AlternateContent>
        <mc:AlternateContent xmlns:mc="http://schemas.openxmlformats.org/markup-compatibility/2006">
          <mc:Choice Requires="x14">
            <control shapeId="2543359" r:id="rId34" name="Check Box 2815">
              <controlPr defaultSize="0" autoFill="0" autoLine="0" autoPict="0">
                <anchor moveWithCells="1" sizeWithCells="1">
                  <from>
                    <xdr:col>16</xdr:col>
                    <xdr:colOff>160020</xdr:colOff>
                    <xdr:row>75</xdr:row>
                    <xdr:rowOff>0</xdr:rowOff>
                  </from>
                  <to>
                    <xdr:col>17</xdr:col>
                    <xdr:colOff>152400</xdr:colOff>
                    <xdr:row>76</xdr:row>
                    <xdr:rowOff>0</xdr:rowOff>
                  </to>
                </anchor>
              </controlPr>
            </control>
          </mc:Choice>
        </mc:AlternateContent>
        <mc:AlternateContent xmlns:mc="http://schemas.openxmlformats.org/markup-compatibility/2006">
          <mc:Choice Requires="x14">
            <control shapeId="2543364" r:id="rId35" name="Check Box 2820">
              <controlPr defaultSize="0" autoFill="0" autoLine="0" autoPict="0">
                <anchor moveWithCells="1" sizeWithCells="1">
                  <from>
                    <xdr:col>13</xdr:col>
                    <xdr:colOff>312420</xdr:colOff>
                    <xdr:row>17</xdr:row>
                    <xdr:rowOff>0</xdr:rowOff>
                  </from>
                  <to>
                    <xdr:col>16</xdr:col>
                    <xdr:colOff>30480</xdr:colOff>
                    <xdr:row>17</xdr:row>
                    <xdr:rowOff>220980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x14:formula1>
            <xm:f>'Drop-Down Lists'!$D$2:$D$10</xm:f>
          </x14:formula1>
          <xm:sqref>G87</xm:sqref>
        </x14:dataValidation>
        <x14:dataValidation type="list" allowBlank="1">
          <x14:formula1>
            <xm:f>'Drop-Down Lists'!$I$21:$I$29</xm:f>
          </x14:formula1>
          <xm:sqref>G89</xm:sqref>
        </x14:dataValidation>
        <x14:dataValidation type="list" allowBlank="1" showInputMessage="1">
          <x14:formula1>
            <xm:f>'Drop-Down Lists'!$H$30:$H$32</xm:f>
          </x14:formula1>
          <xm:sqref>I25</xm:sqref>
        </x14:dataValidation>
        <x14:dataValidation type="list" allowBlank="1">
          <x14:formula1>
            <xm:f>'Drop-Down Lists'!$J$74:$J$77</xm:f>
          </x14:formula1>
          <xm:sqref>R40</xm:sqref>
        </x14:dataValidation>
        <x14:dataValidation type="list" errorStyle="warning" allowBlank="1" showInputMessage="1" error="Use Ratings from Web Soil Survey">
          <x14:formula1>
            <xm:f>'Drop-Down Lists'!$N$2:$N$6</xm:f>
          </x14:formula1>
          <xm:sqref>L97:U97 L93:U93 L95:U95</xm:sqref>
        </x14:dataValidation>
        <x14:dataValidation type="list" errorStyle="information" allowBlank="1" showInputMessage="1" errorTitle="Shoreland Classification" error="Check Classification">
          <x14:formula1>
            <xm:f>'Drop-Down Lists'!$O$2:$O$12</xm:f>
          </x14:formula1>
          <xm:sqref>F67:J67</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indexed="55"/>
    <pageSetUpPr fitToPage="1"/>
  </sheetPr>
  <dimension ref="A1:AU90"/>
  <sheetViews>
    <sheetView showGridLines="0" view="pageBreakPreview" zoomScaleNormal="100" zoomScaleSheetLayoutView="100" workbookViewId="0">
      <selection activeCell="N4" sqref="N4:R4"/>
    </sheetView>
  </sheetViews>
  <sheetFormatPr defaultColWidth="6.44140625" defaultRowHeight="35.1" customHeight="1"/>
  <cols>
    <col min="1" max="1" width="3.44140625" style="22" customWidth="1"/>
    <col min="2" max="16" width="7.44140625" style="22" customWidth="1"/>
    <col min="17" max="20" width="7.44140625" style="23" customWidth="1"/>
    <col min="21" max="34" width="6.44140625" style="22" customWidth="1"/>
    <col min="35" max="16384" width="6.44140625" style="22"/>
  </cols>
  <sheetData>
    <row r="1" spans="1:47" ht="54.9" customHeight="1" thickBot="1">
      <c r="A1" s="1752"/>
      <c r="B1" s="468"/>
      <c r="C1" s="468"/>
      <c r="D1" s="468"/>
      <c r="E1" s="3598" t="s">
        <v>1756</v>
      </c>
      <c r="F1" s="3598"/>
      <c r="G1" s="3598"/>
      <c r="H1" s="3598"/>
      <c r="I1" s="3598"/>
      <c r="J1" s="3598"/>
      <c r="K1" s="3598"/>
      <c r="L1" s="3598"/>
      <c r="M1" s="3598"/>
      <c r="N1" s="3598"/>
      <c r="O1" s="3598"/>
      <c r="P1" s="3598"/>
      <c r="Q1" s="1178"/>
      <c r="R1" s="1178"/>
      <c r="S1" s="1178"/>
      <c r="T1" s="1178"/>
      <c r="V1" s="59"/>
      <c r="W1" s="25"/>
      <c r="X1" s="59"/>
      <c r="Y1" s="59"/>
      <c r="Z1" s="59"/>
      <c r="AA1" s="59"/>
      <c r="AB1" s="59"/>
      <c r="AC1" s="59"/>
      <c r="AD1" s="1187"/>
      <c r="AE1" s="1187"/>
      <c r="AF1" s="36"/>
      <c r="AG1" s="36"/>
      <c r="AH1" s="59"/>
      <c r="AI1" s="59"/>
      <c r="AJ1" s="59"/>
      <c r="AK1" s="59"/>
      <c r="AL1" s="59"/>
      <c r="AM1" s="59"/>
      <c r="AN1" s="59"/>
      <c r="AO1" s="42"/>
    </row>
    <row r="2" spans="1:47" ht="24" customHeight="1">
      <c r="A2" s="1442"/>
      <c r="B2" s="3702" t="s">
        <v>1062</v>
      </c>
      <c r="C2" s="3702"/>
      <c r="D2" s="3702"/>
      <c r="E2" s="3702"/>
      <c r="F2" s="3702"/>
      <c r="G2" s="3702"/>
      <c r="H2" s="3702"/>
      <c r="I2" s="3702"/>
      <c r="J2" s="3702"/>
      <c r="K2" s="3702"/>
      <c r="L2" s="3701" t="s">
        <v>1016</v>
      </c>
      <c r="M2" s="3701"/>
      <c r="N2" s="3703" t="str">
        <f>IF(ISBLANK(Summary!S3)," ",Summary!S3)</f>
        <v xml:space="preserve"> </v>
      </c>
      <c r="O2" s="3703"/>
      <c r="P2" s="2010"/>
      <c r="Q2" s="2010"/>
      <c r="R2" s="2010"/>
      <c r="S2" s="2010"/>
      <c r="T2" s="1443" t="str">
        <f>'Drop-Down Lists'!J40</f>
        <v>v 04.01.2021</v>
      </c>
      <c r="V2" s="1191"/>
      <c r="W2" s="59" t="s">
        <v>1083</v>
      </c>
      <c r="X2" s="11"/>
      <c r="Y2" s="11"/>
      <c r="Z2" s="11"/>
      <c r="AA2" s="11"/>
      <c r="AB2" s="11"/>
      <c r="AC2" s="11"/>
      <c r="AD2" s="11"/>
      <c r="AE2" s="11"/>
      <c r="AF2" s="11"/>
      <c r="AG2" s="11"/>
      <c r="AH2" s="59"/>
      <c r="AI2" s="59"/>
      <c r="AJ2" s="59"/>
      <c r="AK2" s="59"/>
      <c r="AL2" s="59"/>
      <c r="AM2" s="59"/>
      <c r="AN2" s="59"/>
      <c r="AO2" s="59"/>
      <c r="AT2" s="26"/>
      <c r="AU2" s="26"/>
    </row>
    <row r="3" spans="1:47" ht="6" customHeight="1">
      <c r="A3" s="1444"/>
      <c r="B3" s="147"/>
      <c r="C3" s="147"/>
      <c r="D3" s="147"/>
      <c r="E3" s="147"/>
      <c r="F3" s="147"/>
      <c r="G3" s="147"/>
      <c r="H3" s="147"/>
      <c r="I3" s="147" t="s">
        <v>826</v>
      </c>
      <c r="J3" s="147"/>
      <c r="K3" s="147"/>
      <c r="L3" s="147"/>
      <c r="M3" s="147"/>
      <c r="N3" s="147"/>
      <c r="O3" s="147"/>
      <c r="P3" s="147"/>
      <c r="Q3" s="147"/>
      <c r="R3" s="147"/>
      <c r="S3" s="147"/>
      <c r="T3" s="1445"/>
      <c r="AK3" s="11"/>
      <c r="AL3" s="6"/>
      <c r="AM3" s="6"/>
      <c r="AN3" s="6"/>
      <c r="AO3" s="6"/>
      <c r="AT3" s="26"/>
      <c r="AU3" s="26"/>
    </row>
    <row r="4" spans="1:47" ht="24" customHeight="1">
      <c r="A4" s="1446" t="s">
        <v>88</v>
      </c>
      <c r="B4" s="812" t="s">
        <v>147</v>
      </c>
      <c r="C4" s="822" t="s">
        <v>790</v>
      </c>
      <c r="D4" s="1925"/>
      <c r="E4" s="1925"/>
      <c r="F4" s="1925"/>
      <c r="G4" s="1925"/>
      <c r="H4" s="2000"/>
      <c r="I4" s="3234" t="str">
        <f>IF(ISBLANK(Summary!I11),"",Summary!I11)</f>
        <v xml:space="preserve"> </v>
      </c>
      <c r="J4" s="3255"/>
      <c r="K4" s="1925" t="s">
        <v>313</v>
      </c>
      <c r="L4" s="2003" t="s">
        <v>1818</v>
      </c>
      <c r="M4" s="2011"/>
      <c r="N4" s="3704"/>
      <c r="O4" s="3705"/>
      <c r="P4" s="3705"/>
      <c r="Q4" s="3705"/>
      <c r="R4" s="3706"/>
      <c r="S4" s="2011"/>
      <c r="T4" s="1448"/>
      <c r="V4" s="6" t="s">
        <v>147</v>
      </c>
      <c r="W4" s="11" t="s">
        <v>148</v>
      </c>
      <c r="X4" s="11"/>
      <c r="Y4" s="11"/>
      <c r="Z4" s="11"/>
      <c r="AA4" s="11"/>
      <c r="AB4" s="11"/>
      <c r="AK4" s="11"/>
      <c r="AL4" s="6"/>
      <c r="AM4" s="6"/>
      <c r="AN4" s="6"/>
      <c r="AO4" s="6"/>
      <c r="AT4" s="26"/>
      <c r="AU4" s="26"/>
    </row>
    <row r="5" spans="1:47" ht="6" customHeight="1">
      <c r="A5" s="1447"/>
      <c r="B5" s="2011"/>
      <c r="C5" s="2011"/>
      <c r="D5" s="2011"/>
      <c r="E5" s="2011"/>
      <c r="F5" s="2011"/>
      <c r="G5" s="2011"/>
      <c r="H5" s="2011"/>
      <c r="I5" s="2000"/>
      <c r="J5" s="2000"/>
      <c r="K5" s="2000"/>
      <c r="L5" s="2011"/>
      <c r="M5" s="2011"/>
      <c r="N5" s="2011"/>
      <c r="O5" s="2011"/>
      <c r="P5" s="2011"/>
      <c r="Q5" s="2011"/>
      <c r="R5" s="2011"/>
      <c r="S5" s="2011"/>
      <c r="T5" s="1448"/>
      <c r="AK5" s="25"/>
      <c r="AL5" s="29"/>
      <c r="AM5" s="29"/>
      <c r="AN5" s="29"/>
      <c r="AO5" s="29"/>
      <c r="AT5" s="26"/>
      <c r="AU5" s="26"/>
    </row>
    <row r="6" spans="1:47" ht="24" customHeight="1">
      <c r="A6" s="1447"/>
      <c r="B6" s="1991" t="s">
        <v>631</v>
      </c>
      <c r="C6" s="2003" t="s">
        <v>1386</v>
      </c>
      <c r="D6" s="2003"/>
      <c r="E6" s="2003"/>
      <c r="F6" s="2003"/>
      <c r="G6" s="2003"/>
      <c r="H6" s="2003"/>
      <c r="I6" s="3098"/>
      <c r="J6" s="3099"/>
      <c r="K6" s="2003" t="s">
        <v>741</v>
      </c>
      <c r="L6" s="2003" t="s">
        <v>1787</v>
      </c>
      <c r="M6" s="2000"/>
      <c r="N6" s="2003"/>
      <c r="O6" s="2003"/>
      <c r="P6" s="2003"/>
      <c r="Q6" s="2003"/>
      <c r="R6" s="3098"/>
      <c r="S6" s="3099"/>
      <c r="T6" s="1755" t="s">
        <v>741</v>
      </c>
      <c r="U6" s="25"/>
      <c r="W6" s="3724"/>
      <c r="X6" s="3725"/>
      <c r="Y6" s="11" t="s">
        <v>92</v>
      </c>
      <c r="Z6" s="99" t="s">
        <v>101</v>
      </c>
      <c r="AA6" s="3724"/>
      <c r="AB6" s="3725"/>
      <c r="AC6" s="6" t="s">
        <v>92</v>
      </c>
      <c r="AD6" s="99" t="s">
        <v>102</v>
      </c>
      <c r="AE6" s="3347" t="str">
        <f>IF(ISBLANK(W6), " ", (W6*AA6))</f>
        <v xml:space="preserve"> </v>
      </c>
      <c r="AF6" s="3348"/>
      <c r="AG6" s="11" t="s">
        <v>22</v>
      </c>
      <c r="AK6" s="11"/>
      <c r="AL6" s="6"/>
      <c r="AM6" s="6"/>
      <c r="AN6" s="6"/>
      <c r="AO6" s="6"/>
      <c r="AT6" s="26"/>
      <c r="AU6" s="26"/>
    </row>
    <row r="7" spans="1:47" s="1257" customFormat="1" ht="6" customHeight="1">
      <c r="A7" s="1465"/>
      <c r="B7" s="2012"/>
      <c r="C7" s="1189"/>
      <c r="D7" s="1189"/>
      <c r="E7" s="1189"/>
      <c r="F7" s="1189"/>
      <c r="G7" s="1189"/>
      <c r="H7" s="1189"/>
      <c r="I7" s="1260"/>
      <c r="J7" s="1260"/>
      <c r="K7" s="1189"/>
      <c r="L7" s="1189"/>
      <c r="M7" s="1986"/>
      <c r="N7" s="1189"/>
      <c r="O7" s="1189"/>
      <c r="P7" s="1189"/>
      <c r="Q7" s="1189"/>
      <c r="R7" s="1260"/>
      <c r="S7" s="1260"/>
      <c r="T7" s="1466"/>
      <c r="U7" s="1189"/>
      <c r="AK7" s="809"/>
      <c r="AL7" s="1411"/>
      <c r="AM7" s="1411"/>
      <c r="AN7" s="1411"/>
      <c r="AO7" s="1411"/>
      <c r="AT7" s="1259"/>
      <c r="AU7" s="1259"/>
    </row>
    <row r="8" spans="1:47" ht="6" customHeight="1">
      <c r="A8" s="1444"/>
      <c r="B8" s="147"/>
      <c r="C8" s="147"/>
      <c r="D8" s="147"/>
      <c r="E8" s="147"/>
      <c r="F8" s="147"/>
      <c r="G8" s="147"/>
      <c r="H8" s="147"/>
      <c r="I8" s="74"/>
      <c r="J8" s="74"/>
      <c r="K8" s="74"/>
      <c r="L8" s="147"/>
      <c r="M8" s="147"/>
      <c r="N8" s="147"/>
      <c r="O8" s="147"/>
      <c r="P8" s="147"/>
      <c r="Q8" s="147"/>
      <c r="R8" s="147"/>
      <c r="S8" s="147"/>
      <c r="T8" s="1445"/>
      <c r="AK8" s="11"/>
      <c r="AL8" s="6"/>
      <c r="AM8" s="6"/>
      <c r="AN8" s="6"/>
      <c r="AO8" s="6"/>
      <c r="AT8" s="26"/>
      <c r="AU8" s="26"/>
    </row>
    <row r="9" spans="1:47" ht="24" customHeight="1">
      <c r="A9" s="1449" t="s">
        <v>89</v>
      </c>
      <c r="B9" s="1995" t="s">
        <v>147</v>
      </c>
      <c r="C9" s="2000" t="s">
        <v>961</v>
      </c>
      <c r="D9" s="57"/>
      <c r="E9" s="1991"/>
      <c r="F9" s="3098"/>
      <c r="G9" s="3712"/>
      <c r="H9" s="3712"/>
      <c r="I9" s="3712"/>
      <c r="J9" s="3099"/>
      <c r="K9" s="1995" t="s">
        <v>631</v>
      </c>
      <c r="L9" s="2000" t="s">
        <v>962</v>
      </c>
      <c r="M9" s="57"/>
      <c r="N9" s="3100"/>
      <c r="O9" s="3112"/>
      <c r="P9" s="3112"/>
      <c r="Q9" s="3112"/>
      <c r="R9" s="3101"/>
      <c r="S9" s="1995"/>
      <c r="T9" s="1450"/>
      <c r="V9" s="6" t="s">
        <v>631</v>
      </c>
      <c r="W9" s="11" t="s">
        <v>662</v>
      </c>
      <c r="X9" s="11"/>
      <c r="Y9" s="11"/>
      <c r="Z9" s="11"/>
      <c r="AA9" s="11"/>
      <c r="AB9" s="11"/>
      <c r="AK9" s="712"/>
      <c r="AL9" s="712"/>
      <c r="AM9" s="712"/>
      <c r="AN9" s="712"/>
      <c r="AO9" s="6"/>
      <c r="AT9" s="26"/>
      <c r="AU9" s="26"/>
    </row>
    <row r="10" spans="1:47" ht="6" customHeight="1">
      <c r="A10" s="1451"/>
      <c r="B10" s="1995"/>
      <c r="C10" s="2000"/>
      <c r="D10" s="57"/>
      <c r="E10" s="1991"/>
      <c r="F10" s="55"/>
      <c r="G10" s="55"/>
      <c r="H10" s="92"/>
      <c r="I10" s="2003"/>
      <c r="J10" s="1991"/>
      <c r="K10" s="55"/>
      <c r="L10" s="55"/>
      <c r="M10" s="1995"/>
      <c r="N10" s="849"/>
      <c r="O10" s="849"/>
      <c r="P10" s="508"/>
      <c r="Q10" s="508"/>
      <c r="R10" s="508"/>
      <c r="S10" s="508"/>
      <c r="T10" s="1452"/>
      <c r="AK10" s="712"/>
      <c r="AL10" s="712"/>
      <c r="AM10" s="712"/>
      <c r="AN10" s="712"/>
      <c r="AO10" s="6"/>
      <c r="AT10" s="26"/>
      <c r="AU10" s="26"/>
    </row>
    <row r="11" spans="1:47" ht="24" customHeight="1">
      <c r="A11" s="1451"/>
      <c r="B11" s="1995" t="s">
        <v>149</v>
      </c>
      <c r="C11" s="2000" t="s">
        <v>1084</v>
      </c>
      <c r="D11" s="2000"/>
      <c r="E11" s="2000"/>
      <c r="F11" s="2000"/>
      <c r="G11" s="2000"/>
      <c r="H11" s="2000"/>
      <c r="I11" s="3098"/>
      <c r="J11" s="3581"/>
      <c r="K11" s="2000" t="s">
        <v>96</v>
      </c>
      <c r="L11" s="2000"/>
      <c r="M11" s="2000"/>
      <c r="N11" s="3798" t="s">
        <v>1085</v>
      </c>
      <c r="O11" s="3798"/>
      <c r="P11" s="3798"/>
      <c r="Q11" s="3798"/>
      <c r="R11" s="3798"/>
      <c r="S11" s="3798"/>
      <c r="T11" s="3799"/>
      <c r="W11" s="11"/>
      <c r="X11" s="99" t="s">
        <v>288</v>
      </c>
      <c r="Y11" s="11"/>
      <c r="Z11" s="3724"/>
      <c r="AA11" s="3725"/>
      <c r="AB11" s="485">
        <v>2</v>
      </c>
      <c r="AC11" s="11" t="s">
        <v>92</v>
      </c>
      <c r="AD11" s="99" t="s">
        <v>102</v>
      </c>
      <c r="AE11" s="3347" t="str">
        <f>IF(ISBLANK(Z11)," ",PI()*Z11*Z11)</f>
        <v xml:space="preserve"> </v>
      </c>
      <c r="AF11" s="3348"/>
      <c r="AG11" s="11" t="s">
        <v>22</v>
      </c>
      <c r="AK11" s="11"/>
      <c r="AL11" s="11"/>
      <c r="AM11" s="11"/>
      <c r="AN11" s="11"/>
      <c r="AO11" s="11"/>
      <c r="AT11" s="26"/>
      <c r="AU11" s="26"/>
    </row>
    <row r="12" spans="1:47" ht="6" customHeight="1">
      <c r="A12" s="1453"/>
      <c r="B12" s="1991"/>
      <c r="C12" s="2003"/>
      <c r="D12" s="2003"/>
      <c r="E12" s="2003"/>
      <c r="F12" s="2003"/>
      <c r="G12" s="2003"/>
      <c r="H12" s="2003"/>
      <c r="I12" s="151"/>
      <c r="J12" s="151"/>
      <c r="K12" s="151"/>
      <c r="L12" s="2000"/>
      <c r="M12" s="2000"/>
      <c r="N12" s="3798"/>
      <c r="O12" s="3798"/>
      <c r="P12" s="3798"/>
      <c r="Q12" s="3798"/>
      <c r="R12" s="3798"/>
      <c r="S12" s="3798"/>
      <c r="T12" s="3799"/>
      <c r="V12" s="1191"/>
      <c r="AD12" s="11"/>
      <c r="AE12" s="11"/>
      <c r="AF12" s="11"/>
      <c r="AG12" s="11"/>
      <c r="AH12" s="11"/>
      <c r="AI12" s="11"/>
      <c r="AJ12" s="11"/>
      <c r="AK12" s="29"/>
      <c r="AL12" s="29"/>
      <c r="AM12" s="29"/>
      <c r="AN12" s="29"/>
      <c r="AO12" s="29"/>
      <c r="AT12" s="26"/>
    </row>
    <row r="13" spans="1:47" s="48" customFormat="1" ht="24" customHeight="1">
      <c r="A13" s="1453"/>
      <c r="B13" s="1991" t="s">
        <v>588</v>
      </c>
      <c r="C13" s="2003" t="s">
        <v>1066</v>
      </c>
      <c r="D13" s="2003"/>
      <c r="E13" s="2003"/>
      <c r="F13" s="2003"/>
      <c r="G13" s="2003"/>
      <c r="H13" s="151"/>
      <c r="I13" s="3583"/>
      <c r="J13" s="3673"/>
      <c r="K13" s="2000" t="s">
        <v>702</v>
      </c>
      <c r="L13" s="2003"/>
      <c r="M13" s="2003"/>
      <c r="N13" s="3798"/>
      <c r="O13" s="3798"/>
      <c r="P13" s="3798"/>
      <c r="Q13" s="3798"/>
      <c r="R13" s="3798"/>
      <c r="S13" s="3798"/>
      <c r="T13" s="3799"/>
      <c r="V13" s="6" t="s">
        <v>149</v>
      </c>
      <c r="W13" s="3562" t="s">
        <v>1388</v>
      </c>
      <c r="X13" s="3562"/>
      <c r="Y13" s="3562"/>
      <c r="Z13" s="3562"/>
      <c r="AA13" s="3562"/>
      <c r="AB13" s="3562"/>
      <c r="AC13" s="3562"/>
      <c r="AD13" s="3562"/>
      <c r="AE13" s="3562"/>
      <c r="AF13" s="3562"/>
      <c r="AG13" s="3562"/>
      <c r="AH13" s="3562"/>
      <c r="AI13" s="3562"/>
      <c r="AJ13" s="3562"/>
      <c r="AK13" s="3562"/>
      <c r="AL13" s="25"/>
      <c r="AM13" s="25"/>
      <c r="AN13" s="42"/>
      <c r="AO13" s="11"/>
      <c r="AP13" s="22"/>
      <c r="AQ13" s="22"/>
      <c r="AT13" s="26"/>
    </row>
    <row r="14" spans="1:47" ht="6" customHeight="1">
      <c r="A14" s="848"/>
      <c r="B14" s="2000"/>
      <c r="C14" s="2000"/>
      <c r="D14" s="2000"/>
      <c r="E14" s="2000"/>
      <c r="F14" s="2000"/>
      <c r="G14" s="2000"/>
      <c r="H14" s="2000"/>
      <c r="I14" s="2000"/>
      <c r="J14" s="2000"/>
      <c r="K14" s="2000"/>
      <c r="L14" s="2000"/>
      <c r="M14" s="2000"/>
      <c r="N14" s="3798"/>
      <c r="O14" s="3798"/>
      <c r="P14" s="3798"/>
      <c r="Q14" s="3798"/>
      <c r="R14" s="3798"/>
      <c r="S14" s="3798"/>
      <c r="T14" s="3799"/>
      <c r="V14" s="29"/>
      <c r="W14" s="3562"/>
      <c r="X14" s="3562"/>
      <c r="Y14" s="3562"/>
      <c r="Z14" s="3562"/>
      <c r="AA14" s="3562"/>
      <c r="AB14" s="3562"/>
      <c r="AC14" s="3562"/>
      <c r="AD14" s="3562"/>
      <c r="AE14" s="3562"/>
      <c r="AF14" s="3562"/>
      <c r="AG14" s="3562"/>
      <c r="AH14" s="3562"/>
      <c r="AI14" s="3562"/>
      <c r="AJ14" s="3562"/>
      <c r="AK14" s="3562"/>
      <c r="AL14" s="29"/>
      <c r="AM14" s="29"/>
      <c r="AN14" s="29"/>
      <c r="AO14" s="29"/>
      <c r="AT14" s="26"/>
    </row>
    <row r="15" spans="1:47" ht="24" customHeight="1">
      <c r="A15" s="1453"/>
      <c r="B15" s="1991" t="s">
        <v>589</v>
      </c>
      <c r="C15" s="2003" t="s">
        <v>1067</v>
      </c>
      <c r="D15" s="2003"/>
      <c r="E15" s="2003"/>
      <c r="F15" s="2003"/>
      <c r="G15" s="2003"/>
      <c r="H15" s="151"/>
      <c r="I15" s="3583"/>
      <c r="J15" s="3673"/>
      <c r="K15" s="2000" t="s">
        <v>640</v>
      </c>
      <c r="L15" s="2000"/>
      <c r="M15" s="2000"/>
      <c r="N15" s="3798"/>
      <c r="O15" s="3798"/>
      <c r="P15" s="3798"/>
      <c r="Q15" s="3798"/>
      <c r="R15" s="3798"/>
      <c r="S15" s="3798"/>
      <c r="T15" s="3799"/>
      <c r="V15" s="6"/>
      <c r="W15" s="3724"/>
      <c r="X15" s="3725"/>
      <c r="Y15" s="6" t="s">
        <v>22</v>
      </c>
      <c r="Z15" s="99" t="s">
        <v>16</v>
      </c>
      <c r="AA15" s="4" t="s">
        <v>1387</v>
      </c>
      <c r="AB15" s="98"/>
      <c r="AC15" s="161"/>
      <c r="AD15" s="161"/>
      <c r="AE15" s="99" t="s">
        <v>102</v>
      </c>
      <c r="AF15" s="3347" t="str">
        <f>IF(ISBLANK(W15)," ",W15*7.5/12)</f>
        <v xml:space="preserve"> </v>
      </c>
      <c r="AG15" s="3348"/>
      <c r="AH15" s="11" t="s">
        <v>702</v>
      </c>
      <c r="AI15" s="11"/>
      <c r="AJ15" s="11"/>
      <c r="AK15" s="6"/>
      <c r="AL15" s="29"/>
      <c r="AM15" s="29"/>
      <c r="AN15" s="29"/>
      <c r="AO15" s="29"/>
      <c r="AT15" s="26"/>
    </row>
    <row r="16" spans="1:47" ht="6" customHeight="1">
      <c r="A16" s="1454"/>
      <c r="B16" s="103"/>
      <c r="C16" s="103"/>
      <c r="D16" s="103"/>
      <c r="E16" s="103"/>
      <c r="F16" s="103"/>
      <c r="G16" s="103"/>
      <c r="H16" s="103"/>
      <c r="I16" s="103"/>
      <c r="J16" s="103"/>
      <c r="K16" s="103"/>
      <c r="L16" s="103"/>
      <c r="M16" s="103"/>
      <c r="N16" s="103"/>
      <c r="O16" s="103"/>
      <c r="P16" s="103"/>
      <c r="Q16" s="2005"/>
      <c r="R16" s="2005"/>
      <c r="S16" s="2005"/>
      <c r="T16" s="1455"/>
      <c r="V16" s="6"/>
      <c r="W16" s="6"/>
      <c r="AI16" s="11"/>
      <c r="AJ16" s="11"/>
      <c r="AK16" s="11"/>
      <c r="AL16" s="11"/>
      <c r="AM16" s="11"/>
      <c r="AN16" s="11"/>
      <c r="AO16" s="11"/>
      <c r="AT16" s="26"/>
    </row>
    <row r="17" spans="1:46" ht="24" customHeight="1">
      <c r="A17" s="3709" t="s">
        <v>1063</v>
      </c>
      <c r="B17" s="3710"/>
      <c r="C17" s="3710"/>
      <c r="D17" s="3710"/>
      <c r="E17" s="3710"/>
      <c r="F17" s="3710"/>
      <c r="G17" s="3710"/>
      <c r="H17" s="3710"/>
      <c r="I17" s="3710"/>
      <c r="J17" s="3710"/>
      <c r="K17" s="3710"/>
      <c r="L17" s="3710"/>
      <c r="M17" s="3710"/>
      <c r="N17" s="3710"/>
      <c r="O17" s="3710"/>
      <c r="P17" s="3710"/>
      <c r="Q17" s="3710"/>
      <c r="R17" s="3710"/>
      <c r="S17" s="3710"/>
      <c r="T17" s="3711"/>
      <c r="V17" s="6" t="s">
        <v>588</v>
      </c>
      <c r="W17" s="11" t="s">
        <v>615</v>
      </c>
      <c r="X17" s="11"/>
      <c r="Y17" s="11"/>
      <c r="Z17" s="11"/>
      <c r="AA17" s="55"/>
      <c r="AB17" s="55"/>
      <c r="AC17" s="92"/>
      <c r="AD17" s="25"/>
      <c r="AE17" s="29"/>
      <c r="AF17" s="55"/>
      <c r="AG17" s="55"/>
      <c r="AH17" s="6"/>
      <c r="AI17" s="11"/>
      <c r="AJ17" s="11"/>
      <c r="AK17" s="11"/>
      <c r="AL17" s="6"/>
      <c r="AM17" s="6"/>
      <c r="AN17" s="6"/>
      <c r="AO17" s="6"/>
      <c r="AT17" s="26"/>
    </row>
    <row r="18" spans="1:46" ht="18" customHeight="1">
      <c r="A18" s="1456">
        <v>3</v>
      </c>
      <c r="B18" s="3562" t="s">
        <v>264</v>
      </c>
      <c r="C18" s="3562"/>
      <c r="D18" s="3562"/>
      <c r="E18" s="3562"/>
      <c r="F18" s="3562"/>
      <c r="G18" s="3562"/>
      <c r="H18" s="3562"/>
      <c r="I18" s="3562"/>
      <c r="J18" s="3562"/>
      <c r="K18" s="3562"/>
      <c r="L18" s="3562"/>
      <c r="M18" s="3562"/>
      <c r="N18" s="3562"/>
      <c r="O18" s="3562"/>
      <c r="P18" s="3562"/>
      <c r="Q18" s="3562"/>
      <c r="R18" s="3562"/>
      <c r="S18" s="3562"/>
      <c r="T18" s="1242"/>
      <c r="V18" s="12"/>
      <c r="W18" s="10" t="s">
        <v>616</v>
      </c>
      <c r="X18" s="11"/>
      <c r="Y18" s="11"/>
      <c r="Z18" s="11"/>
      <c r="AA18" s="11"/>
      <c r="AB18" s="11"/>
      <c r="AC18" s="11"/>
      <c r="AD18" s="11"/>
      <c r="AE18" s="11"/>
      <c r="AF18" s="3728"/>
      <c r="AG18" s="3729"/>
      <c r="AH18" s="11" t="s">
        <v>94</v>
      </c>
      <c r="AT18" s="26"/>
    </row>
    <row r="19" spans="1:46" ht="18" customHeight="1">
      <c r="A19" s="1451"/>
      <c r="B19" s="3562"/>
      <c r="C19" s="3562"/>
      <c r="D19" s="3562"/>
      <c r="E19" s="3562"/>
      <c r="F19" s="3562"/>
      <c r="G19" s="3562"/>
      <c r="H19" s="3562"/>
      <c r="I19" s="3562"/>
      <c r="J19" s="3562"/>
      <c r="K19" s="3562"/>
      <c r="L19" s="3562"/>
      <c r="M19" s="3562"/>
      <c r="N19" s="3562"/>
      <c r="O19" s="3562"/>
      <c r="P19" s="3562"/>
      <c r="Q19" s="3562"/>
      <c r="R19" s="3562"/>
      <c r="S19" s="3562"/>
      <c r="T19" s="1242"/>
      <c r="V19" s="11"/>
      <c r="W19" s="10" t="s">
        <v>617</v>
      </c>
      <c r="X19" s="11"/>
      <c r="Y19" s="11"/>
      <c r="Z19" s="11"/>
      <c r="AA19" s="11"/>
      <c r="AB19" s="11"/>
      <c r="AC19" s="11"/>
      <c r="AD19" s="6"/>
      <c r="AE19" s="6"/>
      <c r="AF19" s="11"/>
      <c r="AG19" s="11"/>
      <c r="AH19" s="4"/>
      <c r="AI19" s="4"/>
      <c r="AJ19" s="4"/>
      <c r="AT19" s="26"/>
    </row>
    <row r="20" spans="1:46" s="48" customFormat="1" ht="18" customHeight="1">
      <c r="A20" s="1451"/>
      <c r="B20" s="2000" t="s">
        <v>1916</v>
      </c>
      <c r="C20" s="2000"/>
      <c r="D20" s="2000"/>
      <c r="E20" s="2000"/>
      <c r="F20" s="2000"/>
      <c r="G20" s="2000"/>
      <c r="H20" s="2000"/>
      <c r="I20" s="2000"/>
      <c r="J20" s="2000"/>
      <c r="K20" s="2000"/>
      <c r="L20" s="2000"/>
      <c r="M20" s="2000"/>
      <c r="N20" s="2000"/>
      <c r="O20" s="2000"/>
      <c r="P20" s="2000"/>
      <c r="Q20" s="2000"/>
      <c r="R20" s="2000"/>
      <c r="S20" s="2000"/>
      <c r="T20" s="1242"/>
      <c r="V20" s="11"/>
      <c r="W20" s="3385" t="str">
        <f>IF(ISBLANK(AF18)," ",(AF18))</f>
        <v xml:space="preserve"> </v>
      </c>
      <c r="X20" s="3351"/>
      <c r="Y20" s="6" t="s">
        <v>94</v>
      </c>
      <c r="Z20" s="99" t="s">
        <v>101</v>
      </c>
      <c r="AA20" s="3347">
        <f>IF(ISBLANK(AF15),"",MAX(I13,AF15))</f>
        <v>0</v>
      </c>
      <c r="AB20" s="3348"/>
      <c r="AC20" s="11" t="s">
        <v>1389</v>
      </c>
      <c r="AD20" s="11"/>
      <c r="AE20" s="11"/>
      <c r="AF20" s="3347" t="str">
        <f>IF(ISBLANK(AF18)," ",(W20*AA20))</f>
        <v xml:space="preserve"> </v>
      </c>
      <c r="AG20" s="3348"/>
      <c r="AH20" s="11" t="s">
        <v>96</v>
      </c>
      <c r="AT20" s="26"/>
    </row>
    <row r="21" spans="1:46" ht="24" customHeight="1">
      <c r="A21" s="848"/>
      <c r="B21" s="1989" t="s">
        <v>310</v>
      </c>
      <c r="C21" s="3100"/>
      <c r="D21" s="3101"/>
      <c r="E21" s="99" t="s">
        <v>663</v>
      </c>
      <c r="F21" s="2000" t="s">
        <v>703</v>
      </c>
      <c r="G21" s="2000"/>
      <c r="H21" s="3347" t="str">
        <f>IF(ISBLANK(C21), " ", MAX(I13,AF15))</f>
        <v xml:space="preserve"> </v>
      </c>
      <c r="I21" s="3348"/>
      <c r="J21" s="2000" t="s">
        <v>150</v>
      </c>
      <c r="K21" s="2000"/>
      <c r="L21" s="2000"/>
      <c r="M21" s="99" t="s">
        <v>102</v>
      </c>
      <c r="N21" s="3383" t="str">
        <f>IF(ISBLANK(C21)," ",((C21+2)*H21))</f>
        <v xml:space="preserve"> </v>
      </c>
      <c r="O21" s="3384"/>
      <c r="P21" s="2000" t="s">
        <v>96</v>
      </c>
      <c r="Q21" s="2000"/>
      <c r="R21" s="2000"/>
      <c r="S21" s="2000"/>
      <c r="T21" s="1242"/>
      <c r="V21" s="35"/>
      <c r="AI21" s="25"/>
      <c r="AJ21" s="25"/>
      <c r="AT21" s="26"/>
    </row>
    <row r="22" spans="1:46" ht="18" customHeight="1">
      <c r="A22" s="1456">
        <v>4</v>
      </c>
      <c r="B22" s="3562" t="s">
        <v>1829</v>
      </c>
      <c r="C22" s="3562"/>
      <c r="D22" s="3562"/>
      <c r="E22" s="3562"/>
      <c r="F22" s="3562"/>
      <c r="G22" s="3562"/>
      <c r="H22" s="3562"/>
      <c r="I22" s="3562"/>
      <c r="J22" s="3562"/>
      <c r="K22" s="3562"/>
      <c r="L22" s="3562"/>
      <c r="M22" s="3562"/>
      <c r="N22" s="2003"/>
      <c r="O22" s="2003"/>
      <c r="P22" s="2003"/>
      <c r="Q22" s="1995"/>
      <c r="R22" s="1995"/>
      <c r="S22" s="1995"/>
      <c r="T22" s="1450"/>
      <c r="V22" s="12"/>
      <c r="AB22" s="11"/>
      <c r="AC22" s="11"/>
      <c r="AD22" s="11"/>
      <c r="AE22" s="11"/>
      <c r="AF22" s="11"/>
      <c r="AG22" s="11"/>
      <c r="AH22" s="11"/>
      <c r="AI22" s="11"/>
      <c r="AJ22" s="11"/>
      <c r="AT22" s="26"/>
    </row>
    <row r="23" spans="1:46" ht="24" customHeight="1">
      <c r="A23" s="1451"/>
      <c r="B23" s="10" t="s">
        <v>1792</v>
      </c>
      <c r="C23" s="517"/>
      <c r="D23" s="517"/>
      <c r="E23" s="517"/>
      <c r="F23" s="517"/>
      <c r="G23" s="517"/>
      <c r="H23" s="517"/>
      <c r="I23" s="517"/>
      <c r="J23" s="517"/>
      <c r="K23" s="3383" t="str">
        <f>IF(ISBLANK(C21)," ",MAX('Pres. Dist.'!G73,'Non-Level '!K189))</f>
        <v xml:space="preserve"> </v>
      </c>
      <c r="L23" s="3384"/>
      <c r="M23" s="24" t="s">
        <v>1403</v>
      </c>
      <c r="N23" s="2000"/>
      <c r="O23" s="2000"/>
      <c r="P23" s="2000"/>
      <c r="Q23" s="3730" t="str">
        <f>IF(ISBLANK(C21)," ",(K23/H21))</f>
        <v xml:space="preserve"> </v>
      </c>
      <c r="R23" s="3731"/>
      <c r="S23" s="2000" t="s">
        <v>1827</v>
      </c>
      <c r="T23" s="1242"/>
      <c r="V23" s="12"/>
      <c r="W23" s="6"/>
      <c r="AJ23" s="11"/>
      <c r="AT23" s="26"/>
    </row>
    <row r="24" spans="1:46" ht="18" customHeight="1">
      <c r="A24" s="1456">
        <v>5</v>
      </c>
      <c r="B24" s="2000" t="s">
        <v>1828</v>
      </c>
      <c r="C24" s="2000"/>
      <c r="D24" s="2000"/>
      <c r="E24" s="2000"/>
      <c r="F24" s="2000"/>
      <c r="G24" s="2000"/>
      <c r="H24" s="2000"/>
      <c r="I24" s="2000"/>
      <c r="J24" s="2000"/>
      <c r="K24" s="2000"/>
      <c r="L24" s="2000"/>
      <c r="M24" s="2000"/>
      <c r="N24" s="2000"/>
      <c r="O24" s="2000"/>
      <c r="P24" s="2000"/>
      <c r="Q24" s="2000"/>
      <c r="R24" s="2000"/>
      <c r="S24" s="2000"/>
      <c r="T24" s="1242"/>
      <c r="V24" s="12"/>
      <c r="W24" s="6"/>
      <c r="AI24" s="11"/>
      <c r="AJ24" s="11"/>
      <c r="AT24" s="26"/>
    </row>
    <row r="25" spans="1:46" ht="24" customHeight="1">
      <c r="A25" s="1457"/>
      <c r="B25" s="2000" t="s">
        <v>312</v>
      </c>
      <c r="C25" s="2000"/>
      <c r="D25" s="2000"/>
      <c r="E25" s="3385" t="str">
        <f>IF(ISBLANK(Summary!I11)," ",Summary!I11)</f>
        <v xml:space="preserve"> </v>
      </c>
      <c r="F25" s="3351"/>
      <c r="G25" s="1995" t="s">
        <v>313</v>
      </c>
      <c r="H25" s="2007" t="s">
        <v>101</v>
      </c>
      <c r="I25" s="2000">
        <v>0.25</v>
      </c>
      <c r="J25" s="2007" t="s">
        <v>102</v>
      </c>
      <c r="K25" s="3383" t="str">
        <f>IF(ISBLANK(C21)," ",(E25*0.25))</f>
        <v xml:space="preserve"> </v>
      </c>
      <c r="L25" s="3384"/>
      <c r="M25" s="24" t="s">
        <v>1402</v>
      </c>
      <c r="N25" s="2000"/>
      <c r="O25" s="2000"/>
      <c r="P25" s="2000"/>
      <c r="Q25" s="3730" t="str">
        <f>IF(ISBLANK(C21)," ",(K25/H21))</f>
        <v xml:space="preserve"> </v>
      </c>
      <c r="R25" s="3731"/>
      <c r="S25" s="2000" t="s">
        <v>1827</v>
      </c>
      <c r="T25" s="1450"/>
      <c r="V25" s="6"/>
      <c r="W25" s="6"/>
      <c r="AJ25" s="11"/>
      <c r="AT25" s="26"/>
    </row>
    <row r="26" spans="1:46" s="48" customFormat="1" ht="6" customHeight="1">
      <c r="A26" s="1456"/>
      <c r="B26" s="1997"/>
      <c r="C26" s="1997"/>
      <c r="D26" s="1997"/>
      <c r="E26" s="1997"/>
      <c r="F26" s="1997"/>
      <c r="G26" s="1997"/>
      <c r="H26" s="1997"/>
      <c r="I26" s="1997"/>
      <c r="J26" s="1997"/>
      <c r="K26" s="1997"/>
      <c r="L26" s="1997"/>
      <c r="M26" s="1997"/>
      <c r="N26" s="1997"/>
      <c r="O26" s="1997"/>
      <c r="P26" s="1997"/>
      <c r="Q26" s="2000"/>
      <c r="R26" s="2000"/>
      <c r="S26" s="2000"/>
      <c r="T26" s="1242"/>
      <c r="V26" s="6"/>
      <c r="W26" s="6"/>
      <c r="X26" s="13"/>
      <c r="Y26" s="13"/>
      <c r="Z26" s="13"/>
      <c r="AA26" s="13"/>
      <c r="AB26" s="13"/>
      <c r="AC26" s="13"/>
      <c r="AD26" s="13"/>
      <c r="AE26" s="13"/>
      <c r="AF26" s="13"/>
      <c r="AG26" s="11"/>
      <c r="AH26" s="11"/>
      <c r="AI26" s="11"/>
      <c r="AJ26" s="11"/>
      <c r="AT26" s="26"/>
    </row>
    <row r="27" spans="1:46" ht="6" customHeight="1">
      <c r="A27" s="1756"/>
      <c r="B27" s="74"/>
      <c r="C27" s="74"/>
      <c r="D27" s="74"/>
      <c r="E27" s="1179"/>
      <c r="F27" s="74"/>
      <c r="G27" s="74"/>
      <c r="H27" s="74"/>
      <c r="I27" s="74"/>
      <c r="J27" s="74"/>
      <c r="K27" s="74"/>
      <c r="L27" s="74"/>
      <c r="M27" s="74"/>
      <c r="N27" s="74"/>
      <c r="O27" s="1180"/>
      <c r="P27" s="74"/>
      <c r="Q27" s="74"/>
      <c r="R27" s="74"/>
      <c r="S27" s="74"/>
      <c r="T27" s="1461"/>
      <c r="AT27" s="26"/>
    </row>
    <row r="28" spans="1:46" ht="24" customHeight="1">
      <c r="A28" s="1456">
        <v>6</v>
      </c>
      <c r="B28" s="3587" t="s">
        <v>1393</v>
      </c>
      <c r="C28" s="3587"/>
      <c r="D28" s="3587"/>
      <c r="E28" s="3587"/>
      <c r="F28" s="3587"/>
      <c r="G28" s="3587"/>
      <c r="H28" s="3587"/>
      <c r="I28" s="3587"/>
      <c r="J28" s="3587"/>
      <c r="K28" s="3100"/>
      <c r="L28" s="3101"/>
      <c r="M28" s="2000" t="s">
        <v>96</v>
      </c>
      <c r="N28" s="2000"/>
      <c r="O28" s="2000"/>
      <c r="P28" s="2000"/>
      <c r="Q28" s="2000"/>
      <c r="R28" s="2000"/>
      <c r="S28" s="2000"/>
      <c r="T28" s="1242"/>
      <c r="AT28" s="26"/>
    </row>
    <row r="29" spans="1:46" ht="18" customHeight="1">
      <c r="A29" s="1456">
        <v>7</v>
      </c>
      <c r="B29" s="2000" t="s">
        <v>1354</v>
      </c>
      <c r="C29" s="2000"/>
      <c r="D29" s="2000"/>
      <c r="E29" s="2000"/>
      <c r="F29" s="2000"/>
      <c r="G29" s="2000"/>
      <c r="H29" s="2000"/>
      <c r="I29" s="2000"/>
      <c r="J29" s="2000"/>
      <c r="K29" s="2000"/>
      <c r="L29" s="2000"/>
      <c r="M29" s="2000"/>
      <c r="N29" s="2000"/>
      <c r="O29" s="2000"/>
      <c r="P29" s="2000"/>
      <c r="Q29" s="2000"/>
      <c r="R29" s="2000"/>
      <c r="S29" s="2000"/>
      <c r="T29" s="1450"/>
      <c r="AT29" s="26"/>
    </row>
    <row r="30" spans="1:46" ht="24" customHeight="1">
      <c r="A30" s="1457"/>
      <c r="B30" s="2003"/>
      <c r="C30" s="3385" t="str">
        <f>IF(ISBLANK(E25)," ",E25)</f>
        <v xml:space="preserve"> </v>
      </c>
      <c r="D30" s="3351"/>
      <c r="E30" s="3707" t="s">
        <v>653</v>
      </c>
      <c r="F30" s="3708"/>
      <c r="G30" s="3385" t="str">
        <f>IF(ISBLANK(K28)," ",K28)</f>
        <v xml:space="preserve"> </v>
      </c>
      <c r="H30" s="3351"/>
      <c r="I30" s="3707" t="s">
        <v>1390</v>
      </c>
      <c r="J30" s="3720"/>
      <c r="K30" s="3734" t="str">
        <f>IF(ISBLANK(C21)," ",C30/G30)</f>
        <v xml:space="preserve"> </v>
      </c>
      <c r="L30" s="3735"/>
      <c r="M30" s="10" t="s">
        <v>664</v>
      </c>
      <c r="N30" s="2003"/>
      <c r="O30" s="1470"/>
      <c r="P30" s="1470"/>
      <c r="Q30" s="56"/>
      <c r="R30" s="56"/>
      <c r="S30" s="149"/>
      <c r="T30" s="1458"/>
      <c r="AT30" s="26"/>
    </row>
    <row r="31" spans="1:46" ht="20.100000000000001" customHeight="1">
      <c r="A31" s="1456">
        <v>8</v>
      </c>
      <c r="B31" s="2000" t="s">
        <v>17</v>
      </c>
      <c r="C31" s="2000"/>
      <c r="D31" s="2000"/>
      <c r="E31" s="2000"/>
      <c r="F31" s="2000"/>
      <c r="G31" s="2000"/>
      <c r="H31" s="2000"/>
      <c r="I31" s="1470"/>
      <c r="J31" s="2013"/>
      <c r="K31" s="1470"/>
      <c r="L31" s="1991"/>
      <c r="M31" s="56"/>
      <c r="N31" s="10"/>
      <c r="O31" s="2000"/>
      <c r="P31" s="2000"/>
      <c r="Q31" s="2000"/>
      <c r="R31" s="2000"/>
      <c r="S31" s="2000"/>
      <c r="T31" s="1242"/>
      <c r="AT31" s="26"/>
    </row>
    <row r="32" spans="1:46" s="48" customFormat="1" ht="24" customHeight="1">
      <c r="A32" s="1456"/>
      <c r="B32" s="2000" t="s">
        <v>147</v>
      </c>
      <c r="C32" s="10" t="s">
        <v>619</v>
      </c>
      <c r="D32" s="2000"/>
      <c r="E32" s="2000"/>
      <c r="F32" s="2000"/>
      <c r="G32" s="2000"/>
      <c r="H32" s="2000"/>
      <c r="I32" s="2000"/>
      <c r="J32" s="3385" t="str">
        <f>IF(ISBLANK(K28),"",('Pump-Basic(1) '!F28))</f>
        <v/>
      </c>
      <c r="K32" s="3351"/>
      <c r="L32" s="2003" t="s">
        <v>640</v>
      </c>
      <c r="M32" s="2000"/>
      <c r="N32" s="2000"/>
      <c r="O32" s="2000"/>
      <c r="P32" s="2000"/>
      <c r="Q32" s="2000"/>
      <c r="R32" s="2000"/>
      <c r="S32" s="2000"/>
      <c r="T32" s="1242"/>
      <c r="AT32" s="26"/>
    </row>
    <row r="33" spans="1:46" s="48" customFormat="1" ht="6" customHeight="1">
      <c r="A33" s="1457"/>
      <c r="B33" s="2003"/>
      <c r="C33" s="1993"/>
      <c r="D33" s="2003"/>
      <c r="E33" s="2003"/>
      <c r="F33" s="2003"/>
      <c r="G33" s="2003"/>
      <c r="H33" s="1470"/>
      <c r="I33" s="1470"/>
      <c r="J33" s="2011"/>
      <c r="K33" s="2003"/>
      <c r="L33" s="2003"/>
      <c r="M33" s="2003"/>
      <c r="N33" s="2003"/>
      <c r="O33" s="2003"/>
      <c r="P33" s="2003"/>
      <c r="Q33" s="1470"/>
      <c r="R33" s="1470"/>
      <c r="S33" s="2011"/>
      <c r="T33" s="793"/>
      <c r="AT33" s="26"/>
    </row>
    <row r="34" spans="1:46" ht="24" customHeight="1">
      <c r="A34" s="1457"/>
      <c r="B34" s="2000" t="s">
        <v>631</v>
      </c>
      <c r="C34" s="2000" t="s">
        <v>18</v>
      </c>
      <c r="D34" s="2000"/>
      <c r="E34" s="2000"/>
      <c r="F34" s="2000"/>
      <c r="G34" s="2000"/>
      <c r="H34" s="2000"/>
      <c r="I34" s="2000"/>
      <c r="J34" s="3383" t="str">
        <f>IF(ISBLANK(K28),"",'Pump-Basic(1) '!F30)</f>
        <v/>
      </c>
      <c r="K34" s="3351"/>
      <c r="L34" s="2003" t="s">
        <v>629</v>
      </c>
      <c r="M34" s="2003"/>
      <c r="N34" s="2003"/>
      <c r="O34" s="2003"/>
      <c r="P34" s="2003"/>
      <c r="Q34" s="1470"/>
      <c r="R34" s="1470"/>
      <c r="S34" s="2011"/>
      <c r="T34" s="793"/>
      <c r="AT34" s="26"/>
    </row>
    <row r="35" spans="1:46" s="48" customFormat="1" ht="6" customHeight="1">
      <c r="A35" s="1456"/>
      <c r="B35" s="2000"/>
      <c r="C35" s="496"/>
      <c r="D35" s="496"/>
      <c r="E35" s="509"/>
      <c r="F35" s="496"/>
      <c r="G35" s="496"/>
      <c r="H35" s="516"/>
      <c r="I35" s="2003"/>
      <c r="J35" s="526"/>
      <c r="K35" s="527"/>
      <c r="L35" s="2003"/>
      <c r="M35" s="2000"/>
      <c r="N35" s="10"/>
      <c r="O35" s="2000"/>
      <c r="P35" s="2000"/>
      <c r="Q35" s="2000"/>
      <c r="R35" s="2000"/>
      <c r="S35" s="2000"/>
      <c r="T35" s="1242"/>
      <c r="AT35" s="26"/>
    </row>
    <row r="36" spans="1:46" ht="24" customHeight="1">
      <c r="A36" s="1456"/>
      <c r="B36" s="2000" t="s">
        <v>149</v>
      </c>
      <c r="C36" s="10" t="s">
        <v>620</v>
      </c>
      <c r="D36" s="2000"/>
      <c r="E36" s="2000"/>
      <c r="F36" s="2000"/>
      <c r="G36" s="2000"/>
      <c r="H36" s="2007"/>
      <c r="I36" s="496"/>
      <c r="J36" s="3718" t="str">
        <f>IF(ISBLANK(C21)," ",IF(J32=1,"0.045",IF(J32=1.25,"0.078",IF(J32=1.5,"0.110",IF(J32=2,"0.170",IF(J32=3,"0.380"))))))</f>
        <v xml:space="preserve"> </v>
      </c>
      <c r="K36" s="3719"/>
      <c r="L36" s="2000" t="s">
        <v>661</v>
      </c>
      <c r="M36" s="56"/>
      <c r="N36" s="10"/>
      <c r="O36" s="2000"/>
      <c r="P36" s="2000"/>
      <c r="Q36" s="2000"/>
      <c r="R36" s="2000"/>
      <c r="S36" s="2000"/>
      <c r="T36" s="1242"/>
      <c r="AT36" s="26"/>
    </row>
    <row r="37" spans="1:46" s="48" customFormat="1" ht="18" customHeight="1">
      <c r="A37" s="1456"/>
      <c r="B37" s="2000" t="s">
        <v>588</v>
      </c>
      <c r="C37" s="10" t="s">
        <v>621</v>
      </c>
      <c r="D37" s="2000"/>
      <c r="E37" s="2000"/>
      <c r="F37" s="2000"/>
      <c r="G37" s="2000"/>
      <c r="H37" s="2000"/>
      <c r="I37" s="1470"/>
      <c r="J37" s="2013"/>
      <c r="K37" s="2013"/>
      <c r="L37" s="1991"/>
      <c r="M37" s="56"/>
      <c r="N37" s="10"/>
      <c r="O37" s="2000"/>
      <c r="P37" s="2000"/>
      <c r="Q37" s="2000"/>
      <c r="R37" s="2000"/>
      <c r="S37" s="2000"/>
      <c r="T37" s="1242"/>
      <c r="AH37" s="141"/>
      <c r="AI37" s="141"/>
      <c r="AK37" s="9"/>
      <c r="AL37" s="39"/>
      <c r="AT37" s="26"/>
    </row>
    <row r="38" spans="1:46" ht="24" customHeight="1">
      <c r="A38" s="1456"/>
      <c r="B38" s="2000"/>
      <c r="C38" s="3385" t="str">
        <f>IF(ISBLANK(J32),"",J34)</f>
        <v/>
      </c>
      <c r="D38" s="3351"/>
      <c r="E38" s="99" t="s">
        <v>122</v>
      </c>
      <c r="F38" s="3385" t="str">
        <f>J36</f>
        <v xml:space="preserve"> </v>
      </c>
      <c r="G38" s="3351"/>
      <c r="H38" s="2007" t="s">
        <v>1391</v>
      </c>
      <c r="I38" s="2000"/>
      <c r="J38" s="3347" t="str">
        <f>IF(ISBLANK(C21),"",C38*F38)</f>
        <v/>
      </c>
      <c r="K38" s="3715"/>
      <c r="L38" s="2003" t="s">
        <v>96</v>
      </c>
      <c r="M38" s="2000"/>
      <c r="N38" s="10"/>
      <c r="O38" s="2000"/>
      <c r="P38" s="2000"/>
      <c r="Q38" s="2000"/>
      <c r="R38" s="2000"/>
      <c r="S38" s="2000"/>
      <c r="T38" s="1242"/>
      <c r="AT38" s="26"/>
    </row>
    <row r="39" spans="1:46" ht="18" customHeight="1">
      <c r="A39" s="1456" t="s">
        <v>99</v>
      </c>
      <c r="B39" s="10" t="s">
        <v>1355</v>
      </c>
      <c r="C39" s="2000"/>
      <c r="D39" s="2000"/>
      <c r="E39" s="2000"/>
      <c r="F39" s="2000"/>
      <c r="G39" s="2000"/>
      <c r="H39" s="2000"/>
      <c r="I39" s="1470"/>
      <c r="J39" s="2013"/>
      <c r="K39" s="1470"/>
      <c r="L39" s="1991"/>
      <c r="M39" s="56"/>
      <c r="N39" s="10"/>
      <c r="O39" s="2000"/>
      <c r="P39" s="2000"/>
      <c r="Q39" s="2000"/>
      <c r="R39" s="2000"/>
      <c r="S39" s="2000"/>
      <c r="T39" s="1242"/>
      <c r="AT39" s="26"/>
    </row>
    <row r="40" spans="1:46" ht="24" customHeight="1">
      <c r="A40" s="1456"/>
      <c r="B40" s="2000"/>
      <c r="C40" s="3385" t="str">
        <f>IF(ISBLANK(K28), " ", K28)</f>
        <v xml:space="preserve"> </v>
      </c>
      <c r="D40" s="3351"/>
      <c r="E40" s="99" t="s">
        <v>666</v>
      </c>
      <c r="F40" s="3347" t="str">
        <f>J38</f>
        <v/>
      </c>
      <c r="G40" s="3351"/>
      <c r="H40" s="99" t="s">
        <v>667</v>
      </c>
      <c r="I40" s="3383" t="str">
        <f>IF(ISBLANK(C21),"",C40+F40)</f>
        <v/>
      </c>
      <c r="J40" s="3384"/>
      <c r="K40" s="2003" t="s">
        <v>96</v>
      </c>
      <c r="L40" s="1991"/>
      <c r="M40" s="56"/>
      <c r="N40" s="10"/>
      <c r="O40" s="2000"/>
      <c r="P40" s="2000"/>
      <c r="Q40" s="2000"/>
      <c r="R40" s="2000"/>
      <c r="S40" s="2000"/>
      <c r="T40" s="1242"/>
      <c r="AT40" s="26"/>
    </row>
    <row r="41" spans="1:46" ht="18" customHeight="1">
      <c r="A41" s="1457" t="s">
        <v>103</v>
      </c>
      <c r="B41" s="2003" t="s">
        <v>1064</v>
      </c>
      <c r="C41" s="438"/>
      <c r="D41" s="438"/>
      <c r="E41" s="509"/>
      <c r="F41" s="151"/>
      <c r="G41" s="438"/>
      <c r="H41" s="509"/>
      <c r="I41" s="151"/>
      <c r="J41" s="151"/>
      <c r="K41" s="2003"/>
      <c r="L41" s="1991"/>
      <c r="M41" s="56"/>
      <c r="N41" s="1993"/>
      <c r="O41" s="2003"/>
      <c r="P41" s="2003"/>
      <c r="Q41" s="2003"/>
      <c r="R41" s="2003"/>
      <c r="S41" s="2003"/>
      <c r="T41" s="793"/>
      <c r="AH41" s="17"/>
      <c r="AI41" s="17"/>
      <c r="AK41" s="9"/>
      <c r="AL41" s="9"/>
      <c r="AT41" s="26"/>
    </row>
    <row r="42" spans="1:46" ht="24" customHeight="1">
      <c r="A42" s="1457"/>
      <c r="B42" s="2003"/>
      <c r="C42" s="3100"/>
      <c r="D42" s="3101"/>
      <c r="E42" s="2007" t="s">
        <v>290</v>
      </c>
      <c r="F42" s="3347" t="str">
        <f>IF(ISBLANK(C21), " ", MAX(I13,AF15))</f>
        <v xml:space="preserve"> </v>
      </c>
      <c r="G42" s="3595"/>
      <c r="H42" s="2007" t="s">
        <v>1392</v>
      </c>
      <c r="I42" s="2003"/>
      <c r="J42" s="3347" t="str">
        <f>IF(ISBLANK(C42), "",C42*F42)</f>
        <v/>
      </c>
      <c r="K42" s="3595"/>
      <c r="L42" s="2003" t="s">
        <v>96</v>
      </c>
      <c r="M42" s="2003"/>
      <c r="N42" s="2003"/>
      <c r="O42" s="2003"/>
      <c r="P42" s="2003"/>
      <c r="Q42" s="2003"/>
      <c r="R42" s="2003"/>
      <c r="S42" s="2003"/>
      <c r="T42" s="793"/>
      <c r="AH42" s="17"/>
      <c r="AI42" s="17"/>
      <c r="AK42" s="9"/>
      <c r="AL42" s="9"/>
      <c r="AT42" s="26"/>
    </row>
    <row r="43" spans="1:46" s="48" customFormat="1" ht="6" customHeight="1">
      <c r="A43" s="1459"/>
      <c r="B43" s="142"/>
      <c r="C43" s="454"/>
      <c r="D43" s="454"/>
      <c r="E43" s="1181"/>
      <c r="F43" s="1182"/>
      <c r="G43" s="454"/>
      <c r="H43" s="1181"/>
      <c r="I43" s="1182"/>
      <c r="J43" s="1182"/>
      <c r="K43" s="142"/>
      <c r="L43" s="1439"/>
      <c r="M43" s="1183"/>
      <c r="N43" s="1184"/>
      <c r="O43" s="142"/>
      <c r="P43" s="142"/>
      <c r="Q43" s="142"/>
      <c r="R43" s="142"/>
      <c r="S43" s="142"/>
      <c r="T43" s="1460"/>
      <c r="AH43" s="141"/>
      <c r="AI43" s="141"/>
      <c r="AK43" s="9"/>
      <c r="AL43" s="39"/>
      <c r="AT43" s="26"/>
    </row>
    <row r="44" spans="1:46" s="48" customFormat="1" ht="24" customHeight="1">
      <c r="A44" s="2008" t="s">
        <v>1458</v>
      </c>
      <c r="B44" s="2006"/>
      <c r="C44" s="2006"/>
      <c r="D44" s="2006"/>
      <c r="E44" s="2006"/>
      <c r="F44" s="2006"/>
      <c r="G44" s="2006"/>
      <c r="H44" s="2006"/>
      <c r="I44" s="2006"/>
      <c r="J44" s="2006"/>
      <c r="K44" s="2006"/>
      <c r="L44" s="2006"/>
      <c r="M44" s="2006"/>
      <c r="N44" s="2006"/>
      <c r="O44" s="2006"/>
      <c r="P44" s="2006"/>
      <c r="Q44" s="2006"/>
      <c r="R44" s="2006"/>
      <c r="S44" s="2006"/>
      <c r="T44" s="2009"/>
      <c r="AH44" s="141"/>
      <c r="AI44" s="141"/>
      <c r="AK44" s="9"/>
      <c r="AL44" s="39"/>
      <c r="AT44" s="26"/>
    </row>
    <row r="45" spans="1:46" s="48" customFormat="1" ht="20.100000000000001" customHeight="1">
      <c r="A45" s="1757" t="s">
        <v>105</v>
      </c>
      <c r="B45" s="74" t="s">
        <v>627</v>
      </c>
      <c r="C45" s="74"/>
      <c r="D45" s="74"/>
      <c r="E45" s="74"/>
      <c r="F45" s="74"/>
      <c r="G45" s="74"/>
      <c r="H45" s="74"/>
      <c r="I45" s="74"/>
      <c r="J45" s="74"/>
      <c r="K45" s="74"/>
      <c r="L45" s="74"/>
      <c r="M45" s="74"/>
      <c r="N45" s="74"/>
      <c r="O45" s="74"/>
      <c r="P45" s="74"/>
      <c r="Q45" s="1179"/>
      <c r="R45" s="1179"/>
      <c r="S45" s="1179"/>
      <c r="T45" s="1758"/>
      <c r="AH45" s="141"/>
      <c r="AI45" s="141"/>
      <c r="AK45" s="39"/>
      <c r="AL45" s="39"/>
      <c r="AT45" s="26"/>
    </row>
    <row r="46" spans="1:46" s="11" customFormat="1" ht="18" customHeight="1">
      <c r="A46" s="1451"/>
      <c r="B46" s="10" t="s">
        <v>1068</v>
      </c>
      <c r="C46" s="2000"/>
      <c r="D46" s="2000"/>
      <c r="E46" s="2000"/>
      <c r="F46" s="2000"/>
      <c r="G46" s="2000"/>
      <c r="H46" s="2000"/>
      <c r="I46" s="2000"/>
      <c r="J46" s="2000"/>
      <c r="K46" s="2000"/>
      <c r="L46" s="2000"/>
      <c r="M46" s="2000"/>
      <c r="N46" s="2000"/>
      <c r="O46" s="2000"/>
      <c r="P46" s="2000"/>
      <c r="Q46" s="1995"/>
      <c r="R46" s="1995"/>
      <c r="S46" s="1995"/>
      <c r="T46" s="1450"/>
    </row>
    <row r="47" spans="1:46" ht="24" customHeight="1">
      <c r="A47" s="1451"/>
      <c r="B47" s="2003"/>
      <c r="C47" s="3383" t="str">
        <f>I40</f>
        <v/>
      </c>
      <c r="D47" s="3384"/>
      <c r="E47" s="3707" t="s">
        <v>1394</v>
      </c>
      <c r="F47" s="3708"/>
      <c r="G47" s="3347" t="str">
        <f>IF(ISBLANK(C42), " ",I13)</f>
        <v xml:space="preserve"> </v>
      </c>
      <c r="H47" s="3348"/>
      <c r="I47" s="3559" t="s">
        <v>250</v>
      </c>
      <c r="J47" s="3559"/>
      <c r="K47" s="3347" t="str">
        <f>IF(ISBLANK(C21),"",C47/G47)</f>
        <v/>
      </c>
      <c r="L47" s="3348"/>
      <c r="M47" s="2000" t="s">
        <v>144</v>
      </c>
      <c r="N47" s="2000"/>
      <c r="O47" s="2000"/>
      <c r="P47" s="2000"/>
      <c r="Q47" s="1995"/>
      <c r="R47" s="1995"/>
      <c r="S47" s="1995"/>
      <c r="T47" s="793"/>
    </row>
    <row r="48" spans="1:46" ht="20.100000000000001" customHeight="1">
      <c r="A48" s="1456" t="s">
        <v>109</v>
      </c>
      <c r="B48" s="144" t="s">
        <v>314</v>
      </c>
      <c r="C48" s="53"/>
      <c r="D48" s="53"/>
      <c r="E48" s="1999"/>
      <c r="F48" s="145"/>
      <c r="G48" s="53"/>
      <c r="H48" s="1995"/>
      <c r="I48" s="49"/>
      <c r="J48" s="2000"/>
      <c r="K48" s="2000"/>
      <c r="L48" s="2000"/>
      <c r="M48" s="2000"/>
      <c r="R48" s="2000"/>
      <c r="S48" s="2000"/>
      <c r="T48" s="1242"/>
      <c r="AL48" s="9"/>
      <c r="AT48" s="26"/>
    </row>
    <row r="49" spans="1:35" ht="18" customHeight="1" thickBot="1">
      <c r="A49" s="1451" t="s">
        <v>147</v>
      </c>
      <c r="B49" s="10" t="s">
        <v>1356</v>
      </c>
      <c r="C49" s="1997"/>
      <c r="D49" s="1997"/>
      <c r="E49" s="1997"/>
      <c r="F49" s="1997"/>
      <c r="G49" s="1997"/>
      <c r="H49" s="1997"/>
      <c r="I49" s="1997"/>
      <c r="J49" s="1997"/>
      <c r="K49" s="1997"/>
      <c r="L49" s="1986"/>
      <c r="M49" s="2000"/>
      <c r="N49" s="2003" t="s">
        <v>1283</v>
      </c>
      <c r="O49" s="2000"/>
      <c r="P49" s="2414" t="str">
        <f>K47</f>
        <v/>
      </c>
      <c r="Q49" s="2000" t="s">
        <v>94</v>
      </c>
      <c r="R49" s="1995"/>
      <c r="S49" s="2000"/>
      <c r="T49" s="1242"/>
      <c r="AG49" s="9"/>
      <c r="AH49" s="17"/>
      <c r="AI49" s="17"/>
    </row>
    <row r="50" spans="1:35" s="48" customFormat="1" ht="24" customHeight="1" thickBot="1">
      <c r="A50" s="1451"/>
      <c r="B50" s="2000"/>
      <c r="C50" s="3385" t="str">
        <f>IF(ISBLANK(C21),"", C21)</f>
        <v/>
      </c>
      <c r="D50" s="3351"/>
      <c r="E50" s="3707" t="s">
        <v>1776</v>
      </c>
      <c r="F50" s="3708"/>
      <c r="G50" s="3383" t="str">
        <f>IF(ISBLANK(C42), "",C50+2)</f>
        <v/>
      </c>
      <c r="H50" s="3384"/>
      <c r="I50" s="2000" t="s">
        <v>144</v>
      </c>
      <c r="J50" s="2003"/>
      <c r="K50" s="2003"/>
      <c r="L50" s="2003"/>
      <c r="M50" s="1995"/>
      <c r="N50" s="46" t="s">
        <v>21</v>
      </c>
      <c r="O50" s="46"/>
      <c r="P50" s="2415" t="str">
        <f>J54</f>
        <v/>
      </c>
      <c r="Q50" s="987" t="s">
        <v>94</v>
      </c>
      <c r="R50" s="1995"/>
      <c r="S50" s="2000"/>
      <c r="T50" s="1242"/>
      <c r="AG50" s="39"/>
      <c r="AH50" s="141"/>
      <c r="AI50" s="141"/>
    </row>
    <row r="51" spans="1:35" ht="18" customHeight="1" thickBot="1">
      <c r="A51" s="1451" t="s">
        <v>631</v>
      </c>
      <c r="B51" s="8" t="s">
        <v>1070</v>
      </c>
      <c r="C51" s="1996"/>
      <c r="D51" s="1996"/>
      <c r="E51" s="1996"/>
      <c r="F51" s="1996"/>
      <c r="G51" s="1996"/>
      <c r="H51" s="1996"/>
      <c r="I51" s="1996"/>
      <c r="J51" s="1996"/>
      <c r="K51" s="1996"/>
      <c r="L51" s="1987"/>
      <c r="M51" s="1987"/>
      <c r="N51" s="2000" t="s">
        <v>19</v>
      </c>
      <c r="O51" s="2000"/>
      <c r="P51" s="2416" t="str">
        <f>J52</f>
        <v/>
      </c>
      <c r="Q51" s="2000" t="s">
        <v>94</v>
      </c>
      <c r="R51" s="2417" t="str">
        <f>J42</f>
        <v/>
      </c>
      <c r="S51" s="986" t="str">
        <f>"Gal"</f>
        <v>Gal</v>
      </c>
      <c r="T51" s="1988"/>
    </row>
    <row r="52" spans="1:35" ht="24" customHeight="1" thickBot="1">
      <c r="A52" s="1462"/>
      <c r="B52" s="2000"/>
      <c r="C52" s="3383" t="str">
        <f>G50</f>
        <v/>
      </c>
      <c r="D52" s="3351"/>
      <c r="E52" s="99" t="s">
        <v>251</v>
      </c>
      <c r="F52" s="2000"/>
      <c r="G52" s="3347" t="str">
        <f>K47</f>
        <v/>
      </c>
      <c r="H52" s="3351"/>
      <c r="I52" s="99" t="s">
        <v>252</v>
      </c>
      <c r="J52" s="3383" t="str">
        <f>IF(ISBLANK(C21),"",C52+G52)</f>
        <v/>
      </c>
      <c r="K52" s="3384"/>
      <c r="L52" s="2000" t="s">
        <v>144</v>
      </c>
      <c r="M52" s="2000"/>
      <c r="N52" s="2000" t="s">
        <v>20</v>
      </c>
      <c r="O52" s="2000"/>
      <c r="P52" s="2416" t="str">
        <f>G50</f>
        <v/>
      </c>
      <c r="Q52" s="2000" t="s">
        <v>94</v>
      </c>
      <c r="R52" s="2418" t="str">
        <f>C47</f>
        <v/>
      </c>
      <c r="S52" s="986" t="str">
        <f>"Gal"</f>
        <v>Gal</v>
      </c>
      <c r="T52" s="1242"/>
    </row>
    <row r="53" spans="1:35" ht="18" customHeight="1">
      <c r="A53" s="1451" t="s">
        <v>149</v>
      </c>
      <c r="B53" s="10" t="s">
        <v>1071</v>
      </c>
      <c r="C53" s="1997"/>
      <c r="D53" s="1997"/>
      <c r="E53" s="1997"/>
      <c r="F53" s="1997"/>
      <c r="G53" s="1997"/>
      <c r="H53" s="1997"/>
      <c r="I53" s="1997"/>
      <c r="J53" s="1997"/>
      <c r="K53" s="1997"/>
      <c r="L53" s="2000"/>
      <c r="M53" s="2000"/>
      <c r="N53" s="2000"/>
      <c r="O53" s="2000"/>
      <c r="P53" s="2000"/>
      <c r="Q53" s="986"/>
      <c r="R53" s="2418" t="str">
        <f>N21</f>
        <v xml:space="preserve"> </v>
      </c>
      <c r="S53" s="986" t="str">
        <f>"Gal"</f>
        <v>Gal</v>
      </c>
      <c r="T53" s="1242"/>
    </row>
    <row r="54" spans="1:35" ht="24" customHeight="1">
      <c r="A54" s="1451"/>
      <c r="B54" s="2000"/>
      <c r="C54" s="3383" t="str">
        <f>J52</f>
        <v/>
      </c>
      <c r="D54" s="3384"/>
      <c r="E54" s="99" t="s">
        <v>251</v>
      </c>
      <c r="F54" s="2000"/>
      <c r="G54" s="3347" t="str">
        <f>G50</f>
        <v/>
      </c>
      <c r="H54" s="3348"/>
      <c r="I54" s="498" t="s">
        <v>253</v>
      </c>
      <c r="J54" s="3383" t="str">
        <f>IF(ISBLANK(C21),"",C54+G54)</f>
        <v/>
      </c>
      <c r="K54" s="3384"/>
      <c r="L54" s="2000" t="s">
        <v>144</v>
      </c>
      <c r="M54" s="2000"/>
      <c r="N54" s="2000"/>
      <c r="O54" s="2000"/>
      <c r="P54" s="2000"/>
      <c r="Q54" s="2000"/>
      <c r="R54" s="2000"/>
      <c r="S54" s="2000"/>
      <c r="T54" s="1242"/>
    </row>
    <row r="55" spans="1:35" ht="6" customHeight="1" thickBot="1">
      <c r="A55" s="1759"/>
      <c r="B55" s="1760"/>
      <c r="C55" s="1760"/>
      <c r="D55" s="1761"/>
      <c r="E55" s="1762"/>
      <c r="F55" s="1762"/>
      <c r="G55" s="1763"/>
      <c r="H55" s="1760"/>
      <c r="I55" s="1229"/>
      <c r="J55" s="1229"/>
      <c r="K55" s="1229"/>
      <c r="L55" s="1229"/>
      <c r="M55" s="1229"/>
      <c r="N55" s="1229"/>
      <c r="O55" s="1229"/>
      <c r="P55" s="1229"/>
      <c r="Q55" s="1229"/>
      <c r="R55" s="1229"/>
      <c r="S55" s="1229"/>
      <c r="T55" s="1464"/>
    </row>
    <row r="56" spans="1:35" ht="6" customHeight="1"/>
    <row r="57" spans="1:35" ht="18" customHeight="1">
      <c r="K57" s="2"/>
      <c r="L57" s="20"/>
      <c r="M57" s="2"/>
      <c r="N57" s="2"/>
      <c r="O57" s="2"/>
      <c r="P57" s="2"/>
      <c r="Q57" s="2"/>
    </row>
    <row r="58" spans="1:35" s="25" customFormat="1" ht="18" customHeight="1">
      <c r="A58" s="22"/>
      <c r="B58" s="22"/>
      <c r="C58" s="22"/>
      <c r="D58" s="22"/>
      <c r="E58" s="22"/>
      <c r="F58" s="22"/>
      <c r="G58" s="22"/>
      <c r="H58" s="22"/>
      <c r="I58" s="22"/>
      <c r="J58" s="22"/>
      <c r="K58" s="19"/>
      <c r="L58" s="19"/>
      <c r="M58" s="19"/>
      <c r="N58" s="19"/>
      <c r="O58" s="31"/>
      <c r="P58" s="22"/>
      <c r="Q58" s="19"/>
      <c r="R58" s="23"/>
      <c r="S58" s="23"/>
      <c r="T58" s="23"/>
    </row>
    <row r="59" spans="1:35" s="25" customFormat="1" ht="18" customHeight="1">
      <c r="A59" s="22"/>
      <c r="B59" s="22"/>
      <c r="C59" s="22"/>
      <c r="D59" s="22"/>
      <c r="E59" s="22"/>
      <c r="F59" s="22"/>
      <c r="G59" s="22"/>
      <c r="H59" s="22"/>
      <c r="I59" s="22"/>
      <c r="J59" s="22"/>
      <c r="K59" s="22"/>
      <c r="L59" s="22"/>
      <c r="M59" s="22"/>
      <c r="N59" s="22"/>
      <c r="O59" s="22"/>
      <c r="P59" s="22"/>
      <c r="Q59" s="23"/>
      <c r="R59" s="23"/>
      <c r="S59" s="23"/>
      <c r="T59" s="23"/>
    </row>
    <row r="60" spans="1:35" s="25" customFormat="1" ht="20.100000000000001" customHeight="1">
      <c r="A60" s="22"/>
      <c r="B60" s="22"/>
      <c r="C60" s="22"/>
      <c r="D60" s="22"/>
      <c r="E60" s="22"/>
      <c r="F60" s="22"/>
      <c r="G60" s="22"/>
      <c r="H60" s="22"/>
      <c r="I60" s="22"/>
      <c r="J60" s="22"/>
      <c r="K60" s="22"/>
      <c r="L60" s="22"/>
      <c r="M60" s="22"/>
      <c r="N60" s="22"/>
      <c r="O60" s="22"/>
      <c r="P60" s="22"/>
      <c r="Q60" s="23"/>
      <c r="R60" s="23"/>
      <c r="S60" s="23"/>
      <c r="T60" s="23"/>
    </row>
    <row r="61" spans="1:35" s="25" customFormat="1" ht="18" customHeight="1">
      <c r="A61" s="20"/>
      <c r="B61" s="20"/>
      <c r="C61" s="21"/>
      <c r="D61" s="20"/>
      <c r="E61" s="2"/>
      <c r="F61" s="20"/>
      <c r="G61" s="20"/>
      <c r="H61" s="2"/>
      <c r="I61" s="20"/>
      <c r="J61" s="20"/>
      <c r="K61" s="22"/>
      <c r="L61" s="22"/>
      <c r="M61" s="22"/>
      <c r="N61" s="22"/>
      <c r="O61" s="22"/>
      <c r="P61" s="22"/>
      <c r="Q61" s="23"/>
      <c r="R61" s="2"/>
      <c r="S61" s="2"/>
      <c r="T61" s="2"/>
    </row>
    <row r="62" spans="1:35" ht="18" customHeight="1">
      <c r="A62" s="2"/>
      <c r="B62" s="2"/>
      <c r="D62" s="6"/>
      <c r="E62" s="6"/>
      <c r="F62" s="6"/>
      <c r="G62" s="6"/>
      <c r="H62" s="6"/>
      <c r="I62" s="4"/>
      <c r="R62" s="19"/>
      <c r="S62" s="19"/>
      <c r="T62" s="19"/>
    </row>
    <row r="63" spans="1:35" ht="20.100000000000001" customHeight="1"/>
    <row r="64" spans="1:35" ht="18" customHeight="1"/>
    <row r="65" spans="1:20" ht="20.100000000000001" customHeight="1"/>
    <row r="66" spans="1:20" ht="18" customHeight="1"/>
    <row r="67" spans="1:20" ht="20.100000000000001" customHeight="1"/>
    <row r="68" spans="1:20" ht="6" customHeight="1"/>
    <row r="69" spans="1:20" ht="18" customHeight="1"/>
    <row r="70" spans="1:20" ht="19.5" customHeight="1"/>
    <row r="71" spans="1:20" ht="19.5" customHeight="1"/>
    <row r="72" spans="1:20" s="25" customFormat="1" ht="19.5" customHeight="1">
      <c r="A72" s="22"/>
      <c r="B72" s="22"/>
      <c r="C72" s="22"/>
      <c r="D72" s="22"/>
      <c r="E72" s="22"/>
      <c r="F72" s="22"/>
      <c r="G72" s="22"/>
      <c r="H72" s="22"/>
      <c r="I72" s="22"/>
      <c r="J72" s="22"/>
      <c r="K72" s="22"/>
      <c r="L72" s="22"/>
      <c r="M72" s="22"/>
      <c r="N72" s="22"/>
      <c r="O72" s="22"/>
      <c r="P72" s="22"/>
      <c r="Q72" s="23"/>
      <c r="R72" s="23"/>
      <c r="S72" s="23"/>
      <c r="T72" s="23"/>
    </row>
    <row r="73" spans="1:20" s="48" customFormat="1" ht="19.5" customHeight="1">
      <c r="A73" s="22"/>
      <c r="B73" s="22"/>
      <c r="C73" s="22"/>
      <c r="D73" s="22"/>
      <c r="E73" s="22"/>
      <c r="F73" s="22"/>
      <c r="G73" s="22"/>
      <c r="H73" s="22"/>
      <c r="I73" s="22"/>
      <c r="J73" s="22"/>
      <c r="K73" s="22"/>
      <c r="L73" s="22"/>
      <c r="M73" s="22"/>
      <c r="N73" s="22"/>
      <c r="O73" s="22"/>
      <c r="P73" s="22"/>
      <c r="Q73" s="23"/>
      <c r="R73" s="23"/>
      <c r="S73" s="23"/>
      <c r="T73" s="23"/>
    </row>
    <row r="74" spans="1:20" s="48" customFormat="1" ht="17.25" customHeight="1">
      <c r="A74" s="22"/>
      <c r="B74" s="22"/>
      <c r="C74" s="22"/>
      <c r="D74" s="22"/>
      <c r="E74" s="22"/>
      <c r="F74" s="22"/>
      <c r="G74" s="22"/>
      <c r="H74" s="22"/>
      <c r="I74" s="22"/>
      <c r="J74" s="22"/>
      <c r="K74" s="22"/>
      <c r="L74" s="22"/>
      <c r="M74" s="22"/>
      <c r="N74" s="22"/>
      <c r="O74" s="22"/>
      <c r="P74" s="22"/>
      <c r="Q74" s="23"/>
      <c r="R74" s="23"/>
      <c r="S74" s="23"/>
      <c r="T74" s="23"/>
    </row>
    <row r="75" spans="1:20" s="48" customFormat="1" ht="24" customHeight="1">
      <c r="A75" s="22"/>
      <c r="B75" s="22"/>
      <c r="C75" s="22"/>
      <c r="D75" s="22"/>
      <c r="E75" s="22"/>
      <c r="F75" s="22"/>
      <c r="G75" s="22"/>
      <c r="H75" s="22"/>
      <c r="I75" s="22"/>
      <c r="J75" s="22"/>
      <c r="K75" s="22"/>
      <c r="L75" s="22"/>
      <c r="M75" s="22"/>
      <c r="N75" s="22"/>
      <c r="O75" s="22"/>
      <c r="P75" s="22"/>
      <c r="Q75" s="23"/>
      <c r="R75" s="23"/>
      <c r="S75" s="23"/>
      <c r="T75" s="23"/>
    </row>
    <row r="76" spans="1:20" s="48" customFormat="1" ht="19.5" customHeight="1">
      <c r="A76" s="22"/>
      <c r="B76" s="22"/>
      <c r="C76" s="22"/>
      <c r="D76" s="22"/>
      <c r="E76" s="22"/>
      <c r="F76" s="22"/>
      <c r="G76" s="22"/>
      <c r="H76" s="22"/>
      <c r="I76" s="22"/>
      <c r="J76" s="22"/>
      <c r="K76" s="22"/>
      <c r="L76" s="22"/>
      <c r="M76" s="22"/>
      <c r="N76" s="22"/>
      <c r="O76" s="22"/>
      <c r="P76" s="22"/>
      <c r="Q76" s="23"/>
      <c r="R76" s="23"/>
      <c r="S76" s="23"/>
      <c r="T76" s="23"/>
    </row>
    <row r="77" spans="1:20" s="48" customFormat="1" ht="19.5" customHeight="1">
      <c r="A77" s="22"/>
      <c r="B77" s="22"/>
      <c r="C77" s="22"/>
      <c r="D77" s="22"/>
      <c r="E77" s="22"/>
      <c r="F77" s="22"/>
      <c r="G77" s="22"/>
      <c r="H77" s="22"/>
      <c r="I77" s="22"/>
      <c r="J77" s="22"/>
      <c r="K77" s="22"/>
      <c r="L77" s="22"/>
      <c r="M77" s="22"/>
      <c r="N77" s="22"/>
      <c r="O77" s="22"/>
      <c r="P77" s="22"/>
      <c r="Q77" s="23"/>
      <c r="R77" s="23"/>
      <c r="S77" s="23"/>
      <c r="T77" s="23"/>
    </row>
    <row r="78" spans="1:20" s="48" customFormat="1" ht="19.5" customHeight="1">
      <c r="A78" s="22"/>
      <c r="B78" s="22"/>
      <c r="C78" s="22"/>
      <c r="D78" s="22"/>
      <c r="E78" s="22"/>
      <c r="F78" s="22"/>
      <c r="G78" s="22"/>
      <c r="H78" s="22"/>
      <c r="I78" s="22"/>
      <c r="J78" s="22"/>
      <c r="K78" s="22"/>
      <c r="L78" s="22"/>
      <c r="M78" s="22"/>
      <c r="N78" s="22"/>
      <c r="O78" s="22"/>
      <c r="P78" s="22"/>
      <c r="Q78" s="23"/>
      <c r="R78" s="23"/>
      <c r="S78" s="23"/>
      <c r="T78" s="23"/>
    </row>
    <row r="79" spans="1:20" s="48" customFormat="1" ht="18" customHeight="1">
      <c r="A79" s="22"/>
      <c r="B79" s="22"/>
      <c r="C79" s="22"/>
      <c r="D79" s="22"/>
      <c r="E79" s="22"/>
      <c r="F79" s="22"/>
      <c r="G79" s="22"/>
      <c r="H79" s="22"/>
      <c r="I79" s="22"/>
      <c r="J79" s="22"/>
      <c r="K79" s="22"/>
      <c r="L79" s="22"/>
      <c r="M79" s="22"/>
      <c r="N79" s="22"/>
      <c r="O79" s="22"/>
      <c r="P79" s="22"/>
      <c r="Q79" s="23"/>
      <c r="R79" s="23"/>
      <c r="S79" s="23"/>
      <c r="T79" s="23"/>
    </row>
    <row r="80" spans="1:20" s="48" customFormat="1" ht="18" customHeight="1">
      <c r="A80" s="22"/>
      <c r="B80" s="22"/>
      <c r="C80" s="22"/>
      <c r="D80" s="22"/>
      <c r="E80" s="22"/>
      <c r="F80" s="22"/>
      <c r="G80" s="22"/>
      <c r="H80" s="22"/>
      <c r="I80" s="22"/>
      <c r="J80" s="22"/>
      <c r="K80" s="22"/>
      <c r="L80" s="22"/>
      <c r="M80" s="22"/>
      <c r="N80" s="22"/>
      <c r="O80" s="22"/>
      <c r="P80" s="22"/>
      <c r="Q80" s="23"/>
      <c r="R80" s="23"/>
      <c r="S80" s="23"/>
      <c r="T80" s="23"/>
    </row>
    <row r="81" spans="1:22" s="48" customFormat="1" ht="18" customHeight="1">
      <c r="A81" s="22"/>
      <c r="B81" s="22"/>
      <c r="C81" s="22"/>
      <c r="D81" s="22"/>
      <c r="E81" s="22"/>
      <c r="F81" s="22"/>
      <c r="G81" s="22"/>
      <c r="H81" s="22"/>
      <c r="I81" s="22"/>
      <c r="J81" s="22"/>
      <c r="K81" s="22"/>
      <c r="L81" s="22"/>
      <c r="M81" s="22"/>
      <c r="N81" s="22"/>
      <c r="O81" s="22"/>
      <c r="P81" s="22"/>
      <c r="Q81" s="23"/>
      <c r="R81" s="23"/>
      <c r="S81" s="23"/>
      <c r="T81" s="23"/>
    </row>
    <row r="82" spans="1:22" s="48" customFormat="1" ht="18" customHeight="1">
      <c r="A82" s="22"/>
      <c r="B82" s="22"/>
      <c r="C82" s="22"/>
      <c r="D82" s="22"/>
      <c r="E82" s="22"/>
      <c r="F82" s="22"/>
      <c r="G82" s="22"/>
      <c r="H82" s="22"/>
      <c r="I82" s="22"/>
      <c r="J82" s="22"/>
      <c r="K82" s="22"/>
      <c r="L82" s="22"/>
      <c r="M82" s="22"/>
      <c r="N82" s="22"/>
      <c r="O82" s="22"/>
      <c r="P82" s="22"/>
      <c r="Q82" s="23"/>
      <c r="R82" s="23"/>
      <c r="S82" s="23"/>
      <c r="T82" s="23"/>
    </row>
    <row r="83" spans="1:22" s="48" customFormat="1" ht="18" customHeight="1">
      <c r="A83" s="22"/>
      <c r="B83" s="22"/>
      <c r="C83" s="22"/>
      <c r="D83" s="22"/>
      <c r="E83" s="22"/>
      <c r="F83" s="22"/>
      <c r="G83" s="22"/>
      <c r="H83" s="22"/>
      <c r="I83" s="22"/>
      <c r="J83" s="22"/>
      <c r="K83" s="22"/>
      <c r="L83" s="22"/>
      <c r="M83" s="22"/>
      <c r="N83" s="22"/>
      <c r="O83" s="22"/>
      <c r="P83" s="22"/>
      <c r="Q83" s="23"/>
      <c r="R83" s="23"/>
      <c r="S83" s="23"/>
      <c r="T83" s="23"/>
    </row>
    <row r="84" spans="1:22" ht="18" customHeight="1">
      <c r="U84" s="19"/>
      <c r="V84" s="19"/>
    </row>
    <row r="85" spans="1:22" ht="35.1" customHeight="1">
      <c r="U85" s="19"/>
      <c r="V85" s="19"/>
    </row>
    <row r="86" spans="1:22" ht="35.1" customHeight="1">
      <c r="U86" s="19"/>
      <c r="V86" s="19"/>
    </row>
    <row r="87" spans="1:22" ht="35.1" customHeight="1">
      <c r="U87" s="19"/>
      <c r="V87" s="19"/>
    </row>
    <row r="88" spans="1:22" ht="35.1" customHeight="1">
      <c r="U88" s="90"/>
      <c r="V88" s="2"/>
    </row>
    <row r="89" spans="1:22" ht="35.1" customHeight="1">
      <c r="U89" s="90"/>
      <c r="V89" s="2"/>
    </row>
    <row r="90" spans="1:22" ht="35.1" customHeight="1">
      <c r="U90" s="19"/>
      <c r="V90" s="2"/>
    </row>
  </sheetData>
  <sheetProtection sheet="1" objects="1" scenarios="1"/>
  <mergeCells count="70">
    <mergeCell ref="B2:K2"/>
    <mergeCell ref="L2:M2"/>
    <mergeCell ref="N2:O2"/>
    <mergeCell ref="I4:J4"/>
    <mergeCell ref="E1:P1"/>
    <mergeCell ref="N4:R4"/>
    <mergeCell ref="R6:S6"/>
    <mergeCell ref="W6:X6"/>
    <mergeCell ref="AA6:AB6"/>
    <mergeCell ref="AE6:AF6"/>
    <mergeCell ref="F9:J9"/>
    <mergeCell ref="N9:R9"/>
    <mergeCell ref="I6:J6"/>
    <mergeCell ref="AF18:AG18"/>
    <mergeCell ref="W20:X20"/>
    <mergeCell ref="AA20:AB20"/>
    <mergeCell ref="AF20:AG20"/>
    <mergeCell ref="I11:J11"/>
    <mergeCell ref="N11:T15"/>
    <mergeCell ref="Z11:AA11"/>
    <mergeCell ref="AE11:AF11"/>
    <mergeCell ref="I13:J13"/>
    <mergeCell ref="W13:AK14"/>
    <mergeCell ref="I15:J15"/>
    <mergeCell ref="W15:X15"/>
    <mergeCell ref="AF15:AG15"/>
    <mergeCell ref="E25:F25"/>
    <mergeCell ref="K25:L25"/>
    <mergeCell ref="A17:T17"/>
    <mergeCell ref="B18:S19"/>
    <mergeCell ref="C21:D21"/>
    <mergeCell ref="H21:I21"/>
    <mergeCell ref="N21:O21"/>
    <mergeCell ref="B22:M22"/>
    <mergeCell ref="K23:L23"/>
    <mergeCell ref="Q23:R23"/>
    <mergeCell ref="Q25:R25"/>
    <mergeCell ref="B28:J28"/>
    <mergeCell ref="K28:L28"/>
    <mergeCell ref="C30:D30"/>
    <mergeCell ref="E30:F30"/>
    <mergeCell ref="G30:H30"/>
    <mergeCell ref="I30:J30"/>
    <mergeCell ref="K30:L30"/>
    <mergeCell ref="J32:K32"/>
    <mergeCell ref="J34:K34"/>
    <mergeCell ref="J36:K36"/>
    <mergeCell ref="C38:D38"/>
    <mergeCell ref="F38:G38"/>
    <mergeCell ref="J38:K38"/>
    <mergeCell ref="C50:D50"/>
    <mergeCell ref="G50:H50"/>
    <mergeCell ref="C40:D40"/>
    <mergeCell ref="F40:G40"/>
    <mergeCell ref="I40:J40"/>
    <mergeCell ref="C42:D42"/>
    <mergeCell ref="F42:G42"/>
    <mergeCell ref="J42:K42"/>
    <mergeCell ref="C47:D47"/>
    <mergeCell ref="E47:F47"/>
    <mergeCell ref="G47:H47"/>
    <mergeCell ref="I47:J47"/>
    <mergeCell ref="K47:L47"/>
    <mergeCell ref="E50:F50"/>
    <mergeCell ref="C52:D52"/>
    <mergeCell ref="G52:H52"/>
    <mergeCell ref="J52:K52"/>
    <mergeCell ref="C54:D54"/>
    <mergeCell ref="G54:H54"/>
    <mergeCell ref="J54:K54"/>
  </mergeCells>
  <dataValidations count="3">
    <dataValidation type="list" allowBlank="1" showInputMessage="1" showErrorMessage="1" sqref="H33">
      <formula1>$AK$41:$AK$45</formula1>
    </dataValidation>
    <dataValidation type="list" allowBlank="1" showInputMessage="1" sqref="C42:D42">
      <formula1>DepthAlarm</formula1>
    </dataValidation>
    <dataValidation type="whole" allowBlank="1" showInputMessage="1" showErrorMessage="1" error="Must be between Min and Max" sqref="K28:L28">
      <formula1>K23-1</formula1>
      <formula2>K25</formula2>
    </dataValidation>
  </dataValidations>
  <pageMargins left="0.7" right="0.2" top="0.5" bottom="0.5" header="0" footer="0"/>
  <pageSetup scale="67" orientation="portrait" blackAndWhite="1"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Tank Use" prompt="What will the pump tank be used for?">
          <x14:formula1>
            <xm:f>'Drop-Down Lists'!$M$50:$M$54</xm:f>
          </x14:formula1>
          <xm:sqref>N4</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966"/>
    <pageSetUpPr fitToPage="1"/>
  </sheetPr>
  <dimension ref="A1:AU85"/>
  <sheetViews>
    <sheetView showGridLines="0" view="pageBreakPreview" zoomScaleNormal="100" zoomScaleSheetLayoutView="100" workbookViewId="0">
      <selection activeCell="O4" sqref="O4:S4"/>
    </sheetView>
  </sheetViews>
  <sheetFormatPr defaultColWidth="6.44140625" defaultRowHeight="35.1" customHeight="1"/>
  <cols>
    <col min="1" max="1" width="2.6640625" style="23" customWidth="1"/>
    <col min="2" max="4" width="5.6640625" style="22" customWidth="1"/>
    <col min="5" max="5" width="6.33203125" style="22" customWidth="1"/>
    <col min="6" max="14" width="5.6640625" style="22" customWidth="1"/>
    <col min="15" max="15" width="7.109375" style="22" customWidth="1"/>
    <col min="16" max="16" width="5.6640625" style="22" customWidth="1"/>
    <col min="17" max="19" width="5.6640625" style="23" customWidth="1"/>
    <col min="20" max="20" width="9.44140625" style="23" customWidth="1"/>
    <col min="21" max="34" width="6.44140625" style="22" customWidth="1"/>
    <col min="35" max="16384" width="6.44140625" style="22"/>
  </cols>
  <sheetData>
    <row r="1" spans="1:47" ht="54.9" customHeight="1" thickBot="1">
      <c r="A1" s="3740" t="s">
        <v>1757</v>
      </c>
      <c r="B1" s="3740"/>
      <c r="C1" s="3740"/>
      <c r="D1" s="3740"/>
      <c r="E1" s="3740"/>
      <c r="F1" s="3740"/>
      <c r="G1" s="3740"/>
      <c r="H1" s="3740"/>
      <c r="I1" s="3740"/>
      <c r="J1" s="3740"/>
      <c r="K1" s="3740"/>
      <c r="L1" s="3740"/>
      <c r="M1" s="3740"/>
      <c r="N1" s="3740"/>
      <c r="O1" s="3740"/>
      <c r="P1" s="3740"/>
      <c r="Q1" s="3740"/>
      <c r="R1" s="3740"/>
      <c r="S1" s="3740"/>
      <c r="T1" s="3740"/>
      <c r="V1" s="2290"/>
      <c r="W1" s="1472" t="s">
        <v>1791</v>
      </c>
      <c r="X1" s="2290"/>
      <c r="Y1" s="2290"/>
      <c r="Z1" s="2290"/>
      <c r="AA1" s="2290"/>
      <c r="AB1" s="2290"/>
      <c r="AC1" s="2290"/>
      <c r="AD1" s="1426"/>
      <c r="AE1" s="1426"/>
      <c r="AF1" s="1438"/>
      <c r="AG1" s="1438"/>
      <c r="AH1" s="2290"/>
      <c r="AI1" s="2290"/>
      <c r="AJ1" s="2290"/>
      <c r="AK1" s="2290"/>
      <c r="AL1" s="2290"/>
      <c r="AM1" s="2290"/>
      <c r="AN1" s="2290"/>
      <c r="AO1" s="1428"/>
    </row>
    <row r="2" spans="1:47" ht="24" customHeight="1">
      <c r="A2" s="2375"/>
      <c r="B2" s="3702" t="s">
        <v>1062</v>
      </c>
      <c r="C2" s="3702"/>
      <c r="D2" s="3702"/>
      <c r="E2" s="3702"/>
      <c r="F2" s="3702"/>
      <c r="G2" s="3702"/>
      <c r="H2" s="3702"/>
      <c r="I2" s="3702"/>
      <c r="J2" s="3702"/>
      <c r="K2" s="3702"/>
      <c r="L2" s="3701" t="s">
        <v>1016</v>
      </c>
      <c r="M2" s="3701"/>
      <c r="N2" s="3703" t="str">
        <f>IF(ISBLANK(Summary!S3)," ",Summary!S3)</f>
        <v xml:space="preserve"> </v>
      </c>
      <c r="O2" s="3703"/>
      <c r="P2" s="2283"/>
      <c r="Q2" s="2283"/>
      <c r="R2" s="2283"/>
      <c r="S2" s="2283"/>
      <c r="T2" s="1443" t="str">
        <f>'Drop-Down Lists'!$J40</f>
        <v>v 04.01.2021</v>
      </c>
      <c r="V2" s="1194"/>
      <c r="W2" s="2290" t="s">
        <v>1083</v>
      </c>
      <c r="X2" s="2281"/>
      <c r="Y2" s="2281"/>
      <c r="Z2" s="2281"/>
      <c r="AA2" s="2281"/>
      <c r="AB2" s="2281"/>
      <c r="AC2" s="2281"/>
      <c r="AD2" s="2281"/>
      <c r="AE2" s="2281"/>
      <c r="AF2" s="2281"/>
      <c r="AG2" s="2281"/>
      <c r="AH2" s="2290"/>
      <c r="AI2" s="2290"/>
      <c r="AJ2" s="2290"/>
      <c r="AK2" s="2290"/>
      <c r="AL2" s="2290"/>
      <c r="AM2" s="2290"/>
      <c r="AN2" s="2290"/>
      <c r="AO2" s="2290"/>
      <c r="AT2" s="2271"/>
      <c r="AU2" s="2271"/>
    </row>
    <row r="3" spans="1:47" ht="6" customHeight="1">
      <c r="A3" s="2075"/>
      <c r="B3" s="147"/>
      <c r="C3" s="147"/>
      <c r="D3" s="147"/>
      <c r="E3" s="147"/>
      <c r="F3" s="147"/>
      <c r="G3" s="147"/>
      <c r="H3" s="147"/>
      <c r="I3" s="147" t="s">
        <v>826</v>
      </c>
      <c r="J3" s="147"/>
      <c r="K3" s="147"/>
      <c r="L3" s="147"/>
      <c r="M3" s="147"/>
      <c r="N3" s="147"/>
      <c r="O3" s="147"/>
      <c r="P3" s="147"/>
      <c r="Q3" s="147"/>
      <c r="R3" s="147"/>
      <c r="S3" s="147"/>
      <c r="T3" s="1445"/>
      <c r="AK3" s="2280"/>
      <c r="AL3" s="2273"/>
      <c r="AM3" s="2273"/>
      <c r="AN3" s="2273"/>
      <c r="AO3" s="2273"/>
      <c r="AT3" s="2271"/>
      <c r="AU3" s="2271"/>
    </row>
    <row r="4" spans="1:47" ht="15.9" customHeight="1">
      <c r="A4" s="1457" t="s">
        <v>2038</v>
      </c>
      <c r="B4" s="812" t="s">
        <v>147</v>
      </c>
      <c r="C4" s="2200" t="s">
        <v>1606</v>
      </c>
      <c r="D4" s="1925"/>
      <c r="E4" s="1925"/>
      <c r="F4" s="1925"/>
      <c r="G4" s="1925"/>
      <c r="H4" s="2280"/>
      <c r="I4" s="3753" t="str">
        <f>IF(ISBLANK(Summary!I11),"",Summary!I11)</f>
        <v xml:space="preserve"> </v>
      </c>
      <c r="J4" s="3747"/>
      <c r="K4" s="1925" t="s">
        <v>313</v>
      </c>
      <c r="L4" s="2266" t="s">
        <v>631</v>
      </c>
      <c r="M4" s="2281" t="s">
        <v>1790</v>
      </c>
      <c r="N4" s="2280"/>
      <c r="O4" s="3704"/>
      <c r="P4" s="3705"/>
      <c r="Q4" s="3705"/>
      <c r="R4" s="3705"/>
      <c r="S4" s="3706"/>
      <c r="T4" s="793"/>
      <c r="V4" s="2273" t="s">
        <v>147</v>
      </c>
      <c r="W4" s="2280" t="s">
        <v>148</v>
      </c>
      <c r="X4" s="2280"/>
      <c r="Y4" s="2280"/>
      <c r="Z4" s="2280"/>
      <c r="AA4" s="2280"/>
      <c r="AB4" s="2280"/>
      <c r="AK4" s="2280"/>
      <c r="AL4" s="2273"/>
      <c r="AM4" s="2273"/>
      <c r="AN4" s="2273"/>
      <c r="AO4" s="2273"/>
      <c r="AT4" s="2271"/>
      <c r="AU4" s="2271"/>
    </row>
    <row r="5" spans="1:47" ht="6" customHeight="1">
      <c r="A5" s="1457"/>
      <c r="B5" s="812"/>
      <c r="C5" s="2200"/>
      <c r="D5" s="1925"/>
      <c r="E5" s="1925"/>
      <c r="F5" s="1925"/>
      <c r="G5" s="1925"/>
      <c r="H5" s="2280"/>
      <c r="I5" s="2364"/>
      <c r="J5" s="1899"/>
      <c r="K5" s="1925"/>
      <c r="L5" s="2266"/>
      <c r="M5" s="2281"/>
      <c r="N5" s="2281"/>
      <c r="O5" s="2281"/>
      <c r="P5" s="2280"/>
      <c r="Q5" s="1260"/>
      <c r="R5" s="1260"/>
      <c r="S5" s="2281"/>
      <c r="T5" s="793"/>
      <c r="AK5" s="2281"/>
      <c r="AL5" s="2266"/>
      <c r="AM5" s="2266"/>
      <c r="AN5" s="2266"/>
      <c r="AO5" s="2266"/>
      <c r="AT5" s="2271"/>
      <c r="AU5" s="2271"/>
    </row>
    <row r="6" spans="1:47" ht="19.350000000000001" customHeight="1">
      <c r="A6" s="1457"/>
      <c r="B6" s="2266" t="s">
        <v>149</v>
      </c>
      <c r="C6" s="2201" t="s">
        <v>1936</v>
      </c>
      <c r="D6" s="2281"/>
      <c r="E6" s="2281"/>
      <c r="F6" s="2280"/>
      <c r="G6" s="2263">
        <v>70</v>
      </c>
      <c r="H6" s="2225" t="s">
        <v>630</v>
      </c>
      <c r="I6" s="3741" t="str">
        <f>IFERROR(I4*G6/100,"")</f>
        <v/>
      </c>
      <c r="J6" s="3742"/>
      <c r="K6" s="2281" t="s">
        <v>741</v>
      </c>
      <c r="L6" s="2203" t="s">
        <v>1938</v>
      </c>
      <c r="M6" s="2281"/>
      <c r="N6" s="2281"/>
      <c r="O6" s="2281"/>
      <c r="P6" s="2280"/>
      <c r="Q6" s="1260"/>
      <c r="R6" s="1260"/>
      <c r="S6" s="2281"/>
      <c r="T6" s="793"/>
      <c r="W6" s="2280"/>
      <c r="X6" s="2273" t="s">
        <v>288</v>
      </c>
      <c r="Y6" s="2280"/>
      <c r="Z6" s="3724"/>
      <c r="AA6" s="3725"/>
      <c r="AB6" s="485">
        <v>2</v>
      </c>
      <c r="AC6" s="2280" t="s">
        <v>92</v>
      </c>
      <c r="AD6" s="2273" t="s">
        <v>102</v>
      </c>
      <c r="AE6" s="3738" t="str">
        <f>IF(ISBLANK(Z6)," ",PI()*Z6*Z6)</f>
        <v xml:space="preserve"> </v>
      </c>
      <c r="AF6" s="3739"/>
      <c r="AG6" s="2280" t="s">
        <v>22</v>
      </c>
      <c r="AK6" s="2280"/>
      <c r="AL6" s="2280"/>
      <c r="AM6" s="2280"/>
      <c r="AN6" s="2273"/>
      <c r="AO6" s="2273"/>
      <c r="AT6" s="2271"/>
      <c r="AU6" s="2271"/>
    </row>
    <row r="7" spans="1:47" ht="6" customHeight="1">
      <c r="A7" s="2072"/>
      <c r="B7" s="2290"/>
      <c r="C7" s="2290"/>
      <c r="D7" s="2290"/>
      <c r="E7" s="2290"/>
      <c r="F7" s="2290"/>
      <c r="G7" s="2290"/>
      <c r="H7" s="2290"/>
      <c r="I7" s="2280"/>
      <c r="J7" s="2280"/>
      <c r="K7" s="2280"/>
      <c r="L7" s="2290"/>
      <c r="M7" s="2290"/>
      <c r="N7" s="2290"/>
      <c r="O7" s="2290"/>
      <c r="P7" s="2290"/>
      <c r="Q7" s="2290"/>
      <c r="R7" s="2290"/>
      <c r="S7" s="2290"/>
      <c r="T7" s="1448"/>
      <c r="V7" s="1191"/>
      <c r="AD7" s="2280"/>
      <c r="AE7" s="2280"/>
      <c r="AF7" s="2280"/>
      <c r="AG7" s="2280"/>
      <c r="AH7" s="2280"/>
      <c r="AI7" s="2280"/>
      <c r="AJ7" s="2280"/>
      <c r="AK7" s="2266"/>
      <c r="AL7" s="2266"/>
      <c r="AM7" s="2266"/>
      <c r="AN7" s="712"/>
      <c r="AO7" s="2273"/>
      <c r="AT7" s="2271"/>
      <c r="AU7" s="2271"/>
    </row>
    <row r="8" spans="1:47" ht="18.75" customHeight="1">
      <c r="A8" s="2072"/>
      <c r="B8" s="2266" t="s">
        <v>588</v>
      </c>
      <c r="C8" s="2281" t="s">
        <v>1386</v>
      </c>
      <c r="D8" s="2281"/>
      <c r="E8" s="2281"/>
      <c r="F8" s="2281"/>
      <c r="G8" s="2281"/>
      <c r="H8" s="2281"/>
      <c r="I8" s="3098"/>
      <c r="J8" s="3099"/>
      <c r="K8" s="2281" t="s">
        <v>741</v>
      </c>
      <c r="L8" s="2266" t="s">
        <v>589</v>
      </c>
      <c r="M8" s="1468" t="s">
        <v>1604</v>
      </c>
      <c r="N8" s="2267"/>
      <c r="O8" s="2267"/>
      <c r="P8" s="2280"/>
      <c r="Q8" s="3765"/>
      <c r="R8" s="3766"/>
      <c r="S8" s="1468" t="s">
        <v>741</v>
      </c>
      <c r="T8" s="1242"/>
      <c r="U8" s="48"/>
      <c r="V8" s="2273" t="s">
        <v>149</v>
      </c>
      <c r="W8" s="3562" t="s">
        <v>1388</v>
      </c>
      <c r="X8" s="3562"/>
      <c r="Y8" s="3562"/>
      <c r="Z8" s="3562"/>
      <c r="AA8" s="3562"/>
      <c r="AB8" s="3562"/>
      <c r="AC8" s="3562"/>
      <c r="AD8" s="3562"/>
      <c r="AE8" s="3562"/>
      <c r="AF8" s="3562"/>
      <c r="AG8" s="3562"/>
      <c r="AH8" s="3562"/>
      <c r="AI8" s="3562"/>
      <c r="AJ8" s="3562"/>
      <c r="AK8" s="3562"/>
      <c r="AL8" s="2281"/>
      <c r="AM8" s="2281"/>
      <c r="AN8" s="712"/>
      <c r="AO8" s="2273"/>
      <c r="AT8" s="2271"/>
      <c r="AU8" s="2271"/>
    </row>
    <row r="9" spans="1:47" ht="7.5" customHeight="1">
      <c r="A9" s="2072"/>
      <c r="B9" s="2290"/>
      <c r="C9" s="2290"/>
      <c r="D9" s="2290"/>
      <c r="E9" s="2290"/>
      <c r="F9" s="2290"/>
      <c r="G9" s="2290"/>
      <c r="H9" s="2290"/>
      <c r="I9" s="2280"/>
      <c r="J9" s="2280"/>
      <c r="K9" s="2280"/>
      <c r="L9" s="1441"/>
      <c r="M9" s="2290"/>
      <c r="N9" s="2290"/>
      <c r="O9" s="2290"/>
      <c r="P9" s="2290"/>
      <c r="Q9" s="2290"/>
      <c r="R9" s="2290"/>
      <c r="S9" s="2290"/>
      <c r="T9" s="1448"/>
      <c r="V9" s="2266"/>
      <c r="W9" s="3562"/>
      <c r="X9" s="3562"/>
      <c r="Y9" s="3562"/>
      <c r="Z9" s="3562"/>
      <c r="AA9" s="3562"/>
      <c r="AB9" s="3562"/>
      <c r="AC9" s="3562"/>
      <c r="AD9" s="3562"/>
      <c r="AE9" s="3562"/>
      <c r="AF9" s="3562"/>
      <c r="AG9" s="3562"/>
      <c r="AH9" s="3562"/>
      <c r="AI9" s="3562"/>
      <c r="AJ9" s="3562"/>
      <c r="AK9" s="3562"/>
      <c r="AL9" s="2266"/>
      <c r="AM9" s="2266"/>
      <c r="AN9" s="2280"/>
      <c r="AO9" s="2280"/>
      <c r="AT9" s="2271"/>
      <c r="AU9" s="2271"/>
    </row>
    <row r="10" spans="1:47" ht="6" customHeight="1">
      <c r="A10" s="2075"/>
      <c r="B10" s="147"/>
      <c r="C10" s="147"/>
      <c r="D10" s="147"/>
      <c r="E10" s="147"/>
      <c r="F10" s="147"/>
      <c r="G10" s="147"/>
      <c r="H10" s="147"/>
      <c r="I10" s="74"/>
      <c r="J10" s="74"/>
      <c r="K10" s="74"/>
      <c r="L10" s="2290"/>
      <c r="M10" s="147"/>
      <c r="N10" s="147"/>
      <c r="O10" s="147"/>
      <c r="P10" s="147"/>
      <c r="Q10" s="147"/>
      <c r="R10" s="147"/>
      <c r="S10" s="147"/>
      <c r="T10" s="1445"/>
      <c r="V10" s="2273"/>
      <c r="AJ10" s="2280"/>
      <c r="AK10" s="2273"/>
      <c r="AL10" s="2266"/>
      <c r="AM10" s="2266"/>
      <c r="AN10" s="2266"/>
      <c r="AO10" s="2266"/>
      <c r="AT10" s="2271"/>
    </row>
    <row r="11" spans="1:47" s="48" customFormat="1" ht="19.350000000000001" customHeight="1">
      <c r="A11" s="1456" t="s">
        <v>2039</v>
      </c>
      <c r="B11" s="2273" t="s">
        <v>147</v>
      </c>
      <c r="C11" s="2280" t="s">
        <v>961</v>
      </c>
      <c r="D11" s="57"/>
      <c r="E11" s="2266"/>
      <c r="F11" s="3098"/>
      <c r="G11" s="3712"/>
      <c r="H11" s="3712"/>
      <c r="I11" s="3712"/>
      <c r="J11" s="3099"/>
      <c r="K11" s="2280"/>
      <c r="L11" s="2273" t="s">
        <v>631</v>
      </c>
      <c r="M11" s="2280" t="s">
        <v>962</v>
      </c>
      <c r="N11" s="57"/>
      <c r="O11" s="3100"/>
      <c r="P11" s="3112"/>
      <c r="Q11" s="3112"/>
      <c r="R11" s="3112"/>
      <c r="S11" s="3101"/>
      <c r="T11" s="2157"/>
      <c r="U11" s="22"/>
      <c r="V11" s="2273"/>
      <c r="W11" s="3724"/>
      <c r="X11" s="3725"/>
      <c r="Y11" s="2273" t="s">
        <v>22</v>
      </c>
      <c r="Z11" s="2273" t="s">
        <v>16</v>
      </c>
      <c r="AA11" s="1468" t="s">
        <v>1387</v>
      </c>
      <c r="AB11" s="1052"/>
      <c r="AC11" s="161"/>
      <c r="AD11" s="161"/>
      <c r="AE11" s="2273" t="s">
        <v>102</v>
      </c>
      <c r="AF11" s="3738" t="str">
        <f>IF(ISBLANK(W11)," ",W11*7.5/12)</f>
        <v xml:space="preserve"> </v>
      </c>
      <c r="AG11" s="3739"/>
      <c r="AH11" s="2280" t="s">
        <v>702</v>
      </c>
      <c r="AI11" s="2280"/>
      <c r="AJ11" s="2280"/>
      <c r="AK11" s="2280"/>
      <c r="AL11" s="2280"/>
      <c r="AM11" s="2280"/>
      <c r="AN11" s="1428"/>
      <c r="AO11" s="2280"/>
      <c r="AP11" s="22"/>
      <c r="AQ11" s="22"/>
      <c r="AT11" s="2271"/>
    </row>
    <row r="12" spans="1:47" ht="6" customHeight="1">
      <c r="A12" s="2294"/>
      <c r="B12" s="2273"/>
      <c r="C12" s="2280"/>
      <c r="D12" s="57"/>
      <c r="E12" s="2266"/>
      <c r="F12" s="55"/>
      <c r="G12" s="55"/>
      <c r="H12" s="92"/>
      <c r="I12" s="2281"/>
      <c r="J12" s="2266"/>
      <c r="K12" s="55"/>
      <c r="L12" s="55"/>
      <c r="M12" s="2273"/>
      <c r="N12" s="849"/>
      <c r="O12" s="849"/>
      <c r="P12" s="508"/>
      <c r="Q12" s="508"/>
      <c r="R12" s="508"/>
      <c r="S12" s="508"/>
      <c r="T12" s="1452"/>
      <c r="AL12" s="2273"/>
      <c r="AM12" s="2273"/>
      <c r="AN12" s="2266"/>
      <c r="AO12" s="2266"/>
      <c r="AT12" s="2271"/>
    </row>
    <row r="13" spans="1:47" ht="19.350000000000001" customHeight="1">
      <c r="A13" s="1453"/>
      <c r="B13" s="2273" t="s">
        <v>149</v>
      </c>
      <c r="C13" s="2280" t="s">
        <v>1084</v>
      </c>
      <c r="D13" s="2280"/>
      <c r="E13" s="2280"/>
      <c r="F13" s="2280"/>
      <c r="G13" s="2280"/>
      <c r="H13" s="2280"/>
      <c r="I13" s="3098"/>
      <c r="J13" s="3581"/>
      <c r="K13" s="2280" t="s">
        <v>96</v>
      </c>
      <c r="L13" s="2280"/>
      <c r="M13" s="2281"/>
      <c r="N13" s="3732" t="s">
        <v>1085</v>
      </c>
      <c r="O13" s="3732"/>
      <c r="P13" s="3732"/>
      <c r="Q13" s="3732"/>
      <c r="R13" s="3732"/>
      <c r="S13" s="3732"/>
      <c r="T13" s="3733"/>
      <c r="V13" s="2273" t="s">
        <v>588</v>
      </c>
      <c r="W13" s="2280" t="s">
        <v>615</v>
      </c>
      <c r="X13" s="2280"/>
      <c r="Y13" s="2280"/>
      <c r="Z13" s="2280"/>
      <c r="AA13" s="55"/>
      <c r="AB13" s="55"/>
      <c r="AC13" s="92"/>
      <c r="AD13" s="2281"/>
      <c r="AE13" s="2266"/>
      <c r="AF13" s="55"/>
      <c r="AG13" s="55"/>
      <c r="AH13" s="2273"/>
      <c r="AI13" s="2280"/>
      <c r="AJ13" s="2280"/>
      <c r="AK13" s="2280"/>
      <c r="AN13" s="2266"/>
      <c r="AO13" s="2266"/>
      <c r="AT13" s="2271"/>
    </row>
    <row r="14" spans="1:47" ht="6" customHeight="1">
      <c r="A14" s="1453"/>
      <c r="B14" s="2266"/>
      <c r="C14" s="2281"/>
      <c r="D14" s="2281"/>
      <c r="E14" s="2281"/>
      <c r="F14" s="2281"/>
      <c r="G14" s="2281"/>
      <c r="H14" s="55"/>
      <c r="I14" s="1624"/>
      <c r="J14" s="2107"/>
      <c r="K14" s="2280"/>
      <c r="L14" s="2281"/>
      <c r="M14" s="2281"/>
      <c r="N14" s="3732"/>
      <c r="O14" s="3732"/>
      <c r="P14" s="3732"/>
      <c r="Q14" s="3732"/>
      <c r="R14" s="3732"/>
      <c r="S14" s="3732"/>
      <c r="T14" s="3733"/>
      <c r="V14" s="2279"/>
      <c r="W14" s="10"/>
      <c r="X14" s="2280"/>
      <c r="Y14" s="2280"/>
      <c r="Z14" s="2280"/>
      <c r="AA14" s="2280"/>
      <c r="AB14" s="2280"/>
      <c r="AC14" s="2280"/>
      <c r="AD14" s="2280"/>
      <c r="AE14" s="2280"/>
      <c r="AF14" s="1467"/>
      <c r="AG14" s="1467"/>
      <c r="AH14" s="2280"/>
      <c r="AN14" s="2280"/>
      <c r="AO14" s="2280"/>
      <c r="AT14" s="2271"/>
    </row>
    <row r="15" spans="1:47" ht="19.350000000000001" customHeight="1">
      <c r="A15" s="1453"/>
      <c r="B15" s="2266" t="s">
        <v>588</v>
      </c>
      <c r="C15" s="2281" t="s">
        <v>1603</v>
      </c>
      <c r="D15" s="2281"/>
      <c r="E15" s="2281"/>
      <c r="F15" s="2281"/>
      <c r="G15" s="2281"/>
      <c r="H15" s="55"/>
      <c r="I15" s="3583"/>
      <c r="J15" s="3673"/>
      <c r="K15" s="2280" t="s">
        <v>702</v>
      </c>
      <c r="L15" s="2281"/>
      <c r="M15" s="2281"/>
      <c r="N15" s="3732"/>
      <c r="O15" s="3732"/>
      <c r="P15" s="3732"/>
      <c r="Q15" s="3732"/>
      <c r="R15" s="3732"/>
      <c r="S15" s="3732"/>
      <c r="T15" s="3733"/>
      <c r="U15" s="48"/>
      <c r="V15" s="2280"/>
      <c r="W15" s="10" t="s">
        <v>616</v>
      </c>
      <c r="X15" s="2280"/>
      <c r="Y15" s="2280"/>
      <c r="Z15" s="2280"/>
      <c r="AA15" s="2280"/>
      <c r="AB15" s="2280"/>
      <c r="AC15" s="2280"/>
      <c r="AD15" s="2280"/>
      <c r="AE15" s="2280"/>
      <c r="AF15" s="3728"/>
      <c r="AG15" s="3729"/>
      <c r="AH15" s="2280" t="s">
        <v>94</v>
      </c>
      <c r="AI15" s="1468"/>
      <c r="AJ15" s="1468"/>
      <c r="AL15" s="48"/>
      <c r="AM15" s="48"/>
      <c r="AN15" s="2273"/>
      <c r="AO15" s="2273"/>
      <c r="AT15" s="2271"/>
    </row>
    <row r="16" spans="1:47" ht="6" customHeight="1">
      <c r="A16" s="2294"/>
      <c r="B16" s="2280"/>
      <c r="C16" s="2280"/>
      <c r="D16" s="2280"/>
      <c r="E16" s="2280"/>
      <c r="F16" s="2280"/>
      <c r="G16" s="2280"/>
      <c r="H16" s="2280"/>
      <c r="I16" s="2281"/>
      <c r="J16" s="2281"/>
      <c r="K16" s="2280"/>
      <c r="L16" s="2280"/>
      <c r="M16" s="2280"/>
      <c r="N16" s="3732"/>
      <c r="O16" s="3732"/>
      <c r="P16" s="3732"/>
      <c r="Q16" s="3732"/>
      <c r="R16" s="3732"/>
      <c r="S16" s="3732"/>
      <c r="T16" s="3733"/>
      <c r="V16" s="2280"/>
      <c r="AJ16" s="48"/>
      <c r="AK16" s="48"/>
      <c r="AT16" s="2271"/>
    </row>
    <row r="17" spans="1:46" ht="18" customHeight="1">
      <c r="A17" s="1453"/>
      <c r="B17" s="2266" t="s">
        <v>589</v>
      </c>
      <c r="C17" s="2281" t="s">
        <v>1067</v>
      </c>
      <c r="D17" s="2281"/>
      <c r="E17" s="2281"/>
      <c r="F17" s="2281"/>
      <c r="G17" s="2281"/>
      <c r="H17" s="55"/>
      <c r="I17" s="3583"/>
      <c r="J17" s="3673"/>
      <c r="K17" s="2280" t="s">
        <v>640</v>
      </c>
      <c r="L17" s="2280"/>
      <c r="M17" s="2280"/>
      <c r="N17" s="3732"/>
      <c r="O17" s="3732"/>
      <c r="P17" s="3732"/>
      <c r="Q17" s="3732"/>
      <c r="R17" s="3732"/>
      <c r="S17" s="3732"/>
      <c r="T17" s="3733"/>
      <c r="V17" s="2279"/>
      <c r="W17" s="10" t="s">
        <v>617</v>
      </c>
      <c r="X17" s="2280"/>
      <c r="Y17" s="2280"/>
      <c r="Z17" s="2280"/>
      <c r="AA17" s="2280"/>
      <c r="AB17" s="2280"/>
      <c r="AC17" s="2280"/>
      <c r="AD17" s="2273"/>
      <c r="AE17" s="2273"/>
      <c r="AF17" s="2280"/>
      <c r="AG17" s="2280"/>
      <c r="AH17" s="1468"/>
      <c r="AI17" s="48"/>
      <c r="AJ17" s="2280"/>
      <c r="AT17" s="2271"/>
    </row>
    <row r="18" spans="1:46" s="48" customFormat="1" ht="6" customHeight="1">
      <c r="A18" s="2291"/>
      <c r="B18" s="103"/>
      <c r="C18" s="103"/>
      <c r="D18" s="103"/>
      <c r="E18" s="103"/>
      <c r="F18" s="103"/>
      <c r="G18" s="103"/>
      <c r="H18" s="103"/>
      <c r="I18" s="103"/>
      <c r="J18" s="103"/>
      <c r="K18" s="103"/>
      <c r="L18" s="103"/>
      <c r="M18" s="103"/>
      <c r="N18" s="103"/>
      <c r="O18" s="103"/>
      <c r="P18" s="103"/>
      <c r="Q18" s="2282"/>
      <c r="R18" s="2282"/>
      <c r="S18" s="2282"/>
      <c r="T18" s="1455"/>
      <c r="U18" s="22"/>
      <c r="V18" s="2279"/>
      <c r="AI18" s="2280"/>
      <c r="AJ18" s="2280"/>
      <c r="AK18" s="22"/>
      <c r="AL18" s="22"/>
      <c r="AM18" s="22"/>
      <c r="AT18" s="2271"/>
    </row>
    <row r="19" spans="1:46" ht="19.350000000000001" customHeight="1">
      <c r="A19" s="3709" t="s">
        <v>1063</v>
      </c>
      <c r="B19" s="3710"/>
      <c r="C19" s="3710"/>
      <c r="D19" s="3710"/>
      <c r="E19" s="3710"/>
      <c r="F19" s="3710"/>
      <c r="G19" s="3710"/>
      <c r="H19" s="3710"/>
      <c r="I19" s="3710"/>
      <c r="J19" s="3710"/>
      <c r="K19" s="3710"/>
      <c r="L19" s="3710"/>
      <c r="M19" s="3710"/>
      <c r="N19" s="3710"/>
      <c r="O19" s="3710"/>
      <c r="P19" s="3710"/>
      <c r="Q19" s="3710"/>
      <c r="R19" s="3710"/>
      <c r="S19" s="3710"/>
      <c r="T19" s="3711"/>
      <c r="V19" s="2273"/>
      <c r="W19" s="2292" t="str">
        <f>IF(ISBLANK(AF15)," ",(AF15))</f>
        <v xml:space="preserve"> </v>
      </c>
      <c r="X19" s="2289"/>
      <c r="Y19" s="2273" t="s">
        <v>94</v>
      </c>
      <c r="Z19" s="2273" t="s">
        <v>101</v>
      </c>
      <c r="AA19" s="3738">
        <f>IF(ISBLANK(AF11),"",MAX(I16,AF11))</f>
        <v>0</v>
      </c>
      <c r="AB19" s="3739"/>
      <c r="AC19" s="2280" t="s">
        <v>1389</v>
      </c>
      <c r="AD19" s="2280"/>
      <c r="AE19" s="2280"/>
      <c r="AF19" s="2287" t="str">
        <f>IF(ISBLANK(AF15)," ",(W19*AA19))</f>
        <v xml:space="preserve"> </v>
      </c>
      <c r="AG19" s="2264"/>
      <c r="AH19" s="2280" t="s">
        <v>96</v>
      </c>
      <c r="AJ19" s="2280"/>
      <c r="AT19" s="2271"/>
    </row>
    <row r="20" spans="1:46" ht="20.25" customHeight="1">
      <c r="A20" s="1456" t="s">
        <v>2040</v>
      </c>
      <c r="B20" s="3666" t="s">
        <v>2022</v>
      </c>
      <c r="C20" s="3666"/>
      <c r="D20" s="3666"/>
      <c r="E20" s="3666"/>
      <c r="F20" s="3666"/>
      <c r="G20" s="3666"/>
      <c r="H20" s="3666"/>
      <c r="I20" s="3666"/>
      <c r="J20" s="3666"/>
      <c r="K20" s="3666"/>
      <c r="L20" s="3666"/>
      <c r="M20" s="3666"/>
      <c r="N20" s="3666"/>
      <c r="O20" s="3666"/>
      <c r="P20" s="3666"/>
      <c r="Q20" s="3666"/>
      <c r="R20" s="3666"/>
      <c r="S20" s="3666"/>
      <c r="T20" s="3754"/>
      <c r="U20" s="48"/>
      <c r="V20" s="2273"/>
      <c r="W20" s="2273"/>
      <c r="X20" s="2274"/>
      <c r="Y20" s="2274"/>
      <c r="Z20" s="2274"/>
      <c r="AA20" s="2274"/>
      <c r="AB20" s="2274"/>
      <c r="AC20" s="2274"/>
      <c r="AD20" s="2274"/>
      <c r="AE20" s="2274"/>
      <c r="AF20" s="2274"/>
      <c r="AG20" s="2280"/>
      <c r="AH20" s="2280"/>
      <c r="AI20" s="2280"/>
      <c r="AJ20" s="2280"/>
      <c r="AK20" s="48"/>
      <c r="AL20" s="48"/>
      <c r="AM20" s="48"/>
      <c r="AT20" s="2271"/>
    </row>
    <row r="21" spans="1:46" ht="19.350000000000001" customHeight="1">
      <c r="A21" s="2294"/>
      <c r="B21" s="3559" t="s">
        <v>1916</v>
      </c>
      <c r="C21" s="3559"/>
      <c r="D21" s="3559"/>
      <c r="E21" s="3559"/>
      <c r="F21" s="3559"/>
      <c r="G21" s="3559"/>
      <c r="H21" s="3559"/>
      <c r="I21" s="3559"/>
      <c r="J21" s="3559"/>
      <c r="K21" s="3559"/>
      <c r="L21" s="2280"/>
      <c r="M21" s="2280"/>
      <c r="N21" s="2280"/>
      <c r="O21" s="2280"/>
      <c r="P21" s="2280"/>
      <c r="Q21" s="2280"/>
      <c r="R21" s="2280"/>
      <c r="S21" s="2280"/>
      <c r="T21" s="1242"/>
      <c r="AT21" s="2271"/>
    </row>
    <row r="22" spans="1:46" ht="19.350000000000001" customHeight="1">
      <c r="A22" s="2294"/>
      <c r="B22" s="2265" t="s">
        <v>310</v>
      </c>
      <c r="C22" s="3100"/>
      <c r="D22" s="3101"/>
      <c r="E22" s="2273" t="s">
        <v>663</v>
      </c>
      <c r="F22" s="2280" t="s">
        <v>703</v>
      </c>
      <c r="G22" s="2280"/>
      <c r="H22" s="3347" t="str">
        <f>IF(ISBLANK(C22), " ", MAX(I15,AF11))</f>
        <v xml:space="preserve"> </v>
      </c>
      <c r="I22" s="3348"/>
      <c r="J22" s="2280" t="s">
        <v>150</v>
      </c>
      <c r="K22" s="2280"/>
      <c r="L22" s="2273" t="s">
        <v>102</v>
      </c>
      <c r="M22" s="3383" t="str">
        <f>IF(ISBLANK(C22)," ",((C22+2)*H22))</f>
        <v xml:space="preserve"> </v>
      </c>
      <c r="N22" s="3384"/>
      <c r="O22" s="2280" t="s">
        <v>96</v>
      </c>
      <c r="P22" s="2280"/>
      <c r="Q22" s="2273"/>
      <c r="R22" s="2273"/>
      <c r="S22" s="2280"/>
      <c r="T22" s="1242"/>
      <c r="AT22" s="2271"/>
    </row>
    <row r="23" spans="1:46" s="48" customFormat="1" ht="19.350000000000001" customHeight="1">
      <c r="A23" s="1456" t="s">
        <v>2041</v>
      </c>
      <c r="B23" s="3562" t="s">
        <v>1357</v>
      </c>
      <c r="C23" s="3562"/>
      <c r="D23" s="3562"/>
      <c r="E23" s="3562"/>
      <c r="F23" s="3562"/>
      <c r="G23" s="3562"/>
      <c r="H23" s="3562"/>
      <c r="I23" s="3562"/>
      <c r="J23" s="3562"/>
      <c r="K23" s="3562"/>
      <c r="L23" s="3562"/>
      <c r="M23" s="3562"/>
      <c r="N23" s="2281"/>
      <c r="O23" s="2281"/>
      <c r="P23" s="2281"/>
      <c r="Q23" s="2273"/>
      <c r="R23" s="2273"/>
      <c r="S23" s="2273"/>
      <c r="T23" s="1450"/>
      <c r="U23" s="22"/>
      <c r="V23" s="22"/>
      <c r="W23" s="22"/>
      <c r="X23" s="22"/>
      <c r="Y23" s="22"/>
      <c r="Z23" s="22"/>
      <c r="AA23" s="22"/>
      <c r="AB23" s="22"/>
      <c r="AC23" s="22"/>
      <c r="AD23" s="22"/>
      <c r="AE23" s="22"/>
      <c r="AF23" s="22"/>
      <c r="AG23" s="22"/>
      <c r="AH23" s="22"/>
      <c r="AI23" s="22"/>
      <c r="AJ23" s="22"/>
      <c r="AK23" s="22"/>
      <c r="AL23" s="22"/>
      <c r="AM23" s="22"/>
      <c r="AT23" s="2271"/>
    </row>
    <row r="24" spans="1:46" ht="19.350000000000001" customHeight="1">
      <c r="A24" s="2294"/>
      <c r="B24" s="10" t="s">
        <v>1792</v>
      </c>
      <c r="C24" s="1004"/>
      <c r="D24" s="1004"/>
      <c r="E24" s="1004"/>
      <c r="F24" s="1004"/>
      <c r="G24" s="1004"/>
      <c r="H24" s="1004"/>
      <c r="I24" s="1004"/>
      <c r="J24" s="1004"/>
      <c r="K24" s="3383" t="str">
        <f>IF(ISBLANK(C22)," ",MAX('Pres. Dist.'!G73,'Non-Level '!K189))</f>
        <v xml:space="preserve"> </v>
      </c>
      <c r="L24" s="3384"/>
      <c r="M24" s="2280" t="s">
        <v>1403</v>
      </c>
      <c r="N24" s="2280"/>
      <c r="O24" s="2280"/>
      <c r="P24" s="2280"/>
      <c r="Q24" s="3730" t="str">
        <f>IF(ISBLANK(C22)," ",K24/H22)</f>
        <v xml:space="preserve"> </v>
      </c>
      <c r="R24" s="3731"/>
      <c r="S24" s="2280" t="s">
        <v>1827</v>
      </c>
      <c r="T24" s="1242"/>
      <c r="AT24" s="2271"/>
    </row>
    <row r="25" spans="1:46" ht="18.75" customHeight="1">
      <c r="A25" s="1456" t="s">
        <v>2042</v>
      </c>
      <c r="B25" s="2280" t="s">
        <v>618</v>
      </c>
      <c r="C25" s="2280"/>
      <c r="D25" s="2280"/>
      <c r="E25" s="2280"/>
      <c r="F25" s="2280"/>
      <c r="G25" s="2280"/>
      <c r="H25" s="2280"/>
      <c r="I25" s="2280"/>
      <c r="J25" s="2280"/>
      <c r="K25" s="2280"/>
      <c r="L25" s="2280"/>
      <c r="M25" s="2280"/>
      <c r="N25" s="2280"/>
      <c r="O25" s="2280"/>
      <c r="P25" s="2280"/>
      <c r="Q25" s="2280"/>
      <c r="R25" s="2280"/>
      <c r="S25" s="2280"/>
      <c r="T25" s="1242"/>
      <c r="U25" s="48"/>
      <c r="V25" s="48"/>
      <c r="W25" s="48"/>
      <c r="X25" s="48"/>
      <c r="Y25" s="48"/>
      <c r="Z25" s="48"/>
      <c r="AA25" s="48"/>
      <c r="AB25" s="48"/>
      <c r="AC25" s="48"/>
      <c r="AD25" s="48"/>
      <c r="AE25" s="48"/>
      <c r="AF25" s="48"/>
      <c r="AG25" s="48"/>
      <c r="AH25" s="48"/>
      <c r="AI25" s="48"/>
      <c r="AJ25" s="48"/>
      <c r="AK25" s="48"/>
      <c r="AL25" s="48"/>
      <c r="AM25" s="48"/>
      <c r="AT25" s="2271"/>
    </row>
    <row r="26" spans="1:46" ht="19.350000000000001" customHeight="1">
      <c r="A26" s="2294"/>
      <c r="B26" s="2280" t="s">
        <v>312</v>
      </c>
      <c r="C26" s="2280"/>
      <c r="D26" s="2280"/>
      <c r="E26" s="3385" t="str">
        <f>IF(ISBLANK(Summary!I11)," ",Summary!I11)</f>
        <v xml:space="preserve"> </v>
      </c>
      <c r="F26" s="3351"/>
      <c r="G26" s="2273" t="s">
        <v>313</v>
      </c>
      <c r="H26" s="2273" t="s">
        <v>101</v>
      </c>
      <c r="I26" s="1468">
        <v>0.25</v>
      </c>
      <c r="J26" s="2273" t="s">
        <v>102</v>
      </c>
      <c r="K26" s="3383" t="str">
        <f>IF(ISBLANK(C22)," ",(E26*0.25))</f>
        <v xml:space="preserve"> </v>
      </c>
      <c r="L26" s="3384"/>
      <c r="M26" s="2280" t="s">
        <v>1402</v>
      </c>
      <c r="N26" s="2280"/>
      <c r="O26" s="2280"/>
      <c r="P26" s="2280"/>
      <c r="Q26" s="3730" t="str">
        <f>IF(ISBLANK(C22)," ",K26/H22)</f>
        <v xml:space="preserve"> </v>
      </c>
      <c r="R26" s="3731"/>
      <c r="S26" s="2280" t="s">
        <v>1827</v>
      </c>
      <c r="T26" s="1450"/>
      <c r="U26" s="48"/>
      <c r="V26" s="48"/>
      <c r="W26" s="48"/>
      <c r="X26" s="48"/>
      <c r="Y26" s="48"/>
      <c r="Z26" s="48"/>
      <c r="AA26" s="48"/>
      <c r="AB26" s="48"/>
      <c r="AC26" s="48"/>
      <c r="AD26" s="48"/>
      <c r="AE26" s="48"/>
      <c r="AF26" s="48"/>
      <c r="AG26" s="48"/>
      <c r="AH26" s="48"/>
      <c r="AI26" s="48"/>
      <c r="AJ26" s="48"/>
      <c r="AK26" s="48"/>
      <c r="AL26" s="48"/>
      <c r="AM26" s="48"/>
      <c r="AT26" s="2271"/>
    </row>
    <row r="27" spans="1:46" ht="6" customHeight="1">
      <c r="A27" s="1456"/>
      <c r="B27" s="2276"/>
      <c r="C27" s="2276"/>
      <c r="D27" s="2276"/>
      <c r="E27" s="2276"/>
      <c r="F27" s="2276"/>
      <c r="G27" s="2276"/>
      <c r="H27" s="2276"/>
      <c r="I27" s="2276"/>
      <c r="J27" s="2276"/>
      <c r="K27" s="2276"/>
      <c r="L27" s="2276"/>
      <c r="M27" s="2276"/>
      <c r="N27" s="2276"/>
      <c r="O27" s="2276"/>
      <c r="P27" s="2276"/>
      <c r="Q27" s="2280"/>
      <c r="R27" s="2280"/>
      <c r="S27" s="2280"/>
      <c r="T27" s="1242"/>
      <c r="AT27" s="2271"/>
    </row>
    <row r="28" spans="1:46" s="48" customFormat="1" ht="18.75" customHeight="1">
      <c r="A28" s="1457" t="s">
        <v>2043</v>
      </c>
      <c r="B28" s="3736" t="s">
        <v>1393</v>
      </c>
      <c r="C28" s="3736"/>
      <c r="D28" s="3736"/>
      <c r="E28" s="3736"/>
      <c r="F28" s="3736"/>
      <c r="G28" s="3736"/>
      <c r="H28" s="3736"/>
      <c r="I28" s="3736"/>
      <c r="J28" s="3736"/>
      <c r="K28" s="3737"/>
      <c r="L28" s="3100"/>
      <c r="M28" s="3101"/>
      <c r="N28" s="2280" t="s">
        <v>96</v>
      </c>
      <c r="P28" s="2280"/>
      <c r="Q28" s="2280"/>
      <c r="R28" s="2280"/>
      <c r="S28" s="2280"/>
      <c r="T28" s="1242"/>
      <c r="AT28" s="2271"/>
    </row>
    <row r="29" spans="1:46" s="48" customFormat="1" ht="19.350000000000001" customHeight="1">
      <c r="A29" s="1456" t="s">
        <v>2044</v>
      </c>
      <c r="B29" s="2225" t="s">
        <v>1964</v>
      </c>
      <c r="C29" s="2280"/>
      <c r="D29" s="2280"/>
      <c r="E29" s="2280"/>
      <c r="F29" s="2280"/>
      <c r="G29" s="2280"/>
      <c r="H29" s="2280"/>
      <c r="I29" s="2280"/>
      <c r="J29" s="2280"/>
      <c r="K29" s="2280"/>
      <c r="L29" s="2280"/>
      <c r="M29" s="2280"/>
      <c r="N29" s="2280"/>
      <c r="O29" s="2280"/>
      <c r="P29" s="2280"/>
      <c r="Q29" s="2280"/>
      <c r="R29" s="2280"/>
      <c r="S29" s="2280"/>
      <c r="T29" s="1450"/>
      <c r="U29" s="22"/>
      <c r="V29" s="22"/>
      <c r="W29" s="22"/>
      <c r="X29" s="22"/>
      <c r="Y29" s="22"/>
      <c r="Z29" s="22"/>
      <c r="AA29" s="22"/>
      <c r="AB29" s="22"/>
      <c r="AC29" s="22"/>
      <c r="AD29" s="22"/>
      <c r="AE29" s="22"/>
      <c r="AF29" s="22"/>
      <c r="AG29" s="22"/>
      <c r="AH29" s="22"/>
      <c r="AI29" s="22"/>
      <c r="AJ29" s="22"/>
      <c r="AK29" s="22"/>
      <c r="AL29" s="22"/>
      <c r="AM29" s="22"/>
      <c r="AT29" s="2271"/>
    </row>
    <row r="30" spans="1:46" ht="19.350000000000001" customHeight="1">
      <c r="A30" s="1457"/>
      <c r="B30" s="2281"/>
      <c r="C30" s="3385" t="str">
        <f>IF(ISBLANK(E26)," ",I6)</f>
        <v/>
      </c>
      <c r="D30" s="3351"/>
      <c r="E30" s="3368" t="s">
        <v>1841</v>
      </c>
      <c r="F30" s="3369"/>
      <c r="G30" s="3385" t="str">
        <f>IF(ISBLANK(L28)," ",L28)</f>
        <v xml:space="preserve"> </v>
      </c>
      <c r="H30" s="3351"/>
      <c r="I30" s="3368" t="s">
        <v>1390</v>
      </c>
      <c r="J30" s="3652"/>
      <c r="K30" s="3734" t="str">
        <f>IF(ISBLANK(C22)," ",C30/G30)</f>
        <v xml:space="preserve"> </v>
      </c>
      <c r="L30" s="3735"/>
      <c r="M30" s="10" t="s">
        <v>664</v>
      </c>
      <c r="N30" s="2281"/>
      <c r="O30" s="1470"/>
      <c r="P30" s="1470"/>
      <c r="Q30" s="56"/>
      <c r="R30" s="56"/>
      <c r="S30" s="149"/>
      <c r="T30" s="1458"/>
      <c r="U30" s="48"/>
      <c r="V30" s="48"/>
      <c r="W30" s="48"/>
      <c r="X30" s="48"/>
      <c r="Y30" s="48"/>
      <c r="Z30" s="48"/>
      <c r="AA30" s="48"/>
      <c r="AB30" s="48"/>
      <c r="AC30" s="48"/>
      <c r="AD30" s="48"/>
      <c r="AE30" s="48"/>
      <c r="AF30" s="48"/>
      <c r="AG30" s="48"/>
      <c r="AH30" s="2272"/>
      <c r="AI30" s="2272"/>
      <c r="AJ30" s="48"/>
      <c r="AK30" s="2277"/>
      <c r="AL30" s="2268"/>
      <c r="AM30" s="48"/>
      <c r="AT30" s="2271"/>
    </row>
    <row r="31" spans="1:46" s="48" customFormat="1" ht="18.75" customHeight="1">
      <c r="A31" s="1456" t="s">
        <v>2045</v>
      </c>
      <c r="B31" s="2280" t="s">
        <v>17</v>
      </c>
      <c r="C31" s="2280"/>
      <c r="D31" s="2280"/>
      <c r="E31" s="2280"/>
      <c r="F31" s="2280"/>
      <c r="G31" s="2280"/>
      <c r="H31" s="2280"/>
      <c r="I31" s="1470"/>
      <c r="J31" s="2295"/>
      <c r="K31" s="1470"/>
      <c r="L31" s="2266"/>
      <c r="M31" s="56"/>
      <c r="N31" s="10"/>
      <c r="O31" s="2280"/>
      <c r="P31" s="2280"/>
      <c r="Q31" s="2280"/>
      <c r="R31" s="2280"/>
      <c r="S31" s="2280"/>
      <c r="T31" s="1242"/>
      <c r="U31" s="22"/>
      <c r="V31" s="22"/>
      <c r="W31" s="22"/>
      <c r="X31" s="22"/>
      <c r="Y31" s="22"/>
      <c r="Z31" s="22"/>
      <c r="AA31" s="22"/>
      <c r="AB31" s="22"/>
      <c r="AC31" s="22"/>
      <c r="AD31" s="22"/>
      <c r="AE31" s="22"/>
      <c r="AF31" s="22"/>
      <c r="AG31" s="22"/>
      <c r="AH31" s="22"/>
      <c r="AI31" s="22"/>
      <c r="AJ31" s="22"/>
      <c r="AK31" s="22"/>
      <c r="AL31" s="22"/>
      <c r="AM31" s="22"/>
      <c r="AT31" s="2271"/>
    </row>
    <row r="32" spans="1:46" ht="19.350000000000001" customHeight="1">
      <c r="A32" s="1456"/>
      <c r="B32" s="2280" t="s">
        <v>147</v>
      </c>
      <c r="C32" s="10" t="s">
        <v>619</v>
      </c>
      <c r="D32" s="2280"/>
      <c r="E32" s="2280"/>
      <c r="F32" s="2280"/>
      <c r="G32" s="2280"/>
      <c r="H32" s="2280"/>
      <c r="I32" s="2280"/>
      <c r="J32" s="3385" t="str">
        <f>IF(ISBLANK(L28),"",('Pump-Basic(1) '!F28))</f>
        <v/>
      </c>
      <c r="K32" s="3351"/>
      <c r="L32" s="2281" t="s">
        <v>640</v>
      </c>
      <c r="M32" s="2280"/>
      <c r="N32" s="2280"/>
      <c r="O32" s="2280"/>
      <c r="P32" s="2280"/>
      <c r="Q32" s="2280"/>
      <c r="R32" s="2280"/>
      <c r="S32" s="2280"/>
      <c r="T32" s="1242"/>
      <c r="AT32" s="2271"/>
    </row>
    <row r="33" spans="1:46" s="48" customFormat="1" ht="6" customHeight="1">
      <c r="A33" s="1457"/>
      <c r="B33" s="2281"/>
      <c r="C33" s="2269"/>
      <c r="D33" s="2281"/>
      <c r="E33" s="2281"/>
      <c r="F33" s="2281"/>
      <c r="G33" s="2281"/>
      <c r="H33" s="1470"/>
      <c r="I33" s="1470"/>
      <c r="J33" s="2290"/>
      <c r="K33" s="2281"/>
      <c r="L33" s="2281"/>
      <c r="M33" s="2281"/>
      <c r="N33" s="2281"/>
      <c r="O33" s="2281"/>
      <c r="P33" s="2281"/>
      <c r="Q33" s="1470"/>
      <c r="R33" s="1470"/>
      <c r="S33" s="2290"/>
      <c r="T33" s="793"/>
      <c r="U33" s="22"/>
      <c r="V33" s="22"/>
      <c r="W33" s="22"/>
      <c r="X33" s="22"/>
      <c r="Y33" s="22"/>
      <c r="Z33" s="22"/>
      <c r="AA33" s="22"/>
      <c r="AB33" s="22"/>
      <c r="AC33" s="22"/>
      <c r="AD33" s="22"/>
      <c r="AE33" s="22"/>
      <c r="AF33" s="22"/>
      <c r="AG33" s="22"/>
      <c r="AH33" s="22"/>
      <c r="AI33" s="22"/>
      <c r="AJ33" s="22"/>
      <c r="AK33" s="22"/>
      <c r="AL33" s="22"/>
      <c r="AM33" s="22"/>
      <c r="AT33" s="2271"/>
    </row>
    <row r="34" spans="1:46" ht="19.350000000000001" customHeight="1">
      <c r="A34" s="1457"/>
      <c r="B34" s="2280" t="s">
        <v>631</v>
      </c>
      <c r="C34" s="2280" t="s">
        <v>18</v>
      </c>
      <c r="D34" s="2280"/>
      <c r="E34" s="2280"/>
      <c r="F34" s="2280"/>
      <c r="G34" s="2280"/>
      <c r="H34" s="2280"/>
      <c r="I34" s="2280"/>
      <c r="J34" s="3383" t="str">
        <f>IF(ISBLANK(L28),"",'Pump-Basic(1) '!F30)</f>
        <v/>
      </c>
      <c r="K34" s="3351"/>
      <c r="L34" s="2281" t="s">
        <v>629</v>
      </c>
      <c r="M34" s="2281"/>
      <c r="N34" s="2281"/>
      <c r="O34" s="2281"/>
      <c r="P34" s="2281"/>
      <c r="Q34" s="1470"/>
      <c r="R34" s="1470"/>
      <c r="S34" s="2290"/>
      <c r="T34" s="793"/>
      <c r="AH34" s="17"/>
      <c r="AI34" s="17"/>
      <c r="AK34" s="2277"/>
      <c r="AL34" s="2277"/>
      <c r="AT34" s="2271"/>
    </row>
    <row r="35" spans="1:46" ht="6" customHeight="1">
      <c r="A35" s="1456"/>
      <c r="B35" s="2280"/>
      <c r="C35" s="1470"/>
      <c r="D35" s="1470"/>
      <c r="E35" s="2266"/>
      <c r="F35" s="1470"/>
      <c r="G35" s="1470"/>
      <c r="H35" s="2281"/>
      <c r="I35" s="2281"/>
      <c r="J35" s="55"/>
      <c r="K35" s="501"/>
      <c r="L35" s="2281"/>
      <c r="M35" s="2280"/>
      <c r="N35" s="10"/>
      <c r="O35" s="2280"/>
      <c r="P35" s="2280"/>
      <c r="Q35" s="2280"/>
      <c r="R35" s="2280"/>
      <c r="S35" s="2280"/>
      <c r="T35" s="1242"/>
      <c r="AH35" s="17"/>
      <c r="AI35" s="17"/>
      <c r="AK35" s="2277"/>
      <c r="AL35" s="2277"/>
      <c r="AT35" s="2271"/>
    </row>
    <row r="36" spans="1:46" ht="19.350000000000001" customHeight="1">
      <c r="A36" s="1456"/>
      <c r="B36" s="2280" t="s">
        <v>149</v>
      </c>
      <c r="C36" s="10" t="s">
        <v>620</v>
      </c>
      <c r="D36" s="2280"/>
      <c r="E36" s="2280"/>
      <c r="F36" s="2280"/>
      <c r="G36" s="2280"/>
      <c r="H36" s="2280"/>
      <c r="I36" s="1470"/>
      <c r="J36" s="3718" t="str">
        <f>IF(ISBLANK(C22)," ",IF(J32=1,"0.045",IF(J32=1.25,"0.078",IF(J32=1.5,"0.110",IF(J32=2,"0.170",IF(J32=3,"0.380"))))))</f>
        <v xml:space="preserve"> </v>
      </c>
      <c r="K36" s="3719"/>
      <c r="L36" s="2280" t="s">
        <v>661</v>
      </c>
      <c r="M36" s="56"/>
      <c r="N36" s="10"/>
      <c r="O36" s="2280"/>
      <c r="P36" s="2280"/>
      <c r="Q36" s="2280"/>
      <c r="R36" s="2280"/>
      <c r="S36" s="2280"/>
      <c r="T36" s="1242"/>
      <c r="U36" s="48"/>
      <c r="V36" s="48"/>
      <c r="W36" s="48"/>
      <c r="X36" s="48"/>
      <c r="Y36" s="48"/>
      <c r="Z36" s="48"/>
      <c r="AA36" s="48"/>
      <c r="AB36" s="48"/>
      <c r="AC36" s="48"/>
      <c r="AD36" s="48"/>
      <c r="AE36" s="48"/>
      <c r="AF36" s="48"/>
      <c r="AG36" s="48"/>
      <c r="AH36" s="2272"/>
      <c r="AI36" s="2272"/>
      <c r="AJ36" s="48"/>
      <c r="AK36" s="2277"/>
      <c r="AL36" s="2268"/>
      <c r="AM36" s="48"/>
      <c r="AT36" s="2271"/>
    </row>
    <row r="37" spans="1:46" ht="19.350000000000001" customHeight="1">
      <c r="A37" s="1456"/>
      <c r="B37" s="2280" t="s">
        <v>588</v>
      </c>
      <c r="C37" s="10" t="s">
        <v>621</v>
      </c>
      <c r="D37" s="2280"/>
      <c r="E37" s="2280"/>
      <c r="F37" s="2280"/>
      <c r="G37" s="2280"/>
      <c r="H37" s="2280"/>
      <c r="I37" s="1470"/>
      <c r="J37" s="2295"/>
      <c r="K37" s="2295"/>
      <c r="L37" s="2266"/>
      <c r="M37" s="56"/>
      <c r="N37" s="10"/>
      <c r="O37" s="2280"/>
      <c r="P37" s="2280"/>
      <c r="Q37" s="2280"/>
      <c r="R37" s="2280"/>
      <c r="S37" s="2280"/>
      <c r="T37" s="1242"/>
      <c r="AT37" s="2271"/>
    </row>
    <row r="38" spans="1:46" ht="19.350000000000001" customHeight="1">
      <c r="A38" s="1456"/>
      <c r="B38" s="2280"/>
      <c r="C38" s="3385" t="str">
        <f>IF(ISBLANK(J32),"",J34)</f>
        <v/>
      </c>
      <c r="D38" s="3351"/>
      <c r="E38" s="2273" t="s">
        <v>122</v>
      </c>
      <c r="F38" s="3385" t="str">
        <f>J36</f>
        <v xml:space="preserve"> </v>
      </c>
      <c r="G38" s="3351"/>
      <c r="H38" s="2280" t="s">
        <v>1391</v>
      </c>
      <c r="I38" s="2280"/>
      <c r="J38" s="3347" t="str">
        <f>IF(ISBLANK(C22),"",C38*F38)</f>
        <v/>
      </c>
      <c r="K38" s="3715"/>
      <c r="L38" s="2281" t="s">
        <v>96</v>
      </c>
      <c r="M38" s="2280"/>
      <c r="N38" s="10"/>
      <c r="O38" s="2280"/>
      <c r="P38" s="2280"/>
      <c r="Q38" s="2280"/>
      <c r="R38" s="2280"/>
      <c r="S38" s="2280"/>
      <c r="T38" s="1242"/>
      <c r="U38" s="2281"/>
      <c r="V38" s="2281"/>
      <c r="W38" s="2281"/>
      <c r="X38" s="2281"/>
      <c r="Y38" s="2281"/>
      <c r="Z38" s="2281"/>
      <c r="AA38" s="2281"/>
      <c r="AB38" s="2281"/>
      <c r="AC38" s="2281"/>
      <c r="AD38" s="2281"/>
      <c r="AE38" s="2281"/>
      <c r="AF38" s="2281"/>
      <c r="AG38" s="2281"/>
      <c r="AH38" s="2281"/>
      <c r="AI38" s="2281"/>
      <c r="AJ38" s="2281"/>
      <c r="AK38" s="2281"/>
      <c r="AL38" s="2281"/>
      <c r="AM38" s="2281"/>
      <c r="AT38" s="2271"/>
    </row>
    <row r="39" spans="1:46" s="48" customFormat="1" ht="19.350000000000001" customHeight="1">
      <c r="A39" s="1456" t="s">
        <v>2046</v>
      </c>
      <c r="B39" s="10" t="s">
        <v>1605</v>
      </c>
      <c r="C39" s="2280"/>
      <c r="D39" s="2280"/>
      <c r="E39" s="2280"/>
      <c r="F39" s="2280"/>
      <c r="G39" s="2280"/>
      <c r="H39" s="2280"/>
      <c r="I39" s="1470"/>
      <c r="J39" s="2295"/>
      <c r="K39" s="1470"/>
      <c r="L39" s="2266"/>
      <c r="M39" s="56"/>
      <c r="N39" s="10"/>
      <c r="O39" s="2280"/>
      <c r="P39" s="2280"/>
      <c r="Q39" s="2280"/>
      <c r="R39" s="2280"/>
      <c r="S39" s="2280"/>
      <c r="T39" s="1242"/>
      <c r="U39" s="2281"/>
      <c r="V39" s="2281"/>
      <c r="W39" s="2281"/>
      <c r="X39" s="2281"/>
      <c r="Y39" s="2281"/>
      <c r="Z39" s="2281"/>
      <c r="AA39" s="2281"/>
      <c r="AB39" s="2281"/>
      <c r="AC39" s="2281"/>
      <c r="AD39" s="2281"/>
      <c r="AE39" s="2281"/>
      <c r="AF39" s="2281"/>
      <c r="AG39" s="2281"/>
      <c r="AH39" s="2281"/>
      <c r="AI39" s="2281"/>
      <c r="AJ39" s="2281"/>
      <c r="AK39" s="2281"/>
      <c r="AL39" s="2281"/>
      <c r="AM39" s="2281"/>
      <c r="AT39" s="2271"/>
    </row>
    <row r="40" spans="1:46" ht="18" customHeight="1">
      <c r="A40" s="1456"/>
      <c r="B40" s="2280"/>
      <c r="C40" s="3385" t="str">
        <f>IF(ISBLANK(L28), " ", L28)</f>
        <v xml:space="preserve"> </v>
      </c>
      <c r="D40" s="3351"/>
      <c r="E40" s="2273" t="s">
        <v>666</v>
      </c>
      <c r="F40" s="3347" t="str">
        <f>J38</f>
        <v/>
      </c>
      <c r="G40" s="3351"/>
      <c r="H40" s="2273" t="s">
        <v>667</v>
      </c>
      <c r="I40" s="3383" t="str">
        <f>IF(ISBLANK(C22),"",C40+F40)</f>
        <v/>
      </c>
      <c r="J40" s="3384"/>
      <c r="K40" s="2281" t="s">
        <v>96</v>
      </c>
      <c r="L40" s="2266"/>
      <c r="M40" s="56"/>
      <c r="N40" s="10"/>
      <c r="O40" s="2280"/>
      <c r="P40" s="2280"/>
      <c r="Q40" s="2280"/>
      <c r="R40" s="2280"/>
      <c r="S40" s="2280"/>
      <c r="T40" s="1242"/>
      <c r="U40" s="2281"/>
      <c r="V40" s="2281"/>
      <c r="W40" s="2281"/>
      <c r="X40" s="2281"/>
      <c r="Y40" s="2281"/>
      <c r="Z40" s="2281"/>
      <c r="AA40" s="2281"/>
      <c r="AB40" s="2281"/>
      <c r="AC40" s="2281"/>
      <c r="AD40" s="2281"/>
      <c r="AE40" s="2281"/>
      <c r="AF40" s="2281"/>
      <c r="AG40" s="2281"/>
      <c r="AH40" s="2281"/>
      <c r="AI40" s="2281"/>
      <c r="AJ40" s="2281"/>
      <c r="AK40" s="2281"/>
      <c r="AL40" s="2281"/>
      <c r="AM40" s="2281"/>
    </row>
    <row r="41" spans="1:46" s="2281" customFormat="1" ht="18" customHeight="1">
      <c r="A41" s="1457" t="s">
        <v>103</v>
      </c>
      <c r="B41" s="2225" t="s">
        <v>2054</v>
      </c>
      <c r="C41" s="1470"/>
      <c r="D41" s="1470"/>
      <c r="E41" s="2266"/>
      <c r="F41" s="55"/>
      <c r="G41" s="1470"/>
      <c r="H41" s="2266"/>
      <c r="I41" s="55"/>
      <c r="J41" s="55"/>
      <c r="L41" s="2266"/>
      <c r="M41" s="56"/>
      <c r="N41" s="2269"/>
      <c r="T41" s="793"/>
      <c r="U41" s="22"/>
      <c r="V41" s="22"/>
      <c r="W41" s="22"/>
      <c r="X41" s="22"/>
      <c r="Y41" s="22"/>
      <c r="Z41" s="22"/>
      <c r="AA41" s="22"/>
      <c r="AB41" s="22"/>
      <c r="AC41" s="22"/>
      <c r="AD41" s="22"/>
      <c r="AE41" s="22"/>
      <c r="AF41" s="22"/>
      <c r="AG41" s="22"/>
      <c r="AH41" s="22"/>
      <c r="AI41" s="22"/>
      <c r="AJ41" s="22"/>
      <c r="AK41" s="22"/>
      <c r="AL41" s="22"/>
      <c r="AM41" s="22"/>
    </row>
    <row r="42" spans="1:46" s="2281" customFormat="1" ht="20.100000000000001" customHeight="1">
      <c r="A42" s="1457"/>
      <c r="B42" s="3282" t="str">
        <f>IF(ISBLANK(I13)," ",I13)</f>
        <v xml:space="preserve"> </v>
      </c>
      <c r="C42" s="3284"/>
      <c r="D42" s="2366" t="s">
        <v>1948</v>
      </c>
      <c r="E42" s="3749" t="str">
        <f>IF(ISBLANK(M22)," ",M22)</f>
        <v xml:space="preserve"> </v>
      </c>
      <c r="F42" s="3749"/>
      <c r="G42" s="2366" t="s">
        <v>1948</v>
      </c>
      <c r="H42" s="3749" t="str">
        <f>IF(ISBLANK(M78)," ",M78)</f>
        <v/>
      </c>
      <c r="I42" s="3749"/>
      <c r="J42" s="2208" t="s">
        <v>102</v>
      </c>
      <c r="K42" s="3749" t="str">
        <f>IF(ISBLANK(H49)," ",(B42-E42-H42))</f>
        <v xml:space="preserve"> </v>
      </c>
      <c r="L42" s="3749"/>
      <c r="M42" s="2209" t="s">
        <v>96</v>
      </c>
      <c r="T42" s="793"/>
      <c r="U42" s="22"/>
      <c r="V42" s="22"/>
      <c r="W42" s="22"/>
      <c r="X42" s="22"/>
      <c r="Y42" s="22"/>
      <c r="Z42" s="22"/>
      <c r="AA42" s="22"/>
      <c r="AB42" s="22"/>
      <c r="AC42" s="22"/>
      <c r="AD42" s="22"/>
      <c r="AE42" s="22"/>
      <c r="AF42" s="22"/>
      <c r="AG42" s="22"/>
      <c r="AH42" s="22"/>
      <c r="AI42" s="22"/>
      <c r="AJ42" s="22"/>
      <c r="AK42" s="22"/>
      <c r="AL42" s="22"/>
      <c r="AM42" s="22"/>
    </row>
    <row r="43" spans="1:46" s="2281" customFormat="1" ht="7.5" customHeight="1">
      <c r="A43" s="1459"/>
      <c r="B43" s="142"/>
      <c r="C43" s="1437"/>
      <c r="D43" s="1437"/>
      <c r="E43" s="1439"/>
      <c r="F43" s="143"/>
      <c r="G43" s="1437"/>
      <c r="H43" s="1439"/>
      <c r="I43" s="143"/>
      <c r="J43" s="143"/>
      <c r="K43" s="142"/>
      <c r="L43" s="1439"/>
      <c r="M43" s="1183"/>
      <c r="N43" s="1184"/>
      <c r="O43" s="142"/>
      <c r="P43" s="142"/>
      <c r="Q43" s="142"/>
      <c r="R43" s="142"/>
      <c r="S43" s="142"/>
      <c r="T43" s="1460"/>
      <c r="U43" s="22"/>
      <c r="V43" s="22"/>
      <c r="W43" s="22"/>
      <c r="X43" s="22"/>
      <c r="Y43" s="22"/>
      <c r="Z43" s="22"/>
      <c r="AA43" s="22"/>
      <c r="AB43" s="22"/>
      <c r="AC43" s="22"/>
      <c r="AD43" s="22"/>
      <c r="AE43" s="22"/>
      <c r="AF43" s="22"/>
      <c r="AG43" s="22"/>
      <c r="AH43" s="22"/>
      <c r="AI43" s="22"/>
      <c r="AJ43" s="22"/>
      <c r="AK43" s="22"/>
      <c r="AL43" s="22"/>
      <c r="AM43" s="22"/>
    </row>
    <row r="44" spans="1:46" ht="19.350000000000001" customHeight="1">
      <c r="A44" s="1757" t="s">
        <v>105</v>
      </c>
      <c r="B44" s="74" t="s">
        <v>628</v>
      </c>
      <c r="C44" s="74"/>
      <c r="D44" s="74"/>
      <c r="E44" s="1179"/>
      <c r="F44" s="74"/>
      <c r="G44" s="74"/>
      <c r="H44" s="74"/>
      <c r="I44" s="74"/>
      <c r="J44" s="74"/>
      <c r="K44" s="74"/>
      <c r="L44" s="74"/>
      <c r="M44" s="74"/>
      <c r="N44" s="74"/>
      <c r="O44" s="150"/>
      <c r="P44" s="150"/>
      <c r="Q44" s="150"/>
      <c r="R44" s="150"/>
      <c r="S44" s="150"/>
      <c r="T44" s="1461"/>
    </row>
    <row r="45" spans="1:46" ht="19.350000000000001" customHeight="1">
      <c r="A45" s="2294" t="s">
        <v>147</v>
      </c>
      <c r="B45" s="2280" t="s">
        <v>2051</v>
      </c>
      <c r="C45" s="2274"/>
      <c r="D45" s="2274"/>
      <c r="E45" s="2274"/>
      <c r="F45" s="2274"/>
      <c r="G45" s="146"/>
      <c r="H45" s="2280"/>
      <c r="I45" s="3193"/>
      <c r="J45" s="3101"/>
      <c r="K45" s="2273" t="s">
        <v>2053</v>
      </c>
      <c r="L45" s="2280"/>
      <c r="M45" s="2280"/>
      <c r="N45" s="2281"/>
      <c r="O45" s="2281"/>
      <c r="P45" s="2281"/>
      <c r="Q45" s="3780" t="s">
        <v>1395</v>
      </c>
      <c r="R45" s="3780"/>
      <c r="S45" s="3780"/>
      <c r="T45" s="1463"/>
    </row>
    <row r="46" spans="1:46" ht="18.75" customHeight="1">
      <c r="A46" s="2294" t="s">
        <v>631</v>
      </c>
      <c r="B46" s="2280" t="s">
        <v>1786</v>
      </c>
      <c r="C46" s="2274"/>
      <c r="D46" s="2274"/>
      <c r="E46" s="2274"/>
      <c r="F46" s="2274"/>
      <c r="G46" s="2274"/>
      <c r="H46" s="2274"/>
      <c r="I46" s="2274"/>
      <c r="J46" s="2274"/>
      <c r="K46" s="2274"/>
      <c r="L46" s="2280"/>
      <c r="M46" s="2280"/>
      <c r="N46" s="2280"/>
      <c r="O46" s="2275"/>
      <c r="P46" s="2280"/>
      <c r="Q46" s="3780"/>
      <c r="R46" s="3780"/>
      <c r="S46" s="3780"/>
      <c r="T46" s="1463"/>
      <c r="Y46" s="2355"/>
      <c r="Z46" s="2355"/>
    </row>
    <row r="47" spans="1:46" ht="19.350000000000001" customHeight="1">
      <c r="A47" s="2064"/>
      <c r="B47" s="2280"/>
      <c r="C47" s="3100"/>
      <c r="D47" s="3101"/>
      <c r="E47" s="3602" t="s">
        <v>246</v>
      </c>
      <c r="F47" s="3560"/>
      <c r="G47" s="3347" t="str">
        <f>IF(ISBLANK(C22),"",I15)</f>
        <v/>
      </c>
      <c r="H47" s="3348"/>
      <c r="I47" s="3559" t="s">
        <v>247</v>
      </c>
      <c r="J47" s="3560"/>
      <c r="K47" s="3100"/>
      <c r="L47" s="3101"/>
      <c r="M47" s="2273" t="s">
        <v>248</v>
      </c>
      <c r="N47" s="3347" t="str">
        <f>IF(ISBLANK(C47),"",(C47*(G47/K47)))</f>
        <v/>
      </c>
      <c r="O47" s="3348"/>
      <c r="P47" s="2273" t="s">
        <v>134</v>
      </c>
      <c r="Q47" s="3780"/>
      <c r="R47" s="3780"/>
      <c r="S47" s="3780"/>
      <c r="T47" s="1242"/>
      <c r="Y47" s="2355"/>
      <c r="Z47" s="2355"/>
    </row>
    <row r="48" spans="1:46" ht="6" customHeight="1">
      <c r="A48" s="2064"/>
      <c r="B48" s="2280"/>
      <c r="C48" s="2280"/>
      <c r="D48" s="2280"/>
      <c r="E48" s="2273"/>
      <c r="F48" s="2280"/>
      <c r="G48" s="2280"/>
      <c r="H48" s="2280"/>
      <c r="I48" s="2280"/>
      <c r="J48" s="2280"/>
      <c r="K48" s="2280"/>
      <c r="L48" s="2280"/>
      <c r="M48" s="2280"/>
      <c r="N48" s="2280"/>
      <c r="O48" s="2275"/>
      <c r="P48" s="2280"/>
      <c r="Q48" s="3780"/>
      <c r="R48" s="3780"/>
      <c r="S48" s="3780"/>
      <c r="T48" s="1242"/>
      <c r="Y48" s="2355"/>
      <c r="Z48" s="2355"/>
    </row>
    <row r="49" spans="1:39" ht="19.350000000000001" customHeight="1" thickBot="1">
      <c r="A49" s="2376" t="s">
        <v>109</v>
      </c>
      <c r="B49" s="2371" t="s">
        <v>2052</v>
      </c>
      <c r="C49" s="2371"/>
      <c r="D49" s="2372"/>
      <c r="E49" s="2372"/>
      <c r="F49" s="2371"/>
      <c r="G49" s="2371"/>
      <c r="H49" s="3751"/>
      <c r="I49" s="3752"/>
      <c r="J49" s="2372" t="s">
        <v>1965</v>
      </c>
      <c r="K49" s="2371"/>
      <c r="L49" s="2371"/>
      <c r="M49" s="2371"/>
      <c r="N49" s="2371"/>
      <c r="O49" s="2371"/>
      <c r="P49" s="2371"/>
      <c r="Q49" s="3781"/>
      <c r="R49" s="3781"/>
      <c r="S49" s="3781"/>
      <c r="T49" s="2373"/>
      <c r="Y49" s="2355"/>
      <c r="Z49" s="2355"/>
    </row>
    <row r="50" spans="1:39" s="2280" customFormat="1" ht="6" customHeight="1" thickBot="1">
      <c r="A50" s="2279"/>
      <c r="D50" s="2273"/>
      <c r="E50" s="2273"/>
      <c r="H50" s="1624"/>
      <c r="I50" s="1624"/>
      <c r="J50" s="2273"/>
      <c r="Q50" s="2288"/>
      <c r="R50" s="2288"/>
      <c r="S50" s="2288"/>
      <c r="X50" s="2355"/>
      <c r="Y50" s="2355"/>
      <c r="Z50" s="2355"/>
    </row>
    <row r="51" spans="1:39" s="2280" customFormat="1" ht="19.350000000000001" customHeight="1">
      <c r="A51" s="1442" t="s">
        <v>2032</v>
      </c>
      <c r="B51" s="2283"/>
      <c r="C51" s="2283"/>
      <c r="D51" s="2283"/>
      <c r="E51" s="2283"/>
      <c r="F51" s="2283"/>
      <c r="G51" s="2283"/>
      <c r="H51" s="2283"/>
      <c r="I51" s="2283"/>
      <c r="J51" s="2283"/>
      <c r="K51" s="2283"/>
      <c r="L51" s="2283"/>
      <c r="M51" s="2283"/>
      <c r="N51" s="2283"/>
      <c r="O51" s="2283"/>
      <c r="P51" s="2283"/>
      <c r="Q51" s="2283"/>
      <c r="R51" s="2283"/>
      <c r="S51" s="2283"/>
      <c r="T51" s="2374"/>
    </row>
    <row r="52" spans="1:39" ht="19.350000000000001" customHeight="1">
      <c r="A52" s="1456" t="s">
        <v>110</v>
      </c>
      <c r="B52" s="2280" t="s">
        <v>2047</v>
      </c>
      <c r="C52" s="2280"/>
      <c r="D52" s="2280"/>
      <c r="E52" s="2273"/>
      <c r="F52" s="2280"/>
      <c r="G52" s="2280"/>
      <c r="H52" s="2280"/>
      <c r="I52" s="2280"/>
      <c r="J52" s="2280"/>
      <c r="K52" s="2280"/>
      <c r="L52" s="2280"/>
      <c r="M52" s="2280"/>
      <c r="Q52" s="2280"/>
      <c r="R52" s="2280"/>
      <c r="S52" s="2280"/>
      <c r="T52" s="1242"/>
      <c r="U52" s="2281"/>
      <c r="V52" s="2281"/>
      <c r="W52" s="2281"/>
      <c r="X52" s="2355"/>
      <c r="Y52" s="2355"/>
      <c r="Z52" s="2355"/>
      <c r="AA52" s="2281"/>
      <c r="AB52" s="2281"/>
      <c r="AC52" s="2281"/>
      <c r="AD52" s="2281"/>
      <c r="AE52" s="2281"/>
      <c r="AF52" s="2281"/>
      <c r="AG52" s="2281"/>
      <c r="AH52" s="2281"/>
      <c r="AI52" s="2281"/>
      <c r="AJ52" s="2281"/>
      <c r="AK52" s="2281"/>
      <c r="AL52" s="2281"/>
      <c r="AM52" s="2281"/>
    </row>
    <row r="53" spans="1:39" ht="19.350000000000001" customHeight="1">
      <c r="A53" s="1456"/>
      <c r="B53" s="2280" t="s">
        <v>1971</v>
      </c>
      <c r="C53" s="2280"/>
      <c r="D53" s="2280"/>
      <c r="E53" s="2273"/>
      <c r="F53" s="2280"/>
      <c r="G53" s="2280"/>
      <c r="H53" s="2280"/>
      <c r="I53" s="2280"/>
      <c r="J53" s="2280"/>
      <c r="K53" s="2280"/>
      <c r="L53" s="2280"/>
      <c r="M53" s="2280"/>
      <c r="N53" s="2367" t="s">
        <v>1943</v>
      </c>
      <c r="O53" s="2367" t="s">
        <v>1944</v>
      </c>
      <c r="P53" s="2367" t="s">
        <v>1945</v>
      </c>
      <c r="Q53" s="2280"/>
      <c r="R53" s="2280"/>
      <c r="S53" s="2280"/>
      <c r="T53" s="1242"/>
      <c r="U53" s="2281"/>
      <c r="V53" s="2281"/>
      <c r="W53" s="2281"/>
      <c r="X53" s="2281"/>
      <c r="Y53" s="2281"/>
      <c r="Z53" s="2281"/>
      <c r="AA53" s="2281"/>
      <c r="AB53" s="2281"/>
      <c r="AC53" s="2281"/>
      <c r="AD53" s="2281"/>
      <c r="AE53" s="2281"/>
      <c r="AF53" s="2281"/>
      <c r="AG53" s="2281"/>
      <c r="AH53" s="2281"/>
      <c r="AI53" s="2281"/>
      <c r="AJ53" s="2281"/>
      <c r="AK53" s="2281"/>
      <c r="AL53" s="2281"/>
      <c r="AM53" s="2281"/>
    </row>
    <row r="54" spans="1:39" ht="19.350000000000001" customHeight="1">
      <c r="A54" s="2064"/>
      <c r="B54" s="3383" t="str">
        <f>I40</f>
        <v/>
      </c>
      <c r="C54" s="3384"/>
      <c r="D54" s="2273" t="s">
        <v>1087</v>
      </c>
      <c r="E54" s="2219" t="s">
        <v>721</v>
      </c>
      <c r="F54" s="3347" t="str">
        <f>IF(ISBLANK(H49)," ",H49)</f>
        <v xml:space="preserve"> </v>
      </c>
      <c r="G54" s="3348"/>
      <c r="H54" s="3368" t="s">
        <v>1972</v>
      </c>
      <c r="I54" s="3369"/>
      <c r="J54" s="3347" t="str">
        <f>IF(ISBLANK(C22),"",B54/F54)</f>
        <v/>
      </c>
      <c r="K54" s="3348"/>
      <c r="L54" s="2280" t="s">
        <v>2049</v>
      </c>
      <c r="M54" s="2280"/>
      <c r="N54" s="2350" t="str">
        <f>IF(ISBLANK(H49)," ",(ROUNDDOWN(J54/60,0)))</f>
        <v xml:space="preserve"> </v>
      </c>
      <c r="O54" s="2349" t="str">
        <f>IF(ISBLANK(H49)," ",(ROUNDDOWN(J54,0)))</f>
        <v xml:space="preserve"> </v>
      </c>
      <c r="P54" s="2350" t="str">
        <f>IF(ISBLANK(H49)," ",(ROUNDDOWN((J54-O54)*60,0)))</f>
        <v xml:space="preserve"> </v>
      </c>
      <c r="Q54" s="2280"/>
      <c r="R54" s="2280"/>
      <c r="S54" s="2280"/>
      <c r="T54" s="1242"/>
      <c r="U54" s="48"/>
      <c r="V54" s="48"/>
      <c r="W54" s="48"/>
      <c r="X54" s="48"/>
      <c r="Y54" s="48"/>
      <c r="Z54" s="48"/>
      <c r="AA54" s="48"/>
      <c r="AB54" s="48"/>
      <c r="AC54" s="48"/>
      <c r="AD54" s="48"/>
      <c r="AE54" s="48"/>
      <c r="AF54" s="48"/>
      <c r="AG54" s="48"/>
      <c r="AH54" s="48"/>
      <c r="AI54" s="48"/>
      <c r="AJ54" s="48"/>
      <c r="AK54" s="48"/>
      <c r="AL54" s="48"/>
      <c r="AM54" s="48"/>
    </row>
    <row r="55" spans="1:39" s="2281" customFormat="1" ht="19.350000000000001" customHeight="1">
      <c r="A55" s="1456" t="s">
        <v>116</v>
      </c>
      <c r="B55" s="2225" t="s">
        <v>2048</v>
      </c>
      <c r="C55" s="2280"/>
      <c r="D55" s="2280"/>
      <c r="E55" s="2273"/>
      <c r="F55" s="2280"/>
      <c r="G55" s="2280"/>
      <c r="H55" s="2273"/>
      <c r="I55" s="2280"/>
      <c r="J55" s="2280"/>
      <c r="K55" s="2280"/>
      <c r="L55" s="2280"/>
      <c r="M55" s="2280"/>
      <c r="N55" s="2280"/>
      <c r="O55" s="2280"/>
      <c r="P55" s="2280"/>
      <c r="Q55" s="2280"/>
      <c r="R55" s="2280"/>
      <c r="S55" s="2280"/>
      <c r="T55" s="1242"/>
      <c r="U55" s="48"/>
      <c r="V55" s="48"/>
      <c r="W55" s="48"/>
      <c r="X55" s="48"/>
      <c r="Y55" s="48"/>
      <c r="Z55" s="48"/>
      <c r="AA55" s="48"/>
      <c r="AB55" s="48"/>
      <c r="AC55" s="48"/>
      <c r="AD55" s="48"/>
      <c r="AE55" s="48"/>
      <c r="AF55" s="48"/>
      <c r="AG55" s="48"/>
      <c r="AH55" s="48"/>
      <c r="AI55" s="48"/>
      <c r="AJ55" s="48"/>
      <c r="AK55" s="48"/>
      <c r="AL55" s="48"/>
      <c r="AM55" s="48"/>
    </row>
    <row r="56" spans="1:39" s="2281" customFormat="1" ht="19.350000000000001" customHeight="1">
      <c r="A56" s="1456"/>
      <c r="B56" s="2225" t="s">
        <v>1065</v>
      </c>
      <c r="C56" s="2280"/>
      <c r="D56" s="2280"/>
      <c r="E56" s="2273"/>
      <c r="F56" s="2280"/>
      <c r="G56" s="2280"/>
      <c r="H56" s="2280"/>
      <c r="I56" s="2280"/>
      <c r="J56" s="2280"/>
      <c r="K56" s="2280"/>
      <c r="L56" s="2280"/>
      <c r="M56" s="2280"/>
      <c r="N56" s="2280"/>
      <c r="O56" s="2280"/>
      <c r="Q56" s="2367" t="s">
        <v>1943</v>
      </c>
      <c r="R56" s="2367" t="s">
        <v>1944</v>
      </c>
      <c r="S56" s="2367" t="s">
        <v>1945</v>
      </c>
      <c r="T56" s="1242"/>
      <c r="U56" s="48"/>
      <c r="V56" s="48"/>
      <c r="W56" s="48"/>
      <c r="X56" s="48"/>
      <c r="Y56" s="48"/>
      <c r="Z56" s="48"/>
      <c r="AA56" s="48"/>
      <c r="AB56" s="48"/>
      <c r="AC56" s="48"/>
      <c r="AD56" s="48"/>
      <c r="AE56" s="48"/>
      <c r="AF56" s="48"/>
      <c r="AG56" s="48"/>
      <c r="AH56" s="48"/>
      <c r="AI56" s="48"/>
      <c r="AJ56" s="48"/>
      <c r="AK56" s="48"/>
      <c r="AL56" s="48"/>
      <c r="AM56" s="48"/>
    </row>
    <row r="57" spans="1:39" s="48" customFormat="1" ht="19.350000000000001" customHeight="1">
      <c r="A57" s="2064"/>
      <c r="B57" s="2824" t="s">
        <v>2037</v>
      </c>
      <c r="C57" s="2824"/>
      <c r="D57" s="2223" t="str">
        <f>K30</f>
        <v xml:space="preserve"> </v>
      </c>
      <c r="E57" s="3777" t="s">
        <v>2023</v>
      </c>
      <c r="F57" s="3778"/>
      <c r="G57" s="3779"/>
      <c r="H57" s="3745" t="str">
        <f>IF(ISBLANK(H49)," ",J54)</f>
        <v xml:space="preserve"> </v>
      </c>
      <c r="I57" s="3747"/>
      <c r="J57" s="2225" t="s">
        <v>249</v>
      </c>
      <c r="K57" s="2218" t="s">
        <v>102</v>
      </c>
      <c r="L57" s="3745" t="str">
        <f>IF(ISBLANK(C22),"",(1440/D57-J54))</f>
        <v/>
      </c>
      <c r="M57" s="3746"/>
      <c r="N57" s="2225" t="s">
        <v>2050</v>
      </c>
      <c r="O57" s="2366"/>
      <c r="Q57" s="2350" t="str">
        <f>IF(ISBLANK(H49)," ",(ROUNDDOWN(L57/60,0)))</f>
        <v xml:space="preserve"> </v>
      </c>
      <c r="R57" s="2349" t="str">
        <f>IF(ISBLANK(H49)," ",(ROUNDDOWN(L57-Q57*60,0)))</f>
        <v xml:space="preserve"> </v>
      </c>
      <c r="S57" s="2351" t="str">
        <f>IF(ISBLANK(H49)," ",(ROUNDUP(((L57)-((Q57*60)+R57))*60,1)))</f>
        <v xml:space="preserve"> </v>
      </c>
      <c r="T57" s="1242"/>
    </row>
    <row r="58" spans="1:39" s="48" customFormat="1" ht="6" customHeight="1">
      <c r="A58" s="2064"/>
      <c r="B58" s="2361"/>
      <c r="C58" s="2361"/>
      <c r="D58" s="2361"/>
      <c r="E58" s="2361"/>
      <c r="F58" s="2361"/>
      <c r="G58" s="2361"/>
      <c r="H58" s="2361"/>
      <c r="I58" s="2361"/>
      <c r="J58" s="2361"/>
      <c r="K58" s="2361"/>
      <c r="L58" s="2361"/>
      <c r="M58" s="2361"/>
      <c r="N58" s="2361"/>
      <c r="O58" s="2361"/>
      <c r="P58" s="2361"/>
      <c r="Q58" s="2361"/>
      <c r="R58" s="2361"/>
      <c r="S58" s="2361"/>
      <c r="T58" s="1242"/>
    </row>
    <row r="59" spans="1:39" ht="19.350000000000001" customHeight="1">
      <c r="A59" s="2284" t="s">
        <v>2036</v>
      </c>
      <c r="B59" s="2285"/>
      <c r="C59" s="2377"/>
      <c r="D59" s="2377"/>
      <c r="E59" s="2377"/>
      <c r="F59" s="2377"/>
      <c r="G59" s="2377"/>
      <c r="H59" s="2377"/>
      <c r="I59" s="2285"/>
      <c r="J59" s="2285"/>
      <c r="K59" s="2285"/>
      <c r="L59" s="2285"/>
      <c r="M59" s="2285"/>
      <c r="N59" s="2285"/>
      <c r="O59" s="2285"/>
      <c r="P59" s="2285"/>
      <c r="Q59" s="2285"/>
      <c r="R59" s="2285"/>
      <c r="S59" s="2285"/>
      <c r="T59" s="2286"/>
    </row>
    <row r="60" spans="1:39" s="48" customFormat="1" ht="6" customHeight="1">
      <c r="A60" s="2072"/>
      <c r="B60" s="2290"/>
      <c r="C60" s="2290"/>
      <c r="D60" s="2290"/>
      <c r="E60" s="2290"/>
      <c r="F60" s="2290"/>
      <c r="G60" s="2343"/>
      <c r="H60" s="2343"/>
      <c r="I60" s="2290"/>
      <c r="J60" s="2290"/>
      <c r="K60" s="2290"/>
      <c r="L60" s="2290"/>
      <c r="M60" s="2290"/>
      <c r="N60" s="2290"/>
      <c r="O60" s="2290"/>
      <c r="P60" s="2290"/>
      <c r="Q60" s="2290"/>
      <c r="R60" s="2290"/>
      <c r="S60" s="2290"/>
      <c r="T60" s="1448"/>
    </row>
    <row r="61" spans="1:39" s="48" customFormat="1" ht="18.75" customHeight="1">
      <c r="A61" s="1456" t="s">
        <v>125</v>
      </c>
      <c r="B61" s="2361" t="s">
        <v>2016</v>
      </c>
      <c r="C61" s="2361"/>
      <c r="D61" s="2361"/>
      <c r="E61" s="2361"/>
      <c r="F61" s="2361"/>
      <c r="G61" s="3770"/>
      <c r="H61" s="3771"/>
      <c r="I61" s="2361" t="s">
        <v>630</v>
      </c>
      <c r="J61" s="2361"/>
      <c r="K61" s="2361"/>
      <c r="L61" s="2361"/>
      <c r="M61" s="2361"/>
      <c r="N61" s="2361"/>
      <c r="O61" s="2361"/>
      <c r="P61" s="2361"/>
      <c r="Q61" s="2342"/>
      <c r="R61" s="2361"/>
      <c r="S61" s="2361"/>
      <c r="T61" s="1242"/>
    </row>
    <row r="62" spans="1:39" s="48" customFormat="1" ht="19.350000000000001" customHeight="1">
      <c r="A62" s="1456" t="s">
        <v>127</v>
      </c>
      <c r="B62" s="2361" t="s">
        <v>2033</v>
      </c>
      <c r="C62" s="2361"/>
      <c r="D62" s="2361"/>
      <c r="E62" s="2361"/>
      <c r="F62" s="2361"/>
      <c r="G62" s="2361"/>
      <c r="H62" s="2361"/>
      <c r="I62" s="2361"/>
      <c r="J62" s="2361"/>
      <c r="L62" s="3770"/>
      <c r="M62" s="3771"/>
      <c r="N62" s="2208" t="s">
        <v>2018</v>
      </c>
      <c r="O62" s="2824" t="s">
        <v>2017</v>
      </c>
      <c r="P62" s="3772"/>
      <c r="Q62" s="3768" t="str">
        <f>J38</f>
        <v/>
      </c>
      <c r="R62" s="3769"/>
      <c r="S62" s="2361" t="s">
        <v>1087</v>
      </c>
      <c r="T62" s="1242"/>
    </row>
    <row r="63" spans="1:39" s="48" customFormat="1" ht="19.350000000000001" customHeight="1">
      <c r="A63" s="1456" t="s">
        <v>128</v>
      </c>
      <c r="B63" s="3336" t="s">
        <v>2028</v>
      </c>
      <c r="C63" s="3336"/>
      <c r="D63" s="3336"/>
      <c r="E63" s="3773" t="str">
        <f>IF(ISBLANK(L62)," ",L62+Q62)</f>
        <v xml:space="preserve"> </v>
      </c>
      <c r="F63" s="3774"/>
      <c r="G63" s="2361" t="s">
        <v>1110</v>
      </c>
      <c r="H63" s="2361"/>
      <c r="I63" s="2361"/>
      <c r="J63" s="2361"/>
      <c r="L63" s="2365"/>
      <c r="M63" s="2365"/>
      <c r="P63" s="2367" t="s">
        <v>1943</v>
      </c>
      <c r="Q63" s="2367" t="s">
        <v>1944</v>
      </c>
      <c r="R63" s="2367" t="s">
        <v>1945</v>
      </c>
      <c r="S63" s="2361"/>
      <c r="T63" s="1242"/>
    </row>
    <row r="64" spans="1:39" s="48" customFormat="1" ht="19.350000000000001" customHeight="1">
      <c r="A64" s="1456" t="s">
        <v>131</v>
      </c>
      <c r="B64" s="3336" t="s">
        <v>2019</v>
      </c>
      <c r="C64" s="3336"/>
      <c r="D64" s="3336"/>
      <c r="E64" s="3773" t="str">
        <f>+IF(ISBLANK(L62)," ",E63)</f>
        <v xml:space="preserve"> </v>
      </c>
      <c r="F64" s="3774"/>
      <c r="G64" s="2361" t="s">
        <v>2021</v>
      </c>
      <c r="H64" s="2345" t="str">
        <f>IF(ISBLANK(L62)," ",(H49))</f>
        <v xml:space="preserve"> </v>
      </c>
      <c r="I64" s="2361" t="s">
        <v>2020</v>
      </c>
      <c r="J64" s="3768" t="str">
        <f>IF(ISBLANK(G61)," ",E64/H64)</f>
        <v xml:space="preserve"> </v>
      </c>
      <c r="K64" s="3769"/>
      <c r="L64" s="48" t="s">
        <v>2026</v>
      </c>
      <c r="M64" s="2361"/>
      <c r="P64" s="2350" t="str">
        <f>IF(ISBLANK(G61)," ",(ROUNDDOWN(J64/60,0)))</f>
        <v xml:space="preserve"> </v>
      </c>
      <c r="Q64" s="2349" t="str">
        <f>IF(ISBLANK(G61)," ",(ROUNDDOWN(J64,0)))</f>
        <v xml:space="preserve"> </v>
      </c>
      <c r="R64" s="2350" t="str">
        <f>IF(ISBLANK(G61)," ",(ROUNDDOWN((J64-Q64)*60,0)))</f>
        <v xml:space="preserve"> </v>
      </c>
      <c r="S64" s="2361"/>
      <c r="T64" s="1242"/>
    </row>
    <row r="65" spans="1:39" s="48" customFormat="1" ht="19.350000000000001" customHeight="1">
      <c r="A65" s="1456"/>
      <c r="B65" s="3764" t="s">
        <v>1395</v>
      </c>
      <c r="C65" s="3764"/>
      <c r="D65" s="3764"/>
      <c r="E65" s="3764"/>
      <c r="F65" s="3764"/>
      <c r="G65" s="3764"/>
      <c r="H65" s="3764"/>
      <c r="I65" s="3764"/>
      <c r="J65" s="3764"/>
      <c r="K65" s="3764"/>
      <c r="L65" s="3764"/>
      <c r="M65" s="3764"/>
      <c r="N65" s="3764"/>
      <c r="O65" s="2362"/>
      <c r="P65" s="2367" t="s">
        <v>1943</v>
      </c>
      <c r="Q65" s="2367" t="s">
        <v>1944</v>
      </c>
      <c r="R65" s="2367" t="s">
        <v>1945</v>
      </c>
      <c r="S65" s="2361"/>
      <c r="T65" s="1242"/>
    </row>
    <row r="66" spans="1:39" s="48" customFormat="1" ht="19.350000000000001" customHeight="1">
      <c r="A66" s="1456" t="s">
        <v>1888</v>
      </c>
      <c r="B66" s="3336" t="s">
        <v>2025</v>
      </c>
      <c r="C66" s="3336"/>
      <c r="D66" s="3336"/>
      <c r="E66" s="3750"/>
      <c r="F66" s="2354" t="str">
        <f>IF(ISBLANK(G61)," ",(I4)*(G61/100)/L62)</f>
        <v xml:space="preserve"> </v>
      </c>
      <c r="G66" s="2823" t="s">
        <v>2023</v>
      </c>
      <c r="H66" s="2824"/>
      <c r="I66" s="2346" t="str">
        <f>IF(ISBLANK(G61)," ",(J64))</f>
        <v xml:space="preserve"> </v>
      </c>
      <c r="J66" s="2361" t="s">
        <v>2024</v>
      </c>
      <c r="L66" s="3768" t="str">
        <f>IF(ISBLANK(G61)," ",(1440/(F66)-(I66)))</f>
        <v xml:space="preserve"> </v>
      </c>
      <c r="M66" s="3769"/>
      <c r="N66" s="2361" t="s">
        <v>2027</v>
      </c>
      <c r="P66" s="2350" t="str">
        <f>IF(ISBLANK(G61)," ",(ROUNDDOWN(L66/60,0)))</f>
        <v xml:space="preserve"> </v>
      </c>
      <c r="Q66" s="2349" t="str">
        <f>IF(ISBLANK(G61)," ",(ROUNDDOWN(L66-P66*60,0)))</f>
        <v xml:space="preserve"> </v>
      </c>
      <c r="R66" s="2351" t="str">
        <f>IF(ISBLANK(G61)," ",(ROUNDUP(((L66)-((P66*60)+Q66))*60,1)))</f>
        <v xml:space="preserve"> </v>
      </c>
      <c r="S66" s="2361"/>
      <c r="T66" s="1242"/>
    </row>
    <row r="67" spans="1:39" s="48" customFormat="1" ht="6.75" customHeight="1">
      <c r="A67" s="1457"/>
      <c r="B67" s="2366"/>
      <c r="C67" s="2366"/>
      <c r="D67" s="2366"/>
      <c r="E67" s="2366"/>
      <c r="F67" s="2363"/>
      <c r="G67" s="2365"/>
      <c r="H67" s="2365"/>
      <c r="I67" s="2352"/>
      <c r="J67" s="2361"/>
      <c r="L67" s="2362"/>
      <c r="M67" s="2362"/>
      <c r="N67" s="2361"/>
      <c r="P67" s="2341"/>
      <c r="Q67" s="2362"/>
      <c r="R67" s="2364"/>
      <c r="S67" s="2361"/>
      <c r="T67" s="793"/>
    </row>
    <row r="68" spans="1:39" s="48" customFormat="1" ht="19.350000000000001" customHeight="1">
      <c r="A68" s="3775" t="s">
        <v>2034</v>
      </c>
      <c r="B68" s="3776"/>
      <c r="C68" s="3776"/>
      <c r="D68" s="3776"/>
      <c r="E68" s="3776"/>
      <c r="F68" s="3776"/>
      <c r="G68" s="2347"/>
      <c r="H68" s="2347"/>
      <c r="I68" s="2347"/>
      <c r="J68" s="2347"/>
      <c r="K68" s="2347"/>
      <c r="L68" s="2347"/>
      <c r="M68" s="2347"/>
      <c r="N68" s="2347"/>
      <c r="O68" s="2347"/>
      <c r="P68" s="2347"/>
      <c r="Q68" s="2347"/>
      <c r="R68" s="2347"/>
      <c r="S68" s="2347"/>
      <c r="T68" s="2348"/>
    </row>
    <row r="69" spans="1:39" s="48" customFormat="1" ht="19.350000000000001" customHeight="1">
      <c r="A69" s="1456" t="s">
        <v>2029</v>
      </c>
      <c r="B69" s="2280" t="s">
        <v>286</v>
      </c>
      <c r="C69" s="2280"/>
      <c r="D69" s="2280"/>
      <c r="E69" s="2273"/>
      <c r="F69" s="2280"/>
      <c r="G69" s="2280"/>
      <c r="H69" s="2280"/>
      <c r="I69" s="2280"/>
      <c r="J69" s="2280"/>
      <c r="M69" s="2280"/>
      <c r="N69" s="2276"/>
      <c r="O69" s="2281"/>
      <c r="P69" s="2281"/>
      <c r="Q69" s="2281"/>
      <c r="R69" s="2280"/>
      <c r="S69" s="2280"/>
      <c r="T69" s="1242"/>
    </row>
    <row r="70" spans="1:39" s="48" customFormat="1" ht="19.350000000000001" customHeight="1">
      <c r="A70" s="2294"/>
      <c r="B70" s="10" t="s">
        <v>1069</v>
      </c>
      <c r="C70" s="2276"/>
      <c r="D70" s="2276"/>
      <c r="E70" s="2276"/>
      <c r="F70" s="2276"/>
      <c r="G70" s="2276"/>
      <c r="H70" s="2276"/>
      <c r="I70" s="2276"/>
      <c r="J70" s="2276"/>
      <c r="K70" s="2276"/>
      <c r="L70" s="2276"/>
      <c r="M70" s="2276"/>
      <c r="Q70" s="2280"/>
      <c r="R70" s="54"/>
      <c r="S70" s="2266"/>
      <c r="T70" s="1242"/>
    </row>
    <row r="71" spans="1:39" s="48" customFormat="1" ht="19.350000000000001" customHeight="1">
      <c r="A71" s="2294"/>
      <c r="B71" s="3383" t="str">
        <f>M22</f>
        <v xml:space="preserve"> </v>
      </c>
      <c r="C71" s="3351"/>
      <c r="D71" s="86" t="s">
        <v>1966</v>
      </c>
      <c r="E71" s="137"/>
      <c r="F71" s="3347" t="str">
        <f>IF(ISBLANK(C22),"",I15)</f>
        <v/>
      </c>
      <c r="G71" s="3348"/>
      <c r="H71" s="3759" t="s">
        <v>1941</v>
      </c>
      <c r="I71" s="3760"/>
      <c r="J71" s="3347" t="str">
        <f>IF(ISBLANK(C22),"",B71/F71)</f>
        <v/>
      </c>
      <c r="K71" s="3348"/>
      <c r="L71" s="2280" t="s">
        <v>144</v>
      </c>
      <c r="N71" s="3748" t="s">
        <v>1946</v>
      </c>
      <c r="O71" s="3748"/>
      <c r="P71" s="3748"/>
      <c r="Q71" s="2366"/>
      <c r="R71" s="2369" t="str">
        <f>M78</f>
        <v/>
      </c>
      <c r="S71" s="2368" t="s">
        <v>741</v>
      </c>
      <c r="T71" s="793"/>
    </row>
    <row r="72" spans="1:39" s="48" customFormat="1" ht="17.100000000000001" customHeight="1">
      <c r="A72" s="2294"/>
      <c r="B72" s="2270"/>
      <c r="C72" s="2266"/>
      <c r="D72" s="2266"/>
      <c r="E72" s="2266"/>
      <c r="F72" s="2278"/>
      <c r="G72" s="2278"/>
      <c r="H72" s="2266"/>
      <c r="I72" s="2266"/>
      <c r="J72" s="2266"/>
      <c r="K72" s="2278"/>
      <c r="M72" s="3744" t="s">
        <v>21</v>
      </c>
      <c r="N72" s="3744"/>
      <c r="O72" s="2229" t="str">
        <f>IF(ISBLANK(F75), "", J75)</f>
        <v/>
      </c>
      <c r="P72" s="48" t="s">
        <v>94</v>
      </c>
      <c r="Q72" s="2225"/>
      <c r="R72" s="2366"/>
      <c r="S72" s="2366"/>
      <c r="T72" s="793"/>
      <c r="X72" s="2361"/>
    </row>
    <row r="73" spans="1:39" s="48" customFormat="1" ht="19.350000000000001" customHeight="1">
      <c r="A73" s="1457" t="s">
        <v>2030</v>
      </c>
      <c r="B73" s="2280" t="s">
        <v>1482</v>
      </c>
      <c r="C73" s="2280"/>
      <c r="D73" s="2266"/>
      <c r="E73" s="55"/>
      <c r="F73" s="55"/>
      <c r="G73" s="2281"/>
      <c r="H73" s="2281"/>
      <c r="I73" s="54"/>
      <c r="J73" s="54"/>
      <c r="K73" s="2281"/>
      <c r="L73" s="2281"/>
      <c r="M73" s="3761" t="s">
        <v>1947</v>
      </c>
      <c r="N73" s="3761"/>
      <c r="O73" s="3761"/>
      <c r="Q73" s="2366"/>
      <c r="R73" s="2357" t="str">
        <f>K42</f>
        <v xml:space="preserve"> </v>
      </c>
      <c r="S73" s="2359" t="s">
        <v>741</v>
      </c>
      <c r="T73" s="793"/>
      <c r="W73" s="2361"/>
      <c r="X73" s="2361"/>
    </row>
    <row r="74" spans="1:39" s="48" customFormat="1" ht="18.75" customHeight="1">
      <c r="A74" s="1453"/>
      <c r="B74" s="10" t="s">
        <v>2085</v>
      </c>
      <c r="C74" s="2276"/>
      <c r="D74" s="2266"/>
      <c r="E74" s="55"/>
      <c r="F74" s="55"/>
      <c r="G74" s="2281"/>
      <c r="H74" s="2281"/>
      <c r="I74" s="54"/>
      <c r="J74" s="54"/>
      <c r="K74" s="2281"/>
      <c r="L74" s="2281"/>
      <c r="M74" s="2281"/>
      <c r="N74" s="3762" t="s">
        <v>2035</v>
      </c>
      <c r="O74" s="3762"/>
      <c r="Q74" s="2366"/>
      <c r="R74" s="3767" t="str">
        <f>I40</f>
        <v/>
      </c>
      <c r="S74" s="3743" t="s">
        <v>741</v>
      </c>
      <c r="T74" s="793"/>
    </row>
    <row r="75" spans="1:39" s="48" customFormat="1" ht="18" customHeight="1">
      <c r="A75" s="1453"/>
      <c r="B75" s="3347" t="str">
        <f>IF(ISBLANK(C22),"",I17)</f>
        <v/>
      </c>
      <c r="C75" s="3351"/>
      <c r="D75" s="3756" t="s">
        <v>1940</v>
      </c>
      <c r="E75" s="3750"/>
      <c r="F75" s="3100"/>
      <c r="G75" s="3101"/>
      <c r="H75" s="3757" t="s">
        <v>1939</v>
      </c>
      <c r="I75" s="3758"/>
      <c r="J75" s="3385" t="str">
        <f>IF(ISBLANK(C22),"",B75*(F75/100))</f>
        <v/>
      </c>
      <c r="K75" s="3715"/>
      <c r="L75" s="2280" t="s">
        <v>144</v>
      </c>
      <c r="M75" s="2281"/>
      <c r="N75" s="3762"/>
      <c r="O75" s="3762"/>
      <c r="Q75" s="2366"/>
      <c r="R75" s="3767"/>
      <c r="S75" s="3743"/>
      <c r="T75" s="793"/>
    </row>
    <row r="76" spans="1:39" s="48" customFormat="1" ht="19.5" customHeight="1">
      <c r="A76" s="1453"/>
      <c r="B76" s="2278"/>
      <c r="C76" s="2266"/>
      <c r="D76" s="2266"/>
      <c r="E76" s="2266"/>
      <c r="F76" s="2293"/>
      <c r="G76" s="2293"/>
      <c r="H76" s="2266"/>
      <c r="I76" s="2266"/>
      <c r="J76" s="2266"/>
      <c r="K76" s="501"/>
      <c r="L76" s="58"/>
      <c r="M76" s="3744" t="s">
        <v>20</v>
      </c>
      <c r="N76" s="3763"/>
      <c r="O76" s="2358" t="str">
        <f>J71</f>
        <v/>
      </c>
      <c r="P76" s="2344" t="s">
        <v>94</v>
      </c>
      <c r="R76" s="2369" t="str">
        <f>M22</f>
        <v xml:space="preserve"> </v>
      </c>
      <c r="S76" s="2368" t="s">
        <v>741</v>
      </c>
      <c r="T76" s="793"/>
    </row>
    <row r="77" spans="1:39" s="48" customFormat="1" ht="18" customHeight="1">
      <c r="A77" s="1457" t="s">
        <v>2031</v>
      </c>
      <c r="B77" s="2224" t="s">
        <v>1942</v>
      </c>
      <c r="C77" s="2266"/>
      <c r="D77" s="2266"/>
      <c r="E77" s="2266"/>
      <c r="F77" s="2293"/>
      <c r="G77" s="2293"/>
      <c r="H77" s="2266"/>
      <c r="I77" s="2266"/>
      <c r="J77" s="2266"/>
      <c r="K77" s="501"/>
      <c r="L77" s="58"/>
      <c r="M77" s="2356"/>
      <c r="N77" s="2356"/>
      <c r="R77" s="2353"/>
      <c r="S77" s="2360"/>
      <c r="T77" s="793"/>
    </row>
    <row r="78" spans="1:39" s="48" customFormat="1" ht="18" customHeight="1">
      <c r="A78" s="1453" t="s">
        <v>310</v>
      </c>
      <c r="B78" s="3347" t="str">
        <f>IF(ISBLANK(I17),"",I17)</f>
        <v/>
      </c>
      <c r="C78" s="3351"/>
      <c r="D78" s="3386" t="s">
        <v>1918</v>
      </c>
      <c r="E78" s="3342"/>
      <c r="F78" s="3738" t="str">
        <f>IF(ISBLANK(J75),"",J75)</f>
        <v/>
      </c>
      <c r="G78" s="3755"/>
      <c r="H78" s="3386" t="s">
        <v>1917</v>
      </c>
      <c r="I78" s="3342"/>
      <c r="J78" s="3347" t="str">
        <f>IF(ISBLANK(C22),"",I15)</f>
        <v/>
      </c>
      <c r="K78" s="3351"/>
      <c r="L78" s="2281" t="s">
        <v>1870</v>
      </c>
      <c r="M78" s="3566" t="str">
        <f>IF(ISBLANK(H49),"",((B78-F78)*J78))</f>
        <v/>
      </c>
      <c r="N78" s="3595"/>
      <c r="O78" s="58" t="s">
        <v>827</v>
      </c>
      <c r="P78" s="2281"/>
      <c r="Q78" s="2281"/>
      <c r="R78" s="2281"/>
      <c r="S78" s="2281"/>
      <c r="T78" s="793"/>
      <c r="U78" s="991"/>
      <c r="V78" s="991"/>
      <c r="W78" s="22"/>
      <c r="X78" s="22"/>
      <c r="Y78" s="22"/>
      <c r="Z78" s="22"/>
      <c r="AA78" s="22"/>
      <c r="AB78" s="22"/>
      <c r="AC78" s="22"/>
      <c r="AD78" s="22"/>
      <c r="AE78" s="22"/>
      <c r="AF78" s="22"/>
      <c r="AG78" s="22"/>
      <c r="AH78" s="22"/>
      <c r="AI78" s="22"/>
      <c r="AJ78" s="22"/>
      <c r="AK78" s="22"/>
      <c r="AL78" s="22"/>
      <c r="AM78" s="22"/>
    </row>
    <row r="79" spans="1:39" s="48" customFormat="1" ht="6.9" customHeight="1" thickBot="1">
      <c r="A79" s="1759"/>
      <c r="B79" s="984"/>
      <c r="C79" s="1233"/>
      <c r="D79" s="1233"/>
      <c r="E79" s="1233"/>
      <c r="F79" s="2183"/>
      <c r="G79" s="2183"/>
      <c r="H79" s="1233"/>
      <c r="I79" s="1233"/>
      <c r="J79" s="1233"/>
      <c r="K79" s="2158"/>
      <c r="L79" s="1440"/>
      <c r="M79" s="1229"/>
      <c r="N79" s="1229"/>
      <c r="O79" s="1229"/>
      <c r="P79" s="1229"/>
      <c r="Q79" s="1229"/>
      <c r="R79" s="1229"/>
      <c r="S79" s="1229"/>
      <c r="T79" s="1464"/>
    </row>
    <row r="80" spans="1:39" s="48" customFormat="1" ht="18" customHeight="1">
      <c r="A80" s="23"/>
      <c r="B80" s="22"/>
      <c r="C80" s="22"/>
      <c r="D80" s="22"/>
      <c r="E80" s="22"/>
      <c r="F80" s="1257"/>
      <c r="G80" s="1257"/>
      <c r="H80" s="22"/>
      <c r="I80" s="22"/>
      <c r="J80" s="22"/>
      <c r="K80" s="22"/>
      <c r="L80" s="22"/>
      <c r="M80" s="22"/>
      <c r="N80" s="22"/>
      <c r="O80" s="22"/>
      <c r="P80" s="22"/>
      <c r="Q80" s="23"/>
      <c r="R80" s="23"/>
      <c r="S80" s="23"/>
      <c r="T80" s="23"/>
      <c r="U80" s="991"/>
      <c r="V80" s="991"/>
      <c r="W80" s="22"/>
      <c r="X80" s="22"/>
      <c r="Y80" s="22"/>
      <c r="Z80" s="22"/>
      <c r="AA80" s="22"/>
      <c r="AB80" s="22"/>
      <c r="AC80" s="22"/>
      <c r="AD80" s="22"/>
      <c r="AE80" s="22"/>
      <c r="AF80" s="22"/>
      <c r="AG80" s="22"/>
      <c r="AH80" s="22"/>
      <c r="AI80" s="22"/>
      <c r="AJ80" s="22"/>
      <c r="AK80" s="22"/>
      <c r="AL80" s="22"/>
      <c r="AM80" s="22"/>
    </row>
    <row r="81" spans="1:39" s="48" customFormat="1" ht="18" customHeight="1">
      <c r="A81" s="23"/>
      <c r="B81" s="22"/>
      <c r="C81" s="22"/>
      <c r="D81" s="22"/>
      <c r="E81" s="22"/>
      <c r="F81" s="1257"/>
      <c r="G81" s="1257"/>
      <c r="H81" s="22"/>
      <c r="I81" s="22"/>
      <c r="J81" s="22"/>
      <c r="K81" s="22"/>
      <c r="L81" s="22"/>
      <c r="M81" s="22"/>
      <c r="O81" s="1817"/>
      <c r="P81" s="22"/>
      <c r="Q81" s="23"/>
      <c r="R81" s="23"/>
      <c r="S81" s="23"/>
      <c r="T81" s="23"/>
      <c r="U81" s="991"/>
      <c r="V81" s="991"/>
      <c r="W81" s="22"/>
      <c r="X81" s="22"/>
      <c r="Y81" s="22"/>
      <c r="Z81" s="22"/>
      <c r="AA81" s="22"/>
      <c r="AB81" s="22"/>
      <c r="AC81" s="22"/>
      <c r="AD81" s="22"/>
      <c r="AE81" s="22"/>
      <c r="AF81" s="22"/>
      <c r="AG81" s="22"/>
      <c r="AH81" s="22"/>
      <c r="AI81" s="22"/>
      <c r="AJ81" s="22"/>
      <c r="AK81" s="22"/>
      <c r="AL81" s="22"/>
      <c r="AM81" s="22"/>
    </row>
    <row r="82" spans="1:39" ht="18" customHeight="1">
      <c r="N82" s="1817"/>
      <c r="O82" s="1817"/>
      <c r="U82" s="991"/>
      <c r="V82" s="991"/>
    </row>
    <row r="83" spans="1:39" ht="35.1" customHeight="1">
      <c r="U83" s="90"/>
      <c r="V83" s="2"/>
    </row>
    <row r="84" spans="1:39" ht="35.1" customHeight="1">
      <c r="U84" s="90"/>
      <c r="V84" s="2"/>
    </row>
    <row r="85" spans="1:39" ht="35.1" customHeight="1">
      <c r="U85" s="991"/>
      <c r="V85" s="2"/>
    </row>
  </sheetData>
  <sheetProtection sheet="1" objects="1" scenarios="1"/>
  <mergeCells count="107">
    <mergeCell ref="I6:J6"/>
    <mergeCell ref="Z6:AA6"/>
    <mergeCell ref="AE6:AF6"/>
    <mergeCell ref="I8:J8"/>
    <mergeCell ref="Q8:R8"/>
    <mergeCell ref="W8:AK9"/>
    <mergeCell ref="A1:T1"/>
    <mergeCell ref="B2:K2"/>
    <mergeCell ref="L2:M2"/>
    <mergeCell ref="N2:O2"/>
    <mergeCell ref="I4:J4"/>
    <mergeCell ref="O4:S4"/>
    <mergeCell ref="F11:J11"/>
    <mergeCell ref="O11:S11"/>
    <mergeCell ref="W11:X11"/>
    <mergeCell ref="AF11:AG11"/>
    <mergeCell ref="I13:J13"/>
    <mergeCell ref="N13:T17"/>
    <mergeCell ref="I15:J15"/>
    <mergeCell ref="AF15:AG15"/>
    <mergeCell ref="I17:J17"/>
    <mergeCell ref="Q24:R24"/>
    <mergeCell ref="E26:F26"/>
    <mergeCell ref="K26:L26"/>
    <mergeCell ref="Q26:R26"/>
    <mergeCell ref="A19:T19"/>
    <mergeCell ref="AA19:AB19"/>
    <mergeCell ref="B20:T20"/>
    <mergeCell ref="B21:K21"/>
    <mergeCell ref="C22:D22"/>
    <mergeCell ref="H22:I22"/>
    <mergeCell ref="M22:N22"/>
    <mergeCell ref="B28:K28"/>
    <mergeCell ref="L28:M28"/>
    <mergeCell ref="C30:D30"/>
    <mergeCell ref="E30:F30"/>
    <mergeCell ref="G30:H30"/>
    <mergeCell ref="I30:J30"/>
    <mergeCell ref="K30:L30"/>
    <mergeCell ref="B23:M23"/>
    <mergeCell ref="K24:L24"/>
    <mergeCell ref="C40:D40"/>
    <mergeCell ref="F40:G40"/>
    <mergeCell ref="I40:J40"/>
    <mergeCell ref="B42:C42"/>
    <mergeCell ref="E42:F42"/>
    <mergeCell ref="H42:I42"/>
    <mergeCell ref="J32:K32"/>
    <mergeCell ref="J34:K34"/>
    <mergeCell ref="J36:K36"/>
    <mergeCell ref="C38:D38"/>
    <mergeCell ref="F38:G38"/>
    <mergeCell ref="J38:K38"/>
    <mergeCell ref="K42:L42"/>
    <mergeCell ref="I45:J45"/>
    <mergeCell ref="Q45:S49"/>
    <mergeCell ref="C47:D47"/>
    <mergeCell ref="E47:F47"/>
    <mergeCell ref="G47:H47"/>
    <mergeCell ref="I47:J47"/>
    <mergeCell ref="K47:L47"/>
    <mergeCell ref="N47:O47"/>
    <mergeCell ref="H49:I49"/>
    <mergeCell ref="O62:P62"/>
    <mergeCell ref="Q62:R62"/>
    <mergeCell ref="B63:D63"/>
    <mergeCell ref="E63:F63"/>
    <mergeCell ref="B54:C54"/>
    <mergeCell ref="F54:G54"/>
    <mergeCell ref="H54:I54"/>
    <mergeCell ref="J54:K54"/>
    <mergeCell ref="B57:C57"/>
    <mergeCell ref="E57:G57"/>
    <mergeCell ref="H57:I57"/>
    <mergeCell ref="B64:D64"/>
    <mergeCell ref="E64:F64"/>
    <mergeCell ref="J64:K64"/>
    <mergeCell ref="B65:N65"/>
    <mergeCell ref="B66:E66"/>
    <mergeCell ref="G66:H66"/>
    <mergeCell ref="L66:M66"/>
    <mergeCell ref="L57:M57"/>
    <mergeCell ref="G61:H61"/>
    <mergeCell ref="L62:M62"/>
    <mergeCell ref="R74:R75"/>
    <mergeCell ref="S74:S75"/>
    <mergeCell ref="B75:C75"/>
    <mergeCell ref="D75:E75"/>
    <mergeCell ref="F75:G75"/>
    <mergeCell ref="H75:I75"/>
    <mergeCell ref="J75:K75"/>
    <mergeCell ref="A68:F68"/>
    <mergeCell ref="B71:C71"/>
    <mergeCell ref="F71:G71"/>
    <mergeCell ref="H71:I71"/>
    <mergeCell ref="J71:K71"/>
    <mergeCell ref="N71:P71"/>
    <mergeCell ref="M76:N76"/>
    <mergeCell ref="B78:C78"/>
    <mergeCell ref="D78:E78"/>
    <mergeCell ref="F78:G78"/>
    <mergeCell ref="H78:I78"/>
    <mergeCell ref="J78:K78"/>
    <mergeCell ref="M78:N78"/>
    <mergeCell ref="M72:N72"/>
    <mergeCell ref="M73:O73"/>
    <mergeCell ref="N74:O75"/>
  </mergeCells>
  <dataValidations count="3">
    <dataValidation type="whole" allowBlank="1" showInputMessage="1" showErrorMessage="1" error="Must be between Min and Max" sqref="L28:M28">
      <formula1>K24-0.5</formula1>
      <formula2>K26</formula2>
    </dataValidation>
    <dataValidation type="list" allowBlank="1" showInputMessage="1" showErrorMessage="1" sqref="H33">
      <formula1>$AK$34:$AK$36</formula1>
    </dataValidation>
    <dataValidation allowBlank="1" showInputMessage="1" sqref="B42:C42"/>
  </dataValidations>
  <printOptions horizontalCentered="1"/>
  <pageMargins left="0.25" right="0.25" top="0.5" bottom="0.5" header="0.3" footer="0.3"/>
  <pageSetup scale="88" fitToHeight="0" orientation="portrait" blackAndWhite="1" r:id="rId1"/>
  <rowBreaks count="1" manualBreakCount="1">
    <brk id="49" max="19"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Tank Use" prompt="What will the pump tank be used for?">
          <x14:formula1>
            <xm:f>'Drop-Down Lists'!$M$50:$M$54</xm:f>
          </x14:formula1>
          <xm:sqref>O4</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indexed="55"/>
  </sheetPr>
  <dimension ref="A1:AV128"/>
  <sheetViews>
    <sheetView showGridLines="0" showZeros="0" view="pageBreakPreview" zoomScaleNormal="100" zoomScaleSheetLayoutView="100" workbookViewId="0">
      <selection activeCell="H4" sqref="H4:J4"/>
    </sheetView>
  </sheetViews>
  <sheetFormatPr defaultColWidth="6.44140625" defaultRowHeight="24.75" customHeight="1"/>
  <cols>
    <col min="1" max="1" width="3.44140625" style="91" customWidth="1"/>
    <col min="2" max="18" width="6.44140625" style="22" customWidth="1"/>
    <col min="19" max="19" width="6.44140625" style="23" customWidth="1"/>
    <col min="20" max="21" width="6.44140625" style="22" customWidth="1"/>
    <col min="22" max="44" width="6.44140625" style="22"/>
    <col min="45" max="45" width="6.88671875" style="22" bestFit="1" customWidth="1"/>
    <col min="46" max="46" width="7" style="22" bestFit="1" customWidth="1"/>
    <col min="47" max="47" width="6.88671875" style="22" bestFit="1" customWidth="1"/>
    <col min="48" max="16384" width="6.44140625" style="22"/>
  </cols>
  <sheetData>
    <row r="1" spans="1:23" s="11" customFormat="1" ht="54.9" customHeight="1" thickBot="1">
      <c r="A1" s="24"/>
      <c r="B1" s="468"/>
      <c r="C1" s="468"/>
      <c r="D1" s="468"/>
      <c r="E1" s="3598" t="s">
        <v>1759</v>
      </c>
      <c r="F1" s="3598"/>
      <c r="G1" s="3598"/>
      <c r="H1" s="3598"/>
      <c r="I1" s="3598"/>
      <c r="J1" s="3598"/>
      <c r="K1" s="3598"/>
      <c r="L1" s="3598"/>
      <c r="M1" s="3598"/>
      <c r="N1" s="3598"/>
      <c r="O1" s="3598"/>
      <c r="P1" s="3598"/>
      <c r="Q1" s="470"/>
      <c r="R1" s="470"/>
      <c r="S1" s="470"/>
      <c r="T1" s="470"/>
    </row>
    <row r="2" spans="1:23" ht="16.350000000000001" customHeight="1">
      <c r="A2" s="2055" t="s">
        <v>917</v>
      </c>
      <c r="B2" s="2056" t="s">
        <v>918</v>
      </c>
      <c r="C2" s="2057"/>
      <c r="D2" s="2057"/>
      <c r="E2" s="2057"/>
      <c r="F2" s="2057"/>
      <c r="G2" s="2057"/>
      <c r="H2" s="2057"/>
      <c r="I2" s="3614" t="s">
        <v>1016</v>
      </c>
      <c r="J2" s="3614"/>
      <c r="K2" s="3608" t="str">
        <f>IF(ISBLANK(Summary!S3)," ",Summary!S3)</f>
        <v xml:space="preserve"> </v>
      </c>
      <c r="L2" s="3608"/>
      <c r="M2" s="2057"/>
      <c r="N2" s="2057"/>
      <c r="O2" s="2057"/>
      <c r="P2" s="2057"/>
      <c r="Q2" s="2108"/>
      <c r="R2" s="2108"/>
      <c r="S2" s="2108"/>
      <c r="T2" s="2109" t="str">
        <f>'Drop-Down Lists'!J40</f>
        <v>v 04.01.2021</v>
      </c>
      <c r="U2" s="88"/>
      <c r="V2" s="88"/>
      <c r="W2" s="88"/>
    </row>
    <row r="3" spans="1:23" s="48" customFormat="1" ht="6" customHeight="1">
      <c r="A3" s="2060"/>
      <c r="B3" s="2001"/>
      <c r="C3" s="2001"/>
      <c r="D3" s="2001"/>
      <c r="E3" s="2001"/>
      <c r="F3" s="2001"/>
      <c r="G3" s="2001"/>
      <c r="H3" s="2001"/>
      <c r="I3" s="2001"/>
      <c r="J3" s="2001"/>
      <c r="K3" s="2001"/>
      <c r="L3" s="2001"/>
      <c r="M3" s="2001"/>
      <c r="N3" s="2001"/>
      <c r="O3" s="2001"/>
      <c r="P3" s="2001"/>
      <c r="Q3" s="1418"/>
      <c r="R3" s="1418"/>
      <c r="S3" s="1418"/>
      <c r="T3" s="2110"/>
      <c r="U3" s="88"/>
      <c r="V3" s="88"/>
      <c r="W3" s="88"/>
    </row>
    <row r="4" spans="1:23" s="48" customFormat="1" ht="18" customHeight="1">
      <c r="A4" s="2080"/>
      <c r="B4" s="3803" t="s">
        <v>0</v>
      </c>
      <c r="C4" s="3803"/>
      <c r="D4" s="3803"/>
      <c r="E4" s="3803"/>
      <c r="F4" s="3803"/>
      <c r="G4" s="3803"/>
      <c r="H4" s="3800"/>
      <c r="I4" s="3801"/>
      <c r="J4" s="3802"/>
      <c r="K4" s="2015"/>
      <c r="L4" s="2015"/>
      <c r="M4" s="2015"/>
      <c r="N4" s="733"/>
      <c r="O4" s="2015"/>
      <c r="P4" s="2015"/>
      <c r="Q4" s="1412"/>
      <c r="R4" s="2111"/>
      <c r="S4" s="2112">
        <v>1</v>
      </c>
      <c r="T4" s="2113"/>
      <c r="U4" s="734"/>
      <c r="V4" s="734"/>
      <c r="W4" s="734"/>
    </row>
    <row r="5" spans="1:23" ht="20.100000000000001" customHeight="1">
      <c r="A5" s="1456" t="s">
        <v>147</v>
      </c>
      <c r="B5" s="2000" t="s">
        <v>947</v>
      </c>
      <c r="C5" s="2000"/>
      <c r="D5" s="2000"/>
      <c r="E5" s="2000"/>
      <c r="F5" s="2000"/>
      <c r="G5" s="2000"/>
      <c r="H5" s="2000"/>
      <c r="I5" s="2000"/>
      <c r="J5" s="2000"/>
      <c r="K5" s="3503"/>
      <c r="L5" s="3831"/>
      <c r="M5" s="2000" t="s">
        <v>134</v>
      </c>
      <c r="N5" s="3834"/>
      <c r="O5" s="3835"/>
      <c r="P5" s="2000"/>
      <c r="Q5" s="2114"/>
      <c r="R5" s="2104"/>
      <c r="S5" s="2103"/>
      <c r="T5" s="1466"/>
    </row>
    <row r="6" spans="1:23" ht="20.100000000000001" customHeight="1">
      <c r="A6" s="1456" t="s">
        <v>631</v>
      </c>
      <c r="B6" s="2000" t="s">
        <v>950</v>
      </c>
      <c r="C6" s="2000"/>
      <c r="D6" s="2000"/>
      <c r="E6" s="2000"/>
      <c r="F6" s="2000"/>
      <c r="G6" s="2000"/>
      <c r="H6" s="2000"/>
      <c r="I6" s="2000"/>
      <c r="J6" s="2000"/>
      <c r="K6" s="3836"/>
      <c r="L6" s="3837"/>
      <c r="M6" s="2003"/>
      <c r="N6" s="2016"/>
      <c r="O6" s="2000"/>
      <c r="P6" s="2000"/>
      <c r="Q6" s="2114"/>
      <c r="R6" s="2104"/>
      <c r="S6" s="2103"/>
      <c r="T6" s="1466"/>
    </row>
    <row r="7" spans="1:23" ht="18" customHeight="1">
      <c r="A7" s="1451"/>
      <c r="B7" s="1999" t="s">
        <v>147</v>
      </c>
      <c r="C7" s="2000" t="s">
        <v>952</v>
      </c>
      <c r="D7" s="2000"/>
      <c r="E7" s="2000"/>
      <c r="F7" s="2000"/>
      <c r="G7" s="2000"/>
      <c r="H7" s="2000"/>
      <c r="I7" s="2000"/>
      <c r="J7" s="2000"/>
      <c r="K7" s="3503"/>
      <c r="L7" s="3831"/>
      <c r="M7" s="2000" t="s">
        <v>134</v>
      </c>
      <c r="N7" s="2000"/>
      <c r="O7" s="2000"/>
      <c r="P7" s="2000"/>
      <c r="Q7" s="2114"/>
      <c r="R7" s="2115"/>
      <c r="S7" s="2103"/>
      <c r="T7" s="1466"/>
    </row>
    <row r="8" spans="1:23" ht="6" customHeight="1">
      <c r="A8" s="1451"/>
      <c r="B8" s="2000"/>
      <c r="C8" s="2000"/>
      <c r="D8" s="2000"/>
      <c r="E8" s="2000"/>
      <c r="F8" s="2000"/>
      <c r="G8" s="2000"/>
      <c r="H8" s="2000"/>
      <c r="I8" s="2000"/>
      <c r="J8" s="2000"/>
      <c r="K8" s="2000"/>
      <c r="L8" s="2000"/>
      <c r="M8" s="2000"/>
      <c r="N8" s="2000"/>
      <c r="O8" s="2000"/>
      <c r="P8" s="2000"/>
      <c r="Q8" s="2114"/>
      <c r="R8" s="2115"/>
      <c r="S8" s="2103"/>
      <c r="T8" s="1466"/>
    </row>
    <row r="9" spans="1:23" ht="20.100000000000001" customHeight="1">
      <c r="A9" s="848"/>
      <c r="B9" s="1999" t="s">
        <v>631</v>
      </c>
      <c r="C9" s="2000" t="s">
        <v>951</v>
      </c>
      <c r="D9" s="2000"/>
      <c r="E9" s="2000"/>
      <c r="F9" s="2000"/>
      <c r="G9" s="2000"/>
      <c r="H9" s="2000"/>
      <c r="I9" s="2000"/>
      <c r="J9" s="2000"/>
      <c r="K9" s="3503"/>
      <c r="L9" s="3831"/>
      <c r="M9" s="2000" t="s">
        <v>955</v>
      </c>
      <c r="N9" s="733"/>
      <c r="O9" s="2000"/>
      <c r="P9" s="2000"/>
      <c r="Q9" s="2114"/>
      <c r="R9" s="2104"/>
      <c r="S9" s="2103"/>
      <c r="T9" s="1466"/>
    </row>
    <row r="10" spans="1:23" ht="6" customHeight="1">
      <c r="A10" s="1451"/>
      <c r="B10" s="2000"/>
      <c r="C10" s="2000"/>
      <c r="D10" s="2000"/>
      <c r="E10" s="2000"/>
      <c r="F10" s="2000"/>
      <c r="G10" s="2000"/>
      <c r="H10" s="2000"/>
      <c r="I10" s="2000"/>
      <c r="J10" s="2000"/>
      <c r="K10" s="2000"/>
      <c r="L10" s="2000"/>
      <c r="M10" s="2000"/>
      <c r="N10" s="2000"/>
      <c r="O10" s="2000"/>
      <c r="P10" s="2000"/>
      <c r="Q10" s="2114"/>
      <c r="R10" s="2115"/>
      <c r="S10" s="2103"/>
      <c r="T10" s="1466"/>
    </row>
    <row r="11" spans="1:23" ht="18" customHeight="1">
      <c r="A11" s="1451"/>
      <c r="B11" s="1995" t="s">
        <v>149</v>
      </c>
      <c r="C11" s="2000" t="s">
        <v>953</v>
      </c>
      <c r="D11" s="2000"/>
      <c r="E11" s="2000"/>
      <c r="F11" s="2000"/>
      <c r="G11" s="3827">
        <f>IF(H4="Gravity","",(K7))</f>
        <v>0</v>
      </c>
      <c r="H11" s="3828"/>
      <c r="I11" s="2000" t="s">
        <v>954</v>
      </c>
      <c r="J11" s="3829">
        <f>IF(H4="Gravity","",(K9))</f>
        <v>0</v>
      </c>
      <c r="K11" s="3830"/>
      <c r="L11" s="3368" t="s">
        <v>957</v>
      </c>
      <c r="M11" s="3369"/>
      <c r="N11" s="3612">
        <f>IF(H4="Gravity","",(G11*J11))</f>
        <v>0</v>
      </c>
      <c r="O11" s="3838"/>
      <c r="P11" s="2000" t="s">
        <v>134</v>
      </c>
      <c r="Q11" s="2103"/>
      <c r="R11" s="2103"/>
      <c r="S11" s="2104"/>
      <c r="T11" s="1466"/>
    </row>
    <row r="12" spans="1:23" ht="6" customHeight="1">
      <c r="A12" s="2064"/>
      <c r="B12" s="2000"/>
      <c r="C12" s="2000"/>
      <c r="D12" s="2000"/>
      <c r="E12" s="2000"/>
      <c r="F12" s="2000"/>
      <c r="G12" s="2000"/>
      <c r="H12" s="2000"/>
      <c r="I12" s="2000"/>
      <c r="J12" s="2000"/>
      <c r="K12" s="2000"/>
      <c r="L12" s="2000"/>
      <c r="M12" s="2000"/>
      <c r="N12" s="2000"/>
      <c r="O12" s="2000"/>
      <c r="P12" s="2000"/>
      <c r="Q12" s="2000"/>
      <c r="R12" s="113"/>
      <c r="S12" s="104"/>
      <c r="T12" s="1242"/>
    </row>
    <row r="13" spans="1:23" ht="16.350000000000001" customHeight="1">
      <c r="A13" s="3788" t="s">
        <v>307</v>
      </c>
      <c r="B13" s="3668"/>
      <c r="C13" s="3668"/>
      <c r="D13" s="3668"/>
      <c r="E13" s="3668"/>
      <c r="F13" s="3668"/>
      <c r="G13" s="3668"/>
      <c r="H13" s="3668"/>
      <c r="I13" s="3668"/>
      <c r="J13" s="3668"/>
      <c r="K13" s="3668"/>
      <c r="L13" s="3668"/>
      <c r="M13" s="3668"/>
      <c r="N13" s="3668"/>
      <c r="O13" s="3668"/>
      <c r="P13" s="3668"/>
      <c r="Q13" s="3668"/>
      <c r="R13" s="3668"/>
      <c r="S13" s="3668"/>
      <c r="T13" s="3789"/>
      <c r="U13" s="88"/>
      <c r="V13" s="88"/>
      <c r="W13" s="88"/>
    </row>
    <row r="14" spans="1:23" s="48" customFormat="1" ht="6" customHeight="1">
      <c r="A14" s="2068"/>
      <c r="B14" s="452"/>
      <c r="C14" s="452"/>
      <c r="D14" s="452"/>
      <c r="E14" s="452"/>
      <c r="F14" s="452"/>
      <c r="G14" s="452"/>
      <c r="H14" s="452"/>
      <c r="I14" s="452"/>
      <c r="J14" s="452"/>
      <c r="K14" s="452"/>
      <c r="L14" s="452"/>
      <c r="M14" s="452"/>
      <c r="N14" s="452"/>
      <c r="O14" s="452"/>
      <c r="P14" s="452"/>
      <c r="Q14" s="452"/>
      <c r="R14" s="452"/>
      <c r="S14" s="452"/>
      <c r="T14" s="2059"/>
      <c r="U14" s="88"/>
    </row>
    <row r="15" spans="1:23" s="48" customFormat="1" ht="20.100000000000001" customHeight="1">
      <c r="A15" s="2063" t="s">
        <v>147</v>
      </c>
      <c r="B15" s="3562" t="s">
        <v>724</v>
      </c>
      <c r="C15" s="3562"/>
      <c r="D15" s="3562"/>
      <c r="E15" s="3562"/>
      <c r="F15" s="3100"/>
      <c r="G15" s="3101"/>
      <c r="H15" s="2000" t="s">
        <v>92</v>
      </c>
      <c r="I15" s="2003"/>
      <c r="J15" s="2003"/>
      <c r="K15" s="2001"/>
      <c r="L15" s="2001"/>
      <c r="M15" s="2001"/>
      <c r="N15" s="2001"/>
      <c r="O15" s="2001"/>
      <c r="P15" s="2001"/>
      <c r="Q15" s="2001"/>
      <c r="R15" s="2001"/>
      <c r="S15" s="2001"/>
      <c r="T15" s="793"/>
      <c r="U15" s="88"/>
    </row>
    <row r="16" spans="1:23" s="48" customFormat="1" ht="18" customHeight="1">
      <c r="A16" s="2064"/>
      <c r="B16" s="3562" t="s">
        <v>50</v>
      </c>
      <c r="C16" s="3562"/>
      <c r="D16" s="3562"/>
      <c r="E16" s="3562"/>
      <c r="F16" s="3562"/>
      <c r="G16" s="3562"/>
      <c r="H16" s="3562"/>
      <c r="I16" s="2003"/>
      <c r="J16" s="2003"/>
      <c r="K16" s="2001"/>
      <c r="L16" s="2001"/>
      <c r="M16" s="2001"/>
      <c r="N16" s="2001"/>
      <c r="O16" s="2001"/>
      <c r="P16" s="2001"/>
      <c r="Q16" s="2001"/>
      <c r="R16" s="2001"/>
      <c r="S16" s="2001"/>
      <c r="T16" s="2069"/>
      <c r="U16" s="88"/>
    </row>
    <row r="17" spans="1:34" ht="20.100000000000001" customHeight="1">
      <c r="A17" s="2071" t="str">
        <f>"B."</f>
        <v>B.</v>
      </c>
      <c r="B17" s="2000" t="s">
        <v>1004</v>
      </c>
      <c r="C17" s="2000"/>
      <c r="D17" s="2000"/>
      <c r="E17" s="2000"/>
      <c r="F17" s="3583"/>
      <c r="G17" s="3584"/>
      <c r="H17" s="2000" t="s">
        <v>94</v>
      </c>
      <c r="I17" s="3587"/>
      <c r="J17" s="3832"/>
      <c r="K17" s="3833"/>
      <c r="L17" s="3833"/>
      <c r="M17" s="3559"/>
      <c r="N17" s="3559"/>
      <c r="O17" s="3378"/>
      <c r="P17" s="3378"/>
      <c r="Q17" s="87"/>
      <c r="R17" s="87"/>
      <c r="S17" s="1470"/>
      <c r="T17" s="2081"/>
    </row>
    <row r="18" spans="1:34" s="48" customFormat="1" ht="6" customHeight="1">
      <c r="A18" s="2071"/>
      <c r="B18" s="2003"/>
      <c r="C18" s="2003"/>
      <c r="D18" s="2003"/>
      <c r="E18" s="2003"/>
      <c r="F18" s="444"/>
      <c r="G18" s="444"/>
      <c r="H18" s="130"/>
      <c r="I18" s="3832"/>
      <c r="J18" s="3832"/>
      <c r="K18" s="3833"/>
      <c r="L18" s="3833"/>
      <c r="M18" s="1991"/>
      <c r="N18" s="1991"/>
      <c r="O18" s="1994"/>
      <c r="P18" s="1994"/>
      <c r="Q18" s="87"/>
      <c r="R18" s="87"/>
      <c r="S18" s="1470"/>
      <c r="T18" s="2081"/>
    </row>
    <row r="19" spans="1:34" s="48" customFormat="1" ht="20.100000000000001" customHeight="1">
      <c r="A19" s="2071"/>
      <c r="B19" s="2003" t="s">
        <v>1005</v>
      </c>
      <c r="C19" s="2003"/>
      <c r="D19" s="2003"/>
      <c r="E19" s="2003"/>
      <c r="F19" s="3098"/>
      <c r="G19" s="3099"/>
      <c r="H19" s="2003" t="s">
        <v>92</v>
      </c>
      <c r="I19" s="3832"/>
      <c r="J19" s="3832"/>
      <c r="K19" s="3833"/>
      <c r="L19" s="3833"/>
      <c r="M19" s="1991"/>
      <c r="N19" s="1991"/>
      <c r="O19" s="1994"/>
      <c r="P19" s="1994"/>
      <c r="Q19" s="87"/>
      <c r="R19" s="87"/>
      <c r="S19" s="1470"/>
      <c r="T19" s="2081"/>
    </row>
    <row r="20" spans="1:34" s="25" customFormat="1" ht="6" customHeight="1">
      <c r="A20" s="2071"/>
      <c r="B20" s="2003"/>
      <c r="C20" s="2003"/>
      <c r="D20" s="2003"/>
      <c r="E20" s="2003"/>
      <c r="F20" s="444"/>
      <c r="G20" s="444"/>
      <c r="H20" s="130"/>
      <c r="I20" s="2003"/>
      <c r="J20" s="2003"/>
      <c r="K20" s="1991"/>
      <c r="L20" s="1991"/>
      <c r="M20" s="1991"/>
      <c r="N20" s="1991"/>
      <c r="O20" s="1994"/>
      <c r="P20" s="1994"/>
      <c r="Q20" s="87"/>
      <c r="R20" s="87"/>
      <c r="S20" s="1470"/>
      <c r="T20" s="2081"/>
    </row>
    <row r="21" spans="1:34" s="48" customFormat="1" ht="6" customHeight="1">
      <c r="A21" s="2075"/>
      <c r="B21" s="150"/>
      <c r="C21" s="458"/>
      <c r="D21" s="458"/>
      <c r="E21" s="459"/>
      <c r="F21" s="150"/>
      <c r="G21" s="460"/>
      <c r="H21" s="458"/>
      <c r="I21" s="458"/>
      <c r="J21" s="459"/>
      <c r="K21" s="461"/>
      <c r="L21" s="460"/>
      <c r="M21" s="502"/>
      <c r="N21" s="459"/>
      <c r="O21" s="462"/>
      <c r="P21" s="462"/>
      <c r="Q21" s="459"/>
      <c r="R21" s="150"/>
      <c r="S21" s="140"/>
      <c r="T21" s="2082"/>
    </row>
    <row r="22" spans="1:34" s="48" customFormat="1" ht="18" customHeight="1">
      <c r="A22" s="2071" t="s">
        <v>149</v>
      </c>
      <c r="B22" s="2003" t="s">
        <v>51</v>
      </c>
      <c r="C22" s="438"/>
      <c r="D22" s="438"/>
      <c r="E22" s="131"/>
      <c r="F22" s="2003"/>
      <c r="G22" s="130"/>
      <c r="H22" s="438"/>
      <c r="I22" s="438"/>
      <c r="J22" s="131"/>
      <c r="K22" s="443"/>
      <c r="L22" s="130"/>
      <c r="M22" s="501"/>
      <c r="N22" s="131"/>
      <c r="O22" s="444"/>
      <c r="P22" s="444"/>
      <c r="Q22" s="131"/>
      <c r="R22" s="2003"/>
      <c r="S22" s="1470"/>
      <c r="T22" s="2081"/>
    </row>
    <row r="23" spans="1:34" s="48" customFormat="1" ht="18" customHeight="1">
      <c r="A23" s="2071"/>
      <c r="B23" s="2003" t="s">
        <v>303</v>
      </c>
      <c r="C23" s="463"/>
      <c r="D23" s="463"/>
      <c r="E23" s="463"/>
      <c r="F23" s="463"/>
      <c r="G23" s="463"/>
      <c r="H23" s="463"/>
      <c r="I23" s="463"/>
      <c r="J23" s="463"/>
      <c r="K23" s="463"/>
      <c r="L23" s="130"/>
      <c r="M23" s="501"/>
      <c r="N23" s="131"/>
      <c r="O23" s="444"/>
      <c r="P23" s="444"/>
      <c r="Q23" s="131"/>
      <c r="R23" s="2003"/>
      <c r="S23" s="1470"/>
      <c r="T23" s="2081"/>
    </row>
    <row r="24" spans="1:34" s="48" customFormat="1" ht="6" customHeight="1">
      <c r="A24" s="2072"/>
      <c r="B24" s="2003"/>
      <c r="C24" s="1998"/>
      <c r="D24" s="1998"/>
      <c r="E24" s="1998"/>
      <c r="F24" s="1998"/>
      <c r="G24" s="1998"/>
      <c r="H24" s="1998"/>
      <c r="I24" s="1998"/>
      <c r="J24" s="1998"/>
      <c r="K24" s="1998"/>
      <c r="L24" s="130"/>
      <c r="M24" s="501"/>
      <c r="N24" s="131"/>
      <c r="O24" s="444"/>
      <c r="P24" s="444"/>
      <c r="Q24" s="131"/>
      <c r="R24" s="2003"/>
      <c r="S24" s="1470"/>
      <c r="T24" s="2081"/>
    </row>
    <row r="25" spans="1:34" s="48" customFormat="1" ht="23.1" customHeight="1">
      <c r="A25" s="2072"/>
      <c r="B25" s="3804" t="s">
        <v>40</v>
      </c>
      <c r="C25" s="3808"/>
      <c r="D25" s="3805"/>
      <c r="E25" s="3804" t="s">
        <v>56</v>
      </c>
      <c r="F25" s="3805"/>
      <c r="G25" s="2003"/>
      <c r="H25" s="3804" t="s">
        <v>78</v>
      </c>
      <c r="I25" s="3805"/>
      <c r="J25" s="2003"/>
      <c r="K25" s="3804" t="s">
        <v>77</v>
      </c>
      <c r="L25" s="3805"/>
      <c r="M25" s="501"/>
      <c r="N25" s="131"/>
      <c r="O25" s="444"/>
      <c r="P25" s="444"/>
      <c r="Q25" s="131"/>
      <c r="R25" s="2003"/>
      <c r="S25" s="1470"/>
      <c r="T25" s="2081"/>
      <c r="Y25" s="457"/>
      <c r="Z25" s="457"/>
      <c r="AA25" s="457"/>
      <c r="AB25" s="22"/>
      <c r="AC25" s="22"/>
      <c r="AD25" s="22"/>
      <c r="AE25" s="22"/>
      <c r="AF25" s="22"/>
      <c r="AG25" s="22"/>
      <c r="AH25" s="22"/>
    </row>
    <row r="26" spans="1:34" s="48" customFormat="1" ht="23.1" customHeight="1">
      <c r="A26" s="2072"/>
      <c r="B26" s="3806"/>
      <c r="C26" s="3809"/>
      <c r="D26" s="3807"/>
      <c r="E26" s="3806"/>
      <c r="F26" s="3807"/>
      <c r="G26" s="2003"/>
      <c r="H26" s="3806"/>
      <c r="I26" s="3807"/>
      <c r="J26" s="2003"/>
      <c r="K26" s="3806"/>
      <c r="L26" s="3807"/>
      <c r="M26" s="501"/>
      <c r="N26" s="131"/>
      <c r="O26" s="444"/>
      <c r="P26" s="444"/>
      <c r="Q26" s="131"/>
      <c r="R26" s="2003"/>
      <c r="S26" s="1470"/>
      <c r="T26" s="2081"/>
      <c r="Y26" s="457"/>
      <c r="Z26" s="457"/>
      <c r="AA26" s="457"/>
      <c r="AB26" s="26"/>
      <c r="AC26" s="3690" t="s">
        <v>40</v>
      </c>
      <c r="AD26" s="3691"/>
      <c r="AE26" s="439">
        <v>1.5</v>
      </c>
      <c r="AF26" s="439">
        <v>2</v>
      </c>
      <c r="AG26" s="440">
        <v>3</v>
      </c>
      <c r="AH26" s="22"/>
    </row>
    <row r="27" spans="1:34" s="48" customFormat="1" ht="20.100000000000001" customHeight="1">
      <c r="A27" s="2072"/>
      <c r="B27" s="3811" t="s">
        <v>41</v>
      </c>
      <c r="C27" s="3811"/>
      <c r="D27" s="3811"/>
      <c r="E27" s="3814"/>
      <c r="F27" s="3814"/>
      <c r="G27" s="465" t="s">
        <v>101</v>
      </c>
      <c r="H27" s="3812" t="str">
        <f t="shared" ref="H27:H35" si="0">IF(ISBLANK(E27),"",IF($F$17=$AE$26,AE27,IF($F$17=$AF$26,AF27,IF($F$17=$AG$26,AG27,""))))</f>
        <v/>
      </c>
      <c r="I27" s="3813"/>
      <c r="J27" s="465" t="s">
        <v>102</v>
      </c>
      <c r="K27" s="3812" t="str">
        <f t="shared" ref="K27:K37" si="1">IF(ISBLANK(E27),"",E27*H27)</f>
        <v/>
      </c>
      <c r="L27" s="3813"/>
      <c r="M27" s="2003"/>
      <c r="N27" s="131"/>
      <c r="O27" s="444"/>
      <c r="P27" s="444"/>
      <c r="Q27" s="131"/>
      <c r="R27" s="2003"/>
      <c r="S27" s="1470"/>
      <c r="T27" s="2081"/>
      <c r="AB27" s="26"/>
      <c r="AC27" s="3690" t="s">
        <v>41</v>
      </c>
      <c r="AD27" s="3691"/>
      <c r="AE27" s="441">
        <v>1.07</v>
      </c>
      <c r="AF27" s="439">
        <v>1.38</v>
      </c>
      <c r="AG27" s="440">
        <v>2.04</v>
      </c>
      <c r="AH27" s="22"/>
    </row>
    <row r="28" spans="1:34" s="48" customFormat="1" ht="20.100000000000001" customHeight="1">
      <c r="A28" s="2072"/>
      <c r="B28" s="3811" t="s">
        <v>42</v>
      </c>
      <c r="C28" s="3811"/>
      <c r="D28" s="3811"/>
      <c r="E28" s="3814"/>
      <c r="F28" s="3814"/>
      <c r="G28" s="465" t="s">
        <v>101</v>
      </c>
      <c r="H28" s="3812" t="str">
        <f t="shared" si="0"/>
        <v/>
      </c>
      <c r="I28" s="3813"/>
      <c r="J28" s="465" t="s">
        <v>102</v>
      </c>
      <c r="K28" s="3812" t="str">
        <f t="shared" si="1"/>
        <v/>
      </c>
      <c r="L28" s="3813"/>
      <c r="M28" s="2003"/>
      <c r="N28" s="131"/>
      <c r="O28" s="444"/>
      <c r="P28" s="444"/>
      <c r="Q28" s="131"/>
      <c r="R28" s="2003"/>
      <c r="S28" s="1470"/>
      <c r="T28" s="2081"/>
      <c r="AB28" s="26"/>
      <c r="AC28" s="3690" t="s">
        <v>42</v>
      </c>
      <c r="AD28" s="3691"/>
      <c r="AE28" s="439">
        <v>4.03</v>
      </c>
      <c r="AF28" s="439">
        <v>5.17</v>
      </c>
      <c r="AG28" s="440">
        <v>7.67</v>
      </c>
      <c r="AH28" s="22"/>
    </row>
    <row r="29" spans="1:34" s="48" customFormat="1" ht="20.100000000000001" customHeight="1">
      <c r="A29" s="2072"/>
      <c r="B29" s="3811" t="s">
        <v>43</v>
      </c>
      <c r="C29" s="3811"/>
      <c r="D29" s="3811"/>
      <c r="E29" s="3814"/>
      <c r="F29" s="3814"/>
      <c r="G29" s="465" t="s">
        <v>101</v>
      </c>
      <c r="H29" s="3812" t="str">
        <f t="shared" si="0"/>
        <v/>
      </c>
      <c r="I29" s="3813"/>
      <c r="J29" s="465" t="s">
        <v>102</v>
      </c>
      <c r="K29" s="3812" t="str">
        <f t="shared" si="1"/>
        <v/>
      </c>
      <c r="L29" s="3813"/>
      <c r="M29" s="2003"/>
      <c r="N29" s="2003"/>
      <c r="O29" s="2003"/>
      <c r="P29" s="2003"/>
      <c r="Q29" s="2003"/>
      <c r="R29" s="2003"/>
      <c r="S29" s="2003"/>
      <c r="T29" s="793"/>
      <c r="AB29" s="26"/>
      <c r="AC29" s="3690" t="s">
        <v>43</v>
      </c>
      <c r="AD29" s="3691"/>
      <c r="AE29" s="439">
        <v>2.15</v>
      </c>
      <c r="AF29" s="439">
        <v>2.76</v>
      </c>
      <c r="AG29" s="440">
        <v>4.09</v>
      </c>
      <c r="AH29" s="22"/>
    </row>
    <row r="30" spans="1:34" s="48" customFormat="1" ht="20.100000000000001" customHeight="1">
      <c r="A30" s="2072"/>
      <c r="B30" s="3811" t="s">
        <v>44</v>
      </c>
      <c r="C30" s="3811"/>
      <c r="D30" s="3811"/>
      <c r="E30" s="3814"/>
      <c r="F30" s="3814"/>
      <c r="G30" s="465" t="s">
        <v>101</v>
      </c>
      <c r="H30" s="3812" t="str">
        <f t="shared" si="0"/>
        <v/>
      </c>
      <c r="I30" s="3813"/>
      <c r="J30" s="465" t="s">
        <v>102</v>
      </c>
      <c r="K30" s="3812" t="str">
        <f t="shared" si="1"/>
        <v/>
      </c>
      <c r="L30" s="3813"/>
      <c r="M30" s="2003"/>
      <c r="N30" s="2003"/>
      <c r="O30" s="2003"/>
      <c r="P30" s="2003"/>
      <c r="Q30" s="2003"/>
      <c r="R30" s="2003"/>
      <c r="S30" s="2003"/>
      <c r="T30" s="793"/>
      <c r="AB30" s="26"/>
      <c r="AC30" s="3690" t="s">
        <v>44</v>
      </c>
      <c r="AD30" s="3691"/>
      <c r="AE30" s="439">
        <v>2.68</v>
      </c>
      <c r="AF30" s="439">
        <v>3.45</v>
      </c>
      <c r="AG30" s="440">
        <v>5.1100000000000003</v>
      </c>
      <c r="AH30" s="22"/>
    </row>
    <row r="31" spans="1:34" s="48" customFormat="1" ht="20.100000000000001" customHeight="1">
      <c r="A31" s="2072"/>
      <c r="B31" s="3811" t="s">
        <v>45</v>
      </c>
      <c r="C31" s="3811"/>
      <c r="D31" s="3811"/>
      <c r="E31" s="3814"/>
      <c r="F31" s="3814"/>
      <c r="G31" s="465" t="s">
        <v>101</v>
      </c>
      <c r="H31" s="3812" t="str">
        <f t="shared" si="0"/>
        <v/>
      </c>
      <c r="I31" s="3813"/>
      <c r="J31" s="465" t="s">
        <v>102</v>
      </c>
      <c r="K31" s="3812" t="str">
        <f t="shared" si="1"/>
        <v/>
      </c>
      <c r="L31" s="3813"/>
      <c r="M31" s="2003"/>
      <c r="N31" s="2003"/>
      <c r="O31" s="2003"/>
      <c r="P31" s="2003"/>
      <c r="Q31" s="2003"/>
      <c r="R31" s="2003"/>
      <c r="S31" s="2003"/>
      <c r="T31" s="793"/>
      <c r="AB31" s="26"/>
      <c r="AC31" s="3690" t="s">
        <v>45</v>
      </c>
      <c r="AD31" s="3691"/>
      <c r="AE31" s="439">
        <v>8.0500000000000007</v>
      </c>
      <c r="AF31" s="441">
        <v>10.3</v>
      </c>
      <c r="AG31" s="442">
        <v>15.3</v>
      </c>
      <c r="AH31" s="22"/>
    </row>
    <row r="32" spans="1:34" s="48" customFormat="1" ht="20.100000000000001" customHeight="1">
      <c r="A32" s="2072"/>
      <c r="B32" s="3811" t="s">
        <v>46</v>
      </c>
      <c r="C32" s="3811"/>
      <c r="D32" s="3811"/>
      <c r="E32" s="3814"/>
      <c r="F32" s="3814"/>
      <c r="G32" s="465" t="s">
        <v>101</v>
      </c>
      <c r="H32" s="3812" t="str">
        <f t="shared" si="0"/>
        <v/>
      </c>
      <c r="I32" s="3813"/>
      <c r="J32" s="465" t="s">
        <v>102</v>
      </c>
      <c r="K32" s="3812" t="str">
        <f t="shared" si="1"/>
        <v/>
      </c>
      <c r="L32" s="3813"/>
      <c r="M32" s="735" t="s">
        <v>729</v>
      </c>
      <c r="N32" s="721"/>
      <c r="O32" s="721"/>
      <c r="P32" s="721"/>
      <c r="Q32" s="721"/>
      <c r="R32" s="721"/>
      <c r="S32" s="721"/>
      <c r="T32" s="2083"/>
      <c r="AB32" s="26"/>
      <c r="AC32" s="3688" t="s">
        <v>46</v>
      </c>
      <c r="AD32" s="3689"/>
      <c r="AE32" s="441">
        <v>13.4</v>
      </c>
      <c r="AF32" s="441">
        <v>17.2</v>
      </c>
      <c r="AG32" s="442">
        <v>25.5</v>
      </c>
      <c r="AH32" s="22"/>
    </row>
    <row r="33" spans="1:34" s="48" customFormat="1" ht="20.100000000000001" customHeight="1">
      <c r="A33" s="2072"/>
      <c r="B33" s="3811" t="s">
        <v>47</v>
      </c>
      <c r="C33" s="3811"/>
      <c r="D33" s="3811"/>
      <c r="E33" s="3814"/>
      <c r="F33" s="3814"/>
      <c r="G33" s="465" t="s">
        <v>101</v>
      </c>
      <c r="H33" s="3812" t="str">
        <f t="shared" si="0"/>
        <v/>
      </c>
      <c r="I33" s="3813"/>
      <c r="J33" s="465" t="s">
        <v>102</v>
      </c>
      <c r="K33" s="3812" t="str">
        <f t="shared" si="1"/>
        <v/>
      </c>
      <c r="L33" s="3813"/>
      <c r="M33" s="736"/>
      <c r="N33" s="737"/>
      <c r="O33" s="737"/>
      <c r="P33" s="737"/>
      <c r="Q33" s="737"/>
      <c r="R33" s="737"/>
      <c r="S33" s="737"/>
      <c r="T33" s="2082"/>
      <c r="AB33" s="26"/>
      <c r="AC33" s="3688" t="s">
        <v>47</v>
      </c>
      <c r="AD33" s="3689"/>
      <c r="AE33" s="441">
        <v>20.100000000000001</v>
      </c>
      <c r="AF33" s="441">
        <v>25.8</v>
      </c>
      <c r="AG33" s="442">
        <v>38.4</v>
      </c>
      <c r="AH33" s="22"/>
    </row>
    <row r="34" spans="1:34" s="48" customFormat="1" ht="20.100000000000001" customHeight="1">
      <c r="A34" s="2072"/>
      <c r="B34" s="3811" t="s">
        <v>48</v>
      </c>
      <c r="C34" s="3811"/>
      <c r="D34" s="3811"/>
      <c r="E34" s="3814"/>
      <c r="F34" s="3814"/>
      <c r="G34" s="465" t="s">
        <v>101</v>
      </c>
      <c r="H34" s="3812" t="str">
        <f t="shared" si="0"/>
        <v/>
      </c>
      <c r="I34" s="3813"/>
      <c r="J34" s="465" t="s">
        <v>102</v>
      </c>
      <c r="K34" s="3812" t="str">
        <f t="shared" si="1"/>
        <v/>
      </c>
      <c r="L34" s="3813"/>
      <c r="M34" s="503"/>
      <c r="N34" s="131"/>
      <c r="O34" s="444"/>
      <c r="P34" s="444"/>
      <c r="Q34" s="131"/>
      <c r="R34" s="2003"/>
      <c r="S34" s="1470"/>
      <c r="T34" s="2084"/>
      <c r="AB34" s="26"/>
      <c r="AC34" s="3688" t="s">
        <v>48</v>
      </c>
      <c r="AD34" s="3689"/>
      <c r="AE34" s="441">
        <v>45.6</v>
      </c>
      <c r="AF34" s="441">
        <v>58.6</v>
      </c>
      <c r="AG34" s="442">
        <v>86.9</v>
      </c>
      <c r="AH34" s="22"/>
    </row>
    <row r="35" spans="1:34" s="48" customFormat="1" ht="20.100000000000001" customHeight="1">
      <c r="A35" s="2072"/>
      <c r="B35" s="3811" t="s">
        <v>49</v>
      </c>
      <c r="C35" s="3811"/>
      <c r="D35" s="3811"/>
      <c r="E35" s="3814"/>
      <c r="F35" s="3814"/>
      <c r="G35" s="465" t="s">
        <v>101</v>
      </c>
      <c r="H35" s="3812" t="str">
        <f t="shared" si="0"/>
        <v/>
      </c>
      <c r="I35" s="3813"/>
      <c r="J35" s="465" t="s">
        <v>102</v>
      </c>
      <c r="K35" s="3812" t="str">
        <f t="shared" si="1"/>
        <v/>
      </c>
      <c r="L35" s="3813"/>
      <c r="M35" s="504"/>
      <c r="N35" s="455"/>
      <c r="O35" s="505"/>
      <c r="P35" s="505"/>
      <c r="Q35" s="455"/>
      <c r="R35" s="142"/>
      <c r="S35" s="1437"/>
      <c r="T35" s="2085"/>
      <c r="AB35" s="26"/>
      <c r="AC35" s="3688" t="s">
        <v>49</v>
      </c>
      <c r="AD35" s="3689"/>
      <c r="AE35" s="439" t="s">
        <v>707</v>
      </c>
      <c r="AF35" s="439">
        <v>7.75</v>
      </c>
      <c r="AG35" s="442">
        <v>11.5</v>
      </c>
      <c r="AH35" s="22"/>
    </row>
    <row r="36" spans="1:34" s="48" customFormat="1" ht="20.100000000000001" customHeight="1">
      <c r="A36" s="2072"/>
      <c r="B36" s="3810" t="s">
        <v>54</v>
      </c>
      <c r="C36" s="3810"/>
      <c r="D36" s="3810"/>
      <c r="E36" s="3814"/>
      <c r="F36" s="3814"/>
      <c r="G36" s="465" t="s">
        <v>101</v>
      </c>
      <c r="H36" s="3815"/>
      <c r="I36" s="3816"/>
      <c r="J36" s="465" t="s">
        <v>102</v>
      </c>
      <c r="K36" s="3812" t="str">
        <f t="shared" si="1"/>
        <v/>
      </c>
      <c r="L36" s="3813"/>
      <c r="M36" s="514" t="s">
        <v>645</v>
      </c>
      <c r="N36" s="515"/>
      <c r="O36" s="515" t="s">
        <v>129</v>
      </c>
      <c r="P36" s="515"/>
      <c r="Q36" s="515" t="s">
        <v>646</v>
      </c>
      <c r="R36" s="515"/>
      <c r="S36" s="515" t="s">
        <v>3</v>
      </c>
      <c r="T36" s="2086"/>
      <c r="AB36" s="26"/>
      <c r="AC36" s="22"/>
      <c r="AD36" s="22"/>
      <c r="AE36" s="22"/>
      <c r="AF36" s="22"/>
      <c r="AG36" s="22"/>
      <c r="AH36" s="22"/>
    </row>
    <row r="37" spans="1:34" s="48" customFormat="1" ht="20.100000000000001" customHeight="1">
      <c r="A37" s="2072"/>
      <c r="B37" s="3810" t="s">
        <v>54</v>
      </c>
      <c r="C37" s="3810"/>
      <c r="D37" s="3810"/>
      <c r="E37" s="3814"/>
      <c r="F37" s="3814"/>
      <c r="G37" s="465" t="s">
        <v>101</v>
      </c>
      <c r="H37" s="3815"/>
      <c r="I37" s="3816"/>
      <c r="J37" s="465" t="s">
        <v>102</v>
      </c>
      <c r="K37" s="3812" t="str">
        <f t="shared" si="1"/>
        <v/>
      </c>
      <c r="L37" s="3813"/>
      <c r="M37" s="2003"/>
      <c r="N37" s="2003"/>
      <c r="O37" s="2003"/>
      <c r="P37" s="2003"/>
      <c r="Q37" s="2003"/>
      <c r="R37" s="2003"/>
      <c r="S37" s="2003"/>
      <c r="T37" s="793"/>
    </row>
    <row r="38" spans="1:34" s="48" customFormat="1" ht="6" customHeight="1">
      <c r="A38" s="2087"/>
      <c r="B38" s="5"/>
      <c r="C38" s="5"/>
      <c r="D38" s="5"/>
      <c r="E38" s="5"/>
      <c r="F38" s="2003"/>
      <c r="G38" s="2003"/>
      <c r="H38" s="2003"/>
      <c r="I38" s="2003"/>
      <c r="J38" s="2003"/>
      <c r="K38" s="151"/>
      <c r="L38" s="151"/>
      <c r="M38" s="2003"/>
      <c r="N38" s="2003"/>
      <c r="O38" s="2003"/>
      <c r="P38" s="2003"/>
      <c r="Q38" s="2003"/>
      <c r="R38" s="2003"/>
      <c r="S38" s="2003"/>
      <c r="T38" s="793"/>
    </row>
    <row r="39" spans="1:34" s="48" customFormat="1" ht="20.100000000000001" customHeight="1">
      <c r="A39" s="2087" t="s">
        <v>588</v>
      </c>
      <c r="B39" s="5" t="s">
        <v>79</v>
      </c>
      <c r="C39" s="5"/>
      <c r="D39" s="5"/>
      <c r="E39" s="5"/>
      <c r="F39" s="2003"/>
      <c r="G39" s="2003"/>
      <c r="H39" s="2003"/>
      <c r="I39" s="2003"/>
      <c r="J39" s="2003"/>
      <c r="K39" s="3641" t="str">
        <f>IF(ISBLANK(F17),"",SUM(K27:L37))</f>
        <v/>
      </c>
      <c r="L39" s="3643"/>
      <c r="M39" s="2003"/>
      <c r="N39" s="3825" t="s">
        <v>53</v>
      </c>
      <c r="O39" s="3825"/>
      <c r="P39" s="3825"/>
      <c r="Q39" s="3825"/>
      <c r="R39" s="3825"/>
      <c r="S39" s="3825"/>
      <c r="T39" s="3826"/>
    </row>
    <row r="40" spans="1:34" s="48" customFormat="1" ht="6" customHeight="1">
      <c r="A40" s="2087"/>
      <c r="B40" s="5"/>
      <c r="C40" s="5"/>
      <c r="D40" s="5"/>
      <c r="E40" s="5"/>
      <c r="F40" s="2003"/>
      <c r="G40" s="2003"/>
      <c r="H40" s="2003"/>
      <c r="I40" s="2003"/>
      <c r="J40" s="2003"/>
      <c r="K40" s="151"/>
      <c r="L40" s="151"/>
      <c r="M40" s="2003"/>
      <c r="N40" s="3825"/>
      <c r="O40" s="3825"/>
      <c r="P40" s="3825"/>
      <c r="Q40" s="3825"/>
      <c r="R40" s="3825"/>
      <c r="S40" s="3825"/>
      <c r="T40" s="3826"/>
    </row>
    <row r="41" spans="1:34" s="48" customFormat="1" ht="18" customHeight="1">
      <c r="A41" s="2072" t="s">
        <v>589</v>
      </c>
      <c r="B41" s="61" t="s">
        <v>1359</v>
      </c>
      <c r="C41" s="5"/>
      <c r="D41" s="5"/>
      <c r="E41" s="5"/>
      <c r="F41" s="5"/>
      <c r="G41" s="5"/>
      <c r="H41" s="1470"/>
      <c r="I41" s="438"/>
      <c r="J41" s="131"/>
      <c r="K41" s="443"/>
      <c r="L41" s="130"/>
      <c r="M41" s="2003"/>
      <c r="N41" s="2003"/>
      <c r="O41" s="2003"/>
      <c r="P41" s="2003"/>
      <c r="Q41" s="2003"/>
      <c r="R41" s="2003"/>
      <c r="S41" s="2003"/>
      <c r="T41" s="793"/>
    </row>
    <row r="42" spans="1:34" s="48" customFormat="1" ht="20.100000000000001" customHeight="1">
      <c r="A42" s="2072"/>
      <c r="B42" s="3383" t="str">
        <f>IF(ISBLANK(F15),"",F19)</f>
        <v/>
      </c>
      <c r="C42" s="3351"/>
      <c r="D42" s="1991" t="s">
        <v>119</v>
      </c>
      <c r="E42" s="3347" t="str">
        <f>K39</f>
        <v/>
      </c>
      <c r="F42" s="3348"/>
      <c r="G42" s="1991" t="s">
        <v>120</v>
      </c>
      <c r="H42" s="3347" t="str">
        <f>IF(ISBLANK(F15),"",B42+E42)</f>
        <v/>
      </c>
      <c r="I42" s="3348"/>
      <c r="J42" s="2003" t="s">
        <v>92</v>
      </c>
      <c r="K42" s="443"/>
      <c r="L42" s="130"/>
      <c r="M42" s="2003"/>
      <c r="N42" s="2003"/>
      <c r="O42" s="2003"/>
      <c r="P42" s="2003"/>
      <c r="Q42" s="2003"/>
      <c r="R42" s="2003"/>
      <c r="S42" s="2003"/>
      <c r="T42" s="793"/>
    </row>
    <row r="43" spans="1:34" s="48" customFormat="1" ht="6" customHeight="1">
      <c r="A43" s="2072"/>
      <c r="B43" s="5"/>
      <c r="C43" s="5"/>
      <c r="D43" s="5"/>
      <c r="E43" s="5"/>
      <c r="F43" s="5"/>
      <c r="G43" s="5"/>
      <c r="H43" s="1470"/>
      <c r="I43" s="438"/>
      <c r="J43" s="131"/>
      <c r="K43" s="443"/>
      <c r="L43" s="130"/>
      <c r="M43" s="501"/>
      <c r="N43" s="2003"/>
      <c r="O43" s="2003"/>
      <c r="P43" s="2003"/>
      <c r="Q43" s="1992"/>
      <c r="R43" s="1992"/>
      <c r="S43" s="2003"/>
      <c r="T43" s="2088"/>
    </row>
    <row r="44" spans="1:34" s="48" customFormat="1" ht="17.100000000000001" customHeight="1">
      <c r="A44" s="2072" t="s">
        <v>641</v>
      </c>
      <c r="B44" s="1438" t="s">
        <v>278</v>
      </c>
      <c r="C44" s="5"/>
      <c r="D44" s="5"/>
      <c r="E44" s="5"/>
      <c r="F44" s="5"/>
      <c r="G44" s="5"/>
      <c r="H44" s="1470"/>
      <c r="I44" s="438"/>
      <c r="J44" s="131"/>
      <c r="K44" s="443"/>
      <c r="L44" s="130"/>
      <c r="M44" s="2003"/>
      <c r="N44" s="2003"/>
      <c r="O44" s="2003"/>
      <c r="P44" s="2003"/>
      <c r="Q44" s="2003"/>
      <c r="R44" s="2003"/>
      <c r="S44" s="2003"/>
      <c r="T44" s="793"/>
    </row>
    <row r="45" spans="1:34" s="48" customFormat="1" ht="18" customHeight="1">
      <c r="A45" s="2089"/>
      <c r="B45" s="3339" t="s">
        <v>4</v>
      </c>
      <c r="C45" s="3824"/>
      <c r="D45" s="3342" t="s">
        <v>5</v>
      </c>
      <c r="E45" s="3350"/>
      <c r="F45" s="3350"/>
      <c r="G45" s="1428" t="s">
        <v>6</v>
      </c>
      <c r="H45" s="3342" t="s">
        <v>275</v>
      </c>
      <c r="I45" s="3672"/>
      <c r="J45" s="3672"/>
      <c r="K45" s="3672"/>
      <c r="L45" s="501" t="s">
        <v>101</v>
      </c>
      <c r="M45" s="1992" t="s">
        <v>1358</v>
      </c>
      <c r="N45" s="1991"/>
      <c r="O45" s="1991"/>
      <c r="P45" s="1991"/>
      <c r="Q45" s="1991"/>
      <c r="R45" s="1991"/>
      <c r="S45" s="1991"/>
      <c r="T45" s="2088"/>
    </row>
    <row r="46" spans="1:34" s="48" customFormat="1" ht="6" customHeight="1">
      <c r="A46" s="2072"/>
      <c r="B46" s="5"/>
      <c r="C46" s="5"/>
      <c r="D46" s="5"/>
      <c r="E46" s="5"/>
      <c r="F46" s="5"/>
      <c r="G46" s="5"/>
      <c r="H46" s="1470"/>
      <c r="I46" s="438"/>
      <c r="J46" s="131"/>
      <c r="K46" s="443"/>
      <c r="L46" s="130"/>
      <c r="M46" s="501"/>
      <c r="N46" s="2003"/>
      <c r="O46" s="2003"/>
      <c r="P46" s="2003"/>
      <c r="Q46" s="1992"/>
      <c r="R46" s="1992"/>
      <c r="S46" s="2003"/>
      <c r="T46" s="2088"/>
    </row>
    <row r="47" spans="1:34" s="48" customFormat="1" ht="20.100000000000001" customHeight="1">
      <c r="A47" s="2089"/>
      <c r="B47" s="3339" t="s">
        <v>277</v>
      </c>
      <c r="C47" s="3339"/>
      <c r="D47" s="3347" t="str">
        <f>IF(ISBLANK(F15),"",F17)</f>
        <v/>
      </c>
      <c r="E47" s="3595"/>
      <c r="F47" s="2003" t="s">
        <v>279</v>
      </c>
      <c r="G47" s="1428" t="s">
        <v>6</v>
      </c>
      <c r="H47" s="3347" t="str">
        <f>IF(ISBLANK(H4)," ",IF(H4="gravity",K5,IF(H4="pressure",(N11)," ")))</f>
        <v xml:space="preserve"> </v>
      </c>
      <c r="I47" s="3348"/>
      <c r="J47" s="513" t="s">
        <v>276</v>
      </c>
      <c r="K47" s="2002"/>
      <c r="L47" s="510"/>
      <c r="M47" s="3347" t="str">
        <f>IF(H4=0,"",IF(ISBLANK(F15),"",H42))</f>
        <v/>
      </c>
      <c r="N47" s="3715"/>
      <c r="O47" s="2003" t="s">
        <v>648</v>
      </c>
      <c r="P47" s="3347" t="str">
        <f>IF(ISBLANK(H4)," ",((10.5/D47^4.87))*((H47/130)^1.85)*M47)</f>
        <v xml:space="preserve"> </v>
      </c>
      <c r="Q47" s="3348"/>
      <c r="R47" s="2003" t="s">
        <v>92</v>
      </c>
      <c r="S47" s="131"/>
      <c r="T47" s="2081"/>
    </row>
    <row r="48" spans="1:34" ht="32.4" customHeight="1">
      <c r="A48" s="2063" t="s">
        <v>642</v>
      </c>
      <c r="B48" s="3587" t="s">
        <v>1006</v>
      </c>
      <c r="C48" s="3587"/>
      <c r="D48" s="3823"/>
      <c r="E48" s="3823"/>
      <c r="F48" s="3823"/>
      <c r="G48" s="3823"/>
      <c r="H48" s="3823"/>
      <c r="I48" s="3823"/>
      <c r="J48" s="3823"/>
      <c r="K48" s="3823"/>
      <c r="L48" s="3823"/>
      <c r="M48" s="3350"/>
      <c r="N48" s="3350"/>
      <c r="O48" s="3350"/>
      <c r="P48" s="3350"/>
      <c r="Q48" s="3350"/>
      <c r="R48" s="3350"/>
      <c r="S48" s="3350"/>
      <c r="T48" s="2081"/>
    </row>
    <row r="49" spans="1:48" ht="6" customHeight="1">
      <c r="A49" s="2066"/>
      <c r="B49" s="1997"/>
      <c r="C49" s="1997"/>
      <c r="D49" s="1997"/>
      <c r="E49" s="1997"/>
      <c r="F49" s="1997"/>
      <c r="G49" s="1997"/>
      <c r="H49" s="1997"/>
      <c r="I49" s="1997"/>
      <c r="J49" s="1997"/>
      <c r="K49" s="1997"/>
      <c r="L49" s="1997"/>
      <c r="M49" s="1997"/>
      <c r="N49" s="2000"/>
      <c r="O49" s="2000"/>
      <c r="P49" s="2000"/>
      <c r="Q49" s="2000"/>
      <c r="R49" s="2000"/>
      <c r="S49" s="2000"/>
      <c r="T49" s="1242"/>
    </row>
    <row r="50" spans="1:48" ht="20.100000000000001" customHeight="1">
      <c r="A50" s="2064"/>
      <c r="B50" s="2000"/>
      <c r="C50" s="2000"/>
      <c r="D50" s="3347" t="str">
        <f>IF(ISBLANK(F15)," ",(F15))</f>
        <v xml:space="preserve"> </v>
      </c>
      <c r="E50" s="3348"/>
      <c r="F50" s="2000" t="s">
        <v>284</v>
      </c>
      <c r="G50" s="1995" t="s">
        <v>311</v>
      </c>
      <c r="H50" s="3347" t="str">
        <f>IF(ISBLANK(F17)," ",P47)</f>
        <v xml:space="preserve"> </v>
      </c>
      <c r="I50" s="3348"/>
      <c r="J50" s="1995" t="s">
        <v>121</v>
      </c>
      <c r="K50" s="3347" t="str">
        <f>IF(ISBLANK(H4),"",SUM(D50+H50))</f>
        <v/>
      </c>
      <c r="L50" s="3348"/>
      <c r="M50" s="2000" t="s">
        <v>92</v>
      </c>
      <c r="N50" s="2000"/>
      <c r="O50" s="2000"/>
      <c r="P50" s="2000"/>
      <c r="Q50" s="2000"/>
      <c r="R50" s="2000"/>
      <c r="S50" s="2000"/>
      <c r="T50" s="1242"/>
    </row>
    <row r="51" spans="1:48" ht="6" customHeight="1">
      <c r="A51" s="2077"/>
      <c r="B51" s="103"/>
      <c r="C51" s="103"/>
      <c r="D51" s="103"/>
      <c r="E51" s="103"/>
      <c r="F51" s="103"/>
      <c r="G51" s="103"/>
      <c r="H51" s="103"/>
      <c r="I51" s="103"/>
      <c r="J51" s="103"/>
      <c r="K51" s="103"/>
      <c r="L51" s="103"/>
      <c r="M51" s="103"/>
      <c r="N51" s="103"/>
      <c r="O51" s="103"/>
      <c r="P51" s="1437"/>
      <c r="Q51" s="103"/>
      <c r="R51" s="2005"/>
      <c r="S51" s="1437"/>
      <c r="T51" s="2090"/>
      <c r="U51" s="88"/>
    </row>
    <row r="52" spans="1:48" ht="16.350000000000001" customHeight="1">
      <c r="A52" s="3788" t="s">
        <v>308</v>
      </c>
      <c r="B52" s="3668"/>
      <c r="C52" s="3668"/>
      <c r="D52" s="3668"/>
      <c r="E52" s="3668"/>
      <c r="F52" s="3668"/>
      <c r="G52" s="3668"/>
      <c r="H52" s="3668"/>
      <c r="I52" s="3668"/>
      <c r="J52" s="3668"/>
      <c r="K52" s="3668"/>
      <c r="L52" s="3668"/>
      <c r="M52" s="3668"/>
      <c r="N52" s="3668"/>
      <c r="O52" s="3668"/>
      <c r="P52" s="3668"/>
      <c r="Q52" s="3668"/>
      <c r="R52" s="3668"/>
      <c r="S52" s="3668"/>
      <c r="T52" s="3789"/>
    </row>
    <row r="53" spans="1:48" ht="20.100000000000001" customHeight="1">
      <c r="A53" s="3817" t="s">
        <v>145</v>
      </c>
      <c r="B53" s="3559"/>
      <c r="C53" s="3559"/>
      <c r="D53" s="3559"/>
      <c r="E53" s="3559"/>
      <c r="F53" s="3559"/>
      <c r="G53" s="3559"/>
      <c r="H53" s="3820" t="str">
        <f>IF(ISBLANK(F15),"",MAX(K7,K5))</f>
        <v/>
      </c>
      <c r="I53" s="3820"/>
      <c r="J53" s="136" t="s">
        <v>948</v>
      </c>
      <c r="K53" s="136"/>
      <c r="L53" s="136"/>
      <c r="M53" s="136"/>
      <c r="N53" s="3820" t="str">
        <f>IF(ISBLANK(F15),"  ",K50)</f>
        <v xml:space="preserve">  </v>
      </c>
      <c r="O53" s="3820"/>
      <c r="P53" s="136" t="s">
        <v>1007</v>
      </c>
      <c r="Q53" s="2000"/>
      <c r="R53" s="2000"/>
      <c r="S53" s="136"/>
      <c r="T53" s="1242"/>
    </row>
    <row r="54" spans="1:48" ht="81" customHeight="1" thickBot="1">
      <c r="A54" s="3818" t="s">
        <v>31</v>
      </c>
      <c r="B54" s="3819"/>
      <c r="C54" s="3819"/>
      <c r="D54" s="3821"/>
      <c r="E54" s="3821"/>
      <c r="F54" s="3821"/>
      <c r="G54" s="3821"/>
      <c r="H54" s="3821"/>
      <c r="I54" s="3821"/>
      <c r="J54" s="3821"/>
      <c r="K54" s="3821"/>
      <c r="L54" s="3821"/>
      <c r="M54" s="3821"/>
      <c r="N54" s="3821"/>
      <c r="O54" s="3821"/>
      <c r="P54" s="3821"/>
      <c r="Q54" s="3821"/>
      <c r="R54" s="3821"/>
      <c r="S54" s="3821"/>
      <c r="T54" s="3822"/>
    </row>
    <row r="55" spans="1:48" ht="24.75" customHeight="1">
      <c r="AV55" s="26"/>
    </row>
    <row r="56" spans="1:48" ht="24.75" customHeight="1">
      <c r="AV56" s="26"/>
    </row>
    <row r="57" spans="1:48" ht="24.75" customHeight="1">
      <c r="AV57" s="26"/>
    </row>
    <row r="58" spans="1:48" ht="24.75" customHeight="1">
      <c r="AV58" s="26"/>
    </row>
    <row r="59" spans="1:48" ht="24.75" customHeight="1">
      <c r="AV59" s="26"/>
    </row>
    <row r="60" spans="1:48" ht="24.75" customHeight="1">
      <c r="AV60" s="26"/>
    </row>
    <row r="61" spans="1:48" ht="24.75" customHeight="1">
      <c r="AV61" s="26"/>
    </row>
    <row r="62" spans="1:48" ht="24.75" customHeight="1">
      <c r="AV62" s="26"/>
    </row>
    <row r="63" spans="1:48" ht="24.75" customHeight="1">
      <c r="AV63" s="26"/>
    </row>
    <row r="64" spans="1:48" ht="24.75" customHeight="1">
      <c r="AV64" s="26"/>
    </row>
    <row r="65" spans="27:48" ht="24.75" customHeight="1">
      <c r="AV65" s="26"/>
    </row>
    <row r="66" spans="27:48" ht="24.75" customHeight="1">
      <c r="AV66" s="26"/>
    </row>
    <row r="67" spans="27:48" ht="24.75" customHeight="1">
      <c r="AV67" s="26"/>
    </row>
    <row r="68" spans="27:48" ht="24.75" customHeight="1">
      <c r="AV68" s="26"/>
    </row>
    <row r="69" spans="27:48" ht="24.75" customHeight="1">
      <c r="AV69" s="26"/>
    </row>
    <row r="70" spans="27:48" ht="24.75" customHeight="1">
      <c r="AV70" s="26"/>
    </row>
    <row r="71" spans="27:48" ht="24.75" customHeight="1">
      <c r="AV71" s="26"/>
    </row>
    <row r="72" spans="27:48" ht="24.75" customHeight="1">
      <c r="AV72" s="26"/>
    </row>
    <row r="73" spans="27:48" ht="24.75" customHeight="1">
      <c r="AV73" s="26"/>
    </row>
    <row r="74" spans="27:48" ht="24.75" customHeight="1">
      <c r="AV74" s="26"/>
    </row>
    <row r="75" spans="27:48" ht="24.75" customHeight="1">
      <c r="AV75" s="26"/>
    </row>
    <row r="76" spans="27:48" ht="24.75" customHeight="1">
      <c r="AV76" s="26"/>
    </row>
    <row r="77" spans="27:48" ht="24.75" customHeight="1">
      <c r="AA77" s="30"/>
      <c r="AV77" s="26"/>
    </row>
    <row r="78" spans="27:48" ht="24.75" customHeight="1">
      <c r="AA78" s="89"/>
    </row>
    <row r="79" spans="27:48" ht="24.75" customHeight="1">
      <c r="AA79" s="30"/>
    </row>
    <row r="80" spans="27:48" ht="24.75" customHeight="1">
      <c r="AA80" s="30"/>
    </row>
    <row r="81" spans="27:28" ht="24.75" customHeight="1">
      <c r="AA81" s="145"/>
    </row>
    <row r="88" spans="27:28" ht="24.75" customHeight="1">
      <c r="AB88" s="26"/>
    </row>
    <row r="89" spans="27:28" ht="24.75" customHeight="1">
      <c r="AB89" s="26"/>
    </row>
    <row r="90" spans="27:28" ht="24.75" customHeight="1">
      <c r="AB90" s="26"/>
    </row>
    <row r="91" spans="27:28" ht="24.75" customHeight="1">
      <c r="AB91" s="26"/>
    </row>
    <row r="92" spans="27:28" ht="24.75" customHeight="1">
      <c r="AB92" s="26"/>
    </row>
    <row r="93" spans="27:28" ht="24.75" customHeight="1">
      <c r="AB93" s="26"/>
    </row>
    <row r="94" spans="27:28" ht="24.75" customHeight="1">
      <c r="AB94" s="26"/>
    </row>
    <row r="95" spans="27:28" ht="24.75" customHeight="1">
      <c r="AB95" s="26"/>
    </row>
    <row r="96" spans="27:28" ht="24.75" customHeight="1">
      <c r="AB96" s="26"/>
    </row>
    <row r="97" spans="28:28" ht="24.75" customHeight="1">
      <c r="AB97" s="26"/>
    </row>
    <row r="98" spans="28:28" ht="24.75" customHeight="1">
      <c r="AB98" s="26"/>
    </row>
    <row r="99" spans="28:28" ht="24.75" customHeight="1">
      <c r="AB99" s="26"/>
    </row>
    <row r="100" spans="28:28" ht="24.75" customHeight="1">
      <c r="AB100" s="26"/>
    </row>
    <row r="101" spans="28:28" ht="24.75" customHeight="1">
      <c r="AB101" s="26"/>
    </row>
    <row r="102" spans="28:28" ht="24.75" customHeight="1">
      <c r="AB102" s="26"/>
    </row>
    <row r="103" spans="28:28" ht="24.75" customHeight="1">
      <c r="AB103" s="26"/>
    </row>
    <row r="104" spans="28:28" ht="24.75" customHeight="1">
      <c r="AB104" s="26"/>
    </row>
    <row r="105" spans="28:28" ht="24.75" customHeight="1">
      <c r="AB105" s="26"/>
    </row>
    <row r="106" spans="28:28" ht="24.75" customHeight="1">
      <c r="AB106" s="26"/>
    </row>
    <row r="107" spans="28:28" ht="24.75" customHeight="1">
      <c r="AB107" s="26"/>
    </row>
    <row r="108" spans="28:28" ht="24.75" customHeight="1">
      <c r="AB108" s="26"/>
    </row>
    <row r="109" spans="28:28" ht="24.75" customHeight="1">
      <c r="AB109" s="26"/>
    </row>
    <row r="110" spans="28:28" ht="24.75" customHeight="1">
      <c r="AB110" s="26"/>
    </row>
    <row r="111" spans="28:28" ht="24.75" customHeight="1">
      <c r="AB111" s="26"/>
    </row>
    <row r="112" spans="28:28" ht="24.75" customHeight="1">
      <c r="AB112" s="26"/>
    </row>
    <row r="113" spans="28:28" ht="24.75" customHeight="1">
      <c r="AB113" s="26"/>
    </row>
    <row r="114" spans="28:28" ht="24.75" customHeight="1">
      <c r="AB114" s="26"/>
    </row>
    <row r="115" spans="28:28" ht="24.75" customHeight="1">
      <c r="AB115" s="26"/>
    </row>
    <row r="116" spans="28:28" ht="24.75" customHeight="1">
      <c r="AB116" s="26"/>
    </row>
    <row r="117" spans="28:28" ht="24.75" customHeight="1">
      <c r="AB117" s="26"/>
    </row>
    <row r="118" spans="28:28" ht="24.75" customHeight="1">
      <c r="AB118" s="26"/>
    </row>
    <row r="119" spans="28:28" ht="24.75" customHeight="1">
      <c r="AB119" s="26"/>
    </row>
    <row r="120" spans="28:28" ht="24.75" customHeight="1">
      <c r="AB120" s="26"/>
    </row>
    <row r="121" spans="28:28" ht="24.75" customHeight="1">
      <c r="AB121" s="26"/>
    </row>
    <row r="122" spans="28:28" ht="24.75" customHeight="1">
      <c r="AB122" s="26"/>
    </row>
    <row r="123" spans="28:28" ht="24.75" customHeight="1">
      <c r="AB123" s="26"/>
    </row>
    <row r="124" spans="28:28" ht="24.75" customHeight="1">
      <c r="AB124" s="26"/>
    </row>
    <row r="125" spans="28:28" ht="24.75" customHeight="1">
      <c r="AB125" s="26"/>
    </row>
    <row r="126" spans="28:28" ht="24.75" customHeight="1">
      <c r="AB126" s="26"/>
    </row>
    <row r="127" spans="28:28" ht="24.75" customHeight="1">
      <c r="AB127" s="26"/>
    </row>
    <row r="128" spans="28:28" ht="24.75" customHeight="1">
      <c r="AB128" s="26"/>
    </row>
  </sheetData>
  <sheetProtection sheet="1" objects="1" scenarios="1"/>
  <customSheetViews>
    <customSheetView guid="{D1431318-1DB8-4C45-813B-5A8065DFC797}" showPageBreaks="1" showGridLines="0" zeroValues="0" printArea="1" view="pageBreakPreview">
      <selection activeCell="F20" sqref="F20:G20"/>
      <pageMargins left="0.4" right="0.4" top="0.4" bottom="0.4" header="0.5" footer="0.5"/>
      <printOptions horizontalCentered="1"/>
      <pageSetup scale="74" orientation="portrait" blackAndWhite="1" r:id="rId1"/>
      <headerFooter alignWithMargins="0"/>
    </customSheetView>
  </customSheetViews>
  <mergeCells count="104">
    <mergeCell ref="I2:J2"/>
    <mergeCell ref="K2:L2"/>
    <mergeCell ref="G11:H11"/>
    <mergeCell ref="J11:K11"/>
    <mergeCell ref="D47:E47"/>
    <mergeCell ref="K5:L5"/>
    <mergeCell ref="A52:T52"/>
    <mergeCell ref="B15:E15"/>
    <mergeCell ref="A13:T13"/>
    <mergeCell ref="O17:P17"/>
    <mergeCell ref="I17:L19"/>
    <mergeCell ref="F19:G19"/>
    <mergeCell ref="N5:O5"/>
    <mergeCell ref="L11:M11"/>
    <mergeCell ref="K6:L6"/>
    <mergeCell ref="F17:G17"/>
    <mergeCell ref="F15:G15"/>
    <mergeCell ref="B16:H16"/>
    <mergeCell ref="M17:N17"/>
    <mergeCell ref="N11:O11"/>
    <mergeCell ref="K9:L9"/>
    <mergeCell ref="K7:L7"/>
    <mergeCell ref="E42:F42"/>
    <mergeCell ref="H42:I42"/>
    <mergeCell ref="AC26:AD26"/>
    <mergeCell ref="AC27:AD27"/>
    <mergeCell ref="AC28:AD28"/>
    <mergeCell ref="K39:L39"/>
    <mergeCell ref="K50:L50"/>
    <mergeCell ref="N39:T40"/>
    <mergeCell ref="K30:L30"/>
    <mergeCell ref="K35:L35"/>
    <mergeCell ref="K34:L34"/>
    <mergeCell ref="K32:L32"/>
    <mergeCell ref="K31:L31"/>
    <mergeCell ref="P47:Q47"/>
    <mergeCell ref="M47:N47"/>
    <mergeCell ref="K36:L36"/>
    <mergeCell ref="K28:L28"/>
    <mergeCell ref="A53:G53"/>
    <mergeCell ref="AC29:AD29"/>
    <mergeCell ref="AC30:AD30"/>
    <mergeCell ref="AC34:AD34"/>
    <mergeCell ref="AC32:AD32"/>
    <mergeCell ref="AC33:AD33"/>
    <mergeCell ref="A54:C54"/>
    <mergeCell ref="H53:I53"/>
    <mergeCell ref="N53:O53"/>
    <mergeCell ref="D54:T54"/>
    <mergeCell ref="AC35:AD35"/>
    <mergeCell ref="AC31:AD31"/>
    <mergeCell ref="B42:C42"/>
    <mergeCell ref="H47:I47"/>
    <mergeCell ref="D50:E50"/>
    <mergeCell ref="H50:I50"/>
    <mergeCell ref="B47:C47"/>
    <mergeCell ref="B48:S48"/>
    <mergeCell ref="B45:C45"/>
    <mergeCell ref="H45:K45"/>
    <mergeCell ref="D45:F45"/>
    <mergeCell ref="K29:L29"/>
    <mergeCell ref="E36:F36"/>
    <mergeCell ref="H36:I36"/>
    <mergeCell ref="E30:F30"/>
    <mergeCell ref="B32:D32"/>
    <mergeCell ref="B33:D33"/>
    <mergeCell ref="E37:F37"/>
    <mergeCell ref="H37:I37"/>
    <mergeCell ref="K33:L33"/>
    <mergeCell ref="H33:I33"/>
    <mergeCell ref="H32:I32"/>
    <mergeCell ref="H31:I31"/>
    <mergeCell ref="H35:I35"/>
    <mergeCell ref="E35:F35"/>
    <mergeCell ref="E33:F33"/>
    <mergeCell ref="E31:F31"/>
    <mergeCell ref="E34:F34"/>
    <mergeCell ref="H34:I34"/>
    <mergeCell ref="B37:D37"/>
    <mergeCell ref="K37:L37"/>
    <mergeCell ref="H4:J4"/>
    <mergeCell ref="B4:G4"/>
    <mergeCell ref="E1:P1"/>
    <mergeCell ref="K25:L26"/>
    <mergeCell ref="B25:D26"/>
    <mergeCell ref="B36:D36"/>
    <mergeCell ref="B35:D35"/>
    <mergeCell ref="B34:D34"/>
    <mergeCell ref="B29:D29"/>
    <mergeCell ref="B28:D28"/>
    <mergeCell ref="B30:D30"/>
    <mergeCell ref="B27:D27"/>
    <mergeCell ref="E25:F26"/>
    <mergeCell ref="H27:I27"/>
    <mergeCell ref="H25:I26"/>
    <mergeCell ref="H30:I30"/>
    <mergeCell ref="E32:F32"/>
    <mergeCell ref="E28:F28"/>
    <mergeCell ref="E29:F29"/>
    <mergeCell ref="K27:L27"/>
    <mergeCell ref="E27:F27"/>
    <mergeCell ref="B31:D31"/>
    <mergeCell ref="H28:I28"/>
    <mergeCell ref="H29:I29"/>
  </mergeCells>
  <phoneticPr fontId="22" type="noConversion"/>
  <dataValidations count="2">
    <dataValidation type="decimal" allowBlank="1" showInputMessage="1" showErrorMessage="1" sqref="K6">
      <formula1>10</formula1>
      <formula2>45</formula2>
    </dataValidation>
    <dataValidation type="list" allowBlank="1" showInputMessage="1" showErrorMessage="1" sqref="H4:J4">
      <formula1>Gravity_Or_Pressure</formula1>
    </dataValidation>
  </dataValidations>
  <printOptions horizontalCentered="1"/>
  <pageMargins left="0.4" right="0.4" top="0.4" bottom="0.4" header="0.5" footer="0.5"/>
  <pageSetup scale="74" orientation="portrait" blackAndWhite="1" r:id="rId2"/>
  <headerFooter alignWithMargins="0"/>
  <drawing r:id="rId3"/>
  <legacyDrawing r:id="rId4"/>
  <oleObjects>
    <mc:AlternateContent xmlns:mc="http://schemas.openxmlformats.org/markup-compatibility/2006">
      <mc:Choice Requires="x14">
        <oleObject progId="Equation.3" shapeId="43019" r:id="rId5">
          <objectPr defaultSize="0" autoPict="0" r:id="rId6">
            <anchor moveWithCells="1" sizeWithCells="1">
              <from>
                <xdr:col>13</xdr:col>
                <xdr:colOff>259080</xdr:colOff>
                <xdr:row>32</xdr:row>
                <xdr:rowOff>106680</xdr:rowOff>
              </from>
              <to>
                <xdr:col>18</xdr:col>
                <xdr:colOff>68580</xdr:colOff>
                <xdr:row>34</xdr:row>
                <xdr:rowOff>121920</xdr:rowOff>
              </to>
            </anchor>
          </objectPr>
        </oleObject>
      </mc:Choice>
      <mc:Fallback>
        <oleObject progId="Equation.3" shapeId="43019" r:id="rId5"/>
      </mc:Fallback>
    </mc:AlternateContent>
  </oleObjects>
  <extLst>
    <ext xmlns:x14="http://schemas.microsoft.com/office/spreadsheetml/2009/9/main" uri="{CCE6A557-97BC-4b89-ADB6-D9C93CAAB3DF}">
      <x14:dataValidations xmlns:xm="http://schemas.microsoft.com/office/excel/2006/main" count="1">
        <x14:dataValidation type="list" allowBlank="1" showInputMessage="1" showErrorMessage="1">
          <x14:formula1>
            <xm:f>'Drop-Down Lists'!$T$2:$T$4</xm:f>
          </x14:formula1>
          <xm:sqref>F17:G17</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339966"/>
    <pageSetUpPr fitToPage="1"/>
  </sheetPr>
  <dimension ref="A1:AQ166"/>
  <sheetViews>
    <sheetView view="pageBreakPreview" zoomScaleNormal="100" zoomScaleSheetLayoutView="100" workbookViewId="0">
      <selection activeCell="D5" sqref="D5"/>
    </sheetView>
  </sheetViews>
  <sheetFormatPr defaultColWidth="8.44140625" defaultRowHeight="14.4"/>
  <cols>
    <col min="1" max="1" width="3.109375" style="1337" customWidth="1"/>
    <col min="2" max="2" width="11.109375" style="1337" customWidth="1"/>
    <col min="3" max="3" width="9" style="1337" customWidth="1"/>
    <col min="4" max="6" width="13.88671875" style="1337" customWidth="1"/>
    <col min="7" max="7" width="25.44140625" style="1337" customWidth="1"/>
    <col min="8" max="16384" width="8.44140625" style="1337"/>
  </cols>
  <sheetData>
    <row r="1" spans="1:43" ht="54.9" customHeight="1" thickBot="1">
      <c r="A1" s="1336"/>
      <c r="D1" s="3875" t="s">
        <v>1761</v>
      </c>
      <c r="E1" s="3875"/>
      <c r="F1" s="3875"/>
      <c r="G1" s="1751"/>
      <c r="H1" s="1338"/>
      <c r="I1" s="1339"/>
      <c r="J1" s="1340"/>
      <c r="K1" s="1340"/>
      <c r="L1" s="1340"/>
      <c r="M1" s="1340"/>
      <c r="N1" s="1340"/>
      <c r="O1" s="1340"/>
      <c r="P1" s="1340"/>
      <c r="Q1" s="1340"/>
      <c r="R1" s="1340"/>
      <c r="S1" s="1340"/>
      <c r="T1" s="1340"/>
      <c r="U1" s="1340"/>
      <c r="V1" s="1340"/>
      <c r="W1" s="1340"/>
      <c r="X1" s="1340"/>
      <c r="Y1" s="1340"/>
      <c r="Z1" s="1340"/>
      <c r="AA1" s="1340"/>
      <c r="AB1" s="1340"/>
      <c r="AC1" s="1340"/>
      <c r="AD1" s="1340"/>
      <c r="AE1" s="1340"/>
      <c r="AF1" s="1340"/>
      <c r="AG1" s="1340"/>
      <c r="AH1" s="1340"/>
      <c r="AI1" s="1340"/>
      <c r="AJ1" s="1340"/>
      <c r="AK1" s="1340"/>
      <c r="AL1" s="1340"/>
      <c r="AM1" s="1340"/>
      <c r="AN1" s="1340"/>
      <c r="AO1" s="1340"/>
      <c r="AP1" s="1340"/>
      <c r="AQ1" s="1340"/>
    </row>
    <row r="2" spans="1:43" s="1675" customFormat="1" ht="18" customHeight="1" thickBot="1">
      <c r="A2" s="1764" t="s">
        <v>1500</v>
      </c>
      <c r="B2" s="1765"/>
      <c r="C2" s="1766"/>
      <c r="D2" s="1767"/>
      <c r="E2" s="1768"/>
      <c r="F2" s="1768"/>
      <c r="G2" s="1241" t="str">
        <f>'Drop-Down Lists'!J40</f>
        <v>v 04.01.2021</v>
      </c>
      <c r="H2" s="3853"/>
      <c r="I2" s="3853"/>
      <c r="J2" s="3853"/>
      <c r="K2" s="1769"/>
      <c r="L2" s="1769"/>
      <c r="M2" s="1769"/>
      <c r="N2" s="1769"/>
      <c r="O2" s="1769"/>
      <c r="P2" s="1769"/>
      <c r="Q2" s="1769"/>
      <c r="R2" s="1769"/>
      <c r="S2" s="1769"/>
      <c r="T2" s="1769"/>
      <c r="U2" s="1769"/>
      <c r="V2" s="1769"/>
      <c r="W2" s="1769"/>
      <c r="X2" s="1769"/>
      <c r="Y2" s="1769"/>
      <c r="Z2" s="1769"/>
      <c r="AA2" s="1769"/>
      <c r="AB2" s="1769"/>
      <c r="AC2" s="1769"/>
      <c r="AD2" s="1769"/>
      <c r="AE2" s="1769"/>
      <c r="AF2" s="1769"/>
      <c r="AG2" s="1769"/>
      <c r="AH2" s="1769"/>
      <c r="AI2" s="1769"/>
      <c r="AJ2" s="1769"/>
      <c r="AK2" s="1769"/>
      <c r="AL2" s="1769"/>
      <c r="AM2" s="1769"/>
      <c r="AN2" s="1769"/>
      <c r="AO2" s="1769"/>
      <c r="AP2" s="1769"/>
      <c r="AQ2" s="1769"/>
    </row>
    <row r="3" spans="1:43" s="1777" customFormat="1" ht="6" customHeight="1">
      <c r="A3" s="1770"/>
      <c r="B3" s="1771"/>
      <c r="C3" s="1772"/>
      <c r="D3" s="1772"/>
      <c r="E3" s="1772"/>
      <c r="F3" s="1772"/>
      <c r="G3" s="1773"/>
      <c r="H3" s="1774"/>
      <c r="I3" s="1775"/>
      <c r="J3" s="1775"/>
      <c r="K3" s="1772"/>
      <c r="L3" s="1772"/>
      <c r="M3" s="1772"/>
      <c r="N3" s="1776"/>
      <c r="O3" s="1776"/>
      <c r="P3" s="1776"/>
      <c r="Q3" s="1776"/>
      <c r="R3" s="1776"/>
      <c r="S3" s="1776"/>
      <c r="T3" s="1776"/>
      <c r="U3" s="1776"/>
      <c r="V3" s="1776"/>
      <c r="W3" s="1776"/>
      <c r="X3" s="1776"/>
      <c r="Y3" s="1776"/>
      <c r="Z3" s="1776"/>
      <c r="AA3" s="1776"/>
      <c r="AB3" s="1776"/>
      <c r="AC3" s="1776"/>
      <c r="AD3" s="1776"/>
      <c r="AE3" s="1776"/>
      <c r="AF3" s="1776"/>
      <c r="AG3" s="1776"/>
      <c r="AH3" s="1776"/>
      <c r="AI3" s="1776"/>
      <c r="AJ3" s="1776"/>
      <c r="AK3" s="1776"/>
      <c r="AL3" s="1776"/>
      <c r="AM3" s="1776"/>
      <c r="AN3" s="1776"/>
      <c r="AO3" s="1776"/>
      <c r="AP3" s="1776"/>
      <c r="AQ3" s="1776"/>
    </row>
    <row r="4" spans="1:43" s="1786" customFormat="1" ht="32.1" customHeight="1">
      <c r="A4" s="1778"/>
      <c r="B4" s="1779"/>
      <c r="C4" s="1780" t="s">
        <v>1486</v>
      </c>
      <c r="D4" s="1781" t="s">
        <v>2082</v>
      </c>
      <c r="E4" s="1781" t="s">
        <v>1488</v>
      </c>
      <c r="F4" s="1781" t="s">
        <v>1487</v>
      </c>
      <c r="G4" s="3883" t="s">
        <v>2081</v>
      </c>
      <c r="H4" s="1782"/>
      <c r="I4" s="1783"/>
      <c r="J4" s="1784"/>
      <c r="K4" s="1785"/>
      <c r="L4" s="1785"/>
      <c r="M4" s="1785"/>
      <c r="N4" s="1785"/>
      <c r="O4" s="1785"/>
      <c r="P4" s="1785"/>
      <c r="Q4" s="1785"/>
      <c r="R4" s="1785"/>
      <c r="S4" s="1785"/>
      <c r="T4" s="1785"/>
      <c r="U4" s="1785"/>
      <c r="V4" s="1785"/>
      <c r="W4" s="1785"/>
      <c r="X4" s="1785"/>
      <c r="Y4" s="1785"/>
      <c r="Z4" s="1785"/>
      <c r="AA4" s="1785"/>
      <c r="AB4" s="1785"/>
      <c r="AC4" s="1785"/>
      <c r="AD4" s="1785"/>
      <c r="AE4" s="1785"/>
      <c r="AF4" s="1785"/>
      <c r="AG4" s="1785"/>
      <c r="AH4" s="1785"/>
      <c r="AI4" s="1785"/>
      <c r="AJ4" s="1785"/>
      <c r="AK4" s="1785"/>
      <c r="AL4" s="1785"/>
      <c r="AM4" s="1785"/>
      <c r="AN4" s="1785"/>
      <c r="AO4" s="1785"/>
      <c r="AP4" s="1785"/>
      <c r="AQ4" s="1785"/>
    </row>
    <row r="5" spans="1:43" s="1777" customFormat="1" ht="19.5" customHeight="1">
      <c r="A5" s="1787"/>
      <c r="B5" s="1788"/>
      <c r="C5" s="1789">
        <v>1</v>
      </c>
      <c r="D5" s="1790"/>
      <c r="E5" s="1791" t="str">
        <f t="shared" ref="E5:E11" si="0">$D$17</f>
        <v/>
      </c>
      <c r="F5" s="1792" t="str">
        <f>IF(ISBLANK(D5), "", D5-E5)</f>
        <v/>
      </c>
      <c r="G5" s="3883"/>
      <c r="H5" s="1794"/>
      <c r="I5" s="1784"/>
      <c r="J5" s="1784"/>
      <c r="K5" s="1784"/>
      <c r="L5" s="1784"/>
      <c r="M5" s="1772"/>
      <c r="N5" s="1772"/>
      <c r="O5" s="1772"/>
      <c r="P5" s="1772"/>
      <c r="Q5" s="1772"/>
      <c r="R5" s="1772"/>
      <c r="S5" s="1772"/>
      <c r="T5" s="1772"/>
      <c r="U5" s="1772"/>
      <c r="V5" s="1772"/>
      <c r="W5" s="1772"/>
      <c r="X5" s="1772"/>
      <c r="Y5" s="1772"/>
      <c r="Z5" s="1772"/>
      <c r="AA5" s="1772"/>
      <c r="AB5" s="1772"/>
      <c r="AC5" s="1772"/>
      <c r="AD5" s="1772"/>
      <c r="AE5" s="1772"/>
      <c r="AF5" s="1772"/>
      <c r="AG5" s="1772"/>
      <c r="AH5" s="1772"/>
      <c r="AI5" s="1772"/>
      <c r="AJ5" s="1772"/>
      <c r="AK5" s="1772"/>
      <c r="AL5" s="1772"/>
      <c r="AM5" s="1772"/>
      <c r="AN5" s="1772"/>
      <c r="AO5" s="1772"/>
      <c r="AP5" s="1772"/>
      <c r="AQ5" s="1772"/>
    </row>
    <row r="6" spans="1:43" s="1777" customFormat="1" ht="19.5" customHeight="1">
      <c r="A6" s="1787"/>
      <c r="B6" s="1788"/>
      <c r="C6" s="1789">
        <v>2</v>
      </c>
      <c r="D6" s="1795"/>
      <c r="E6" s="1796" t="str">
        <f t="shared" si="0"/>
        <v/>
      </c>
      <c r="F6" s="1797" t="str">
        <f t="shared" ref="F6:F11" si="1">IF(ISBLANK(D6), "", (D6+F5)-E6)</f>
        <v/>
      </c>
      <c r="G6" s="1793"/>
      <c r="H6" s="1798"/>
      <c r="I6" s="1798"/>
      <c r="J6" s="1798"/>
      <c r="K6" s="1772"/>
      <c r="L6" s="1772"/>
      <c r="M6" s="1772"/>
      <c r="N6" s="1772"/>
      <c r="O6" s="1772"/>
      <c r="P6" s="1772"/>
      <c r="Q6" s="1772"/>
      <c r="R6" s="1772"/>
      <c r="S6" s="1772"/>
      <c r="T6" s="1772"/>
      <c r="U6" s="1772"/>
      <c r="V6" s="1772"/>
      <c r="W6" s="1772"/>
      <c r="X6" s="1772"/>
      <c r="Y6" s="1772"/>
      <c r="Z6" s="1772"/>
      <c r="AA6" s="1772"/>
      <c r="AB6" s="1772"/>
      <c r="AC6" s="1772"/>
      <c r="AD6" s="1772"/>
      <c r="AE6" s="1772"/>
      <c r="AF6" s="1772"/>
      <c r="AG6" s="1772"/>
      <c r="AH6" s="1772"/>
      <c r="AI6" s="1772"/>
      <c r="AJ6" s="1772"/>
      <c r="AK6" s="1772"/>
      <c r="AL6" s="1772"/>
      <c r="AM6" s="1772"/>
      <c r="AN6" s="1772"/>
      <c r="AO6" s="1772"/>
    </row>
    <row r="7" spans="1:43" s="1777" customFormat="1" ht="19.5" customHeight="1">
      <c r="A7" s="1787"/>
      <c r="B7" s="1788"/>
      <c r="C7" s="1789">
        <v>3</v>
      </c>
      <c r="D7" s="1795"/>
      <c r="E7" s="1796" t="str">
        <f t="shared" si="0"/>
        <v/>
      </c>
      <c r="F7" s="1797" t="str">
        <f t="shared" si="1"/>
        <v/>
      </c>
      <c r="G7" s="1799"/>
      <c r="H7" s="1798"/>
      <c r="I7" s="1798"/>
      <c r="J7" s="1798"/>
      <c r="K7" s="1772"/>
      <c r="L7" s="1772"/>
      <c r="M7" s="1772"/>
      <c r="N7" s="1772"/>
      <c r="O7" s="1772"/>
      <c r="P7" s="1772"/>
      <c r="Q7" s="1772"/>
      <c r="R7" s="1772"/>
      <c r="S7" s="1772"/>
      <c r="T7" s="1772"/>
      <c r="U7" s="1772"/>
      <c r="V7" s="1772"/>
      <c r="W7" s="1772"/>
      <c r="X7" s="1772"/>
      <c r="Y7" s="1772"/>
      <c r="Z7" s="1772"/>
      <c r="AA7" s="1772"/>
      <c r="AB7" s="1772"/>
      <c r="AC7" s="1772"/>
      <c r="AD7" s="1772"/>
      <c r="AE7" s="1772"/>
      <c r="AF7" s="1772"/>
      <c r="AG7" s="1772"/>
      <c r="AH7" s="1772"/>
      <c r="AI7" s="1772"/>
      <c r="AJ7" s="1772"/>
      <c r="AK7" s="1772"/>
      <c r="AL7" s="1772"/>
      <c r="AM7" s="1772"/>
      <c r="AN7" s="1772"/>
      <c r="AO7" s="1772"/>
    </row>
    <row r="8" spans="1:43" s="1777" customFormat="1" ht="19.5" customHeight="1">
      <c r="A8" s="1787"/>
      <c r="B8" s="1788"/>
      <c r="C8" s="1789">
        <v>4</v>
      </c>
      <c r="D8" s="1795"/>
      <c r="E8" s="1796" t="str">
        <f t="shared" si="0"/>
        <v/>
      </c>
      <c r="F8" s="1797" t="str">
        <f t="shared" si="1"/>
        <v/>
      </c>
      <c r="G8" s="1799"/>
      <c r="H8" s="1772"/>
      <c r="I8" s="1772"/>
      <c r="J8" s="1772"/>
      <c r="K8" s="1772"/>
      <c r="L8" s="1772"/>
      <c r="M8" s="1772"/>
      <c r="N8" s="1772"/>
      <c r="O8" s="1772"/>
      <c r="P8" s="1772"/>
      <c r="Q8" s="1772"/>
      <c r="R8" s="1772"/>
      <c r="S8" s="1772"/>
      <c r="T8" s="1772"/>
      <c r="U8" s="1772"/>
      <c r="V8" s="1772"/>
      <c r="W8" s="1772"/>
      <c r="X8" s="1772"/>
      <c r="Y8" s="1772"/>
      <c r="Z8" s="1772"/>
      <c r="AA8" s="1772"/>
      <c r="AB8" s="1772"/>
      <c r="AC8" s="1772"/>
      <c r="AD8" s="1772"/>
      <c r="AE8" s="1772"/>
      <c r="AF8" s="1772"/>
      <c r="AG8" s="1772"/>
      <c r="AH8" s="1772"/>
      <c r="AI8" s="1772"/>
      <c r="AJ8" s="1772"/>
      <c r="AK8" s="1772"/>
      <c r="AL8" s="1772"/>
      <c r="AM8" s="1772"/>
      <c r="AN8" s="1772"/>
      <c r="AO8" s="1772"/>
    </row>
    <row r="9" spans="1:43" s="1777" customFormat="1" ht="19.5" customHeight="1">
      <c r="A9" s="1787"/>
      <c r="B9" s="1788"/>
      <c r="C9" s="1789">
        <v>5</v>
      </c>
      <c r="D9" s="1795"/>
      <c r="E9" s="1796" t="str">
        <f t="shared" si="0"/>
        <v/>
      </c>
      <c r="F9" s="1797" t="str">
        <f t="shared" si="1"/>
        <v/>
      </c>
      <c r="G9" s="1793"/>
      <c r="H9" s="1775"/>
      <c r="I9" s="1772"/>
      <c r="J9" s="1772"/>
      <c r="K9" s="1800"/>
      <c r="L9" s="1800"/>
      <c r="M9" s="1800"/>
      <c r="N9" s="1800"/>
      <c r="O9" s="1800"/>
      <c r="P9" s="1800"/>
      <c r="Q9" s="1800"/>
      <c r="R9" s="1800"/>
      <c r="S9" s="1772"/>
      <c r="T9" s="1801"/>
      <c r="U9" s="1802"/>
      <c r="V9" s="1802"/>
      <c r="W9" s="1803"/>
      <c r="X9" s="1803"/>
      <c r="Y9" s="1803"/>
      <c r="Z9" s="1803"/>
      <c r="AA9" s="1803"/>
      <c r="AB9" s="1801"/>
      <c r="AC9" s="1801"/>
      <c r="AD9" s="1801"/>
      <c r="AE9" s="1801"/>
      <c r="AF9" s="1801"/>
      <c r="AG9" s="1801"/>
      <c r="AH9" s="1801"/>
      <c r="AI9" s="1801"/>
      <c r="AJ9" s="1801"/>
      <c r="AK9" s="1801"/>
      <c r="AL9" s="1801"/>
      <c r="AM9" s="1801"/>
      <c r="AN9" s="1801"/>
      <c r="AO9" s="1801"/>
    </row>
    <row r="10" spans="1:43" s="1777" customFormat="1" ht="19.5" customHeight="1">
      <c r="A10" s="1787"/>
      <c r="B10" s="1788"/>
      <c r="C10" s="1789">
        <v>6</v>
      </c>
      <c r="D10" s="1795"/>
      <c r="E10" s="1796" t="str">
        <f t="shared" si="0"/>
        <v/>
      </c>
      <c r="F10" s="1797" t="str">
        <f t="shared" si="1"/>
        <v/>
      </c>
      <c r="G10" s="1799"/>
      <c r="H10" s="1804"/>
      <c r="I10" s="1772"/>
      <c r="J10" s="1772"/>
      <c r="K10" s="1772"/>
      <c r="L10" s="1772"/>
      <c r="M10" s="1772"/>
      <c r="N10" s="1772"/>
      <c r="O10" s="1772"/>
      <c r="P10" s="1772"/>
      <c r="Q10" s="1772"/>
      <c r="R10" s="1772"/>
      <c r="S10" s="1772"/>
      <c r="T10" s="1772"/>
      <c r="U10" s="1772"/>
      <c r="V10" s="1772"/>
      <c r="W10" s="1772"/>
      <c r="X10" s="1772"/>
      <c r="Y10" s="1772"/>
      <c r="Z10" s="1772"/>
      <c r="AA10" s="1772"/>
      <c r="AB10" s="1772"/>
      <c r="AC10" s="1772"/>
      <c r="AD10" s="1772"/>
      <c r="AE10" s="1772"/>
      <c r="AF10" s="1772"/>
      <c r="AG10" s="1772"/>
      <c r="AH10" s="1772"/>
      <c r="AI10" s="1772"/>
      <c r="AJ10" s="1772"/>
      <c r="AK10" s="1772"/>
      <c r="AL10" s="1772"/>
      <c r="AM10" s="1772"/>
      <c r="AN10" s="1772"/>
      <c r="AO10" s="1772"/>
    </row>
    <row r="11" spans="1:43" s="1777" customFormat="1" ht="19.5" customHeight="1">
      <c r="A11" s="1787"/>
      <c r="B11" s="1788"/>
      <c r="C11" s="1789">
        <v>7</v>
      </c>
      <c r="D11" s="1795"/>
      <c r="E11" s="1796" t="str">
        <f t="shared" si="0"/>
        <v/>
      </c>
      <c r="F11" s="1797" t="str">
        <f t="shared" si="1"/>
        <v/>
      </c>
      <c r="G11" s="1799"/>
      <c r="H11" s="1804"/>
      <c r="I11" s="1772"/>
      <c r="J11" s="1772"/>
      <c r="K11" s="1772"/>
      <c r="L11" s="1772"/>
      <c r="M11" s="1772"/>
      <c r="N11" s="1772"/>
      <c r="O11" s="1772"/>
      <c r="P11" s="1772"/>
      <c r="Q11" s="1772"/>
      <c r="R11" s="1772"/>
      <c r="S11" s="1772"/>
      <c r="T11" s="1772"/>
      <c r="U11" s="1772"/>
      <c r="V11" s="1772"/>
      <c r="W11" s="1772"/>
      <c r="X11" s="1772"/>
      <c r="Y11" s="1772"/>
      <c r="Z11" s="1772"/>
      <c r="AA11" s="1772"/>
      <c r="AB11" s="1772"/>
      <c r="AC11" s="1772"/>
      <c r="AD11" s="1772"/>
      <c r="AE11" s="1772"/>
      <c r="AF11" s="1772"/>
      <c r="AG11" s="1772"/>
      <c r="AH11" s="1772"/>
      <c r="AI11" s="1772"/>
      <c r="AJ11" s="1772"/>
      <c r="AK11" s="1772"/>
      <c r="AL11" s="1772"/>
      <c r="AM11" s="1772"/>
      <c r="AN11" s="1772"/>
      <c r="AO11" s="1772"/>
    </row>
    <row r="12" spans="1:43" s="1777" customFormat="1" ht="6" customHeight="1">
      <c r="A12" s="1770"/>
      <c r="B12" s="1771"/>
      <c r="C12" s="1772"/>
      <c r="D12" s="1772"/>
      <c r="E12" s="1772"/>
      <c r="F12" s="1772"/>
      <c r="G12" s="1773"/>
      <c r="H12" s="1774"/>
      <c r="I12" s="1775"/>
      <c r="J12" s="1775"/>
      <c r="K12" s="1772"/>
      <c r="L12" s="1772"/>
      <c r="M12" s="1772"/>
      <c r="N12" s="1776"/>
      <c r="O12" s="1776"/>
      <c r="P12" s="1776"/>
      <c r="Q12" s="1776"/>
      <c r="R12" s="1776"/>
      <c r="S12" s="1776"/>
      <c r="T12" s="1776"/>
      <c r="U12" s="1776"/>
      <c r="V12" s="1776"/>
      <c r="W12" s="1776"/>
      <c r="X12" s="1776"/>
      <c r="Y12" s="1776"/>
      <c r="Z12" s="1776"/>
      <c r="AA12" s="1776"/>
      <c r="AB12" s="1776"/>
      <c r="AC12" s="1776"/>
      <c r="AD12" s="1776"/>
      <c r="AE12" s="1776"/>
      <c r="AF12" s="1776"/>
      <c r="AG12" s="1776"/>
      <c r="AH12" s="1776"/>
      <c r="AI12" s="1776"/>
      <c r="AJ12" s="1776"/>
      <c r="AK12" s="1776"/>
      <c r="AL12" s="1776"/>
      <c r="AM12" s="1776"/>
      <c r="AN12" s="1776"/>
      <c r="AO12" s="1776"/>
      <c r="AP12" s="1776"/>
      <c r="AQ12" s="1776"/>
    </row>
    <row r="13" spans="1:43" s="1777" customFormat="1" ht="18" customHeight="1">
      <c r="A13" s="3869" t="s">
        <v>1489</v>
      </c>
      <c r="B13" s="3858"/>
      <c r="C13" s="3870"/>
      <c r="D13" s="1805" t="str">
        <f>IF(ISBLANK(D5),"",SUM(D5:D11))</f>
        <v/>
      </c>
      <c r="E13" s="1777" t="s">
        <v>1087</v>
      </c>
      <c r="F13" s="1806"/>
      <c r="G13" s="1807"/>
      <c r="H13" s="1774"/>
      <c r="I13" s="1775"/>
      <c r="J13" s="1804"/>
      <c r="K13" s="1772"/>
      <c r="L13" s="1772"/>
      <c r="M13" s="1772"/>
      <c r="N13" s="1772"/>
      <c r="O13" s="1772"/>
      <c r="P13" s="1772"/>
      <c r="Q13" s="1772"/>
      <c r="R13" s="1772"/>
      <c r="S13" s="1772"/>
      <c r="T13" s="1772"/>
      <c r="U13" s="1772"/>
      <c r="V13" s="1772"/>
      <c r="W13" s="1772"/>
      <c r="X13" s="1772"/>
      <c r="Y13" s="1772"/>
      <c r="Z13" s="1772"/>
      <c r="AA13" s="1772"/>
      <c r="AB13" s="1772"/>
      <c r="AC13" s="1772"/>
      <c r="AD13" s="1772"/>
      <c r="AE13" s="1772"/>
      <c r="AF13" s="1772"/>
      <c r="AG13" s="1772"/>
      <c r="AH13" s="1772"/>
      <c r="AI13" s="1772"/>
      <c r="AJ13" s="1772"/>
      <c r="AK13" s="1772"/>
      <c r="AL13" s="1772"/>
      <c r="AM13" s="1772"/>
      <c r="AN13" s="1772"/>
      <c r="AO13" s="1772"/>
      <c r="AP13" s="1772"/>
      <c r="AQ13" s="1772"/>
    </row>
    <row r="14" spans="1:43" s="1777" customFormat="1" ht="6" customHeight="1">
      <c r="A14" s="1770"/>
      <c r="B14" s="1771"/>
      <c r="C14" s="1772"/>
      <c r="D14" s="1804"/>
      <c r="E14" s="1772"/>
      <c r="F14" s="1772"/>
      <c r="G14" s="1773"/>
      <c r="H14" s="1774"/>
      <c r="I14" s="1775"/>
      <c r="J14" s="1775"/>
      <c r="K14" s="1772"/>
      <c r="L14" s="1772"/>
      <c r="M14" s="1772"/>
      <c r="N14" s="1776"/>
      <c r="O14" s="1776"/>
      <c r="P14" s="1776"/>
      <c r="Q14" s="1776"/>
      <c r="R14" s="1776"/>
      <c r="S14" s="1776"/>
      <c r="T14" s="1776"/>
      <c r="U14" s="1776"/>
      <c r="V14" s="1776"/>
      <c r="W14" s="1776"/>
      <c r="X14" s="1776"/>
      <c r="Y14" s="1776"/>
      <c r="Z14" s="1776"/>
      <c r="AA14" s="1776"/>
      <c r="AB14" s="1776"/>
      <c r="AC14" s="1776"/>
      <c r="AD14" s="1776"/>
      <c r="AE14" s="1776"/>
      <c r="AF14" s="1776"/>
      <c r="AG14" s="1776"/>
      <c r="AH14" s="1776"/>
      <c r="AI14" s="1776"/>
      <c r="AJ14" s="1776"/>
      <c r="AK14" s="1776"/>
      <c r="AL14" s="1776"/>
      <c r="AM14" s="1776"/>
      <c r="AN14" s="1776"/>
      <c r="AO14" s="1776"/>
      <c r="AP14" s="1776"/>
      <c r="AQ14" s="1776"/>
    </row>
    <row r="15" spans="1:43" s="1777" customFormat="1" ht="19.5" customHeight="1">
      <c r="A15" s="3869" t="s">
        <v>1490</v>
      </c>
      <c r="B15" s="3858"/>
      <c r="C15" s="3870"/>
      <c r="D15" s="1805" t="str">
        <f>IF(ISBLANK(D5),  "", MAX(D5:D11))</f>
        <v/>
      </c>
      <c r="E15" s="1777" t="s">
        <v>1087</v>
      </c>
      <c r="F15" s="1772"/>
      <c r="G15" s="1773"/>
      <c r="H15" s="1774"/>
      <c r="I15" s="1775"/>
      <c r="J15" s="1804"/>
      <c r="K15" s="1772"/>
      <c r="L15" s="1772"/>
      <c r="M15" s="1772"/>
      <c r="N15" s="1776"/>
      <c r="O15" s="1776"/>
      <c r="P15" s="1776"/>
      <c r="Q15" s="1776"/>
      <c r="R15" s="1776"/>
      <c r="S15" s="1776"/>
      <c r="T15" s="1776"/>
      <c r="U15" s="1776"/>
      <c r="V15" s="1776"/>
      <c r="W15" s="1776"/>
      <c r="X15" s="1776"/>
      <c r="Y15" s="1776"/>
      <c r="Z15" s="1776"/>
      <c r="AA15" s="1776"/>
      <c r="AB15" s="1776"/>
      <c r="AC15" s="1776"/>
      <c r="AD15" s="1776"/>
      <c r="AE15" s="1776"/>
      <c r="AF15" s="1776"/>
      <c r="AG15" s="1776"/>
      <c r="AH15" s="1776"/>
      <c r="AI15" s="1776"/>
      <c r="AJ15" s="1776"/>
      <c r="AK15" s="1776"/>
      <c r="AL15" s="1776"/>
      <c r="AM15" s="1776"/>
      <c r="AN15" s="1776"/>
      <c r="AO15" s="1776"/>
      <c r="AP15" s="1776"/>
      <c r="AQ15" s="1776"/>
    </row>
    <row r="16" spans="1:43" s="1777" customFormat="1" ht="6" customHeight="1">
      <c r="A16" s="1770"/>
      <c r="B16" s="1771"/>
      <c r="C16" s="1772"/>
      <c r="D16" s="1804"/>
      <c r="E16" s="1772"/>
      <c r="F16" s="1772"/>
      <c r="G16" s="1773"/>
      <c r="H16" s="1774"/>
      <c r="I16" s="1775"/>
      <c r="J16" s="1775"/>
      <c r="K16" s="1772"/>
      <c r="L16" s="1772"/>
      <c r="M16" s="1772"/>
      <c r="N16" s="1776"/>
      <c r="O16" s="1776"/>
      <c r="P16" s="1776"/>
      <c r="Q16" s="1776"/>
      <c r="R16" s="1776"/>
      <c r="S16" s="1776"/>
      <c r="T16" s="1776"/>
      <c r="U16" s="1776"/>
      <c r="V16" s="1776"/>
      <c r="W16" s="1776"/>
      <c r="X16" s="1776"/>
      <c r="Y16" s="1776"/>
      <c r="Z16" s="1776"/>
      <c r="AA16" s="1776"/>
      <c r="AB16" s="1776"/>
      <c r="AC16" s="1776"/>
      <c r="AD16" s="1776"/>
      <c r="AE16" s="1776"/>
      <c r="AF16" s="1776"/>
      <c r="AG16" s="1776"/>
      <c r="AH16" s="1776"/>
      <c r="AI16" s="1776"/>
      <c r="AJ16" s="1776"/>
      <c r="AK16" s="1776"/>
      <c r="AL16" s="1776"/>
      <c r="AM16" s="1776"/>
      <c r="AN16" s="1776"/>
      <c r="AO16" s="1776"/>
      <c r="AP16" s="1776"/>
      <c r="AQ16" s="1776"/>
    </row>
    <row r="17" spans="1:43" s="1777" customFormat="1" ht="19.5" customHeight="1">
      <c r="A17" s="3866" t="s">
        <v>1491</v>
      </c>
      <c r="B17" s="3867"/>
      <c r="C17" s="3868"/>
      <c r="D17" s="1808" t="str">
        <f>IF(ISBLANK(D5),  "",D13/C11)</f>
        <v/>
      </c>
      <c r="E17" s="1777" t="s">
        <v>1087</v>
      </c>
      <c r="F17" s="1772"/>
      <c r="G17" s="1773"/>
      <c r="H17" s="1774"/>
      <c r="I17" s="1775"/>
      <c r="J17" s="1775"/>
      <c r="K17" s="1772"/>
      <c r="L17" s="1772"/>
      <c r="M17" s="1772"/>
      <c r="N17" s="1776"/>
      <c r="O17" s="1776"/>
      <c r="P17" s="1776"/>
      <c r="Q17" s="1776"/>
      <c r="R17" s="1776"/>
      <c r="S17" s="1776"/>
      <c r="T17" s="1776"/>
      <c r="U17" s="1776"/>
      <c r="V17" s="1776"/>
      <c r="W17" s="1776"/>
      <c r="X17" s="1776"/>
      <c r="Y17" s="1776"/>
      <c r="Z17" s="1776"/>
      <c r="AA17" s="1776"/>
      <c r="AB17" s="1776"/>
      <c r="AC17" s="1776"/>
      <c r="AD17" s="1776"/>
      <c r="AE17" s="1776"/>
      <c r="AF17" s="1776"/>
      <c r="AG17" s="1776"/>
      <c r="AH17" s="1776"/>
      <c r="AI17" s="1776"/>
      <c r="AJ17" s="1776"/>
      <c r="AK17" s="1776"/>
      <c r="AL17" s="1776"/>
      <c r="AM17" s="1776"/>
      <c r="AN17" s="1776"/>
      <c r="AO17" s="1776"/>
      <c r="AP17" s="1776"/>
      <c r="AQ17" s="1776"/>
    </row>
    <row r="18" spans="1:43" s="1777" customFormat="1" ht="6" customHeight="1">
      <c r="A18" s="1770"/>
      <c r="B18" s="1771"/>
      <c r="C18" s="1772"/>
      <c r="D18" s="1804"/>
      <c r="E18" s="1772"/>
      <c r="F18" s="1772"/>
      <c r="G18" s="1773"/>
      <c r="H18" s="1774"/>
      <c r="I18" s="1775"/>
      <c r="J18" s="1775"/>
      <c r="K18" s="1772"/>
      <c r="L18" s="1772"/>
      <c r="M18" s="1772"/>
      <c r="N18" s="1776"/>
      <c r="O18" s="1776"/>
      <c r="P18" s="1776"/>
      <c r="Q18" s="1776"/>
      <c r="R18" s="1776"/>
      <c r="S18" s="1776"/>
      <c r="T18" s="1776"/>
      <c r="U18" s="1776"/>
      <c r="V18" s="1776"/>
      <c r="W18" s="1776"/>
      <c r="X18" s="1776"/>
      <c r="Y18" s="1776"/>
      <c r="Z18" s="1776"/>
      <c r="AA18" s="1776"/>
      <c r="AB18" s="1776"/>
      <c r="AC18" s="1776"/>
      <c r="AD18" s="1776"/>
      <c r="AE18" s="1776"/>
      <c r="AF18" s="1776"/>
      <c r="AG18" s="1776"/>
      <c r="AH18" s="1776"/>
      <c r="AI18" s="1776"/>
      <c r="AJ18" s="1776"/>
      <c r="AK18" s="1776"/>
      <c r="AL18" s="1776"/>
      <c r="AM18" s="1776"/>
      <c r="AN18" s="1776"/>
      <c r="AO18" s="1776"/>
      <c r="AP18" s="1776"/>
      <c r="AQ18" s="1776"/>
    </row>
    <row r="19" spans="1:43" s="1777" customFormat="1" ht="19.5" customHeight="1">
      <c r="A19" s="3869" t="s">
        <v>1492</v>
      </c>
      <c r="B19" s="3858"/>
      <c r="C19" s="3870"/>
      <c r="D19" s="1809" t="str">
        <f>IF(ISBLANK(D5), "", D15/D17)</f>
        <v/>
      </c>
      <c r="F19" s="1772"/>
      <c r="G19" s="1773"/>
      <c r="H19" s="1774"/>
      <c r="I19" s="1775"/>
      <c r="J19" s="1775"/>
      <c r="K19" s="1772"/>
      <c r="L19" s="1772"/>
      <c r="M19" s="1772"/>
      <c r="N19" s="1776"/>
      <c r="O19" s="1776"/>
      <c r="P19" s="1776"/>
      <c r="Q19" s="1776"/>
      <c r="R19" s="1776"/>
      <c r="S19" s="1776"/>
      <c r="T19" s="1776"/>
      <c r="U19" s="1776"/>
      <c r="V19" s="1776"/>
      <c r="W19" s="1776"/>
      <c r="X19" s="1776"/>
      <c r="Y19" s="1776"/>
      <c r="Z19" s="1776"/>
      <c r="AA19" s="1776"/>
      <c r="AB19" s="1776"/>
      <c r="AC19" s="1776"/>
      <c r="AD19" s="1776"/>
      <c r="AE19" s="1776"/>
      <c r="AF19" s="1776"/>
      <c r="AG19" s="1776"/>
      <c r="AH19" s="1776"/>
      <c r="AI19" s="1776"/>
      <c r="AJ19" s="1776"/>
      <c r="AK19" s="1776"/>
      <c r="AL19" s="1776"/>
      <c r="AM19" s="1776"/>
      <c r="AN19" s="1776"/>
      <c r="AO19" s="1776"/>
      <c r="AP19" s="1776"/>
      <c r="AQ19" s="1776"/>
    </row>
    <row r="20" spans="1:43" s="1777" customFormat="1" ht="6" customHeight="1">
      <c r="A20" s="1770"/>
      <c r="B20" s="1771"/>
      <c r="C20" s="1772"/>
      <c r="D20" s="1772"/>
      <c r="E20" s="1772"/>
      <c r="F20" s="1772"/>
      <c r="G20" s="1773"/>
      <c r="H20" s="1774"/>
      <c r="I20" s="1775"/>
      <c r="J20" s="1775"/>
      <c r="K20" s="1772"/>
      <c r="L20" s="1772"/>
      <c r="M20" s="1772"/>
      <c r="N20" s="1776"/>
      <c r="O20" s="1776"/>
      <c r="P20" s="1776"/>
      <c r="Q20" s="1776"/>
      <c r="R20" s="1776"/>
      <c r="S20" s="1776"/>
      <c r="T20" s="1776"/>
      <c r="U20" s="1776"/>
      <c r="V20" s="1776"/>
      <c r="W20" s="1776"/>
      <c r="X20" s="1776"/>
      <c r="Y20" s="1776"/>
      <c r="Z20" s="1776"/>
      <c r="AA20" s="1776"/>
      <c r="AB20" s="1776"/>
      <c r="AC20" s="1776"/>
      <c r="AD20" s="1776"/>
      <c r="AE20" s="1776"/>
      <c r="AF20" s="1776"/>
      <c r="AG20" s="1776"/>
      <c r="AH20" s="1776"/>
      <c r="AI20" s="1776"/>
      <c r="AJ20" s="1776"/>
      <c r="AK20" s="1776"/>
      <c r="AL20" s="1776"/>
      <c r="AM20" s="1776"/>
      <c r="AN20" s="1776"/>
      <c r="AO20" s="1776"/>
      <c r="AP20" s="1776"/>
      <c r="AQ20" s="1776"/>
    </row>
    <row r="21" spans="1:43" s="1777" customFormat="1" ht="19.5" customHeight="1">
      <c r="A21" s="3871"/>
      <c r="B21" s="3872"/>
      <c r="C21" s="3872"/>
      <c r="D21" s="1810"/>
      <c r="E21" s="1811" t="s">
        <v>1493</v>
      </c>
      <c r="F21" s="1812" t="str">
        <f>IF(ISBLANK(D5),"",MAX(F5:F11))</f>
        <v/>
      </c>
      <c r="G21" s="1773" t="s">
        <v>1087</v>
      </c>
      <c r="H21" s="1774"/>
      <c r="I21" s="1775"/>
      <c r="J21" s="1775"/>
      <c r="K21" s="1772"/>
      <c r="L21" s="1772"/>
      <c r="M21" s="1772"/>
      <c r="N21" s="1776"/>
      <c r="O21" s="1776"/>
      <c r="P21" s="1776"/>
      <c r="Q21" s="1776"/>
      <c r="R21" s="1776"/>
      <c r="S21" s="1776"/>
      <c r="T21" s="1776"/>
      <c r="U21" s="1776"/>
      <c r="V21" s="1776"/>
      <c r="W21" s="1776"/>
      <c r="X21" s="1776"/>
      <c r="Y21" s="1776"/>
      <c r="Z21" s="1776"/>
      <c r="AA21" s="1776"/>
      <c r="AB21" s="1776"/>
      <c r="AC21" s="1776"/>
      <c r="AD21" s="1776"/>
      <c r="AE21" s="1776"/>
      <c r="AF21" s="1776"/>
      <c r="AG21" s="1776"/>
      <c r="AH21" s="1776"/>
      <c r="AI21" s="1776"/>
      <c r="AJ21" s="1776"/>
      <c r="AK21" s="1776"/>
      <c r="AL21" s="1776"/>
      <c r="AM21" s="1776"/>
      <c r="AN21" s="1776"/>
      <c r="AO21" s="1776"/>
      <c r="AP21" s="1776"/>
      <c r="AQ21" s="1776"/>
    </row>
    <row r="22" spans="1:43" s="1777" customFormat="1" ht="6" customHeight="1">
      <c r="A22" s="1770"/>
      <c r="B22" s="1771"/>
      <c r="C22" s="1772"/>
      <c r="D22" s="1772"/>
      <c r="E22" s="1772"/>
      <c r="F22" s="1813"/>
      <c r="G22" s="1773"/>
      <c r="H22" s="1774"/>
      <c r="I22" s="1775"/>
      <c r="J22" s="1775"/>
      <c r="K22" s="1772"/>
      <c r="L22" s="1772"/>
      <c r="M22" s="1772"/>
      <c r="N22" s="1776"/>
      <c r="O22" s="1776"/>
      <c r="P22" s="1776"/>
      <c r="Q22" s="1776"/>
      <c r="R22" s="1776"/>
      <c r="S22" s="1776"/>
      <c r="T22" s="1776"/>
      <c r="U22" s="1776"/>
      <c r="V22" s="1776"/>
      <c r="W22" s="1776"/>
      <c r="X22" s="1776"/>
      <c r="Y22" s="1776"/>
      <c r="Z22" s="1776"/>
      <c r="AA22" s="1776"/>
      <c r="AB22" s="1776"/>
      <c r="AC22" s="1776"/>
      <c r="AD22" s="1776"/>
      <c r="AE22" s="1776"/>
      <c r="AF22" s="1776"/>
      <c r="AG22" s="1776"/>
      <c r="AH22" s="1776"/>
      <c r="AI22" s="1776"/>
      <c r="AJ22" s="1776"/>
      <c r="AK22" s="1776"/>
      <c r="AL22" s="1776"/>
      <c r="AM22" s="1776"/>
      <c r="AN22" s="1776"/>
      <c r="AO22" s="1776"/>
      <c r="AP22" s="1776"/>
      <c r="AQ22" s="1776"/>
    </row>
    <row r="23" spans="1:43" s="1777" customFormat="1" ht="19.5" customHeight="1">
      <c r="A23" s="3873"/>
      <c r="B23" s="3874"/>
      <c r="C23" s="3874"/>
      <c r="D23" s="1814"/>
      <c r="E23" s="1815" t="s">
        <v>1494</v>
      </c>
      <c r="F23" s="1812" t="str">
        <f>IF(ISBLANK(D6),"",MIN(F5:F11))</f>
        <v/>
      </c>
      <c r="G23" s="1773" t="s">
        <v>1087</v>
      </c>
      <c r="H23" s="1774"/>
      <c r="I23" s="1775"/>
      <c r="J23" s="1775"/>
      <c r="K23" s="1772"/>
      <c r="L23" s="1772"/>
      <c r="M23" s="1772"/>
      <c r="N23" s="1776"/>
      <c r="O23" s="1776"/>
      <c r="P23" s="1776"/>
      <c r="Q23" s="1776"/>
      <c r="R23" s="1776"/>
      <c r="S23" s="1776"/>
      <c r="T23" s="1776"/>
      <c r="U23" s="1776"/>
      <c r="V23" s="1776"/>
      <c r="W23" s="1776"/>
      <c r="X23" s="1776"/>
      <c r="Y23" s="1776"/>
      <c r="Z23" s="1776"/>
      <c r="AA23" s="1776"/>
      <c r="AB23" s="1776"/>
      <c r="AC23" s="1776"/>
      <c r="AD23" s="1776"/>
      <c r="AE23" s="1776"/>
      <c r="AF23" s="1776"/>
      <c r="AG23" s="1776"/>
      <c r="AH23" s="1776"/>
      <c r="AI23" s="1776"/>
      <c r="AJ23" s="1776"/>
      <c r="AK23" s="1776"/>
      <c r="AL23" s="1776"/>
      <c r="AM23" s="1776"/>
      <c r="AN23" s="1776"/>
      <c r="AO23" s="1776"/>
      <c r="AP23" s="1776"/>
      <c r="AQ23" s="1776"/>
    </row>
    <row r="24" spans="1:43" s="1777" customFormat="1" ht="6" customHeight="1">
      <c r="A24" s="1770"/>
      <c r="B24" s="1771"/>
      <c r="C24" s="1772"/>
      <c r="D24" s="1772"/>
      <c r="E24" s="1772"/>
      <c r="F24" s="1772"/>
      <c r="G24" s="1773"/>
      <c r="H24" s="1774"/>
      <c r="I24" s="1775"/>
      <c r="J24" s="1775"/>
      <c r="K24" s="1772"/>
      <c r="L24" s="1772"/>
      <c r="M24" s="1772"/>
      <c r="N24" s="1776"/>
      <c r="O24" s="1776"/>
      <c r="P24" s="1776"/>
      <c r="Q24" s="1776"/>
      <c r="R24" s="1776"/>
      <c r="S24" s="1776"/>
      <c r="T24" s="1776"/>
      <c r="U24" s="1776"/>
      <c r="V24" s="1776"/>
      <c r="W24" s="1776"/>
      <c r="X24" s="1776"/>
      <c r="Y24" s="1776"/>
      <c r="Z24" s="1776"/>
      <c r="AA24" s="1776"/>
      <c r="AB24" s="1776"/>
      <c r="AC24" s="1776"/>
      <c r="AD24" s="1776"/>
      <c r="AE24" s="1776"/>
      <c r="AF24" s="1776"/>
      <c r="AG24" s="1776"/>
      <c r="AH24" s="1776"/>
      <c r="AI24" s="1776"/>
      <c r="AJ24" s="1776"/>
      <c r="AK24" s="1776"/>
      <c r="AL24" s="1776"/>
      <c r="AM24" s="1776"/>
      <c r="AN24" s="1776"/>
      <c r="AO24" s="1776"/>
      <c r="AP24" s="1776"/>
      <c r="AQ24" s="1776"/>
    </row>
    <row r="25" spans="1:43" s="1777" customFormat="1" ht="19.5" customHeight="1">
      <c r="A25" s="3864"/>
      <c r="B25" s="3865"/>
      <c r="C25" s="3865"/>
      <c r="D25" s="1814"/>
      <c r="E25" s="1815" t="s">
        <v>1496</v>
      </c>
      <c r="F25" s="1812" t="str">
        <f>IF(ISBLANK(D6), "", F21-F23)</f>
        <v/>
      </c>
      <c r="G25" s="1773" t="s">
        <v>1087</v>
      </c>
      <c r="H25" s="1774"/>
      <c r="I25" s="1775"/>
      <c r="J25" s="1775"/>
      <c r="K25" s="1772"/>
      <c r="L25" s="1772"/>
      <c r="M25" s="1772"/>
      <c r="N25" s="1776"/>
      <c r="O25" s="1776"/>
      <c r="P25" s="1776"/>
      <c r="Q25" s="1776"/>
      <c r="R25" s="1776"/>
      <c r="S25" s="1776"/>
      <c r="T25" s="1776"/>
      <c r="U25" s="1776"/>
      <c r="V25" s="1776"/>
      <c r="W25" s="1776"/>
      <c r="X25" s="1776"/>
      <c r="Y25" s="1776"/>
      <c r="Z25" s="1776"/>
      <c r="AA25" s="1776"/>
      <c r="AB25" s="1776"/>
      <c r="AC25" s="1776"/>
      <c r="AD25" s="1776"/>
      <c r="AE25" s="1776"/>
      <c r="AF25" s="1776"/>
      <c r="AG25" s="1776"/>
      <c r="AH25" s="1776"/>
      <c r="AI25" s="1776"/>
      <c r="AJ25" s="1776"/>
      <c r="AK25" s="1776"/>
      <c r="AL25" s="1776"/>
      <c r="AM25" s="1776"/>
      <c r="AN25" s="1776"/>
      <c r="AO25" s="1776"/>
      <c r="AP25" s="1776"/>
      <c r="AQ25" s="1776"/>
    </row>
    <row r="26" spans="1:43" s="1777" customFormat="1" ht="6" customHeight="1">
      <c r="A26" s="1770"/>
      <c r="B26" s="1771"/>
      <c r="C26" s="1772"/>
      <c r="D26" s="1772"/>
      <c r="E26" s="1772"/>
      <c r="F26" s="1772"/>
      <c r="G26" s="1773"/>
      <c r="H26" s="1774"/>
      <c r="I26" s="1775"/>
      <c r="J26" s="1775"/>
      <c r="K26" s="1772"/>
      <c r="L26" s="1772"/>
      <c r="M26" s="1772"/>
      <c r="N26" s="1776"/>
      <c r="O26" s="1776"/>
      <c r="P26" s="1776"/>
      <c r="Q26" s="1776"/>
      <c r="R26" s="1776"/>
      <c r="S26" s="1776"/>
      <c r="T26" s="1776"/>
      <c r="U26" s="1776"/>
      <c r="V26" s="1776"/>
      <c r="W26" s="1776"/>
      <c r="X26" s="1776"/>
      <c r="Y26" s="1776"/>
      <c r="Z26" s="1776"/>
      <c r="AA26" s="1776"/>
      <c r="AB26" s="1776"/>
      <c r="AC26" s="1776"/>
      <c r="AD26" s="1776"/>
      <c r="AE26" s="1776"/>
      <c r="AF26" s="1776"/>
      <c r="AG26" s="1776"/>
      <c r="AH26" s="1776"/>
      <c r="AI26" s="1776"/>
      <c r="AJ26" s="1776"/>
      <c r="AK26" s="1776"/>
      <c r="AL26" s="1776"/>
      <c r="AM26" s="1776"/>
      <c r="AN26" s="1776"/>
      <c r="AO26" s="1776"/>
      <c r="AP26" s="1776"/>
      <c r="AQ26" s="1776"/>
    </row>
    <row r="27" spans="1:43" s="1777" customFormat="1" ht="19.5" customHeight="1">
      <c r="A27" s="1816"/>
      <c r="B27" s="1817"/>
      <c r="C27" s="1817"/>
      <c r="D27" s="1818"/>
      <c r="E27" s="1815" t="s">
        <v>1495</v>
      </c>
      <c r="F27" s="1812" t="str">
        <f>IF(ISBLANK(D5), "",F25+D17)</f>
        <v/>
      </c>
      <c r="G27" s="1773" t="s">
        <v>1087</v>
      </c>
      <c r="H27" s="1774"/>
      <c r="I27" s="1775"/>
      <c r="J27" s="1775"/>
      <c r="K27" s="1772"/>
      <c r="L27" s="1772"/>
      <c r="M27" s="1772"/>
      <c r="N27" s="1776"/>
      <c r="O27" s="1776"/>
      <c r="P27" s="1776"/>
      <c r="Q27" s="1776"/>
      <c r="R27" s="1776"/>
      <c r="S27" s="1776"/>
      <c r="T27" s="1776"/>
      <c r="U27" s="1776"/>
      <c r="V27" s="1776"/>
      <c r="W27" s="1776"/>
      <c r="X27" s="1776"/>
      <c r="Y27" s="1776"/>
      <c r="Z27" s="1776"/>
      <c r="AA27" s="1776"/>
      <c r="AB27" s="1776"/>
      <c r="AC27" s="1776"/>
      <c r="AD27" s="1776"/>
      <c r="AE27" s="1776"/>
      <c r="AF27" s="1776"/>
      <c r="AG27" s="1776"/>
      <c r="AH27" s="1776"/>
      <c r="AI27" s="1776"/>
      <c r="AJ27" s="1776"/>
      <c r="AK27" s="1776"/>
      <c r="AL27" s="1776"/>
      <c r="AM27" s="1776"/>
      <c r="AN27" s="1776"/>
      <c r="AO27" s="1776"/>
      <c r="AP27" s="1776"/>
      <c r="AQ27" s="1776"/>
    </row>
    <row r="28" spans="1:43" s="1777" customFormat="1" ht="6" customHeight="1">
      <c r="A28" s="1770"/>
      <c r="B28" s="1771"/>
      <c r="C28" s="1772"/>
      <c r="D28" s="1772"/>
      <c r="E28" s="1772"/>
      <c r="F28" s="1772"/>
      <c r="G28" s="1773"/>
      <c r="H28" s="1774"/>
      <c r="I28" s="1775"/>
      <c r="J28" s="1775"/>
      <c r="K28" s="1772"/>
      <c r="L28" s="1772"/>
      <c r="M28" s="1772"/>
      <c r="N28" s="1776"/>
      <c r="O28" s="1776"/>
      <c r="P28" s="1776"/>
      <c r="Q28" s="1776"/>
      <c r="R28" s="1776"/>
      <c r="S28" s="1776"/>
      <c r="T28" s="1776"/>
      <c r="U28" s="1776"/>
      <c r="V28" s="1776"/>
      <c r="W28" s="1776"/>
      <c r="X28" s="1776"/>
      <c r="Y28" s="1776"/>
      <c r="Z28" s="1776"/>
      <c r="AA28" s="1776"/>
      <c r="AB28" s="1776"/>
      <c r="AC28" s="1776"/>
      <c r="AD28" s="1776"/>
      <c r="AE28" s="1776"/>
      <c r="AF28" s="1776"/>
      <c r="AG28" s="1776"/>
      <c r="AH28" s="1776"/>
      <c r="AI28" s="1776"/>
      <c r="AJ28" s="1776"/>
      <c r="AK28" s="1776"/>
      <c r="AL28" s="1776"/>
      <c r="AM28" s="1776"/>
      <c r="AN28" s="1776"/>
      <c r="AO28" s="1776"/>
      <c r="AP28" s="1776"/>
      <c r="AQ28" s="1776"/>
    </row>
    <row r="29" spans="1:43" s="1777" customFormat="1" ht="19.5" customHeight="1">
      <c r="A29" s="1819" t="s">
        <v>1499</v>
      </c>
      <c r="B29" s="1820"/>
      <c r="C29" s="1820"/>
      <c r="D29" s="1821"/>
      <c r="E29" s="1822"/>
      <c r="F29" s="1823"/>
      <c r="G29" s="1773" t="s">
        <v>630</v>
      </c>
      <c r="H29" s="1774"/>
      <c r="I29" s="1775"/>
      <c r="J29" s="1775"/>
      <c r="K29" s="1772"/>
      <c r="L29" s="1772"/>
      <c r="M29" s="1772"/>
      <c r="N29" s="1776"/>
      <c r="O29" s="1776"/>
      <c r="P29" s="1776"/>
      <c r="Q29" s="1776"/>
      <c r="R29" s="1776"/>
      <c r="S29" s="1776"/>
      <c r="T29" s="1776"/>
      <c r="U29" s="1776"/>
      <c r="V29" s="1776"/>
      <c r="W29" s="1776"/>
      <c r="X29" s="1776"/>
      <c r="Y29" s="1776"/>
      <c r="Z29" s="1776"/>
      <c r="AA29" s="1776"/>
      <c r="AB29" s="1776"/>
      <c r="AC29" s="1776"/>
      <c r="AD29" s="1776"/>
      <c r="AE29" s="1776"/>
      <c r="AF29" s="1776"/>
      <c r="AG29" s="1776"/>
      <c r="AH29" s="1776"/>
      <c r="AI29" s="1776"/>
      <c r="AJ29" s="1776"/>
      <c r="AK29" s="1776"/>
      <c r="AL29" s="1776"/>
      <c r="AM29" s="1776"/>
      <c r="AN29" s="1776"/>
      <c r="AO29" s="1776"/>
      <c r="AP29" s="1776"/>
      <c r="AQ29" s="1776"/>
    </row>
    <row r="30" spans="1:43" s="1777" customFormat="1" ht="6" customHeight="1">
      <c r="A30" s="1770"/>
      <c r="B30" s="1771"/>
      <c r="C30" s="1772"/>
      <c r="D30" s="1772"/>
      <c r="E30" s="1772"/>
      <c r="F30" s="1772"/>
      <c r="G30" s="1773"/>
      <c r="H30" s="1774"/>
      <c r="I30" s="1775"/>
      <c r="J30" s="1775"/>
      <c r="K30" s="1772"/>
      <c r="L30" s="1772"/>
      <c r="M30" s="1772"/>
      <c r="N30" s="1776"/>
      <c r="O30" s="1776"/>
      <c r="P30" s="1776"/>
      <c r="Q30" s="1776"/>
      <c r="R30" s="1776"/>
      <c r="S30" s="1776"/>
      <c r="T30" s="1776"/>
      <c r="U30" s="1776"/>
      <c r="V30" s="1776"/>
      <c r="W30" s="1776"/>
      <c r="X30" s="1776"/>
      <c r="Y30" s="1776"/>
      <c r="Z30" s="1776"/>
      <c r="AA30" s="1776"/>
      <c r="AB30" s="1776"/>
      <c r="AC30" s="1776"/>
      <c r="AD30" s="1776"/>
      <c r="AE30" s="1776"/>
      <c r="AF30" s="1776"/>
      <c r="AG30" s="1776"/>
      <c r="AH30" s="1776"/>
      <c r="AI30" s="1776"/>
      <c r="AJ30" s="1776"/>
      <c r="AK30" s="1776"/>
      <c r="AL30" s="1776"/>
      <c r="AM30" s="1776"/>
      <c r="AN30" s="1776"/>
      <c r="AO30" s="1776"/>
      <c r="AP30" s="1776"/>
      <c r="AQ30" s="1776"/>
    </row>
    <row r="31" spans="1:43" s="1777" customFormat="1" ht="19.5" customHeight="1">
      <c r="A31" s="1824"/>
      <c r="B31" s="1772"/>
      <c r="C31" s="3862" t="s">
        <v>1497</v>
      </c>
      <c r="D31" s="3862"/>
      <c r="E31" s="3863"/>
      <c r="F31" s="1812" t="str">
        <f>IF(ISBLANK(D5), "",  F27*(1+F29/100))</f>
        <v/>
      </c>
      <c r="G31" s="1773" t="s">
        <v>1087</v>
      </c>
      <c r="H31" s="1774"/>
      <c r="I31" s="1775"/>
      <c r="J31" s="1775"/>
      <c r="K31" s="1772"/>
      <c r="L31" s="1772"/>
      <c r="M31" s="1772"/>
      <c r="N31" s="1776"/>
      <c r="O31" s="1776"/>
      <c r="P31" s="1776"/>
      <c r="Q31" s="1776"/>
      <c r="R31" s="1776"/>
      <c r="S31" s="1776"/>
      <c r="T31" s="1776"/>
      <c r="U31" s="1776"/>
      <c r="V31" s="1776"/>
      <c r="W31" s="1776"/>
      <c r="X31" s="1776"/>
      <c r="Y31" s="1776"/>
      <c r="Z31" s="1776"/>
      <c r="AA31" s="1776"/>
      <c r="AB31" s="1776"/>
      <c r="AC31" s="1776"/>
      <c r="AD31" s="1776"/>
      <c r="AE31" s="1776"/>
      <c r="AF31" s="1776"/>
      <c r="AG31" s="1776"/>
      <c r="AH31" s="1776"/>
      <c r="AI31" s="1776"/>
      <c r="AJ31" s="1776"/>
      <c r="AK31" s="1776"/>
      <c r="AL31" s="1776"/>
      <c r="AM31" s="1776"/>
      <c r="AN31" s="1776"/>
      <c r="AO31" s="1776"/>
      <c r="AP31" s="1776"/>
      <c r="AQ31" s="1776"/>
    </row>
    <row r="32" spans="1:43" s="1777" customFormat="1" ht="6" customHeight="1">
      <c r="A32" s="1770"/>
      <c r="B32" s="1771"/>
      <c r="C32" s="1772"/>
      <c r="D32" s="1772"/>
      <c r="E32" s="1772"/>
      <c r="F32" s="1772"/>
      <c r="G32" s="1773"/>
      <c r="H32" s="1774"/>
      <c r="I32" s="1775"/>
      <c r="J32" s="1775"/>
      <c r="K32" s="1772"/>
      <c r="L32" s="1772"/>
      <c r="M32" s="1772"/>
      <c r="N32" s="1776"/>
      <c r="O32" s="1776"/>
      <c r="P32" s="1776"/>
      <c r="Q32" s="1776"/>
      <c r="R32" s="1776"/>
      <c r="S32" s="1776"/>
      <c r="T32" s="1776"/>
      <c r="U32" s="1776"/>
      <c r="V32" s="1776"/>
      <c r="W32" s="1776"/>
      <c r="X32" s="1776"/>
      <c r="Y32" s="1776"/>
      <c r="Z32" s="1776"/>
      <c r="AA32" s="1776"/>
      <c r="AB32" s="1776"/>
      <c r="AC32" s="1776"/>
      <c r="AD32" s="1776"/>
      <c r="AE32" s="1776"/>
      <c r="AF32" s="1776"/>
      <c r="AG32" s="1776"/>
      <c r="AH32" s="1776"/>
      <c r="AI32" s="1776"/>
      <c r="AJ32" s="1776"/>
      <c r="AK32" s="1776"/>
      <c r="AL32" s="1776"/>
      <c r="AM32" s="1776"/>
      <c r="AN32" s="1776"/>
      <c r="AO32" s="1776"/>
      <c r="AP32" s="1776"/>
      <c r="AQ32" s="1776"/>
    </row>
    <row r="33" spans="1:43" s="1777" customFormat="1" ht="19.5" customHeight="1">
      <c r="A33" s="1819" t="s">
        <v>1498</v>
      </c>
      <c r="B33" s="1817"/>
      <c r="C33" s="1817"/>
      <c r="D33" s="1817"/>
      <c r="E33" s="1772"/>
      <c r="F33" s="1825"/>
      <c r="G33" s="1773" t="s">
        <v>1087</v>
      </c>
      <c r="H33" s="1774"/>
      <c r="I33" s="1775"/>
      <c r="J33" s="1775"/>
      <c r="K33" s="1772"/>
      <c r="L33" s="1772"/>
      <c r="M33" s="1772"/>
      <c r="N33" s="1776"/>
      <c r="O33" s="1776"/>
      <c r="P33" s="1776"/>
      <c r="Q33" s="1776"/>
      <c r="R33" s="1776"/>
      <c r="S33" s="1776"/>
      <c r="T33" s="1776"/>
      <c r="U33" s="1776"/>
      <c r="V33" s="1776"/>
      <c r="W33" s="1776"/>
      <c r="X33" s="1776"/>
      <c r="Y33" s="1776"/>
      <c r="Z33" s="1776"/>
      <c r="AA33" s="1776"/>
      <c r="AB33" s="1776"/>
      <c r="AC33" s="1776"/>
      <c r="AD33" s="1776"/>
      <c r="AE33" s="1776"/>
      <c r="AF33" s="1776"/>
      <c r="AG33" s="1776"/>
      <c r="AH33" s="1776"/>
      <c r="AI33" s="1776"/>
      <c r="AJ33" s="1776"/>
      <c r="AK33" s="1776"/>
      <c r="AL33" s="1776"/>
      <c r="AM33" s="1776"/>
      <c r="AN33" s="1776"/>
      <c r="AO33" s="1776"/>
      <c r="AP33" s="1776"/>
      <c r="AQ33" s="1776"/>
    </row>
    <row r="34" spans="1:43" s="1777" customFormat="1" ht="6" customHeight="1">
      <c r="A34" s="1770"/>
      <c r="B34" s="1771"/>
      <c r="C34" s="1772"/>
      <c r="D34" s="1772"/>
      <c r="E34" s="1772"/>
      <c r="F34" s="1772"/>
      <c r="G34" s="1773"/>
      <c r="H34" s="1774"/>
      <c r="I34" s="1775"/>
      <c r="J34" s="1775"/>
      <c r="K34" s="1772"/>
      <c r="L34" s="1772"/>
      <c r="M34" s="1772"/>
      <c r="N34" s="1776"/>
      <c r="O34" s="1776"/>
      <c r="P34" s="1776"/>
      <c r="Q34" s="1776"/>
      <c r="R34" s="1776"/>
      <c r="S34" s="1776"/>
      <c r="T34" s="1776"/>
      <c r="U34" s="1776"/>
      <c r="V34" s="1776"/>
      <c r="W34" s="1776"/>
      <c r="X34" s="1776"/>
      <c r="Y34" s="1776"/>
      <c r="Z34" s="1776"/>
      <c r="AA34" s="1776"/>
      <c r="AB34" s="1776"/>
      <c r="AC34" s="1776"/>
      <c r="AD34" s="1776"/>
      <c r="AE34" s="1776"/>
      <c r="AF34" s="1776"/>
      <c r="AG34" s="1776"/>
      <c r="AH34" s="1776"/>
      <c r="AI34" s="1776"/>
      <c r="AJ34" s="1776"/>
      <c r="AK34" s="1776"/>
      <c r="AL34" s="1776"/>
      <c r="AM34" s="1776"/>
      <c r="AN34" s="1776"/>
      <c r="AO34" s="1776"/>
      <c r="AP34" s="1776"/>
      <c r="AQ34" s="1776"/>
    </row>
    <row r="35" spans="1:43" s="1777" customFormat="1" ht="19.5" customHeight="1">
      <c r="A35" s="1787"/>
      <c r="B35" s="3861" t="s">
        <v>1613</v>
      </c>
      <c r="C35" s="3861"/>
      <c r="D35" s="3861"/>
      <c r="E35" s="3861"/>
      <c r="F35" s="1812" t="str">
        <f>IF(ISBLANK(F33), "", F31+F33)</f>
        <v/>
      </c>
      <c r="G35" s="1773" t="s">
        <v>1087</v>
      </c>
      <c r="H35" s="1774"/>
      <c r="I35" s="1775"/>
      <c r="J35" s="1775"/>
      <c r="K35" s="1772"/>
      <c r="L35" s="1772"/>
      <c r="M35" s="1772"/>
      <c r="N35" s="1776"/>
      <c r="O35" s="1776"/>
      <c r="P35" s="1776"/>
      <c r="Q35" s="1776"/>
      <c r="R35" s="1776"/>
      <c r="S35" s="1776"/>
      <c r="T35" s="1776"/>
      <c r="U35" s="1776"/>
      <c r="V35" s="1776"/>
      <c r="W35" s="1776"/>
      <c r="X35" s="1776"/>
      <c r="Y35" s="1776"/>
      <c r="Z35" s="1776"/>
      <c r="AA35" s="1776"/>
      <c r="AB35" s="1776"/>
      <c r="AC35" s="1776"/>
      <c r="AD35" s="1776"/>
      <c r="AE35" s="1776"/>
      <c r="AF35" s="1776"/>
      <c r="AG35" s="1776"/>
      <c r="AH35" s="1776"/>
      <c r="AI35" s="1776"/>
      <c r="AJ35" s="1776"/>
      <c r="AK35" s="1776"/>
      <c r="AL35" s="1776"/>
      <c r="AM35" s="1776"/>
      <c r="AN35" s="1776"/>
      <c r="AO35" s="1776"/>
      <c r="AP35" s="1776"/>
      <c r="AQ35" s="1776"/>
    </row>
    <row r="36" spans="1:43" s="1777" customFormat="1" ht="6" customHeight="1">
      <c r="A36" s="1770"/>
      <c r="B36" s="1771"/>
      <c r="C36" s="1772"/>
      <c r="D36" s="1772"/>
      <c r="E36" s="1772"/>
      <c r="F36" s="1772"/>
      <c r="G36" s="1773"/>
      <c r="H36" s="1774"/>
      <c r="I36" s="1775"/>
      <c r="J36" s="1775"/>
      <c r="K36" s="1772"/>
      <c r="L36" s="1772"/>
      <c r="M36" s="1772"/>
      <c r="N36" s="1776"/>
      <c r="O36" s="1776"/>
      <c r="P36" s="1776"/>
      <c r="Q36" s="1776"/>
      <c r="R36" s="1776"/>
      <c r="S36" s="1776"/>
      <c r="T36" s="1776"/>
      <c r="U36" s="1776"/>
      <c r="V36" s="1776"/>
      <c r="W36" s="1776"/>
      <c r="X36" s="1776"/>
      <c r="Y36" s="1776"/>
      <c r="Z36" s="1776"/>
      <c r="AA36" s="1776"/>
      <c r="AB36" s="1776"/>
      <c r="AC36" s="1776"/>
      <c r="AD36" s="1776"/>
      <c r="AE36" s="1776"/>
      <c r="AF36" s="1776"/>
      <c r="AG36" s="1776"/>
      <c r="AH36" s="1776"/>
      <c r="AI36" s="1776"/>
      <c r="AJ36" s="1776"/>
      <c r="AK36" s="1776"/>
      <c r="AL36" s="1776"/>
      <c r="AM36" s="1776"/>
      <c r="AN36" s="1776"/>
      <c r="AO36" s="1776"/>
      <c r="AP36" s="1776"/>
      <c r="AQ36" s="1776"/>
    </row>
    <row r="37" spans="1:43" s="1777" customFormat="1" ht="19.5" customHeight="1">
      <c r="A37" s="1770"/>
      <c r="B37" s="3858" t="s">
        <v>1770</v>
      </c>
      <c r="C37" s="3858"/>
      <c r="D37" s="3858"/>
      <c r="E37" s="3858"/>
      <c r="F37" s="1812" t="str">
        <f>IF(ISBLANK(D6)," ",D17*0.7)</f>
        <v xml:space="preserve"> </v>
      </c>
      <c r="G37" s="1773" t="s">
        <v>117</v>
      </c>
      <c r="H37" s="1774"/>
      <c r="I37" s="1775"/>
      <c r="J37" s="1775"/>
      <c r="K37" s="1772"/>
      <c r="L37" s="1772"/>
      <c r="M37" s="1772"/>
      <c r="N37" s="1776"/>
      <c r="O37" s="1776"/>
      <c r="P37" s="1776"/>
      <c r="Q37" s="1776"/>
      <c r="R37" s="1776"/>
      <c r="S37" s="1776"/>
      <c r="T37" s="1776"/>
      <c r="U37" s="1776"/>
      <c r="V37" s="1776"/>
      <c r="W37" s="1776"/>
      <c r="X37" s="1776"/>
      <c r="Y37" s="1776"/>
      <c r="Z37" s="1776"/>
      <c r="AA37" s="1776"/>
      <c r="AB37" s="1776"/>
      <c r="AC37" s="1776"/>
      <c r="AD37" s="1776"/>
      <c r="AE37" s="1776"/>
      <c r="AF37" s="1776"/>
      <c r="AG37" s="1776"/>
      <c r="AH37" s="1776"/>
      <c r="AI37" s="1776"/>
      <c r="AJ37" s="1776"/>
      <c r="AK37" s="1776"/>
      <c r="AL37" s="1776"/>
      <c r="AM37" s="1776"/>
      <c r="AN37" s="1776"/>
      <c r="AO37" s="1776"/>
      <c r="AP37" s="1776"/>
      <c r="AQ37" s="1776"/>
    </row>
    <row r="38" spans="1:43" s="1777" customFormat="1" ht="19.5" customHeight="1">
      <c r="A38" s="1770"/>
      <c r="B38" s="1874" t="s">
        <v>1771</v>
      </c>
      <c r="C38" s="1874"/>
      <c r="D38" s="1874"/>
      <c r="E38" s="1874"/>
      <c r="F38" s="1804"/>
      <c r="G38" s="1773"/>
      <c r="H38" s="1774"/>
      <c r="I38" s="1775"/>
      <c r="J38" s="1775"/>
      <c r="K38" s="1772"/>
      <c r="L38" s="1772"/>
      <c r="M38" s="1772"/>
      <c r="N38" s="1776"/>
      <c r="O38" s="1776"/>
      <c r="P38" s="1776"/>
      <c r="Q38" s="1776"/>
      <c r="R38" s="1776"/>
      <c r="S38" s="1776"/>
      <c r="T38" s="1776"/>
      <c r="U38" s="1776"/>
      <c r="V38" s="1776"/>
      <c r="W38" s="1776"/>
      <c r="X38" s="1776"/>
      <c r="Y38" s="1776"/>
      <c r="Z38" s="1776"/>
      <c r="AA38" s="1776"/>
      <c r="AB38" s="1776"/>
      <c r="AC38" s="1776"/>
      <c r="AD38" s="1776"/>
      <c r="AE38" s="1776"/>
      <c r="AF38" s="1776"/>
      <c r="AG38" s="1776"/>
      <c r="AH38" s="1776"/>
      <c r="AI38" s="1776"/>
      <c r="AJ38" s="1776"/>
      <c r="AK38" s="1776"/>
      <c r="AL38" s="1776"/>
      <c r="AM38" s="1776"/>
      <c r="AN38" s="1776"/>
      <c r="AO38" s="1776"/>
      <c r="AP38" s="1776"/>
      <c r="AQ38" s="1776"/>
    </row>
    <row r="39" spans="1:43" s="1777" customFormat="1" ht="19.5" customHeight="1">
      <c r="A39" s="3859" t="s">
        <v>31</v>
      </c>
      <c r="B39" s="3860"/>
      <c r="C39" s="1772"/>
      <c r="D39" s="1772"/>
      <c r="E39" s="1772"/>
      <c r="F39" s="1772"/>
      <c r="G39" s="1773"/>
      <c r="H39" s="1774"/>
      <c r="I39" s="1775"/>
      <c r="J39" s="1775"/>
      <c r="K39" s="1772"/>
      <c r="L39" s="1772"/>
      <c r="M39" s="1772"/>
      <c r="N39" s="1776"/>
      <c r="O39" s="1776"/>
      <c r="P39" s="1776"/>
      <c r="Q39" s="1776"/>
      <c r="R39" s="1776"/>
      <c r="S39" s="1776"/>
      <c r="T39" s="1776"/>
      <c r="U39" s="1776"/>
      <c r="V39" s="1776"/>
      <c r="W39" s="1776"/>
      <c r="X39" s="1776"/>
      <c r="Y39" s="1776"/>
      <c r="Z39" s="1776"/>
      <c r="AA39" s="1776"/>
      <c r="AB39" s="1776"/>
      <c r="AC39" s="1776"/>
      <c r="AD39" s="1776"/>
      <c r="AE39" s="1776"/>
      <c r="AF39" s="1776"/>
      <c r="AG39" s="1776"/>
      <c r="AH39" s="1776"/>
      <c r="AI39" s="1776"/>
      <c r="AJ39" s="1776"/>
      <c r="AK39" s="1776"/>
      <c r="AL39" s="1776"/>
      <c r="AM39" s="1776"/>
      <c r="AN39" s="1776"/>
      <c r="AO39" s="1776"/>
      <c r="AP39" s="1776"/>
      <c r="AQ39" s="1776"/>
    </row>
    <row r="40" spans="1:43" s="48" customFormat="1" ht="81" customHeight="1" thickBot="1">
      <c r="A40" s="3796"/>
      <c r="B40" s="3821"/>
      <c r="C40" s="3821"/>
      <c r="D40" s="3821"/>
      <c r="E40" s="3821"/>
      <c r="F40" s="3821"/>
      <c r="G40" s="3822"/>
      <c r="H40" s="2159"/>
      <c r="I40" s="2159"/>
      <c r="J40" s="2159"/>
      <c r="K40" s="2159"/>
      <c r="L40" s="2159"/>
      <c r="M40" s="2159"/>
      <c r="N40" s="2159"/>
      <c r="O40" s="2159"/>
      <c r="P40" s="2159"/>
      <c r="Q40" s="2159"/>
      <c r="R40" s="2159"/>
      <c r="S40" s="2159"/>
      <c r="T40" s="2159"/>
    </row>
    <row r="41" spans="1:43" s="1777" customFormat="1" ht="19.5" customHeight="1">
      <c r="A41" s="1771"/>
      <c r="B41" s="1771"/>
      <c r="C41" s="1772"/>
      <c r="D41" s="1772"/>
      <c r="E41" s="1772"/>
      <c r="F41" s="1772"/>
      <c r="G41" s="1772"/>
      <c r="H41" s="1774"/>
      <c r="I41" s="1775"/>
      <c r="J41" s="1775"/>
      <c r="K41" s="1772"/>
      <c r="L41" s="1772"/>
      <c r="M41" s="1772"/>
      <c r="N41" s="1776"/>
      <c r="O41" s="1776"/>
      <c r="P41" s="1776"/>
      <c r="Q41" s="1776"/>
      <c r="R41" s="1776"/>
      <c r="S41" s="1776"/>
      <c r="T41" s="1776"/>
      <c r="U41" s="1776"/>
      <c r="V41" s="1776"/>
      <c r="W41" s="1776"/>
      <c r="X41" s="1776"/>
      <c r="Y41" s="1776"/>
      <c r="Z41" s="1776"/>
      <c r="AA41" s="1776"/>
      <c r="AB41" s="1776"/>
      <c r="AC41" s="1776"/>
      <c r="AD41" s="1776"/>
      <c r="AE41" s="1776"/>
      <c r="AF41" s="1776"/>
      <c r="AG41" s="1776"/>
      <c r="AH41" s="1776"/>
      <c r="AI41" s="1776"/>
      <c r="AJ41" s="1776"/>
      <c r="AK41" s="1776"/>
      <c r="AL41" s="1776"/>
      <c r="AM41" s="1776"/>
      <c r="AN41" s="1776"/>
      <c r="AO41" s="1776"/>
      <c r="AP41" s="1776"/>
      <c r="AQ41" s="1776"/>
    </row>
    <row r="42" spans="1:43" s="1675" customFormat="1" ht="10.5" customHeight="1">
      <c r="A42" s="1771"/>
      <c r="B42" s="1771"/>
      <c r="C42" s="1772"/>
      <c r="D42" s="1772"/>
      <c r="E42" s="1772"/>
      <c r="F42" s="1772"/>
      <c r="G42" s="1772"/>
      <c r="H42" s="1826"/>
      <c r="I42" s="1827"/>
      <c r="J42" s="1827"/>
      <c r="K42" s="1769"/>
      <c r="L42" s="1769"/>
      <c r="M42" s="1769"/>
      <c r="N42" s="1828"/>
      <c r="O42" s="1828"/>
      <c r="P42" s="1828"/>
      <c r="Q42" s="1828"/>
      <c r="R42" s="1828"/>
      <c r="S42" s="1828"/>
      <c r="T42" s="1828"/>
      <c r="U42" s="1828"/>
      <c r="V42" s="1828"/>
      <c r="W42" s="1828"/>
      <c r="X42" s="1828"/>
      <c r="Y42" s="1828"/>
      <c r="Z42" s="1828"/>
      <c r="AA42" s="1828"/>
      <c r="AB42" s="1828"/>
      <c r="AC42" s="1828"/>
      <c r="AD42" s="1828"/>
      <c r="AE42" s="1828"/>
      <c r="AF42" s="1828"/>
      <c r="AG42" s="1828"/>
      <c r="AH42" s="1828"/>
      <c r="AI42" s="1828"/>
      <c r="AJ42" s="1828"/>
      <c r="AK42" s="1828"/>
      <c r="AL42" s="1828"/>
      <c r="AM42" s="1828"/>
      <c r="AN42" s="1828"/>
      <c r="AO42" s="1828"/>
      <c r="AP42" s="1828"/>
      <c r="AQ42" s="1828"/>
    </row>
    <row r="43" spans="1:43" s="1675" customFormat="1" ht="19.5" customHeight="1">
      <c r="A43" s="1829"/>
      <c r="B43" s="1829"/>
      <c r="C43" s="1830"/>
      <c r="D43" s="1830"/>
      <c r="E43" s="1830"/>
      <c r="F43" s="1830"/>
      <c r="G43" s="1830"/>
      <c r="H43" s="1826"/>
      <c r="I43" s="1827"/>
      <c r="J43" s="1827"/>
      <c r="K43" s="1769"/>
      <c r="L43" s="1769"/>
      <c r="M43" s="1769"/>
      <c r="N43" s="1828"/>
      <c r="O43" s="1828"/>
      <c r="P43" s="1828"/>
      <c r="Q43" s="1828"/>
      <c r="R43" s="1828"/>
      <c r="S43" s="1828"/>
      <c r="T43" s="1828"/>
      <c r="U43" s="1828"/>
      <c r="V43" s="1828"/>
      <c r="W43" s="1828"/>
      <c r="X43" s="1828"/>
      <c r="Y43" s="1828"/>
      <c r="Z43" s="1828"/>
      <c r="AA43" s="1828"/>
      <c r="AB43" s="1828"/>
      <c r="AC43" s="1828"/>
      <c r="AD43" s="1828"/>
      <c r="AE43" s="1828"/>
      <c r="AF43" s="1828"/>
      <c r="AG43" s="1828"/>
      <c r="AH43" s="1828"/>
      <c r="AI43" s="1828"/>
      <c r="AJ43" s="1828"/>
      <c r="AK43" s="1828"/>
      <c r="AL43" s="1828"/>
      <c r="AM43" s="1828"/>
      <c r="AN43" s="1828"/>
      <c r="AO43" s="1828"/>
      <c r="AP43" s="1828"/>
      <c r="AQ43" s="1828"/>
    </row>
    <row r="44" spans="1:43" s="1675" customFormat="1" ht="10.5" customHeight="1">
      <c r="A44" s="1829"/>
      <c r="B44" s="1829"/>
      <c r="C44" s="1831"/>
      <c r="D44" s="1832"/>
      <c r="E44" s="1831"/>
      <c r="F44" s="1833"/>
      <c r="G44" s="1831"/>
      <c r="H44" s="1826"/>
      <c r="I44" s="1827"/>
      <c r="J44" s="1827"/>
      <c r="K44" s="1769"/>
      <c r="L44" s="1769"/>
      <c r="M44" s="1769"/>
      <c r="N44" s="1828"/>
      <c r="O44" s="1828"/>
      <c r="P44" s="1828"/>
      <c r="Q44" s="1828"/>
      <c r="R44" s="1828"/>
      <c r="S44" s="1828"/>
      <c r="T44" s="1828"/>
      <c r="U44" s="1828"/>
      <c r="V44" s="1828"/>
      <c r="W44" s="1828"/>
      <c r="X44" s="1828"/>
      <c r="Y44" s="1828"/>
      <c r="Z44" s="1828"/>
      <c r="AA44" s="1828"/>
      <c r="AB44" s="1828"/>
      <c r="AC44" s="1828"/>
      <c r="AD44" s="1828"/>
      <c r="AE44" s="1828"/>
      <c r="AF44" s="1828"/>
      <c r="AG44" s="1828"/>
      <c r="AH44" s="1828"/>
      <c r="AI44" s="1828"/>
      <c r="AJ44" s="1828"/>
      <c r="AK44" s="1828"/>
      <c r="AL44" s="1828"/>
      <c r="AM44" s="1828"/>
      <c r="AN44" s="1828"/>
      <c r="AO44" s="1828"/>
      <c r="AP44" s="1828"/>
      <c r="AQ44" s="1828"/>
    </row>
    <row r="45" spans="1:43" s="1675" customFormat="1" ht="18" customHeight="1">
      <c r="A45" s="1829"/>
      <c r="B45" s="1829"/>
      <c r="C45" s="1834"/>
      <c r="D45" s="1830"/>
      <c r="E45" s="1834"/>
      <c r="F45" s="1830"/>
      <c r="G45" s="1834"/>
      <c r="H45" s="1826"/>
      <c r="I45" s="1835"/>
      <c r="J45" s="1827"/>
      <c r="K45" s="1836"/>
      <c r="L45" s="3854"/>
      <c r="M45" s="3855"/>
      <c r="N45" s="1828"/>
      <c r="O45" s="1828"/>
      <c r="P45" s="1828"/>
      <c r="Q45" s="1828"/>
      <c r="R45" s="1828"/>
      <c r="S45" s="1828"/>
      <c r="T45" s="1828"/>
      <c r="U45" s="1828"/>
      <c r="V45" s="1828"/>
      <c r="W45" s="1828"/>
      <c r="X45" s="1828"/>
      <c r="Y45" s="1828"/>
      <c r="Z45" s="1828"/>
      <c r="AA45" s="1828"/>
      <c r="AB45" s="1828"/>
      <c r="AC45" s="1828"/>
      <c r="AD45" s="1828"/>
      <c r="AE45" s="1828"/>
      <c r="AF45" s="1828"/>
      <c r="AG45" s="1828"/>
      <c r="AH45" s="1828"/>
      <c r="AI45" s="1828"/>
      <c r="AJ45" s="1828"/>
      <c r="AK45" s="1828"/>
      <c r="AL45" s="1828"/>
      <c r="AM45" s="1828"/>
      <c r="AN45" s="1828"/>
      <c r="AO45" s="1828"/>
      <c r="AP45" s="1828"/>
      <c r="AQ45" s="1828"/>
    </row>
    <row r="46" spans="1:43" s="1675" customFormat="1" ht="18" customHeight="1">
      <c r="A46" s="1829"/>
      <c r="B46" s="1829"/>
      <c r="C46" s="1830"/>
      <c r="D46" s="1830"/>
      <c r="E46" s="1830"/>
      <c r="F46" s="1830"/>
      <c r="G46" s="1830"/>
      <c r="H46" s="1826"/>
      <c r="I46" s="1835"/>
      <c r="J46" s="1827"/>
      <c r="K46" s="1836"/>
      <c r="L46" s="1837"/>
      <c r="M46" s="1838"/>
      <c r="N46" s="1828"/>
      <c r="O46" s="1828"/>
      <c r="P46" s="1828"/>
      <c r="Q46" s="1828"/>
      <c r="R46" s="1828"/>
      <c r="S46" s="1828"/>
      <c r="T46" s="1828"/>
      <c r="U46" s="1828"/>
      <c r="V46" s="1828"/>
      <c r="W46" s="1828"/>
      <c r="X46" s="1828"/>
      <c r="Y46" s="1828"/>
      <c r="Z46" s="1828"/>
      <c r="AA46" s="1828"/>
      <c r="AB46" s="1828"/>
      <c r="AC46" s="1828"/>
      <c r="AD46" s="1828"/>
      <c r="AE46" s="1828"/>
      <c r="AF46" s="1828"/>
      <c r="AG46" s="1828"/>
      <c r="AH46" s="1828"/>
      <c r="AI46" s="1828"/>
      <c r="AJ46" s="1828"/>
      <c r="AK46" s="1828"/>
      <c r="AL46" s="1828"/>
      <c r="AM46" s="1828"/>
      <c r="AN46" s="1828"/>
      <c r="AO46" s="1828"/>
      <c r="AP46" s="1828"/>
      <c r="AQ46" s="1828"/>
    </row>
    <row r="47" spans="1:43" s="1675" customFormat="1" ht="10.5" customHeight="1">
      <c r="A47" s="1829"/>
      <c r="B47" s="1829"/>
      <c r="C47" s="3851"/>
      <c r="D47" s="3852"/>
      <c r="E47" s="3852"/>
      <c r="F47" s="3852"/>
      <c r="G47" s="3852"/>
      <c r="H47" s="1826"/>
      <c r="I47" s="1835"/>
      <c r="J47" s="1827"/>
      <c r="K47" s="1836"/>
      <c r="L47" s="1837"/>
      <c r="M47" s="1838"/>
      <c r="N47" s="1828"/>
      <c r="O47" s="1828"/>
      <c r="P47" s="1828"/>
      <c r="Q47" s="1828"/>
      <c r="R47" s="1828"/>
      <c r="S47" s="1828"/>
      <c r="T47" s="1828"/>
      <c r="U47" s="1828"/>
      <c r="V47" s="1828"/>
      <c r="W47" s="1828"/>
      <c r="X47" s="1828"/>
      <c r="Y47" s="1828"/>
      <c r="Z47" s="1828"/>
      <c r="AA47" s="1828"/>
      <c r="AB47" s="1828"/>
      <c r="AC47" s="1828"/>
      <c r="AD47" s="1828"/>
      <c r="AE47" s="1828"/>
      <c r="AF47" s="1828"/>
      <c r="AG47" s="1828"/>
      <c r="AH47" s="1828"/>
      <c r="AI47" s="1828"/>
      <c r="AJ47" s="1828"/>
      <c r="AK47" s="1828"/>
      <c r="AL47" s="1828"/>
      <c r="AM47" s="1828"/>
      <c r="AN47" s="1828"/>
      <c r="AO47" s="1828"/>
      <c r="AP47" s="1828"/>
      <c r="AQ47" s="1828"/>
    </row>
    <row r="48" spans="1:43" s="1675" customFormat="1" ht="19.5" customHeight="1">
      <c r="A48" s="1829"/>
      <c r="B48" s="1829"/>
      <c r="C48" s="1839"/>
      <c r="D48" s="1839"/>
      <c r="E48" s="1839"/>
      <c r="F48" s="1839"/>
      <c r="G48" s="1839"/>
      <c r="H48" s="1826"/>
      <c r="I48" s="1827"/>
      <c r="J48" s="1827"/>
      <c r="K48" s="1769"/>
      <c r="L48" s="1769"/>
      <c r="M48" s="1769"/>
      <c r="N48" s="1828"/>
      <c r="O48" s="1828"/>
      <c r="P48" s="1828"/>
      <c r="Q48" s="1828"/>
      <c r="R48" s="1828"/>
      <c r="S48" s="1828"/>
      <c r="T48" s="1828"/>
      <c r="U48" s="1828"/>
      <c r="V48" s="1828"/>
      <c r="W48" s="1828"/>
      <c r="X48" s="1828"/>
      <c r="Y48" s="1828"/>
      <c r="Z48" s="1828"/>
      <c r="AA48" s="1828"/>
      <c r="AB48" s="1828"/>
      <c r="AC48" s="1828"/>
      <c r="AD48" s="1828"/>
      <c r="AE48" s="1828"/>
      <c r="AF48" s="1828"/>
      <c r="AG48" s="1828"/>
      <c r="AH48" s="1828"/>
      <c r="AI48" s="1828"/>
      <c r="AJ48" s="1828"/>
      <c r="AK48" s="1828"/>
      <c r="AL48" s="1828"/>
      <c r="AM48" s="1828"/>
      <c r="AN48" s="1828"/>
      <c r="AO48" s="1828"/>
      <c r="AP48" s="1828"/>
      <c r="AQ48" s="1828"/>
    </row>
    <row r="49" spans="1:43" s="1680" customFormat="1" ht="10.5" customHeight="1">
      <c r="A49" s="1830"/>
      <c r="B49" s="1830"/>
      <c r="C49" s="1831"/>
      <c r="D49" s="1832"/>
      <c r="E49" s="1831"/>
      <c r="F49" s="3856"/>
      <c r="G49" s="3856"/>
      <c r="H49" s="1826"/>
      <c r="I49" s="1827"/>
      <c r="J49" s="1827"/>
      <c r="K49" s="1840"/>
      <c r="L49" s="1840"/>
      <c r="M49" s="1840"/>
      <c r="N49" s="1841"/>
      <c r="O49" s="1841"/>
      <c r="P49" s="1841"/>
      <c r="Q49" s="1841"/>
      <c r="R49" s="1841"/>
      <c r="S49" s="1841"/>
      <c r="T49" s="1841"/>
      <c r="U49" s="1841"/>
      <c r="V49" s="1841"/>
      <c r="W49" s="1841"/>
      <c r="X49" s="1841"/>
      <c r="Y49" s="1841"/>
      <c r="Z49" s="1841"/>
      <c r="AA49" s="1841"/>
      <c r="AB49" s="1841"/>
      <c r="AC49" s="1841"/>
      <c r="AD49" s="1841"/>
      <c r="AE49" s="1841"/>
      <c r="AF49" s="1841"/>
      <c r="AG49" s="1841"/>
      <c r="AH49" s="1841"/>
      <c r="AI49" s="1841"/>
      <c r="AJ49" s="1841"/>
      <c r="AK49" s="1841"/>
      <c r="AL49" s="1841"/>
      <c r="AM49" s="1841"/>
      <c r="AN49" s="1841"/>
      <c r="AO49" s="1841"/>
      <c r="AP49" s="1841"/>
      <c r="AQ49" s="1841"/>
    </row>
    <row r="50" spans="1:43" s="1675" customFormat="1" ht="18" customHeight="1">
      <c r="A50" s="1830"/>
      <c r="B50" s="1830"/>
      <c r="C50" s="1842"/>
      <c r="D50" s="1843"/>
      <c r="E50" s="1842"/>
      <c r="F50" s="1844"/>
      <c r="G50" s="1844"/>
      <c r="H50" s="1826"/>
      <c r="I50" s="1827"/>
      <c r="J50" s="1827"/>
      <c r="K50" s="1830"/>
      <c r="L50" s="1830"/>
      <c r="M50" s="1830"/>
      <c r="N50" s="1828"/>
      <c r="O50" s="1828"/>
      <c r="P50" s="1828"/>
      <c r="Q50" s="1828"/>
      <c r="R50" s="1828"/>
      <c r="S50" s="1828"/>
      <c r="T50" s="1828"/>
      <c r="U50" s="1828"/>
      <c r="V50" s="1828"/>
      <c r="W50" s="1828"/>
      <c r="X50" s="1828"/>
      <c r="Y50" s="1828"/>
      <c r="Z50" s="1828"/>
      <c r="AA50" s="1828"/>
      <c r="AB50" s="1828"/>
      <c r="AC50" s="1828"/>
      <c r="AD50" s="1828"/>
      <c r="AE50" s="1828"/>
      <c r="AF50" s="1828"/>
      <c r="AG50" s="1828"/>
      <c r="AH50" s="1828"/>
      <c r="AI50" s="1828"/>
      <c r="AJ50" s="1828"/>
      <c r="AK50" s="1828"/>
      <c r="AL50" s="1828"/>
      <c r="AM50" s="1828"/>
      <c r="AN50" s="1828"/>
      <c r="AO50" s="1828"/>
      <c r="AP50" s="1828"/>
      <c r="AQ50" s="1828"/>
    </row>
    <row r="51" spans="1:43" s="1675" customFormat="1" ht="10.5" customHeight="1">
      <c r="A51" s="1829"/>
      <c r="B51" s="1829"/>
      <c r="C51" s="1830"/>
      <c r="D51" s="1845"/>
      <c r="E51" s="1846"/>
      <c r="F51" s="1834"/>
      <c r="G51" s="1830"/>
      <c r="H51" s="1826"/>
      <c r="I51" s="1827"/>
      <c r="J51" s="1827"/>
      <c r="K51" s="1830"/>
      <c r="L51" s="1830"/>
      <c r="M51" s="1830"/>
      <c r="N51" s="1828"/>
      <c r="O51" s="1828"/>
      <c r="P51" s="1828"/>
      <c r="Q51" s="1828"/>
      <c r="R51" s="1828"/>
      <c r="S51" s="1828"/>
      <c r="T51" s="1828"/>
      <c r="U51" s="1828"/>
      <c r="V51" s="1828"/>
      <c r="W51" s="1828"/>
      <c r="X51" s="1828"/>
      <c r="Y51" s="1828"/>
      <c r="Z51" s="1828"/>
      <c r="AA51" s="1828"/>
      <c r="AB51" s="1828"/>
      <c r="AC51" s="1828"/>
      <c r="AD51" s="1828"/>
      <c r="AE51" s="1828"/>
      <c r="AF51" s="1828"/>
      <c r="AG51" s="1828"/>
      <c r="AH51" s="1828"/>
      <c r="AI51" s="1828"/>
      <c r="AJ51" s="1828"/>
      <c r="AK51" s="1828"/>
      <c r="AL51" s="1828"/>
      <c r="AM51" s="1828"/>
      <c r="AN51" s="1828"/>
      <c r="AO51" s="1828"/>
      <c r="AP51" s="1828"/>
      <c r="AQ51" s="1828"/>
    </row>
    <row r="52" spans="1:43" s="1675" customFormat="1" ht="19.5" customHeight="1">
      <c r="A52" s="1829"/>
      <c r="B52" s="1829"/>
      <c r="C52" s="1830"/>
      <c r="D52" s="1845"/>
      <c r="E52" s="1846"/>
      <c r="F52" s="1834"/>
      <c r="G52" s="1830"/>
      <c r="H52" s="1826"/>
      <c r="I52" s="1827"/>
      <c r="J52" s="1827"/>
      <c r="K52" s="1830"/>
      <c r="L52" s="1830"/>
      <c r="M52" s="1830"/>
      <c r="N52" s="1828"/>
      <c r="O52" s="1828"/>
      <c r="P52" s="1828"/>
      <c r="Q52" s="1828"/>
      <c r="R52" s="1828"/>
      <c r="S52" s="1828"/>
      <c r="T52" s="1828"/>
      <c r="U52" s="1828"/>
      <c r="V52" s="1828"/>
      <c r="W52" s="1828"/>
      <c r="X52" s="1828"/>
      <c r="Y52" s="1828"/>
      <c r="Z52" s="1828"/>
      <c r="AA52" s="1828"/>
      <c r="AB52" s="1828"/>
      <c r="AC52" s="1828"/>
      <c r="AD52" s="1828"/>
      <c r="AE52" s="1828"/>
      <c r="AF52" s="1828"/>
      <c r="AG52" s="1828"/>
      <c r="AH52" s="1828"/>
      <c r="AI52" s="1828"/>
      <c r="AJ52" s="1828"/>
      <c r="AK52" s="1828"/>
      <c r="AL52" s="1828"/>
      <c r="AM52" s="1828"/>
      <c r="AN52" s="1828"/>
      <c r="AO52" s="1828"/>
      <c r="AP52" s="1828"/>
      <c r="AQ52" s="1828"/>
    </row>
    <row r="53" spans="1:43" s="1680" customFormat="1" ht="10.5" customHeight="1">
      <c r="A53" s="1829"/>
      <c r="B53" s="1829"/>
      <c r="C53" s="1831"/>
      <c r="D53" s="1833"/>
      <c r="E53" s="1831"/>
      <c r="F53" s="1833"/>
      <c r="G53" s="1847"/>
      <c r="H53" s="1826"/>
      <c r="I53" s="1827"/>
      <c r="J53" s="1827"/>
      <c r="K53" s="1830"/>
      <c r="L53" s="1830"/>
      <c r="M53" s="1830"/>
      <c r="N53" s="1841"/>
      <c r="O53" s="1841"/>
      <c r="P53" s="1841"/>
      <c r="Q53" s="1841"/>
      <c r="R53" s="1841"/>
      <c r="S53" s="1841"/>
      <c r="T53" s="1841"/>
      <c r="U53" s="1841"/>
      <c r="V53" s="1841"/>
      <c r="W53" s="1841"/>
      <c r="X53" s="1841"/>
      <c r="Y53" s="1841"/>
      <c r="Z53" s="1841"/>
      <c r="AA53" s="1841"/>
      <c r="AB53" s="1841"/>
      <c r="AC53" s="1841"/>
      <c r="AD53" s="1841"/>
      <c r="AE53" s="1841"/>
      <c r="AF53" s="1841"/>
      <c r="AG53" s="1841"/>
      <c r="AH53" s="1841"/>
      <c r="AI53" s="1841"/>
      <c r="AJ53" s="1841"/>
      <c r="AK53" s="1841"/>
      <c r="AL53" s="1841"/>
      <c r="AM53" s="1841"/>
      <c r="AN53" s="1841"/>
      <c r="AO53" s="1841"/>
      <c r="AP53" s="1841"/>
      <c r="AQ53" s="1841"/>
    </row>
    <row r="54" spans="1:43" s="1680" customFormat="1" ht="15" customHeight="1">
      <c r="A54" s="1829"/>
      <c r="B54" s="1829"/>
      <c r="C54" s="1834"/>
      <c r="D54" s="1848"/>
      <c r="E54" s="1834"/>
      <c r="F54" s="1848"/>
      <c r="G54" s="1834"/>
      <c r="H54" s="1826"/>
      <c r="I54" s="1827"/>
      <c r="J54" s="1827"/>
      <c r="K54" s="1830"/>
      <c r="L54" s="1830"/>
      <c r="M54" s="1830"/>
      <c r="N54" s="1841"/>
      <c r="O54" s="1841"/>
      <c r="P54" s="1841"/>
      <c r="Q54" s="1841"/>
      <c r="R54" s="1841"/>
      <c r="S54" s="1841"/>
      <c r="T54" s="1841"/>
      <c r="U54" s="1841"/>
      <c r="V54" s="1841"/>
      <c r="W54" s="1841"/>
      <c r="X54" s="1841"/>
      <c r="Y54" s="1841"/>
      <c r="Z54" s="1841"/>
      <c r="AA54" s="1841"/>
      <c r="AB54" s="1841"/>
      <c r="AC54" s="1841"/>
      <c r="AD54" s="1841"/>
      <c r="AE54" s="1841"/>
      <c r="AF54" s="1841"/>
      <c r="AG54" s="1841"/>
      <c r="AH54" s="1841"/>
      <c r="AI54" s="1841"/>
      <c r="AJ54" s="1841"/>
      <c r="AK54" s="1841"/>
      <c r="AL54" s="1841"/>
      <c r="AM54" s="1841"/>
      <c r="AN54" s="1841"/>
      <c r="AO54" s="1841"/>
      <c r="AP54" s="1841"/>
      <c r="AQ54" s="1841"/>
    </row>
    <row r="55" spans="1:43" s="1680" customFormat="1" ht="15" customHeight="1">
      <c r="A55" s="1829"/>
      <c r="B55" s="1829"/>
      <c r="C55" s="1849"/>
      <c r="D55" s="1848"/>
      <c r="E55" s="1834"/>
      <c r="F55" s="1848"/>
      <c r="G55" s="1834"/>
      <c r="H55" s="1826"/>
      <c r="I55" s="1827"/>
      <c r="J55" s="1827"/>
      <c r="K55" s="1830"/>
      <c r="L55" s="1830"/>
      <c r="M55" s="1830"/>
      <c r="N55" s="1841"/>
      <c r="O55" s="1841"/>
      <c r="P55" s="1841"/>
      <c r="Q55" s="1841"/>
      <c r="R55" s="1841"/>
      <c r="S55" s="1841"/>
      <c r="T55" s="1841"/>
      <c r="U55" s="1841"/>
      <c r="V55" s="1841"/>
      <c r="W55" s="1841"/>
      <c r="X55" s="1841"/>
      <c r="Y55" s="1841"/>
      <c r="Z55" s="1841"/>
      <c r="AA55" s="1841"/>
      <c r="AB55" s="1841"/>
      <c r="AC55" s="1841"/>
      <c r="AD55" s="1841"/>
      <c r="AE55" s="1841"/>
      <c r="AF55" s="1841"/>
      <c r="AG55" s="1841"/>
      <c r="AH55" s="1841"/>
      <c r="AI55" s="1841"/>
      <c r="AJ55" s="1841"/>
      <c r="AK55" s="1841"/>
      <c r="AL55" s="1841"/>
      <c r="AM55" s="1841"/>
      <c r="AN55" s="1841"/>
      <c r="AO55" s="1841"/>
      <c r="AP55" s="1841"/>
      <c r="AQ55" s="1841"/>
    </row>
    <row r="56" spans="1:43" s="1675" customFormat="1" ht="10.5" customHeight="1">
      <c r="A56" s="1829"/>
      <c r="B56" s="1829"/>
      <c r="C56" s="3880"/>
      <c r="D56" s="3881"/>
      <c r="E56" s="3881"/>
      <c r="F56" s="3881"/>
      <c r="G56" s="3882"/>
      <c r="H56" s="1826"/>
      <c r="I56" s="1827"/>
      <c r="J56" s="1827"/>
      <c r="K56" s="1830"/>
      <c r="L56" s="1830"/>
      <c r="M56" s="1830"/>
      <c r="N56" s="1828"/>
      <c r="O56" s="1828"/>
      <c r="P56" s="1828"/>
      <c r="Q56" s="1828"/>
      <c r="R56" s="1828"/>
      <c r="S56" s="1828"/>
      <c r="T56" s="1828"/>
      <c r="U56" s="1828"/>
      <c r="V56" s="1828"/>
      <c r="W56" s="1828"/>
      <c r="X56" s="1828"/>
      <c r="Y56" s="1828"/>
      <c r="Z56" s="1828"/>
      <c r="AA56" s="1828"/>
      <c r="AB56" s="1828"/>
      <c r="AC56" s="1828"/>
      <c r="AD56" s="1828"/>
      <c r="AE56" s="1828"/>
      <c r="AF56" s="1828"/>
      <c r="AG56" s="1828"/>
      <c r="AH56" s="1828"/>
      <c r="AI56" s="1828"/>
      <c r="AJ56" s="1828"/>
      <c r="AK56" s="1828"/>
      <c r="AL56" s="1828"/>
      <c r="AM56" s="1828"/>
      <c r="AN56" s="1828"/>
      <c r="AO56" s="1828"/>
      <c r="AP56" s="1828"/>
      <c r="AQ56" s="1828"/>
    </row>
    <row r="57" spans="1:43" s="1675" customFormat="1" ht="19.5" customHeight="1">
      <c r="A57" s="1829"/>
      <c r="B57" s="1829"/>
      <c r="C57" s="1830"/>
      <c r="D57" s="1845"/>
      <c r="E57" s="1846"/>
      <c r="F57" s="1834"/>
      <c r="G57" s="1830"/>
      <c r="H57" s="1826"/>
      <c r="I57" s="1827"/>
      <c r="J57" s="1827"/>
      <c r="K57" s="1830"/>
      <c r="L57" s="1830"/>
      <c r="M57" s="1830"/>
      <c r="N57" s="1828"/>
      <c r="O57" s="1828"/>
      <c r="P57" s="1828"/>
      <c r="Q57" s="1828"/>
      <c r="R57" s="1828"/>
      <c r="S57" s="1828"/>
      <c r="T57" s="1828"/>
      <c r="U57" s="1828"/>
      <c r="V57" s="1828"/>
      <c r="W57" s="1828"/>
      <c r="X57" s="1828"/>
      <c r="Y57" s="1828"/>
      <c r="Z57" s="1828"/>
      <c r="AA57" s="1828"/>
      <c r="AB57" s="1828"/>
      <c r="AC57" s="1828"/>
      <c r="AD57" s="1828"/>
      <c r="AE57" s="1828"/>
      <c r="AF57" s="1828"/>
      <c r="AG57" s="1828"/>
      <c r="AH57" s="1828"/>
      <c r="AI57" s="1828"/>
      <c r="AJ57" s="1828"/>
      <c r="AK57" s="1828"/>
      <c r="AL57" s="1828"/>
      <c r="AM57" s="1828"/>
      <c r="AN57" s="1828"/>
      <c r="AO57" s="1828"/>
      <c r="AP57" s="1828"/>
      <c r="AQ57" s="1828"/>
    </row>
    <row r="58" spans="1:43" s="1675" customFormat="1" ht="10.5" customHeight="1">
      <c r="A58" s="1829"/>
      <c r="B58" s="1829"/>
      <c r="C58" s="1850"/>
      <c r="D58" s="1833"/>
      <c r="E58" s="1842"/>
      <c r="F58" s="1851"/>
      <c r="G58" s="1833"/>
      <c r="H58" s="1826"/>
      <c r="I58" s="1827"/>
      <c r="J58" s="1827"/>
      <c r="K58" s="1769"/>
      <c r="L58" s="1769"/>
      <c r="M58" s="1769"/>
      <c r="N58" s="1828"/>
      <c r="O58" s="1828"/>
      <c r="P58" s="1828"/>
      <c r="Q58" s="1828"/>
      <c r="R58" s="1828"/>
      <c r="S58" s="1828"/>
      <c r="T58" s="1828"/>
      <c r="U58" s="1828"/>
      <c r="V58" s="1828"/>
      <c r="W58" s="1828"/>
      <c r="X58" s="1828"/>
      <c r="Y58" s="1828"/>
      <c r="Z58" s="1828"/>
      <c r="AA58" s="1828"/>
      <c r="AB58" s="1828"/>
      <c r="AC58" s="1828"/>
      <c r="AD58" s="1828"/>
      <c r="AE58" s="1828"/>
      <c r="AF58" s="1828"/>
      <c r="AG58" s="1828"/>
      <c r="AH58" s="1828"/>
      <c r="AI58" s="1828"/>
      <c r="AJ58" s="1828"/>
      <c r="AK58" s="1828"/>
      <c r="AL58" s="1828"/>
      <c r="AM58" s="1828"/>
      <c r="AN58" s="1828"/>
      <c r="AO58" s="1828"/>
      <c r="AP58" s="1828"/>
      <c r="AQ58" s="1828"/>
    </row>
    <row r="59" spans="1:43" s="1675" customFormat="1" ht="19.5" customHeight="1">
      <c r="A59" s="1829"/>
      <c r="B59" s="1829"/>
      <c r="C59" s="1834"/>
      <c r="D59" s="1830"/>
      <c r="E59" s="1834"/>
      <c r="F59" s="1830"/>
      <c r="G59" s="1834"/>
      <c r="H59" s="1826"/>
      <c r="I59" s="1827"/>
      <c r="J59" s="1827"/>
      <c r="K59" s="1769"/>
      <c r="L59" s="1769"/>
      <c r="M59" s="1769"/>
      <c r="N59" s="1828"/>
      <c r="O59" s="1828"/>
      <c r="P59" s="1828"/>
      <c r="Q59" s="1828"/>
      <c r="R59" s="1828"/>
      <c r="S59" s="1828"/>
      <c r="T59" s="1828"/>
      <c r="U59" s="1828"/>
      <c r="V59" s="1828"/>
      <c r="W59" s="1828"/>
      <c r="X59" s="1828"/>
      <c r="Y59" s="1828"/>
      <c r="Z59" s="1828"/>
      <c r="AA59" s="1828"/>
      <c r="AB59" s="1828"/>
      <c r="AC59" s="1828"/>
      <c r="AD59" s="1828"/>
      <c r="AE59" s="1828"/>
      <c r="AF59" s="1828"/>
      <c r="AG59" s="1828"/>
      <c r="AH59" s="1828"/>
      <c r="AI59" s="1828"/>
      <c r="AJ59" s="1828"/>
      <c r="AK59" s="1828"/>
      <c r="AL59" s="1828"/>
      <c r="AM59" s="1828"/>
      <c r="AN59" s="1828"/>
      <c r="AO59" s="1828"/>
      <c r="AP59" s="1828"/>
      <c r="AQ59" s="1828"/>
    </row>
    <row r="60" spans="1:43" s="1675" customFormat="1" ht="10.5" customHeight="1">
      <c r="A60" s="1829"/>
      <c r="B60" s="1829"/>
      <c r="C60" s="3880"/>
      <c r="D60" s="3881"/>
      <c r="E60" s="3881"/>
      <c r="F60" s="3881"/>
      <c r="G60" s="1753"/>
      <c r="H60" s="1826"/>
      <c r="I60" s="1827"/>
      <c r="J60" s="1827"/>
      <c r="K60" s="1769"/>
      <c r="L60" s="1769"/>
      <c r="M60" s="1769"/>
      <c r="N60" s="1828"/>
      <c r="O60" s="1828"/>
      <c r="P60" s="1828"/>
      <c r="Q60" s="1828"/>
      <c r="R60" s="1828"/>
      <c r="S60" s="1828"/>
      <c r="T60" s="1828"/>
      <c r="U60" s="1828"/>
      <c r="V60" s="1828"/>
      <c r="W60" s="1828"/>
      <c r="X60" s="1828"/>
      <c r="Y60" s="1828"/>
      <c r="Z60" s="1828"/>
      <c r="AA60" s="1828"/>
      <c r="AB60" s="1828"/>
      <c r="AC60" s="1828"/>
      <c r="AD60" s="1828"/>
      <c r="AE60" s="1828"/>
      <c r="AF60" s="1828"/>
      <c r="AG60" s="1828"/>
      <c r="AH60" s="1828"/>
      <c r="AI60" s="1828"/>
      <c r="AJ60" s="1828"/>
      <c r="AK60" s="1828"/>
      <c r="AL60" s="1828"/>
      <c r="AM60" s="1828"/>
      <c r="AN60" s="1828"/>
      <c r="AO60" s="1828"/>
      <c r="AP60" s="1828"/>
      <c r="AQ60" s="1828"/>
    </row>
    <row r="61" spans="1:43" s="1675" customFormat="1" ht="19.5" customHeight="1">
      <c r="A61" s="1829"/>
      <c r="B61" s="1829"/>
      <c r="C61" s="1834"/>
      <c r="D61" s="1830"/>
      <c r="E61" s="1834"/>
      <c r="F61" s="1830"/>
      <c r="G61" s="1834"/>
      <c r="H61" s="1826"/>
      <c r="I61" s="1827"/>
      <c r="J61" s="1827"/>
      <c r="K61" s="1769"/>
      <c r="L61" s="1769"/>
      <c r="M61" s="1769"/>
      <c r="N61" s="1828"/>
      <c r="O61" s="1828"/>
      <c r="P61" s="1828"/>
      <c r="Q61" s="1828"/>
      <c r="R61" s="1828"/>
      <c r="S61" s="1828"/>
      <c r="T61" s="1828"/>
      <c r="U61" s="1828"/>
      <c r="V61" s="1828"/>
      <c r="W61" s="1828"/>
      <c r="X61" s="1828"/>
      <c r="Y61" s="1828"/>
      <c r="Z61" s="1828"/>
      <c r="AA61" s="1828"/>
      <c r="AB61" s="1828"/>
      <c r="AC61" s="1828"/>
      <c r="AD61" s="1828"/>
      <c r="AE61" s="1828"/>
      <c r="AF61" s="1828"/>
      <c r="AG61" s="1828"/>
      <c r="AH61" s="1828"/>
      <c r="AI61" s="1828"/>
      <c r="AJ61" s="1828"/>
      <c r="AK61" s="1828"/>
      <c r="AL61" s="1828"/>
      <c r="AM61" s="1828"/>
      <c r="AN61" s="1828"/>
      <c r="AO61" s="1828"/>
      <c r="AP61" s="1828"/>
      <c r="AQ61" s="1828"/>
    </row>
    <row r="62" spans="1:43" s="1675" customFormat="1" ht="10.5" customHeight="1">
      <c r="A62" s="1852"/>
      <c r="B62" s="1852"/>
      <c r="C62" s="1833"/>
      <c r="D62" s="1830"/>
      <c r="E62" s="1831"/>
      <c r="F62" s="1833"/>
      <c r="G62" s="1677"/>
      <c r="H62" s="1826"/>
      <c r="I62" s="1827"/>
      <c r="J62" s="1827"/>
      <c r="K62" s="1769"/>
      <c r="L62" s="1769"/>
      <c r="M62" s="1769"/>
      <c r="N62" s="1828"/>
      <c r="O62" s="1828"/>
      <c r="P62" s="1828"/>
      <c r="Q62" s="1828"/>
      <c r="R62" s="1828"/>
      <c r="S62" s="1828"/>
      <c r="T62" s="1828"/>
      <c r="U62" s="1828"/>
      <c r="V62" s="1828"/>
      <c r="W62" s="1828"/>
      <c r="X62" s="1828"/>
      <c r="Y62" s="1828"/>
      <c r="Z62" s="1828"/>
      <c r="AA62" s="1828"/>
      <c r="AB62" s="1828"/>
      <c r="AC62" s="1828"/>
      <c r="AD62" s="1828"/>
      <c r="AE62" s="1828"/>
      <c r="AF62" s="1828"/>
      <c r="AG62" s="1828"/>
      <c r="AH62" s="1828"/>
      <c r="AI62" s="1828"/>
      <c r="AJ62" s="1828"/>
      <c r="AK62" s="1828"/>
      <c r="AL62" s="1828"/>
      <c r="AM62" s="1828"/>
      <c r="AN62" s="1828"/>
      <c r="AO62" s="1828"/>
      <c r="AP62" s="1828"/>
      <c r="AQ62" s="1828"/>
    </row>
    <row r="63" spans="1:43" s="1675" customFormat="1" ht="18" customHeight="1">
      <c r="A63" s="1829"/>
      <c r="B63" s="1829"/>
      <c r="C63" s="1830"/>
      <c r="D63" s="1830"/>
      <c r="E63" s="1830"/>
      <c r="F63" s="1830"/>
      <c r="G63" s="1830"/>
      <c r="H63" s="1826"/>
      <c r="I63" s="1827"/>
      <c r="J63" s="1827"/>
      <c r="K63" s="1769"/>
      <c r="L63" s="1769"/>
      <c r="M63" s="1769"/>
      <c r="N63" s="1828"/>
      <c r="O63" s="1828"/>
      <c r="P63" s="1828"/>
      <c r="Q63" s="1828"/>
      <c r="R63" s="1828"/>
      <c r="S63" s="1828"/>
      <c r="T63" s="1828"/>
      <c r="U63" s="1828"/>
      <c r="V63" s="1828"/>
      <c r="W63" s="1828"/>
      <c r="X63" s="1828"/>
      <c r="Y63" s="1828"/>
      <c r="Z63" s="1828"/>
      <c r="AA63" s="1828"/>
      <c r="AB63" s="1828"/>
      <c r="AC63" s="1828"/>
      <c r="AD63" s="1828"/>
      <c r="AE63" s="1828"/>
      <c r="AF63" s="1828"/>
      <c r="AG63" s="1828"/>
      <c r="AH63" s="1828"/>
      <c r="AI63" s="1828"/>
      <c r="AJ63" s="1828"/>
      <c r="AK63" s="1828"/>
      <c r="AL63" s="1828"/>
      <c r="AM63" s="1828"/>
      <c r="AN63" s="1828"/>
      <c r="AO63" s="1828"/>
      <c r="AP63" s="1828"/>
      <c r="AQ63" s="1828"/>
    </row>
    <row r="64" spans="1:43" s="1675" customFormat="1" ht="10.5" customHeight="1">
      <c r="A64" s="1829"/>
      <c r="B64" s="1829"/>
      <c r="C64" s="1830"/>
      <c r="D64" s="1830"/>
      <c r="E64" s="1830"/>
      <c r="F64" s="1830"/>
      <c r="G64" s="1830"/>
      <c r="H64" s="1826"/>
      <c r="I64" s="1827"/>
      <c r="J64" s="1827"/>
      <c r="K64" s="1769"/>
      <c r="L64" s="1769"/>
      <c r="M64" s="1769"/>
      <c r="N64" s="1828"/>
      <c r="O64" s="1828"/>
      <c r="P64" s="1828"/>
      <c r="Q64" s="1828"/>
      <c r="R64" s="1828"/>
      <c r="S64" s="1828"/>
      <c r="T64" s="1828"/>
      <c r="U64" s="1828"/>
      <c r="V64" s="1828"/>
      <c r="W64" s="1828"/>
      <c r="X64" s="1828"/>
      <c r="Y64" s="1828"/>
      <c r="Z64" s="1828"/>
      <c r="AA64" s="1828"/>
      <c r="AB64" s="1828"/>
      <c r="AC64" s="1828"/>
      <c r="AD64" s="1828"/>
      <c r="AE64" s="1828"/>
      <c r="AF64" s="1828"/>
      <c r="AG64" s="1828"/>
      <c r="AH64" s="1828"/>
      <c r="AI64" s="1828"/>
      <c r="AJ64" s="1828"/>
      <c r="AK64" s="1828"/>
      <c r="AL64" s="1828"/>
      <c r="AM64" s="1828"/>
      <c r="AN64" s="1828"/>
      <c r="AO64" s="1828"/>
      <c r="AP64" s="1828"/>
      <c r="AQ64" s="1828"/>
    </row>
    <row r="65" spans="1:43" s="1675" customFormat="1" ht="24" customHeight="1">
      <c r="A65" s="1829"/>
      <c r="B65" s="1829"/>
      <c r="C65" s="1830"/>
      <c r="D65" s="1830"/>
      <c r="E65" s="1830"/>
      <c r="F65" s="1830"/>
      <c r="G65" s="1830"/>
      <c r="H65" s="1853"/>
      <c r="I65" s="1854"/>
      <c r="J65" s="1769"/>
      <c r="K65" s="1769"/>
      <c r="L65" s="1769"/>
      <c r="M65" s="1769"/>
      <c r="N65" s="1769"/>
      <c r="O65" s="1828"/>
      <c r="P65" s="1828"/>
      <c r="Q65" s="1828"/>
      <c r="R65" s="1828"/>
      <c r="S65" s="1828"/>
      <c r="T65" s="1828"/>
      <c r="U65" s="1828"/>
      <c r="V65" s="1828"/>
      <c r="W65" s="1828"/>
      <c r="X65" s="1828"/>
      <c r="Y65" s="1828"/>
      <c r="Z65" s="1828"/>
      <c r="AA65" s="1828"/>
      <c r="AB65" s="1828"/>
      <c r="AC65" s="1828"/>
      <c r="AD65" s="1828"/>
      <c r="AE65" s="1828"/>
      <c r="AF65" s="1828"/>
      <c r="AG65" s="1828"/>
      <c r="AH65" s="1828"/>
      <c r="AI65" s="1828"/>
      <c r="AJ65" s="1828"/>
      <c r="AK65" s="1828"/>
      <c r="AL65" s="1828"/>
      <c r="AM65" s="1828"/>
      <c r="AN65" s="1828"/>
      <c r="AO65" s="1828"/>
      <c r="AP65" s="1828"/>
      <c r="AQ65" s="1828"/>
    </row>
    <row r="66" spans="1:43" s="1675" customFormat="1" ht="10.5" customHeight="1">
      <c r="A66" s="1830"/>
      <c r="B66" s="1830"/>
      <c r="C66" s="1831"/>
      <c r="D66" s="1833"/>
      <c r="E66" s="1831"/>
      <c r="F66" s="1833"/>
      <c r="G66" s="1831"/>
      <c r="H66" s="1855"/>
      <c r="I66" s="1854"/>
      <c r="J66" s="1769"/>
      <c r="K66" s="1769"/>
      <c r="L66" s="1769"/>
      <c r="M66" s="1769"/>
      <c r="N66" s="1830"/>
      <c r="O66" s="1828"/>
      <c r="P66" s="1828"/>
      <c r="Q66" s="1828"/>
      <c r="R66" s="1828"/>
      <c r="S66" s="1828"/>
      <c r="T66" s="1828"/>
      <c r="U66" s="1828"/>
      <c r="V66" s="1828"/>
      <c r="W66" s="1828"/>
      <c r="X66" s="1828"/>
      <c r="Y66" s="1828"/>
      <c r="Z66" s="1828"/>
      <c r="AA66" s="1828"/>
      <c r="AB66" s="1828"/>
      <c r="AC66" s="1828"/>
      <c r="AD66" s="1828"/>
      <c r="AE66" s="1828"/>
      <c r="AF66" s="1828"/>
      <c r="AG66" s="1828"/>
      <c r="AH66" s="1828"/>
      <c r="AI66" s="1828"/>
      <c r="AJ66" s="1828"/>
      <c r="AK66" s="1828"/>
      <c r="AL66" s="1828"/>
      <c r="AM66" s="1828"/>
      <c r="AN66" s="1828"/>
      <c r="AO66" s="1828"/>
      <c r="AP66" s="1828"/>
      <c r="AQ66" s="1828"/>
    </row>
    <row r="67" spans="1:43" s="1675" customFormat="1" ht="24" customHeight="1">
      <c r="A67" s="1830"/>
      <c r="B67" s="1830"/>
      <c r="C67" s="1834"/>
      <c r="D67" s="1830"/>
      <c r="E67" s="1834"/>
      <c r="F67" s="1830"/>
      <c r="G67" s="1834"/>
      <c r="H67" s="1855"/>
      <c r="I67" s="1854"/>
      <c r="J67" s="1769"/>
      <c r="K67" s="1769"/>
      <c r="L67" s="1769"/>
      <c r="M67" s="1769"/>
      <c r="N67" s="1769"/>
      <c r="O67" s="1828"/>
      <c r="P67" s="1828"/>
      <c r="Q67" s="1828"/>
      <c r="R67" s="1828"/>
      <c r="S67" s="1828"/>
      <c r="T67" s="1828"/>
      <c r="U67" s="1828"/>
      <c r="V67" s="1828"/>
      <c r="W67" s="1828"/>
      <c r="X67" s="1828"/>
      <c r="Y67" s="1828"/>
      <c r="Z67" s="1828"/>
      <c r="AA67" s="1828"/>
      <c r="AB67" s="1828"/>
      <c r="AC67" s="1828"/>
      <c r="AD67" s="1828"/>
      <c r="AE67" s="1828"/>
      <c r="AF67" s="1828"/>
      <c r="AG67" s="1828"/>
      <c r="AH67" s="1828"/>
      <c r="AI67" s="1828"/>
      <c r="AJ67" s="1828"/>
      <c r="AK67" s="1828"/>
      <c r="AL67" s="1828"/>
      <c r="AM67" s="1828"/>
      <c r="AN67" s="1828"/>
      <c r="AO67" s="1828"/>
      <c r="AP67" s="1828"/>
      <c r="AQ67" s="1828"/>
    </row>
    <row r="68" spans="1:43" s="1675" customFormat="1" ht="18" customHeight="1">
      <c r="A68" s="1830"/>
      <c r="B68" s="1830"/>
      <c r="C68" s="1856"/>
      <c r="D68" s="1830"/>
      <c r="E68" s="1831"/>
      <c r="F68" s="1677"/>
      <c r="G68" s="1830"/>
      <c r="H68" s="1769"/>
      <c r="I68" s="1769"/>
      <c r="J68" s="1769"/>
      <c r="K68" s="1769"/>
      <c r="L68" s="1769"/>
      <c r="M68" s="1769"/>
      <c r="N68" s="1769"/>
      <c r="O68" s="1828"/>
      <c r="P68" s="1828"/>
      <c r="Q68" s="1828"/>
      <c r="R68" s="1828"/>
      <c r="S68" s="1828"/>
      <c r="T68" s="1828"/>
      <c r="U68" s="1828"/>
      <c r="V68" s="1828"/>
      <c r="W68" s="1828"/>
      <c r="X68" s="1828"/>
      <c r="Y68" s="1828"/>
      <c r="Z68" s="1828"/>
      <c r="AA68" s="1828"/>
      <c r="AB68" s="1828"/>
      <c r="AC68" s="1828"/>
      <c r="AD68" s="1828"/>
      <c r="AE68" s="1828"/>
      <c r="AF68" s="1828"/>
      <c r="AG68" s="1828"/>
      <c r="AH68" s="1828"/>
      <c r="AI68" s="1828"/>
      <c r="AJ68" s="1828"/>
      <c r="AK68" s="1828"/>
      <c r="AL68" s="1828"/>
      <c r="AM68" s="1828"/>
      <c r="AN68" s="1828"/>
      <c r="AO68" s="1828"/>
      <c r="AP68" s="1828"/>
      <c r="AQ68" s="1828"/>
    </row>
    <row r="69" spans="1:43" s="1675" customFormat="1" ht="5.25" customHeight="1">
      <c r="A69" s="1857"/>
      <c r="B69" s="1857"/>
      <c r="C69" s="1849"/>
      <c r="D69" s="1830"/>
      <c r="E69" s="1834"/>
      <c r="F69" s="1830"/>
      <c r="G69" s="1834"/>
      <c r="H69" s="1769"/>
      <c r="I69" s="1769"/>
      <c r="J69" s="1769"/>
      <c r="K69" s="1769"/>
      <c r="L69" s="1769"/>
      <c r="M69" s="1769"/>
      <c r="N69" s="1769"/>
      <c r="O69" s="1828"/>
      <c r="P69" s="1828"/>
      <c r="Q69" s="1828"/>
      <c r="R69" s="1828"/>
      <c r="S69" s="1828"/>
      <c r="T69" s="1828"/>
      <c r="U69" s="1828"/>
      <c r="V69" s="1828"/>
      <c r="W69" s="1828"/>
      <c r="X69" s="1828"/>
      <c r="Y69" s="1828"/>
      <c r="Z69" s="1828"/>
      <c r="AA69" s="1828"/>
      <c r="AB69" s="1828"/>
      <c r="AC69" s="1828"/>
      <c r="AD69" s="1828"/>
      <c r="AE69" s="1828"/>
      <c r="AF69" s="1828"/>
      <c r="AG69" s="1828"/>
      <c r="AH69" s="1828"/>
      <c r="AI69" s="1828"/>
      <c r="AJ69" s="1828"/>
      <c r="AK69" s="1828"/>
      <c r="AL69" s="1828"/>
      <c r="AM69" s="1828"/>
      <c r="AN69" s="1828"/>
      <c r="AO69" s="1828"/>
      <c r="AP69" s="1828"/>
      <c r="AQ69" s="1828"/>
    </row>
    <row r="70" spans="1:43" s="1675" customFormat="1" ht="18" customHeight="1">
      <c r="A70" s="1857"/>
      <c r="B70" s="1857"/>
      <c r="C70" s="1834"/>
      <c r="D70" s="1830"/>
      <c r="E70" s="1834"/>
      <c r="F70" s="1830"/>
      <c r="G70" s="1834"/>
      <c r="H70" s="1769"/>
      <c r="I70" s="1769"/>
      <c r="J70" s="1769"/>
      <c r="K70" s="1769"/>
      <c r="L70" s="1769"/>
      <c r="M70" s="1769"/>
      <c r="N70" s="1769"/>
      <c r="O70" s="1828"/>
      <c r="P70" s="1828"/>
      <c r="Q70" s="1828"/>
      <c r="R70" s="1828"/>
      <c r="S70" s="1828"/>
      <c r="T70" s="1828"/>
      <c r="U70" s="1828"/>
      <c r="V70" s="1828"/>
      <c r="W70" s="1828"/>
      <c r="X70" s="1828"/>
      <c r="Y70" s="1828"/>
      <c r="Z70" s="1828"/>
      <c r="AA70" s="1828"/>
      <c r="AB70" s="1828"/>
      <c r="AC70" s="1828"/>
      <c r="AD70" s="1828"/>
      <c r="AE70" s="1828"/>
      <c r="AF70" s="1828"/>
      <c r="AG70" s="1828"/>
      <c r="AH70" s="1828"/>
      <c r="AI70" s="1828"/>
      <c r="AJ70" s="1828"/>
      <c r="AK70" s="1828"/>
      <c r="AL70" s="1828"/>
      <c r="AM70" s="1828"/>
      <c r="AN70" s="1828"/>
      <c r="AO70" s="1828"/>
      <c r="AP70" s="1828"/>
      <c r="AQ70" s="1828"/>
    </row>
    <row r="71" spans="1:43" s="1675" customFormat="1" ht="10.5" customHeight="1">
      <c r="A71" s="1857"/>
      <c r="B71" s="1857"/>
      <c r="C71" s="1848"/>
      <c r="D71" s="1830"/>
      <c r="E71" s="1830"/>
      <c r="F71" s="1830"/>
      <c r="G71" s="1830"/>
      <c r="H71" s="1858"/>
      <c r="I71" s="1858"/>
      <c r="J71" s="1769"/>
      <c r="K71" s="1769"/>
      <c r="L71" s="1769"/>
      <c r="M71" s="1769"/>
      <c r="N71" s="1769"/>
      <c r="O71" s="1828"/>
      <c r="P71" s="1828"/>
      <c r="Q71" s="1828"/>
      <c r="R71" s="1828"/>
      <c r="S71" s="1828"/>
      <c r="T71" s="1828"/>
      <c r="U71" s="1828"/>
      <c r="V71" s="1828"/>
      <c r="W71" s="1828"/>
      <c r="X71" s="1828"/>
      <c r="Y71" s="1828"/>
      <c r="Z71" s="1828"/>
      <c r="AA71" s="1828"/>
      <c r="AB71" s="1828"/>
      <c r="AC71" s="1828"/>
      <c r="AD71" s="1828"/>
      <c r="AE71" s="1828"/>
      <c r="AF71" s="1828"/>
      <c r="AG71" s="1828"/>
      <c r="AH71" s="1828"/>
      <c r="AI71" s="1828"/>
      <c r="AJ71" s="1828"/>
      <c r="AK71" s="1828"/>
      <c r="AL71" s="1828"/>
      <c r="AM71" s="1828"/>
      <c r="AN71" s="1828"/>
      <c r="AO71" s="1828"/>
      <c r="AP71" s="1828"/>
      <c r="AQ71" s="1828"/>
    </row>
    <row r="72" spans="1:43" s="1675" customFormat="1" ht="19.5" customHeight="1">
      <c r="A72" s="1857"/>
      <c r="B72" s="1857"/>
      <c r="C72" s="1848"/>
      <c r="D72" s="1830"/>
      <c r="E72" s="1830"/>
      <c r="F72" s="1830"/>
      <c r="G72" s="1830"/>
      <c r="H72" s="1769"/>
      <c r="K72" s="1769"/>
      <c r="L72" s="1769"/>
      <c r="M72" s="1769"/>
      <c r="N72" s="1769"/>
      <c r="O72" s="1828"/>
      <c r="P72" s="1828"/>
      <c r="Q72" s="1828"/>
      <c r="R72" s="1828"/>
      <c r="S72" s="1828"/>
      <c r="T72" s="1828"/>
      <c r="U72" s="1828"/>
      <c r="V72" s="1828"/>
      <c r="W72" s="1828"/>
      <c r="X72" s="1828"/>
      <c r="Y72" s="1828"/>
      <c r="Z72" s="1828"/>
      <c r="AA72" s="1828"/>
      <c r="AB72" s="1828"/>
      <c r="AC72" s="1828"/>
      <c r="AD72" s="1828"/>
      <c r="AE72" s="1828"/>
      <c r="AF72" s="1828"/>
      <c r="AG72" s="1828"/>
      <c r="AH72" s="1828"/>
      <c r="AI72" s="1828"/>
      <c r="AJ72" s="1828"/>
      <c r="AK72" s="1828"/>
      <c r="AL72" s="1828"/>
      <c r="AM72" s="1828"/>
      <c r="AN72" s="1828"/>
      <c r="AO72" s="1828"/>
      <c r="AP72" s="1828"/>
      <c r="AQ72" s="1828"/>
    </row>
    <row r="73" spans="1:43" s="1675" customFormat="1" ht="48.75" customHeight="1">
      <c r="A73" s="1829"/>
      <c r="B73" s="1829"/>
      <c r="C73" s="1830"/>
      <c r="D73" s="1830"/>
      <c r="E73" s="1830"/>
      <c r="F73" s="3856"/>
      <c r="G73" s="3877"/>
      <c r="H73" s="1769"/>
      <c r="K73" s="1769"/>
      <c r="L73" s="1769"/>
      <c r="M73" s="1769"/>
      <c r="N73" s="1769"/>
      <c r="O73" s="1828"/>
      <c r="P73" s="1828"/>
      <c r="Q73" s="1828"/>
      <c r="R73" s="1828"/>
      <c r="S73" s="1828"/>
      <c r="T73" s="1828"/>
      <c r="U73" s="1828"/>
      <c r="V73" s="1828"/>
      <c r="W73" s="1828"/>
      <c r="X73" s="1828"/>
      <c r="Y73" s="1828"/>
      <c r="Z73" s="1828"/>
      <c r="AA73" s="1828"/>
      <c r="AB73" s="1828"/>
      <c r="AC73" s="1828"/>
      <c r="AD73" s="1828"/>
      <c r="AE73" s="1828"/>
      <c r="AF73" s="1828"/>
      <c r="AG73" s="1828"/>
      <c r="AH73" s="1828"/>
      <c r="AI73" s="1828"/>
      <c r="AJ73" s="1828"/>
      <c r="AK73" s="1828"/>
      <c r="AL73" s="1828"/>
      <c r="AM73" s="1828"/>
      <c r="AN73" s="1828"/>
      <c r="AO73" s="1828"/>
      <c r="AP73" s="1828"/>
      <c r="AQ73" s="1828"/>
    </row>
    <row r="74" spans="1:43" s="1675" customFormat="1" ht="10.5" customHeight="1">
      <c r="A74" s="1829"/>
      <c r="B74" s="1829"/>
      <c r="C74" s="3878"/>
      <c r="D74" s="3879"/>
      <c r="E74" s="3879"/>
      <c r="F74" s="3879"/>
      <c r="G74" s="3879"/>
      <c r="H74" s="1769"/>
      <c r="I74" s="1769"/>
      <c r="J74" s="1769"/>
      <c r="K74" s="1769"/>
      <c r="L74" s="1769"/>
      <c r="M74" s="1769"/>
      <c r="N74" s="1769"/>
      <c r="O74" s="1828"/>
      <c r="P74" s="1828"/>
      <c r="Q74" s="1828"/>
      <c r="R74" s="1828"/>
      <c r="S74" s="1828"/>
      <c r="T74" s="1828"/>
      <c r="U74" s="1828"/>
      <c r="V74" s="1828"/>
      <c r="W74" s="1828"/>
      <c r="X74" s="1828"/>
      <c r="Y74" s="1828"/>
      <c r="Z74" s="1828"/>
      <c r="AA74" s="1828"/>
      <c r="AB74" s="1828"/>
      <c r="AC74" s="1828"/>
      <c r="AD74" s="1828"/>
      <c r="AE74" s="1828"/>
      <c r="AF74" s="1828"/>
      <c r="AG74" s="1828"/>
      <c r="AH74" s="1828"/>
      <c r="AI74" s="1828"/>
      <c r="AJ74" s="1828"/>
      <c r="AK74" s="1828"/>
      <c r="AL74" s="1828"/>
      <c r="AM74" s="1828"/>
      <c r="AN74" s="1828"/>
      <c r="AO74" s="1828"/>
      <c r="AP74" s="1828"/>
      <c r="AQ74" s="1828"/>
    </row>
    <row r="75" spans="1:43" s="1675" customFormat="1" ht="19.5" customHeight="1">
      <c r="A75" s="1829"/>
      <c r="B75" s="1829"/>
      <c r="C75" s="1830"/>
      <c r="D75" s="1830"/>
      <c r="E75" s="1830"/>
      <c r="F75" s="1830"/>
      <c r="G75" s="1830"/>
      <c r="H75" s="1769"/>
      <c r="I75" s="1769"/>
      <c r="J75" s="1769"/>
      <c r="K75" s="1769"/>
      <c r="L75" s="1769"/>
      <c r="M75" s="1769"/>
      <c r="N75" s="1769"/>
      <c r="O75" s="1828"/>
      <c r="P75" s="1828"/>
      <c r="Q75" s="1828"/>
      <c r="R75" s="1828"/>
      <c r="S75" s="1828"/>
      <c r="T75" s="1828"/>
      <c r="U75" s="1828"/>
      <c r="V75" s="1828"/>
      <c r="W75" s="1828"/>
      <c r="X75" s="1828"/>
      <c r="Y75" s="1828"/>
      <c r="Z75" s="1828"/>
      <c r="AA75" s="1828"/>
      <c r="AB75" s="1828"/>
      <c r="AC75" s="1828"/>
      <c r="AD75" s="1828"/>
      <c r="AE75" s="1828"/>
      <c r="AF75" s="1828"/>
      <c r="AG75" s="1828"/>
      <c r="AH75" s="1828"/>
      <c r="AI75" s="1828"/>
      <c r="AJ75" s="1828"/>
      <c r="AK75" s="1828"/>
      <c r="AL75" s="1828"/>
      <c r="AM75" s="1828"/>
      <c r="AN75" s="1828"/>
      <c r="AO75" s="1828"/>
      <c r="AP75" s="1828"/>
      <c r="AQ75" s="1828"/>
    </row>
    <row r="76" spans="1:43" s="1675" customFormat="1" ht="18" customHeight="1">
      <c r="A76" s="1829"/>
      <c r="B76" s="1829"/>
      <c r="C76" s="1830"/>
      <c r="D76" s="1830"/>
      <c r="E76" s="1830"/>
      <c r="F76" s="1831"/>
      <c r="G76" s="1830"/>
      <c r="H76" s="1769"/>
      <c r="I76" s="1769"/>
      <c r="J76" s="1769"/>
      <c r="K76" s="1769"/>
      <c r="L76" s="1769"/>
      <c r="M76" s="1769"/>
      <c r="N76" s="1769"/>
      <c r="O76" s="1828"/>
      <c r="P76" s="1828"/>
      <c r="Q76" s="1828"/>
      <c r="R76" s="1828"/>
      <c r="S76" s="1828"/>
      <c r="T76" s="1828"/>
      <c r="U76" s="1828"/>
      <c r="V76" s="1828"/>
      <c r="W76" s="1828"/>
      <c r="X76" s="1828"/>
      <c r="Y76" s="1828"/>
      <c r="Z76" s="1828"/>
      <c r="AA76" s="1828"/>
      <c r="AB76" s="1828"/>
      <c r="AC76" s="1828"/>
      <c r="AD76" s="1828"/>
      <c r="AE76" s="1828"/>
      <c r="AF76" s="1828"/>
      <c r="AG76" s="1828"/>
      <c r="AH76" s="1828"/>
      <c r="AI76" s="1828"/>
      <c r="AJ76" s="1828"/>
      <c r="AK76" s="1828"/>
      <c r="AL76" s="1828"/>
      <c r="AM76" s="1828"/>
      <c r="AN76" s="1828"/>
      <c r="AO76" s="1828"/>
      <c r="AP76" s="1828"/>
      <c r="AQ76" s="1828"/>
    </row>
    <row r="77" spans="1:43" s="1675" customFormat="1" ht="18" customHeight="1">
      <c r="A77" s="1829"/>
      <c r="B77" s="1829"/>
      <c r="C77" s="3850"/>
      <c r="D77" s="3857"/>
      <c r="E77" s="3857"/>
      <c r="F77" s="3857"/>
      <c r="G77" s="3857"/>
      <c r="H77" s="1769"/>
      <c r="I77" s="1769"/>
      <c r="J77" s="1769"/>
      <c r="K77" s="1769"/>
      <c r="L77" s="1769"/>
      <c r="M77" s="1769"/>
      <c r="N77" s="1769"/>
      <c r="O77" s="1828"/>
      <c r="P77" s="1828"/>
      <c r="Q77" s="1828"/>
      <c r="R77" s="1828"/>
      <c r="S77" s="1828"/>
      <c r="T77" s="1828"/>
      <c r="U77" s="1828"/>
      <c r="V77" s="1828"/>
      <c r="W77" s="1828"/>
      <c r="X77" s="1828"/>
      <c r="Y77" s="1828"/>
      <c r="Z77" s="1828"/>
      <c r="AA77" s="1828"/>
      <c r="AB77" s="1828"/>
      <c r="AC77" s="1828"/>
      <c r="AD77" s="1828"/>
      <c r="AE77" s="1828"/>
      <c r="AF77" s="1828"/>
      <c r="AG77" s="1828"/>
      <c r="AH77" s="1828"/>
      <c r="AI77" s="1828"/>
      <c r="AJ77" s="1828"/>
      <c r="AK77" s="1828"/>
      <c r="AL77" s="1828"/>
      <c r="AM77" s="1828"/>
      <c r="AN77" s="1828"/>
      <c r="AO77" s="1828"/>
      <c r="AP77" s="1828"/>
      <c r="AQ77" s="1828"/>
    </row>
    <row r="78" spans="1:43" s="1675" customFormat="1" ht="10.5" customHeight="1">
      <c r="A78" s="1829"/>
      <c r="B78" s="1829"/>
      <c r="C78" s="3857"/>
      <c r="D78" s="3857"/>
      <c r="E78" s="3857"/>
      <c r="F78" s="3857"/>
      <c r="G78" s="3857"/>
      <c r="H78" s="1858"/>
      <c r="I78" s="1858"/>
      <c r="J78" s="1769"/>
      <c r="M78" s="1769"/>
      <c r="N78" s="1769"/>
      <c r="O78" s="1828"/>
      <c r="P78" s="1828"/>
      <c r="Q78" s="1828"/>
      <c r="R78" s="1828"/>
      <c r="S78" s="1828"/>
      <c r="T78" s="1828"/>
      <c r="U78" s="1828"/>
      <c r="V78" s="1828"/>
      <c r="W78" s="1828"/>
      <c r="X78" s="1828"/>
      <c r="Y78" s="1828"/>
      <c r="Z78" s="1828"/>
      <c r="AA78" s="1828"/>
      <c r="AB78" s="1828"/>
      <c r="AC78" s="1828"/>
      <c r="AD78" s="1828"/>
      <c r="AE78" s="1828"/>
      <c r="AF78" s="1828"/>
      <c r="AG78" s="1828"/>
      <c r="AH78" s="1828"/>
      <c r="AI78" s="1828"/>
      <c r="AJ78" s="1828"/>
      <c r="AK78" s="1828"/>
      <c r="AL78" s="1828"/>
      <c r="AM78" s="1828"/>
      <c r="AN78" s="1828"/>
      <c r="AO78" s="1828"/>
      <c r="AP78" s="1828"/>
      <c r="AQ78" s="1828"/>
    </row>
    <row r="79" spans="1:43" s="1675" customFormat="1" ht="19.5" customHeight="1">
      <c r="A79" s="1857"/>
      <c r="B79" s="1857"/>
      <c r="C79" s="1848"/>
      <c r="D79" s="1830"/>
      <c r="E79" s="1830"/>
      <c r="F79" s="1830"/>
      <c r="G79" s="1830"/>
      <c r="H79" s="1769"/>
      <c r="I79" s="1769"/>
      <c r="J79" s="1769"/>
      <c r="M79" s="1769"/>
      <c r="N79" s="1769"/>
      <c r="O79" s="1828"/>
      <c r="P79" s="1828"/>
      <c r="Q79" s="1828"/>
      <c r="R79" s="1828"/>
      <c r="S79" s="1828"/>
      <c r="T79" s="1828"/>
      <c r="U79" s="1828"/>
      <c r="V79" s="1828"/>
      <c r="W79" s="1828"/>
      <c r="X79" s="1828"/>
      <c r="Y79" s="1828"/>
      <c r="Z79" s="1828"/>
      <c r="AA79" s="1828"/>
      <c r="AB79" s="1828"/>
      <c r="AC79" s="1828"/>
      <c r="AD79" s="1828"/>
      <c r="AE79" s="1828"/>
      <c r="AF79" s="1828"/>
      <c r="AG79" s="1828"/>
      <c r="AH79" s="1828"/>
      <c r="AI79" s="1828"/>
      <c r="AJ79" s="1828"/>
      <c r="AK79" s="1828"/>
      <c r="AL79" s="1828"/>
      <c r="AM79" s="1828"/>
      <c r="AN79" s="1828"/>
      <c r="AO79" s="1828"/>
      <c r="AP79" s="1828"/>
      <c r="AQ79" s="1828"/>
    </row>
    <row r="80" spans="1:43" s="1675" customFormat="1" ht="23.1" customHeight="1">
      <c r="A80" s="1829"/>
      <c r="B80" s="1829"/>
      <c r="C80" s="1830"/>
      <c r="D80" s="1830"/>
      <c r="E80" s="1831"/>
      <c r="F80" s="1833"/>
      <c r="G80" s="1624"/>
      <c r="H80" s="1858"/>
      <c r="I80" s="1858"/>
      <c r="J80" s="1769"/>
      <c r="K80" s="1769"/>
      <c r="L80" s="1769"/>
      <c r="M80" s="1769"/>
      <c r="N80" s="1769"/>
      <c r="O80" s="1828"/>
      <c r="P80" s="1828"/>
      <c r="Q80" s="1828"/>
      <c r="R80" s="1828"/>
      <c r="S80" s="1828"/>
      <c r="T80" s="1828"/>
      <c r="U80" s="1828"/>
      <c r="V80" s="1828"/>
      <c r="W80" s="1828"/>
      <c r="X80" s="1828"/>
      <c r="Y80" s="1828"/>
      <c r="Z80" s="1828"/>
      <c r="AA80" s="1828"/>
      <c r="AB80" s="1828"/>
      <c r="AC80" s="1828"/>
      <c r="AD80" s="1828"/>
      <c r="AE80" s="1828"/>
      <c r="AF80" s="1828"/>
      <c r="AG80" s="1828"/>
      <c r="AH80" s="1828"/>
      <c r="AI80" s="1828"/>
      <c r="AJ80" s="1828"/>
      <c r="AK80" s="1828"/>
      <c r="AL80" s="1828"/>
      <c r="AM80" s="1828"/>
      <c r="AN80" s="1828"/>
      <c r="AO80" s="1828"/>
      <c r="AP80" s="1828"/>
      <c r="AQ80" s="1828"/>
    </row>
    <row r="81" spans="1:43" s="1675" customFormat="1" ht="19.5" customHeight="1">
      <c r="A81" s="1857"/>
      <c r="B81" s="1857"/>
      <c r="C81" s="1833"/>
      <c r="D81" s="1830"/>
      <c r="E81" s="1830"/>
      <c r="F81" s="1830"/>
      <c r="G81" s="1677"/>
      <c r="H81" s="1769"/>
      <c r="I81" s="1769"/>
      <c r="J81" s="1769"/>
      <c r="K81" s="1828"/>
      <c r="L81" s="1828"/>
      <c r="M81" s="1828"/>
      <c r="N81" s="1828"/>
      <c r="O81" s="1828"/>
      <c r="P81" s="1828"/>
      <c r="Q81" s="1828"/>
      <c r="R81" s="1828"/>
      <c r="S81" s="1828"/>
      <c r="T81" s="1828"/>
      <c r="U81" s="1828"/>
      <c r="V81" s="1828"/>
      <c r="W81" s="1828"/>
      <c r="X81" s="1828"/>
      <c r="Y81" s="1828"/>
      <c r="Z81" s="1828"/>
      <c r="AA81" s="1828"/>
      <c r="AB81" s="1828"/>
      <c r="AC81" s="1828"/>
      <c r="AD81" s="1828"/>
      <c r="AE81" s="1828"/>
      <c r="AF81" s="1828"/>
      <c r="AG81" s="1828"/>
      <c r="AH81" s="1828"/>
      <c r="AI81" s="1828"/>
      <c r="AJ81" s="1828"/>
      <c r="AK81" s="1828"/>
      <c r="AL81" s="1828"/>
      <c r="AM81" s="1828"/>
      <c r="AN81" s="1828"/>
      <c r="AO81" s="1828"/>
      <c r="AP81" s="1828"/>
      <c r="AQ81" s="1828"/>
    </row>
    <row r="82" spans="1:43" s="1675" customFormat="1" ht="23.1" customHeight="1">
      <c r="A82" s="1829"/>
      <c r="B82" s="1829"/>
      <c r="C82" s="1830"/>
      <c r="D82" s="1830"/>
      <c r="E82" s="1831"/>
      <c r="F82" s="1833"/>
      <c r="G82" s="1624"/>
      <c r="H82" s="1858"/>
      <c r="I82" s="1858"/>
      <c r="J82" s="1769"/>
      <c r="K82" s="1769"/>
      <c r="L82" s="1769"/>
      <c r="M82" s="1769"/>
      <c r="N82" s="1769"/>
      <c r="O82" s="1828"/>
      <c r="P82" s="1828"/>
      <c r="Q82" s="1828"/>
      <c r="R82" s="1828"/>
      <c r="S82" s="1828"/>
      <c r="T82" s="1828"/>
      <c r="U82" s="1828"/>
      <c r="V82" s="1828"/>
      <c r="W82" s="1828"/>
      <c r="X82" s="1828"/>
      <c r="Y82" s="1828"/>
      <c r="Z82" s="1828"/>
      <c r="AA82" s="1828"/>
      <c r="AB82" s="1828"/>
      <c r="AC82" s="1828"/>
      <c r="AD82" s="1828"/>
      <c r="AE82" s="1828"/>
      <c r="AF82" s="1828"/>
      <c r="AG82" s="1828"/>
      <c r="AH82" s="1828"/>
      <c r="AI82" s="1828"/>
      <c r="AJ82" s="1828"/>
      <c r="AK82" s="1828"/>
      <c r="AL82" s="1828"/>
      <c r="AM82" s="1828"/>
      <c r="AN82" s="1828"/>
      <c r="AO82" s="1828"/>
      <c r="AP82" s="1828"/>
      <c r="AQ82" s="1828"/>
    </row>
    <row r="83" spans="1:43" s="1675" customFormat="1" ht="18" customHeight="1">
      <c r="A83" s="1857"/>
      <c r="B83" s="1857"/>
      <c r="C83" s="1833"/>
      <c r="D83" s="1830"/>
      <c r="E83" s="1830"/>
      <c r="F83" s="1830"/>
      <c r="G83" s="1677"/>
      <c r="H83" s="1859"/>
      <c r="I83" s="1859"/>
      <c r="J83" s="1836"/>
      <c r="K83" s="1828"/>
      <c r="L83" s="1828"/>
      <c r="M83" s="1828"/>
      <c r="N83" s="1828"/>
      <c r="O83" s="1828"/>
      <c r="P83" s="1828"/>
      <c r="Q83" s="1828"/>
      <c r="R83" s="1828"/>
      <c r="S83" s="1828"/>
      <c r="T83" s="1828"/>
      <c r="U83" s="1828"/>
      <c r="V83" s="1828"/>
      <c r="W83" s="1828"/>
      <c r="X83" s="1828"/>
      <c r="Y83" s="1828"/>
      <c r="Z83" s="1828"/>
      <c r="AA83" s="1828"/>
      <c r="AB83" s="1828"/>
      <c r="AC83" s="1828"/>
      <c r="AD83" s="1828"/>
      <c r="AE83" s="1828"/>
      <c r="AF83" s="1828"/>
      <c r="AG83" s="1828"/>
      <c r="AH83" s="1828"/>
      <c r="AI83" s="1828"/>
      <c r="AJ83" s="1828"/>
      <c r="AK83" s="1828"/>
      <c r="AL83" s="1828"/>
      <c r="AM83" s="1828"/>
      <c r="AN83" s="1828"/>
      <c r="AO83" s="1828"/>
      <c r="AP83" s="1828"/>
      <c r="AQ83" s="1828"/>
    </row>
    <row r="84" spans="1:43" s="1680" customFormat="1" ht="10.5" customHeight="1">
      <c r="A84" s="1829"/>
      <c r="B84" s="1829"/>
      <c r="C84" s="3846"/>
      <c r="D84" s="3846"/>
      <c r="E84" s="3846"/>
      <c r="F84" s="3846"/>
      <c r="G84" s="3846"/>
      <c r="H84" s="1848"/>
      <c r="I84" s="1848"/>
      <c r="J84" s="1830"/>
      <c r="K84" s="1841"/>
      <c r="L84" s="1841"/>
      <c r="M84" s="1841"/>
      <c r="N84" s="1841"/>
      <c r="O84" s="1841"/>
      <c r="P84" s="1841"/>
      <c r="Q84" s="1841"/>
      <c r="R84" s="1841"/>
      <c r="S84" s="1841"/>
      <c r="T84" s="1841"/>
      <c r="U84" s="1841"/>
      <c r="V84" s="1841"/>
      <c r="W84" s="1841"/>
      <c r="X84" s="1841"/>
      <c r="Y84" s="1841"/>
      <c r="Z84" s="1841"/>
      <c r="AA84" s="1841"/>
      <c r="AB84" s="1841"/>
      <c r="AC84" s="1841"/>
      <c r="AD84" s="1841"/>
      <c r="AE84" s="1841"/>
      <c r="AF84" s="1841"/>
      <c r="AG84" s="1841"/>
      <c r="AH84" s="1841"/>
      <c r="AI84" s="1841"/>
      <c r="AJ84" s="1841"/>
      <c r="AK84" s="1841"/>
      <c r="AL84" s="1841"/>
      <c r="AM84" s="1841"/>
      <c r="AN84" s="1841"/>
      <c r="AO84" s="1841"/>
      <c r="AP84" s="1841"/>
      <c r="AQ84" s="1841"/>
    </row>
    <row r="85" spans="1:43" s="1675" customFormat="1" ht="19.5" customHeight="1">
      <c r="A85" s="1829"/>
      <c r="B85" s="1829"/>
      <c r="C85" s="1860"/>
      <c r="D85" s="1860"/>
      <c r="E85" s="1860"/>
      <c r="F85" s="1860"/>
      <c r="G85" s="1860"/>
      <c r="H85" s="1836"/>
      <c r="I85" s="1836"/>
      <c r="J85" s="1836"/>
      <c r="K85" s="1828"/>
      <c r="L85" s="1828"/>
      <c r="M85" s="1828"/>
      <c r="N85" s="1828"/>
      <c r="O85" s="1828"/>
      <c r="P85" s="1828"/>
      <c r="Q85" s="1828"/>
      <c r="R85" s="1828"/>
      <c r="S85" s="1828"/>
      <c r="T85" s="1828"/>
      <c r="U85" s="1828"/>
      <c r="V85" s="1828"/>
      <c r="W85" s="1828"/>
      <c r="X85" s="1828"/>
      <c r="Y85" s="1828"/>
      <c r="Z85" s="1828"/>
      <c r="AA85" s="1828"/>
      <c r="AB85" s="1828"/>
      <c r="AC85" s="1828"/>
      <c r="AD85" s="1828"/>
      <c r="AE85" s="1828"/>
      <c r="AF85" s="1828"/>
      <c r="AG85" s="1828"/>
      <c r="AH85" s="1828"/>
      <c r="AI85" s="1828"/>
      <c r="AJ85" s="1828"/>
      <c r="AK85" s="1828"/>
      <c r="AL85" s="1828"/>
      <c r="AM85" s="1828"/>
      <c r="AN85" s="1828"/>
      <c r="AO85" s="1828"/>
      <c r="AP85" s="1828"/>
      <c r="AQ85" s="1828"/>
    </row>
    <row r="86" spans="1:43" s="1675" customFormat="1" ht="18" customHeight="1">
      <c r="A86" s="1829"/>
      <c r="B86" s="1829"/>
      <c r="C86" s="1831"/>
      <c r="D86" s="1833"/>
      <c r="E86" s="1850"/>
      <c r="F86" s="1833"/>
      <c r="G86" s="1831"/>
      <c r="H86" s="1836"/>
      <c r="I86" s="1836"/>
      <c r="J86" s="1836"/>
      <c r="K86" s="1828"/>
      <c r="L86" s="1828"/>
      <c r="M86" s="1828"/>
      <c r="N86" s="1828"/>
      <c r="O86" s="1828"/>
      <c r="P86" s="1828"/>
      <c r="Q86" s="1828"/>
      <c r="R86" s="1828"/>
      <c r="S86" s="1828"/>
      <c r="T86" s="1828"/>
      <c r="U86" s="1828"/>
      <c r="V86" s="1828"/>
      <c r="W86" s="1828"/>
      <c r="X86" s="1828"/>
      <c r="Y86" s="1828"/>
      <c r="Z86" s="1828"/>
      <c r="AA86" s="1828"/>
      <c r="AB86" s="1828"/>
      <c r="AC86" s="1828"/>
      <c r="AD86" s="1828"/>
      <c r="AE86" s="1828"/>
      <c r="AF86" s="1828"/>
      <c r="AG86" s="1828"/>
      <c r="AH86" s="1828"/>
      <c r="AI86" s="1828"/>
      <c r="AJ86" s="1828"/>
      <c r="AK86" s="1828"/>
      <c r="AL86" s="1828"/>
      <c r="AM86" s="1828"/>
      <c r="AN86" s="1828"/>
      <c r="AO86" s="1828"/>
      <c r="AP86" s="1828"/>
      <c r="AQ86" s="1828"/>
    </row>
    <row r="87" spans="1:43" s="1680" customFormat="1" ht="10.5" customHeight="1">
      <c r="A87" s="1829"/>
      <c r="B87" s="1829"/>
      <c r="C87" s="1830"/>
      <c r="D87" s="1830"/>
      <c r="E87" s="1830"/>
      <c r="F87" s="1830"/>
      <c r="G87" s="1830"/>
      <c r="H87" s="1830"/>
      <c r="I87" s="1830"/>
      <c r="J87" s="1830"/>
      <c r="K87" s="1841"/>
      <c r="L87" s="1841"/>
      <c r="M87" s="1841"/>
      <c r="N87" s="1841"/>
      <c r="O87" s="1841"/>
      <c r="P87" s="1841"/>
      <c r="Q87" s="1841"/>
      <c r="R87" s="1841"/>
      <c r="S87" s="1841"/>
      <c r="T87" s="1841"/>
      <c r="U87" s="1841"/>
      <c r="V87" s="1841"/>
      <c r="W87" s="1841"/>
      <c r="X87" s="1841"/>
      <c r="Y87" s="1841"/>
      <c r="Z87" s="1841"/>
      <c r="AA87" s="1841"/>
      <c r="AB87" s="1841"/>
      <c r="AC87" s="1841"/>
      <c r="AD87" s="1841"/>
      <c r="AE87" s="1841"/>
      <c r="AF87" s="1841"/>
      <c r="AG87" s="1841"/>
      <c r="AH87" s="1841"/>
      <c r="AI87" s="1841"/>
      <c r="AJ87" s="1841"/>
      <c r="AK87" s="1841"/>
      <c r="AL87" s="1841"/>
      <c r="AM87" s="1841"/>
      <c r="AN87" s="1841"/>
      <c r="AO87" s="1841"/>
      <c r="AP87" s="1841"/>
      <c r="AQ87" s="1841"/>
    </row>
    <row r="88" spans="1:43" s="1675" customFormat="1" ht="19.5" customHeight="1">
      <c r="A88" s="1829"/>
      <c r="B88" s="1829"/>
      <c r="C88" s="1830"/>
      <c r="D88" s="1830"/>
      <c r="E88" s="1830"/>
      <c r="F88" s="1830"/>
      <c r="G88" s="1830"/>
      <c r="H88" s="1836"/>
      <c r="I88" s="1836"/>
      <c r="J88" s="1836"/>
      <c r="K88" s="1828"/>
      <c r="L88" s="1828"/>
      <c r="M88" s="1828"/>
      <c r="N88" s="1828"/>
      <c r="O88" s="1828"/>
      <c r="P88" s="1828"/>
      <c r="Q88" s="1828"/>
      <c r="R88" s="1828"/>
      <c r="S88" s="1828"/>
      <c r="T88" s="1828"/>
      <c r="U88" s="1828"/>
      <c r="V88" s="1828"/>
      <c r="W88" s="1828"/>
      <c r="X88" s="1828"/>
      <c r="Y88" s="1828"/>
      <c r="Z88" s="1828"/>
      <c r="AA88" s="1828"/>
      <c r="AB88" s="1828"/>
      <c r="AC88" s="1828"/>
      <c r="AD88" s="1828"/>
      <c r="AE88" s="1828"/>
      <c r="AF88" s="1828"/>
      <c r="AG88" s="1828"/>
      <c r="AH88" s="1828"/>
      <c r="AI88" s="1828"/>
      <c r="AJ88" s="1828"/>
      <c r="AK88" s="1828"/>
      <c r="AL88" s="1828"/>
      <c r="AM88" s="1828"/>
      <c r="AN88" s="1828"/>
      <c r="AO88" s="1828"/>
      <c r="AP88" s="1828"/>
      <c r="AQ88" s="1828"/>
    </row>
    <row r="89" spans="1:43" s="1675" customFormat="1" ht="18" customHeight="1">
      <c r="A89" s="1829"/>
      <c r="B89" s="1829"/>
      <c r="C89" s="1831"/>
      <c r="D89" s="1833"/>
      <c r="E89" s="1861"/>
      <c r="F89" s="1833"/>
      <c r="G89" s="1677"/>
      <c r="H89" s="1859"/>
      <c r="I89" s="1859"/>
      <c r="J89" s="1836"/>
      <c r="K89" s="1828"/>
      <c r="L89" s="1828"/>
      <c r="M89" s="1828"/>
      <c r="N89" s="1828"/>
      <c r="O89" s="1828"/>
      <c r="P89" s="1828"/>
      <c r="Q89" s="1828"/>
      <c r="R89" s="1828"/>
      <c r="S89" s="1828"/>
      <c r="T89" s="1828"/>
      <c r="U89" s="1828"/>
      <c r="V89" s="1828"/>
      <c r="W89" s="1828"/>
      <c r="X89" s="1828"/>
      <c r="Y89" s="1828"/>
      <c r="Z89" s="1828"/>
      <c r="AA89" s="1828"/>
      <c r="AB89" s="1828"/>
      <c r="AC89" s="1828"/>
      <c r="AD89" s="1828"/>
      <c r="AE89" s="1828"/>
      <c r="AF89" s="1828"/>
      <c r="AG89" s="1828"/>
      <c r="AH89" s="1828"/>
      <c r="AI89" s="1828"/>
      <c r="AJ89" s="1828"/>
      <c r="AK89" s="1828"/>
      <c r="AL89" s="1828"/>
      <c r="AM89" s="1828"/>
      <c r="AN89" s="1828"/>
      <c r="AO89" s="1828"/>
      <c r="AP89" s="1828"/>
      <c r="AQ89" s="1828"/>
    </row>
    <row r="90" spans="1:43" s="1680" customFormat="1" ht="10.5" customHeight="1">
      <c r="A90" s="1829"/>
      <c r="B90" s="1829"/>
      <c r="C90" s="3846"/>
      <c r="D90" s="3846"/>
      <c r="E90" s="3846"/>
      <c r="F90" s="3846"/>
      <c r="G90" s="3846"/>
      <c r="H90" s="1848"/>
      <c r="I90" s="1848"/>
      <c r="J90" s="1830"/>
      <c r="K90" s="1841"/>
      <c r="L90" s="1841"/>
      <c r="M90" s="1841"/>
      <c r="N90" s="1841"/>
      <c r="O90" s="1841"/>
      <c r="P90" s="1841"/>
      <c r="Q90" s="1841"/>
      <c r="R90" s="1841"/>
      <c r="S90" s="1841"/>
      <c r="T90" s="1841"/>
      <c r="U90" s="1841"/>
      <c r="V90" s="1841"/>
      <c r="W90" s="1841"/>
      <c r="X90" s="1841"/>
      <c r="Y90" s="1841"/>
      <c r="Z90" s="1841"/>
      <c r="AA90" s="1841"/>
      <c r="AB90" s="1841"/>
      <c r="AC90" s="1841"/>
      <c r="AD90" s="1841"/>
      <c r="AE90" s="1841"/>
      <c r="AF90" s="1841"/>
      <c r="AG90" s="1841"/>
      <c r="AH90" s="1841"/>
      <c r="AI90" s="1841"/>
      <c r="AJ90" s="1841"/>
      <c r="AK90" s="1841"/>
      <c r="AL90" s="1841"/>
      <c r="AM90" s="1841"/>
      <c r="AN90" s="1841"/>
      <c r="AO90" s="1841"/>
      <c r="AP90" s="1841"/>
      <c r="AQ90" s="1841"/>
    </row>
    <row r="91" spans="1:43" s="1675" customFormat="1" ht="19.5" customHeight="1">
      <c r="A91" s="1829"/>
      <c r="B91" s="1829"/>
      <c r="C91" s="1860"/>
      <c r="D91" s="1860"/>
      <c r="E91" s="1860"/>
      <c r="F91" s="1860"/>
      <c r="G91" s="1860"/>
      <c r="H91" s="1836"/>
      <c r="I91" s="1836"/>
      <c r="J91" s="1836"/>
      <c r="K91" s="1828"/>
      <c r="L91" s="1828"/>
      <c r="M91" s="1828"/>
      <c r="N91" s="1828"/>
      <c r="O91" s="1828"/>
      <c r="P91" s="1828"/>
      <c r="Q91" s="1828"/>
      <c r="R91" s="1828"/>
      <c r="S91" s="1828"/>
      <c r="T91" s="1828"/>
      <c r="U91" s="1828"/>
      <c r="V91" s="1828"/>
      <c r="W91" s="1828"/>
      <c r="X91" s="1828"/>
      <c r="Y91" s="1828"/>
      <c r="Z91" s="1828"/>
      <c r="AA91" s="1828"/>
      <c r="AB91" s="1828"/>
      <c r="AC91" s="1828"/>
      <c r="AD91" s="1828"/>
      <c r="AE91" s="1828"/>
      <c r="AF91" s="1828"/>
      <c r="AG91" s="1828"/>
      <c r="AH91" s="1828"/>
      <c r="AI91" s="1828"/>
      <c r="AJ91" s="1828"/>
      <c r="AK91" s="1828"/>
      <c r="AL91" s="1828"/>
      <c r="AM91" s="1828"/>
      <c r="AN91" s="1828"/>
      <c r="AO91" s="1828"/>
      <c r="AP91" s="1828"/>
      <c r="AQ91" s="1828"/>
    </row>
    <row r="92" spans="1:43" s="1675" customFormat="1" ht="18" customHeight="1">
      <c r="A92" s="1829"/>
      <c r="B92" s="1829"/>
      <c r="C92" s="1831"/>
      <c r="D92" s="1833"/>
      <c r="E92" s="1861"/>
      <c r="F92" s="1833"/>
      <c r="G92" s="1831"/>
      <c r="H92" s="1836"/>
      <c r="I92" s="1836"/>
      <c r="J92" s="1836"/>
      <c r="K92" s="1828"/>
      <c r="L92" s="1828"/>
      <c r="M92" s="1828"/>
      <c r="N92" s="1828"/>
      <c r="O92" s="1828"/>
      <c r="P92" s="1828"/>
      <c r="Q92" s="1828"/>
      <c r="R92" s="1828"/>
      <c r="S92" s="1828"/>
      <c r="T92" s="1828"/>
      <c r="U92" s="1828"/>
      <c r="V92" s="1828"/>
      <c r="W92" s="1828"/>
      <c r="X92" s="1828"/>
      <c r="Y92" s="1828"/>
      <c r="Z92" s="1828"/>
      <c r="AA92" s="1828"/>
      <c r="AB92" s="1828"/>
      <c r="AC92" s="1828"/>
      <c r="AD92" s="1828"/>
      <c r="AE92" s="1828"/>
      <c r="AF92" s="1828"/>
      <c r="AG92" s="1828"/>
      <c r="AH92" s="1828"/>
      <c r="AI92" s="1828"/>
      <c r="AJ92" s="1828"/>
      <c r="AK92" s="1828"/>
      <c r="AL92" s="1828"/>
      <c r="AM92" s="1828"/>
      <c r="AN92" s="1828"/>
      <c r="AO92" s="1828"/>
      <c r="AP92" s="1828"/>
      <c r="AQ92" s="1828"/>
    </row>
    <row r="93" spans="1:43" s="1680" customFormat="1" ht="10.5" customHeight="1">
      <c r="A93" s="1829"/>
      <c r="B93" s="1829"/>
      <c r="C93" s="1830"/>
      <c r="D93" s="1830"/>
      <c r="E93" s="1830"/>
      <c r="F93" s="1830"/>
      <c r="G93" s="1830"/>
      <c r="H93" s="1830"/>
      <c r="I93" s="1830"/>
      <c r="J93" s="1830"/>
      <c r="K93" s="1841"/>
      <c r="L93" s="1841"/>
      <c r="M93" s="1841"/>
      <c r="N93" s="1841"/>
      <c r="O93" s="1841"/>
      <c r="P93" s="1841"/>
      <c r="Q93" s="1841"/>
      <c r="R93" s="1841"/>
      <c r="S93" s="1841"/>
      <c r="T93" s="1841"/>
      <c r="U93" s="1841"/>
      <c r="V93" s="1841"/>
      <c r="W93" s="1841"/>
      <c r="X93" s="1841"/>
      <c r="Y93" s="1841"/>
      <c r="Z93" s="1841"/>
      <c r="AA93" s="1841"/>
      <c r="AB93" s="1841"/>
      <c r="AC93" s="1841"/>
      <c r="AD93" s="1841"/>
      <c r="AE93" s="1841"/>
      <c r="AF93" s="1841"/>
      <c r="AG93" s="1841"/>
      <c r="AH93" s="1841"/>
      <c r="AI93" s="1841"/>
      <c r="AJ93" s="1841"/>
      <c r="AK93" s="1841"/>
      <c r="AL93" s="1841"/>
      <c r="AM93" s="1841"/>
      <c r="AN93" s="1841"/>
      <c r="AO93" s="1841"/>
      <c r="AP93" s="1841"/>
      <c r="AQ93" s="1841"/>
    </row>
    <row r="94" spans="1:43" s="1675" customFormat="1" ht="19.5" customHeight="1">
      <c r="A94" s="1829"/>
      <c r="B94" s="1829"/>
      <c r="C94" s="1830"/>
      <c r="D94" s="1830"/>
      <c r="E94" s="1830"/>
      <c r="F94" s="1830"/>
      <c r="G94" s="1830"/>
      <c r="H94" s="1836"/>
      <c r="I94" s="1836"/>
      <c r="J94" s="1836"/>
      <c r="K94" s="1828"/>
      <c r="L94" s="1828"/>
      <c r="M94" s="1828"/>
      <c r="N94" s="1828"/>
      <c r="O94" s="1828"/>
      <c r="P94" s="1828"/>
      <c r="Q94" s="1828"/>
      <c r="R94" s="1828"/>
      <c r="S94" s="1828"/>
      <c r="T94" s="1828"/>
      <c r="U94" s="1828"/>
      <c r="V94" s="1828"/>
      <c r="W94" s="1828"/>
      <c r="X94" s="1828"/>
      <c r="Y94" s="1828"/>
      <c r="Z94" s="1828"/>
      <c r="AA94" s="1828"/>
      <c r="AB94" s="1828"/>
      <c r="AC94" s="1828"/>
      <c r="AD94" s="1828"/>
      <c r="AE94" s="1828"/>
      <c r="AF94" s="1828"/>
      <c r="AG94" s="1828"/>
      <c r="AH94" s="1828"/>
      <c r="AI94" s="1828"/>
      <c r="AJ94" s="1828"/>
      <c r="AK94" s="1828"/>
      <c r="AL94" s="1828"/>
      <c r="AM94" s="1828"/>
      <c r="AN94" s="1828"/>
      <c r="AO94" s="1828"/>
      <c r="AP94" s="1828"/>
      <c r="AQ94" s="1828"/>
    </row>
    <row r="95" spans="1:43" s="1675" customFormat="1" ht="10.5" customHeight="1">
      <c r="A95" s="1829"/>
      <c r="B95" s="1829"/>
      <c r="C95" s="1831"/>
      <c r="D95" s="1833"/>
      <c r="E95" s="1861"/>
      <c r="F95" s="1833"/>
      <c r="G95" s="1677"/>
      <c r="H95" s="1836"/>
      <c r="I95" s="1836"/>
      <c r="J95" s="1836"/>
      <c r="K95" s="1828"/>
      <c r="L95" s="1828"/>
      <c r="M95" s="1828"/>
      <c r="N95" s="1828"/>
      <c r="O95" s="1828"/>
      <c r="P95" s="1828"/>
      <c r="Q95" s="1828"/>
      <c r="R95" s="1828"/>
      <c r="S95" s="1828"/>
      <c r="T95" s="1828"/>
      <c r="U95" s="1828"/>
      <c r="V95" s="1828"/>
      <c r="W95" s="1828"/>
      <c r="X95" s="1828"/>
      <c r="Y95" s="1828"/>
      <c r="Z95" s="1828"/>
      <c r="AA95" s="1828"/>
      <c r="AB95" s="1828"/>
      <c r="AC95" s="1828"/>
      <c r="AD95" s="1828"/>
      <c r="AE95" s="1828"/>
      <c r="AF95" s="1828"/>
      <c r="AG95" s="1828"/>
      <c r="AH95" s="1828"/>
      <c r="AI95" s="1828"/>
      <c r="AJ95" s="1828"/>
      <c r="AK95" s="1828"/>
      <c r="AL95" s="1828"/>
      <c r="AM95" s="1828"/>
      <c r="AN95" s="1828"/>
      <c r="AO95" s="1828"/>
      <c r="AP95" s="1828"/>
      <c r="AQ95" s="1828"/>
    </row>
    <row r="96" spans="1:43" s="1675" customFormat="1" ht="19.5" customHeight="1">
      <c r="A96" s="1829"/>
      <c r="B96" s="1829"/>
      <c r="C96" s="1834"/>
      <c r="D96" s="1830"/>
      <c r="E96" s="1862"/>
      <c r="F96" s="1830"/>
      <c r="G96" s="1830"/>
      <c r="H96" s="1863"/>
      <c r="I96" s="1863"/>
      <c r="J96" s="1863"/>
      <c r="K96" s="1863"/>
      <c r="L96" s="1828"/>
      <c r="M96" s="1828"/>
      <c r="N96" s="1828"/>
      <c r="O96" s="1828"/>
      <c r="P96" s="1828"/>
      <c r="Q96" s="1828"/>
      <c r="R96" s="1828"/>
      <c r="S96" s="1828"/>
      <c r="T96" s="1828"/>
      <c r="U96" s="1828"/>
      <c r="V96" s="1828"/>
      <c r="W96" s="1828"/>
      <c r="X96" s="1828"/>
      <c r="Y96" s="1828"/>
      <c r="Z96" s="1828"/>
      <c r="AA96" s="1828"/>
      <c r="AB96" s="1828"/>
      <c r="AC96" s="1828"/>
      <c r="AD96" s="1828"/>
      <c r="AE96" s="1828"/>
      <c r="AF96" s="1828"/>
      <c r="AG96" s="1828"/>
      <c r="AH96" s="1828"/>
      <c r="AI96" s="1828"/>
      <c r="AJ96" s="1828"/>
      <c r="AK96" s="1828"/>
      <c r="AL96" s="1828"/>
      <c r="AM96" s="1828"/>
      <c r="AN96" s="1828"/>
      <c r="AO96" s="1828"/>
      <c r="AP96" s="1828"/>
      <c r="AQ96" s="1828"/>
    </row>
    <row r="97" spans="1:43" s="1680" customFormat="1" ht="10.5" customHeight="1">
      <c r="A97" s="1852"/>
      <c r="B97" s="1852"/>
      <c r="C97" s="1833"/>
      <c r="D97" s="1830"/>
      <c r="E97" s="1831"/>
      <c r="F97" s="3876"/>
      <c r="G97" s="3876"/>
      <c r="H97" s="1830"/>
      <c r="I97" s="1830"/>
      <c r="J97" s="1830"/>
      <c r="K97" s="1841"/>
      <c r="L97" s="1841"/>
      <c r="M97" s="1841"/>
      <c r="N97" s="1841"/>
      <c r="O97" s="1841"/>
      <c r="P97" s="1841"/>
      <c r="Q97" s="1841"/>
      <c r="R97" s="1841"/>
      <c r="S97" s="1841"/>
      <c r="T97" s="1841"/>
      <c r="U97" s="1841"/>
      <c r="V97" s="1841"/>
      <c r="W97" s="1841"/>
      <c r="X97" s="1841"/>
      <c r="Y97" s="1841"/>
      <c r="Z97" s="1841"/>
      <c r="AA97" s="1841"/>
      <c r="AB97" s="1841"/>
      <c r="AC97" s="1841"/>
      <c r="AD97" s="1841"/>
      <c r="AE97" s="1841"/>
      <c r="AF97" s="1841"/>
      <c r="AG97" s="1841"/>
      <c r="AH97" s="1841"/>
      <c r="AI97" s="1841"/>
      <c r="AJ97" s="1841"/>
      <c r="AK97" s="1841"/>
      <c r="AL97" s="1841"/>
      <c r="AM97" s="1841"/>
      <c r="AN97" s="1841"/>
      <c r="AO97" s="1841"/>
      <c r="AP97" s="1841"/>
      <c r="AQ97" s="1841"/>
    </row>
    <row r="98" spans="1:43" s="1675" customFormat="1" ht="19.5" customHeight="1">
      <c r="A98" s="1829"/>
      <c r="B98" s="1829"/>
      <c r="C98" s="1830"/>
      <c r="D98" s="1830"/>
      <c r="E98" s="1830"/>
      <c r="F98" s="3876"/>
      <c r="G98" s="3876"/>
      <c r="H98" s="1769"/>
      <c r="I98" s="1769"/>
      <c r="J98" s="1769"/>
      <c r="K98" s="1828"/>
      <c r="L98" s="1828"/>
      <c r="M98" s="1828"/>
      <c r="N98" s="1828"/>
      <c r="O98" s="1828"/>
      <c r="P98" s="1828"/>
      <c r="Q98" s="1828"/>
      <c r="R98" s="1828"/>
      <c r="S98" s="1828"/>
      <c r="T98" s="1828"/>
      <c r="U98" s="1828"/>
      <c r="V98" s="1828"/>
      <c r="W98" s="1828"/>
      <c r="X98" s="1828"/>
      <c r="Y98" s="1828"/>
      <c r="Z98" s="1828"/>
      <c r="AA98" s="1828"/>
      <c r="AB98" s="1828"/>
      <c r="AC98" s="1828"/>
      <c r="AD98" s="1828"/>
      <c r="AE98" s="1828"/>
      <c r="AF98" s="1828"/>
      <c r="AG98" s="1828"/>
      <c r="AH98" s="1828"/>
      <c r="AI98" s="1828"/>
      <c r="AJ98" s="1828"/>
      <c r="AK98" s="1828"/>
      <c r="AL98" s="1828"/>
      <c r="AM98" s="1828"/>
      <c r="AN98" s="1828"/>
      <c r="AO98" s="1828"/>
      <c r="AP98" s="1828"/>
      <c r="AQ98" s="1828"/>
    </row>
    <row r="99" spans="1:43" s="1675" customFormat="1" ht="165" customHeight="1">
      <c r="A99" s="1852"/>
      <c r="B99" s="1852"/>
      <c r="C99" s="1833"/>
      <c r="D99" s="1830"/>
      <c r="E99" s="1831"/>
      <c r="F99" s="3839"/>
      <c r="G99" s="3839"/>
      <c r="H99" s="1769"/>
      <c r="I99" s="1769"/>
      <c r="J99" s="1769"/>
      <c r="K99" s="1828"/>
      <c r="L99" s="1828"/>
      <c r="M99" s="1828"/>
      <c r="N99" s="1828"/>
      <c r="O99" s="1828"/>
      <c r="P99" s="1828"/>
      <c r="Q99" s="1828"/>
      <c r="R99" s="1828"/>
      <c r="S99" s="1828"/>
      <c r="T99" s="1828"/>
      <c r="U99" s="1828"/>
      <c r="V99" s="1828"/>
      <c r="W99" s="1828"/>
      <c r="X99" s="1828"/>
      <c r="Y99" s="1828"/>
      <c r="Z99" s="1828"/>
      <c r="AA99" s="1828"/>
      <c r="AB99" s="1828"/>
      <c r="AC99" s="1828"/>
      <c r="AD99" s="1828"/>
      <c r="AE99" s="1828"/>
      <c r="AF99" s="1828"/>
      <c r="AG99" s="1828"/>
      <c r="AH99" s="1828"/>
      <c r="AI99" s="1828"/>
      <c r="AJ99" s="1828"/>
      <c r="AK99" s="1828"/>
      <c r="AL99" s="1828"/>
      <c r="AM99" s="1828"/>
      <c r="AN99" s="1828"/>
      <c r="AO99" s="1828"/>
      <c r="AP99" s="1828"/>
      <c r="AQ99" s="1828"/>
    </row>
    <row r="100" spans="1:43" s="1675" customFormat="1" ht="18" customHeight="1">
      <c r="A100" s="3840"/>
      <c r="B100" s="3840"/>
      <c r="C100" s="3841"/>
      <c r="D100" s="3841"/>
      <c r="E100" s="1864"/>
      <c r="F100" s="1864"/>
      <c r="G100" s="1864"/>
      <c r="H100" s="1769"/>
      <c r="I100" s="1769"/>
      <c r="J100" s="1769"/>
      <c r="K100" s="1828"/>
      <c r="L100" s="1828"/>
      <c r="M100" s="1828"/>
      <c r="N100" s="1828"/>
      <c r="O100" s="1828"/>
      <c r="P100" s="1828"/>
      <c r="Q100" s="1828"/>
      <c r="R100" s="1828"/>
      <c r="S100" s="1828"/>
      <c r="T100" s="1828"/>
      <c r="U100" s="1828"/>
      <c r="V100" s="1828"/>
      <c r="W100" s="1828"/>
      <c r="X100" s="1828"/>
      <c r="Y100" s="1828"/>
      <c r="Z100" s="1828"/>
      <c r="AA100" s="1828"/>
      <c r="AB100" s="1828"/>
      <c r="AC100" s="1828"/>
      <c r="AD100" s="1828"/>
      <c r="AE100" s="1828"/>
      <c r="AF100" s="1828"/>
      <c r="AG100" s="1828"/>
      <c r="AH100" s="1828"/>
      <c r="AI100" s="1828"/>
      <c r="AJ100" s="1828"/>
      <c r="AK100" s="1828"/>
      <c r="AL100" s="1828"/>
      <c r="AM100" s="1828"/>
      <c r="AN100" s="1828"/>
      <c r="AO100" s="1828"/>
      <c r="AP100" s="1828"/>
      <c r="AQ100" s="1828"/>
    </row>
    <row r="101" spans="1:43" s="1675" customFormat="1" ht="10.5" customHeight="1">
      <c r="A101" s="1857"/>
      <c r="B101" s="1857"/>
      <c r="C101" s="1848"/>
      <c r="D101" s="1830"/>
      <c r="E101" s="1830"/>
      <c r="F101" s="1830"/>
      <c r="G101" s="1830"/>
      <c r="H101" s="1840"/>
      <c r="I101" s="1840"/>
      <c r="J101" s="1840"/>
      <c r="K101" s="1840"/>
      <c r="L101" s="1840"/>
      <c r="M101" s="1828"/>
      <c r="N101" s="1828"/>
      <c r="O101" s="1828"/>
      <c r="P101" s="1828"/>
      <c r="Q101" s="1828"/>
      <c r="R101" s="1828"/>
      <c r="S101" s="1828"/>
      <c r="T101" s="1828"/>
      <c r="U101" s="1828"/>
      <c r="V101" s="1828"/>
      <c r="W101" s="1828"/>
      <c r="X101" s="1828"/>
      <c r="Y101" s="1828"/>
      <c r="Z101" s="1828"/>
      <c r="AA101" s="1828"/>
      <c r="AB101" s="1828"/>
      <c r="AC101" s="1828"/>
      <c r="AD101" s="1828"/>
      <c r="AE101" s="1828"/>
      <c r="AF101" s="1828"/>
      <c r="AG101" s="1828"/>
      <c r="AH101" s="1828"/>
      <c r="AI101" s="1828"/>
      <c r="AJ101" s="1828"/>
      <c r="AK101" s="1828"/>
      <c r="AL101" s="1828"/>
      <c r="AM101" s="1828"/>
      <c r="AN101" s="1828"/>
      <c r="AO101" s="1828"/>
      <c r="AP101" s="1828"/>
      <c r="AQ101" s="1828"/>
    </row>
    <row r="102" spans="1:43" s="1675" customFormat="1" ht="19.5" customHeight="1">
      <c r="A102" s="1829"/>
      <c r="B102" s="1829"/>
      <c r="C102" s="1830"/>
      <c r="D102" s="1848"/>
      <c r="E102" s="1848"/>
      <c r="F102" s="1830"/>
      <c r="G102" s="1830"/>
      <c r="H102" s="1769"/>
      <c r="I102" s="1769"/>
      <c r="K102" s="1769"/>
      <c r="L102" s="1769"/>
      <c r="M102" s="1828"/>
      <c r="N102" s="1828"/>
      <c r="O102" s="1828"/>
      <c r="P102" s="1828"/>
      <c r="Q102" s="1828"/>
      <c r="R102" s="1828"/>
      <c r="S102" s="1828"/>
      <c r="T102" s="1828"/>
      <c r="U102" s="1828"/>
      <c r="V102" s="1828"/>
      <c r="W102" s="1828"/>
      <c r="X102" s="1828"/>
      <c r="Y102" s="1828"/>
      <c r="Z102" s="1828"/>
      <c r="AA102" s="1828"/>
      <c r="AB102" s="1828"/>
      <c r="AC102" s="1828"/>
      <c r="AD102" s="1828"/>
      <c r="AE102" s="1828"/>
      <c r="AF102" s="1828"/>
      <c r="AG102" s="1828"/>
      <c r="AH102" s="1828"/>
      <c r="AI102" s="1828"/>
      <c r="AJ102" s="1828"/>
      <c r="AK102" s="1828"/>
      <c r="AL102" s="1828"/>
      <c r="AM102" s="1828"/>
      <c r="AN102" s="1828"/>
      <c r="AO102" s="1828"/>
      <c r="AP102" s="1828"/>
      <c r="AQ102" s="1828"/>
    </row>
    <row r="103" spans="1:43" s="1675" customFormat="1" ht="10.5" customHeight="1">
      <c r="A103" s="1852"/>
      <c r="B103" s="1852"/>
      <c r="C103" s="1833"/>
      <c r="D103" s="1848"/>
      <c r="E103" s="3842"/>
      <c r="F103" s="3843"/>
      <c r="G103" s="3843"/>
      <c r="H103" s="1840"/>
      <c r="I103" s="1840"/>
      <c r="K103" s="1840"/>
      <c r="L103" s="1840"/>
      <c r="M103" s="1828"/>
      <c r="N103" s="1828"/>
      <c r="O103" s="1828"/>
      <c r="P103" s="1828"/>
      <c r="Q103" s="1828"/>
      <c r="R103" s="1828"/>
      <c r="S103" s="1828"/>
      <c r="T103" s="1828"/>
      <c r="U103" s="1828"/>
      <c r="V103" s="1828"/>
      <c r="W103" s="1828"/>
      <c r="X103" s="1828"/>
      <c r="Y103" s="1828"/>
      <c r="Z103" s="1828"/>
      <c r="AA103" s="1828"/>
      <c r="AB103" s="1828"/>
      <c r="AC103" s="1828"/>
      <c r="AD103" s="1828"/>
      <c r="AE103" s="1828"/>
      <c r="AF103" s="1828"/>
      <c r="AG103" s="1828"/>
      <c r="AH103" s="1828"/>
      <c r="AI103" s="1828"/>
      <c r="AJ103" s="1828"/>
      <c r="AK103" s="1828"/>
      <c r="AL103" s="1828"/>
      <c r="AM103" s="1828"/>
      <c r="AN103" s="1828"/>
      <c r="AO103" s="1828"/>
      <c r="AP103" s="1828"/>
      <c r="AQ103" s="1828"/>
    </row>
    <row r="104" spans="1:43" s="1675" customFormat="1" ht="19.5" customHeight="1">
      <c r="A104" s="1829"/>
      <c r="B104" s="1829"/>
      <c r="C104" s="1830"/>
      <c r="D104" s="1848"/>
      <c r="E104" s="1830"/>
      <c r="F104" s="1830"/>
      <c r="G104" s="1830"/>
      <c r="H104" s="1769"/>
      <c r="I104" s="1769"/>
      <c r="J104" s="1769"/>
      <c r="K104" s="1769"/>
      <c r="L104" s="1769"/>
      <c r="M104" s="1828"/>
      <c r="N104" s="1828"/>
      <c r="O104" s="1828"/>
      <c r="P104" s="1828"/>
      <c r="Q104" s="1828"/>
      <c r="R104" s="1828"/>
      <c r="S104" s="1828"/>
      <c r="T104" s="1828"/>
      <c r="U104" s="1828"/>
      <c r="V104" s="1828"/>
      <c r="W104" s="1828"/>
      <c r="X104" s="1828"/>
      <c r="Y104" s="1828"/>
      <c r="Z104" s="1828"/>
      <c r="AA104" s="1828"/>
      <c r="AB104" s="1828"/>
      <c r="AC104" s="1828"/>
      <c r="AD104" s="1828"/>
      <c r="AE104" s="1828"/>
      <c r="AF104" s="1828"/>
      <c r="AG104" s="1828"/>
      <c r="AH104" s="1828"/>
      <c r="AI104" s="1828"/>
      <c r="AJ104" s="1828"/>
      <c r="AK104" s="1828"/>
      <c r="AL104" s="1828"/>
      <c r="AM104" s="1828"/>
      <c r="AN104" s="1828"/>
      <c r="AO104" s="1828"/>
      <c r="AP104" s="1828"/>
      <c r="AQ104" s="1828"/>
    </row>
    <row r="105" spans="1:43" s="1675" customFormat="1" ht="10.5" customHeight="1">
      <c r="A105" s="1852"/>
      <c r="B105" s="1852"/>
      <c r="C105" s="1833"/>
      <c r="D105" s="1833"/>
      <c r="E105" s="1831"/>
      <c r="F105" s="1833"/>
      <c r="G105" s="1849"/>
      <c r="H105" s="1769"/>
      <c r="I105" s="1769"/>
      <c r="J105" s="1769"/>
      <c r="K105" s="1769"/>
      <c r="L105" s="1769"/>
      <c r="M105" s="1828"/>
      <c r="N105" s="1828"/>
      <c r="O105" s="1828"/>
      <c r="P105" s="1828"/>
      <c r="Q105" s="1828"/>
      <c r="R105" s="1828"/>
      <c r="S105" s="1828"/>
      <c r="T105" s="1828"/>
      <c r="U105" s="1828"/>
      <c r="V105" s="1828"/>
      <c r="W105" s="1828"/>
      <c r="X105" s="1828"/>
      <c r="Y105" s="1828"/>
      <c r="Z105" s="1828"/>
      <c r="AA105" s="1828"/>
      <c r="AB105" s="1828"/>
      <c r="AC105" s="1828"/>
      <c r="AD105" s="1828"/>
      <c r="AE105" s="1828"/>
      <c r="AF105" s="1828"/>
      <c r="AG105" s="1828"/>
      <c r="AH105" s="1828"/>
      <c r="AI105" s="1828"/>
      <c r="AJ105" s="1828"/>
      <c r="AK105" s="1828"/>
      <c r="AL105" s="1828"/>
      <c r="AM105" s="1828"/>
      <c r="AN105" s="1828"/>
      <c r="AO105" s="1828"/>
      <c r="AP105" s="1828"/>
      <c r="AQ105" s="1828"/>
    </row>
    <row r="106" spans="1:43" s="1675" customFormat="1" ht="18" customHeight="1">
      <c r="A106" s="1829"/>
      <c r="B106" s="1829"/>
      <c r="C106" s="1865"/>
      <c r="D106" s="1848"/>
      <c r="E106" s="1848"/>
      <c r="F106" s="1830"/>
      <c r="G106" s="1830"/>
      <c r="H106" s="1769"/>
      <c r="I106" s="1769"/>
      <c r="J106" s="1769"/>
      <c r="K106" s="1769"/>
      <c r="L106" s="1769"/>
      <c r="M106" s="1828"/>
      <c r="N106" s="1828"/>
      <c r="O106" s="1828"/>
      <c r="P106" s="1828"/>
      <c r="Q106" s="1828"/>
      <c r="R106" s="1828"/>
      <c r="S106" s="1828"/>
      <c r="T106" s="1828"/>
      <c r="U106" s="1828"/>
      <c r="V106" s="1828"/>
      <c r="W106" s="1828"/>
      <c r="X106" s="1828"/>
      <c r="Y106" s="1828"/>
      <c r="Z106" s="1828"/>
      <c r="AA106" s="1828"/>
      <c r="AB106" s="1828"/>
      <c r="AC106" s="1828"/>
      <c r="AD106" s="1828"/>
      <c r="AE106" s="1828"/>
      <c r="AF106" s="1828"/>
      <c r="AG106" s="1828"/>
      <c r="AH106" s="1828"/>
      <c r="AI106" s="1828"/>
      <c r="AJ106" s="1828"/>
      <c r="AK106" s="1828"/>
      <c r="AL106" s="1828"/>
      <c r="AM106" s="1828"/>
      <c r="AN106" s="1828"/>
      <c r="AO106" s="1828"/>
      <c r="AP106" s="1828"/>
      <c r="AQ106" s="1828"/>
    </row>
    <row r="107" spans="1:43" s="1675" customFormat="1" ht="10.5" customHeight="1">
      <c r="A107" s="1829"/>
      <c r="B107" s="1829"/>
      <c r="C107" s="1830"/>
      <c r="D107" s="1830"/>
      <c r="E107" s="1830"/>
      <c r="F107" s="1830"/>
      <c r="G107" s="1830"/>
      <c r="H107" s="1769"/>
      <c r="I107" s="1769"/>
      <c r="J107" s="1769"/>
      <c r="K107" s="1769"/>
      <c r="L107" s="1769"/>
      <c r="M107" s="1828"/>
      <c r="N107" s="1828"/>
      <c r="O107" s="1828"/>
      <c r="P107" s="1828"/>
      <c r="Q107" s="1828"/>
      <c r="R107" s="1828"/>
      <c r="S107" s="1828"/>
      <c r="T107" s="1828"/>
      <c r="U107" s="1828"/>
      <c r="V107" s="1828"/>
      <c r="W107" s="1828"/>
      <c r="X107" s="1828"/>
      <c r="Y107" s="1828"/>
      <c r="Z107" s="1828"/>
      <c r="AA107" s="1828"/>
      <c r="AB107" s="1828"/>
      <c r="AC107" s="1828"/>
      <c r="AD107" s="1828"/>
      <c r="AE107" s="1828"/>
      <c r="AF107" s="1828"/>
      <c r="AG107" s="1828"/>
      <c r="AH107" s="1828"/>
      <c r="AI107" s="1828"/>
      <c r="AJ107" s="1828"/>
      <c r="AK107" s="1828"/>
      <c r="AL107" s="1828"/>
      <c r="AM107" s="1828"/>
      <c r="AN107" s="1828"/>
      <c r="AO107" s="1828"/>
      <c r="AP107" s="1828"/>
      <c r="AQ107" s="1828"/>
    </row>
    <row r="108" spans="1:43" s="1675" customFormat="1" ht="19.5" customHeight="1">
      <c r="A108" s="1829"/>
      <c r="B108" s="1829"/>
      <c r="C108" s="1830"/>
      <c r="D108" s="1830"/>
      <c r="E108" s="1830"/>
      <c r="F108" s="1830"/>
      <c r="G108" s="1830"/>
      <c r="H108" s="1836"/>
      <c r="I108" s="1836"/>
      <c r="J108" s="1836"/>
      <c r="K108" s="1836"/>
      <c r="L108" s="1836"/>
      <c r="M108" s="1828"/>
      <c r="N108" s="1828"/>
      <c r="O108" s="1828"/>
      <c r="P108" s="1828"/>
      <c r="Q108" s="1828"/>
      <c r="R108" s="1828"/>
      <c r="S108" s="1828"/>
      <c r="T108" s="1828"/>
      <c r="U108" s="1828"/>
      <c r="V108" s="1828"/>
      <c r="W108" s="1828"/>
      <c r="X108" s="1828"/>
      <c r="Y108" s="1828"/>
      <c r="Z108" s="1828"/>
      <c r="AA108" s="1828"/>
      <c r="AB108" s="1828"/>
      <c r="AC108" s="1828"/>
      <c r="AD108" s="1828"/>
      <c r="AE108" s="1828"/>
      <c r="AF108" s="1828"/>
      <c r="AG108" s="1828"/>
      <c r="AH108" s="1828"/>
      <c r="AI108" s="1828"/>
      <c r="AJ108" s="1828"/>
      <c r="AK108" s="1828"/>
      <c r="AL108" s="1828"/>
      <c r="AM108" s="1828"/>
      <c r="AN108" s="1828"/>
      <c r="AO108" s="1828"/>
      <c r="AP108" s="1828"/>
      <c r="AQ108" s="1828"/>
    </row>
    <row r="109" spans="1:43" s="1675" customFormat="1" ht="18" customHeight="1">
      <c r="A109" s="1829"/>
      <c r="B109" s="1829"/>
      <c r="C109" s="1831"/>
      <c r="D109" s="1833"/>
      <c r="E109" s="1831"/>
      <c r="F109" s="1833"/>
      <c r="G109" s="1831"/>
      <c r="H109" s="1769"/>
      <c r="I109" s="1769"/>
      <c r="J109" s="1769"/>
      <c r="K109" s="1769"/>
      <c r="L109" s="1769"/>
      <c r="M109" s="1828"/>
      <c r="N109" s="1828"/>
      <c r="O109" s="1828"/>
      <c r="P109" s="1828"/>
      <c r="Q109" s="1828"/>
      <c r="R109" s="1828"/>
      <c r="S109" s="1828"/>
      <c r="T109" s="1828"/>
      <c r="U109" s="1828"/>
      <c r="V109" s="1828"/>
      <c r="W109" s="1828"/>
      <c r="X109" s="1828"/>
      <c r="Y109" s="1828"/>
      <c r="Z109" s="1828"/>
      <c r="AA109" s="1828"/>
      <c r="AB109" s="1828"/>
      <c r="AC109" s="1828"/>
      <c r="AD109" s="1828"/>
      <c r="AE109" s="1828"/>
      <c r="AF109" s="1828"/>
      <c r="AG109" s="1828"/>
      <c r="AH109" s="1828"/>
      <c r="AI109" s="1828"/>
      <c r="AJ109" s="1828"/>
      <c r="AK109" s="1828"/>
      <c r="AL109" s="1828"/>
      <c r="AM109" s="1828"/>
      <c r="AN109" s="1828"/>
      <c r="AO109" s="1828"/>
      <c r="AP109" s="1828"/>
      <c r="AQ109" s="1828"/>
    </row>
    <row r="110" spans="1:43" s="1675" customFormat="1" ht="10.5" customHeight="1">
      <c r="A110" s="1829"/>
      <c r="B110" s="1829"/>
      <c r="C110" s="1830"/>
      <c r="D110" s="1830"/>
      <c r="E110" s="1848"/>
      <c r="F110" s="1830"/>
      <c r="G110" s="1837"/>
      <c r="H110" s="1769"/>
      <c r="I110" s="1769"/>
      <c r="J110" s="1769"/>
      <c r="K110" s="1769"/>
      <c r="L110" s="1769"/>
      <c r="M110" s="1828"/>
      <c r="N110" s="1828"/>
      <c r="O110" s="1828"/>
      <c r="P110" s="1828"/>
      <c r="Q110" s="1828"/>
      <c r="R110" s="1828"/>
      <c r="S110" s="1828"/>
      <c r="T110" s="1828"/>
      <c r="U110" s="1828"/>
      <c r="V110" s="1828"/>
      <c r="W110" s="1828"/>
      <c r="X110" s="1828"/>
      <c r="Y110" s="1828"/>
      <c r="Z110" s="1828"/>
      <c r="AA110" s="1828"/>
      <c r="AB110" s="1828"/>
      <c r="AC110" s="1828"/>
      <c r="AD110" s="1828"/>
      <c r="AE110" s="1828"/>
      <c r="AF110" s="1828"/>
      <c r="AG110" s="1828"/>
      <c r="AH110" s="1828"/>
      <c r="AI110" s="1828"/>
      <c r="AJ110" s="1828"/>
      <c r="AK110" s="1828"/>
      <c r="AL110" s="1828"/>
      <c r="AM110" s="1828"/>
      <c r="AN110" s="1828"/>
      <c r="AO110" s="1828"/>
      <c r="AP110" s="1828"/>
      <c r="AQ110" s="1828"/>
    </row>
    <row r="111" spans="1:43" s="1675" customFormat="1" ht="19.5" customHeight="1">
      <c r="A111" s="1829"/>
      <c r="B111" s="1829"/>
      <c r="C111" s="1830"/>
      <c r="D111" s="1830"/>
      <c r="E111" s="1848"/>
      <c r="F111" s="1830"/>
      <c r="G111" s="1837"/>
      <c r="H111" s="1840"/>
      <c r="I111" s="1840"/>
      <c r="J111" s="1840"/>
      <c r="K111" s="1840"/>
      <c r="L111" s="1840"/>
      <c r="M111" s="1828"/>
      <c r="N111" s="1828"/>
      <c r="O111" s="1828"/>
      <c r="P111" s="1828"/>
      <c r="Q111" s="1828"/>
      <c r="R111" s="1828"/>
      <c r="S111" s="1828"/>
      <c r="T111" s="1828"/>
      <c r="U111" s="1828"/>
      <c r="V111" s="1828"/>
      <c r="W111" s="1828"/>
      <c r="X111" s="1828"/>
      <c r="Y111" s="1828"/>
      <c r="Z111" s="1828"/>
      <c r="AA111" s="1828"/>
      <c r="AB111" s="1828"/>
      <c r="AC111" s="1828"/>
      <c r="AD111" s="1828"/>
      <c r="AE111" s="1828"/>
      <c r="AF111" s="1828"/>
      <c r="AG111" s="1828"/>
      <c r="AH111" s="1828"/>
      <c r="AI111" s="1828"/>
      <c r="AJ111" s="1828"/>
      <c r="AK111" s="1828"/>
      <c r="AL111" s="1828"/>
      <c r="AM111" s="1828"/>
      <c r="AN111" s="1828"/>
      <c r="AO111" s="1828"/>
      <c r="AP111" s="1828"/>
      <c r="AQ111" s="1828"/>
    </row>
    <row r="112" spans="1:43" s="1675" customFormat="1" ht="10.5" customHeight="1">
      <c r="A112" s="1829"/>
      <c r="B112" s="1829"/>
      <c r="C112" s="1831"/>
      <c r="D112" s="1833"/>
      <c r="E112" s="1861"/>
      <c r="F112" s="1833"/>
      <c r="G112" s="1677"/>
      <c r="H112" s="1769"/>
      <c r="I112" s="1769"/>
      <c r="J112" s="1769"/>
      <c r="K112" s="1769"/>
      <c r="L112" s="1769"/>
      <c r="M112" s="1828"/>
      <c r="N112" s="1828"/>
      <c r="O112" s="1828"/>
      <c r="P112" s="1828"/>
      <c r="Q112" s="1828"/>
      <c r="R112" s="1828"/>
      <c r="S112" s="1828"/>
      <c r="T112" s="1828"/>
      <c r="U112" s="1828"/>
      <c r="V112" s="1828"/>
      <c r="W112" s="1828"/>
      <c r="X112" s="1828"/>
      <c r="Y112" s="1828"/>
      <c r="Z112" s="1828"/>
      <c r="AA112" s="1828"/>
      <c r="AB112" s="1828"/>
      <c r="AC112" s="1828"/>
      <c r="AD112" s="1828"/>
      <c r="AE112" s="1828"/>
      <c r="AF112" s="1828"/>
      <c r="AG112" s="1828"/>
      <c r="AH112" s="1828"/>
      <c r="AI112" s="1828"/>
      <c r="AJ112" s="1828"/>
      <c r="AK112" s="1828"/>
      <c r="AL112" s="1828"/>
      <c r="AM112" s="1828"/>
      <c r="AN112" s="1828"/>
      <c r="AO112" s="1828"/>
      <c r="AP112" s="1828"/>
      <c r="AQ112" s="1828"/>
    </row>
    <row r="113" spans="1:43" s="1675" customFormat="1" ht="18" customHeight="1">
      <c r="A113" s="1829"/>
      <c r="B113" s="1829"/>
      <c r="C113" s="1865"/>
      <c r="D113" s="1848"/>
      <c r="E113" s="1848"/>
      <c r="F113" s="1830"/>
      <c r="G113" s="1830"/>
      <c r="H113" s="1836"/>
      <c r="I113" s="1836"/>
      <c r="J113" s="1866"/>
      <c r="K113" s="1828"/>
      <c r="L113" s="1828"/>
      <c r="M113" s="1828"/>
      <c r="N113" s="1828"/>
      <c r="O113" s="1828"/>
      <c r="P113" s="1828"/>
      <c r="Q113" s="1828"/>
      <c r="R113" s="1828"/>
      <c r="S113" s="1828"/>
      <c r="T113" s="1828"/>
      <c r="U113" s="1828"/>
      <c r="V113" s="1828"/>
      <c r="W113" s="1828"/>
      <c r="X113" s="1828"/>
      <c r="Y113" s="1828"/>
      <c r="Z113" s="1828"/>
      <c r="AA113" s="1828"/>
      <c r="AB113" s="1828"/>
      <c r="AC113" s="1828"/>
      <c r="AD113" s="1828"/>
      <c r="AE113" s="1828"/>
      <c r="AF113" s="1828"/>
      <c r="AG113" s="1828"/>
      <c r="AH113" s="1828"/>
      <c r="AI113" s="1828"/>
      <c r="AJ113" s="1828"/>
      <c r="AK113" s="1828"/>
      <c r="AL113" s="1828"/>
      <c r="AM113" s="1828"/>
      <c r="AN113" s="1828"/>
      <c r="AO113" s="1828"/>
      <c r="AP113" s="1828"/>
      <c r="AQ113" s="1828"/>
    </row>
    <row r="114" spans="1:43" s="1675" customFormat="1" ht="10.5" customHeight="1">
      <c r="A114" s="1857"/>
      <c r="B114" s="1857"/>
      <c r="C114" s="1848"/>
      <c r="D114" s="1848"/>
      <c r="E114" s="1830"/>
      <c r="F114" s="1830"/>
      <c r="G114" s="1830"/>
      <c r="H114" s="1836"/>
      <c r="I114" s="1836"/>
      <c r="J114" s="1866"/>
      <c r="K114" s="1828"/>
      <c r="L114" s="1828"/>
      <c r="M114" s="1828"/>
      <c r="N114" s="1828"/>
      <c r="O114" s="1828"/>
      <c r="P114" s="1828"/>
      <c r="Q114" s="1828"/>
      <c r="R114" s="1828"/>
      <c r="S114" s="1828"/>
      <c r="T114" s="1828"/>
      <c r="U114" s="1828"/>
      <c r="V114" s="1828"/>
      <c r="W114" s="1828"/>
      <c r="X114" s="1828"/>
      <c r="Y114" s="1828"/>
      <c r="Z114" s="1828"/>
      <c r="AA114" s="1828"/>
      <c r="AB114" s="1828"/>
      <c r="AC114" s="1828"/>
      <c r="AD114" s="1828"/>
      <c r="AE114" s="1828"/>
      <c r="AF114" s="1828"/>
      <c r="AG114" s="1828"/>
      <c r="AH114" s="1828"/>
      <c r="AI114" s="1828"/>
      <c r="AJ114" s="1828"/>
      <c r="AK114" s="1828"/>
      <c r="AL114" s="1828"/>
      <c r="AM114" s="1828"/>
      <c r="AN114" s="1828"/>
      <c r="AO114" s="1828"/>
      <c r="AP114" s="1828"/>
      <c r="AQ114" s="1828"/>
    </row>
    <row r="115" spans="1:43" s="1675" customFormat="1" ht="19.5" customHeight="1">
      <c r="A115" s="1857"/>
      <c r="B115" s="1857"/>
      <c r="C115" s="1834"/>
      <c r="D115" s="1830"/>
      <c r="E115" s="1862"/>
      <c r="F115" s="1830"/>
      <c r="G115" s="1830"/>
      <c r="H115" s="1836"/>
      <c r="I115" s="1836"/>
      <c r="J115" s="1866"/>
      <c r="K115" s="1828"/>
      <c r="L115" s="1828"/>
      <c r="M115" s="1828"/>
      <c r="N115" s="1828"/>
      <c r="O115" s="1828"/>
      <c r="P115" s="1828"/>
      <c r="Q115" s="1828"/>
      <c r="R115" s="1828"/>
      <c r="S115" s="1828"/>
      <c r="T115" s="1828"/>
      <c r="U115" s="1828"/>
      <c r="V115" s="1828"/>
      <c r="W115" s="1828"/>
      <c r="X115" s="1828"/>
      <c r="Y115" s="1828"/>
      <c r="Z115" s="1828"/>
      <c r="AA115" s="1828"/>
      <c r="AB115" s="1828"/>
      <c r="AC115" s="1828"/>
      <c r="AD115" s="1828"/>
      <c r="AE115" s="1828"/>
      <c r="AF115" s="1828"/>
      <c r="AG115" s="1828"/>
      <c r="AH115" s="1828"/>
      <c r="AI115" s="1828"/>
      <c r="AJ115" s="1828"/>
      <c r="AK115" s="1828"/>
      <c r="AL115" s="1828"/>
      <c r="AM115" s="1828"/>
      <c r="AN115" s="1828"/>
      <c r="AO115" s="1828"/>
      <c r="AP115" s="1828"/>
      <c r="AQ115" s="1828"/>
    </row>
    <row r="116" spans="1:43" s="1675" customFormat="1" ht="10.5" customHeight="1">
      <c r="A116" s="1829"/>
      <c r="B116" s="1829"/>
      <c r="C116" s="1830"/>
      <c r="D116" s="1830"/>
      <c r="E116" s="3844"/>
      <c r="F116" s="3845"/>
      <c r="G116" s="3845"/>
      <c r="H116" s="1836"/>
      <c r="I116" s="1836"/>
      <c r="J116" s="1866"/>
      <c r="K116" s="1828"/>
      <c r="L116" s="1828"/>
      <c r="M116" s="1828"/>
      <c r="N116" s="1828"/>
      <c r="O116" s="1828"/>
      <c r="P116" s="1828"/>
      <c r="Q116" s="1828"/>
      <c r="R116" s="1828"/>
      <c r="S116" s="1828"/>
      <c r="T116" s="1828"/>
      <c r="U116" s="1828"/>
      <c r="V116" s="1828"/>
      <c r="W116" s="1828"/>
      <c r="X116" s="1828"/>
      <c r="Y116" s="1828"/>
      <c r="Z116" s="1828"/>
      <c r="AA116" s="1828"/>
      <c r="AB116" s="1828"/>
      <c r="AC116" s="1828"/>
      <c r="AD116" s="1828"/>
      <c r="AE116" s="1828"/>
      <c r="AF116" s="1828"/>
      <c r="AG116" s="1828"/>
      <c r="AH116" s="1828"/>
      <c r="AI116" s="1828"/>
      <c r="AJ116" s="1828"/>
      <c r="AK116" s="1828"/>
      <c r="AL116" s="1828"/>
      <c r="AM116" s="1828"/>
      <c r="AN116" s="1828"/>
      <c r="AO116" s="1828"/>
      <c r="AP116" s="1828"/>
      <c r="AQ116" s="1828"/>
    </row>
    <row r="117" spans="1:43" s="1675" customFormat="1" ht="19.5" customHeight="1">
      <c r="A117" s="1829"/>
      <c r="B117" s="1829"/>
      <c r="C117" s="1830"/>
      <c r="D117" s="1830"/>
      <c r="E117" s="1842"/>
      <c r="F117" s="1842"/>
      <c r="G117" s="1842"/>
      <c r="H117" s="1836"/>
      <c r="I117" s="1836"/>
      <c r="J117" s="1866"/>
      <c r="K117" s="1828"/>
      <c r="L117" s="1828"/>
      <c r="M117" s="1828"/>
      <c r="N117" s="1828"/>
      <c r="O117" s="1828"/>
      <c r="P117" s="1828"/>
      <c r="Q117" s="1828"/>
      <c r="R117" s="1828"/>
      <c r="S117" s="1828"/>
      <c r="T117" s="1828"/>
      <c r="U117" s="1828"/>
      <c r="V117" s="1828"/>
      <c r="W117" s="1828"/>
      <c r="X117" s="1828"/>
      <c r="Y117" s="1828"/>
      <c r="Z117" s="1828"/>
      <c r="AA117" s="1828"/>
      <c r="AB117" s="1828"/>
      <c r="AC117" s="1828"/>
      <c r="AD117" s="1828"/>
      <c r="AE117" s="1828"/>
      <c r="AF117" s="1828"/>
      <c r="AG117" s="1828"/>
      <c r="AH117" s="1828"/>
      <c r="AI117" s="1828"/>
      <c r="AJ117" s="1828"/>
      <c r="AK117" s="1828"/>
      <c r="AL117" s="1828"/>
      <c r="AM117" s="1828"/>
      <c r="AN117" s="1828"/>
      <c r="AO117" s="1828"/>
      <c r="AP117" s="1828"/>
      <c r="AQ117" s="1828"/>
    </row>
    <row r="118" spans="1:43" s="1675" customFormat="1" ht="10.5" customHeight="1">
      <c r="A118" s="1829"/>
      <c r="B118" s="1829"/>
      <c r="C118" s="1830"/>
      <c r="D118" s="1830"/>
      <c r="E118" s="3844"/>
      <c r="F118" s="3844"/>
      <c r="G118" s="3844"/>
      <c r="H118" s="1836"/>
      <c r="I118" s="1836"/>
      <c r="J118" s="1866"/>
      <c r="K118" s="1828"/>
      <c r="L118" s="1828"/>
      <c r="M118" s="1828"/>
      <c r="N118" s="1828"/>
      <c r="O118" s="1828"/>
      <c r="P118" s="1828"/>
      <c r="Q118" s="1828"/>
      <c r="R118" s="1828"/>
      <c r="S118" s="1828"/>
      <c r="T118" s="1828"/>
      <c r="U118" s="1828"/>
      <c r="V118" s="1828"/>
      <c r="W118" s="1828"/>
      <c r="X118" s="1828"/>
      <c r="Y118" s="1828"/>
      <c r="Z118" s="1828"/>
      <c r="AA118" s="1828"/>
      <c r="AB118" s="1828"/>
      <c r="AC118" s="1828"/>
      <c r="AD118" s="1828"/>
      <c r="AE118" s="1828"/>
      <c r="AF118" s="1828"/>
      <c r="AG118" s="1828"/>
      <c r="AH118" s="1828"/>
      <c r="AI118" s="1828"/>
      <c r="AJ118" s="1828"/>
      <c r="AK118" s="1828"/>
      <c r="AL118" s="1828"/>
      <c r="AM118" s="1828"/>
      <c r="AN118" s="1828"/>
      <c r="AO118" s="1828"/>
      <c r="AP118" s="1828"/>
      <c r="AQ118" s="1828"/>
    </row>
    <row r="119" spans="1:43" s="1675" customFormat="1" ht="19.5" customHeight="1">
      <c r="A119" s="1829"/>
      <c r="B119" s="1829"/>
      <c r="C119" s="1830"/>
      <c r="D119" s="1830"/>
      <c r="E119" s="1830"/>
      <c r="F119" s="1830"/>
      <c r="G119" s="1830"/>
      <c r="H119" s="1836"/>
      <c r="I119" s="1836"/>
      <c r="J119" s="1866"/>
      <c r="K119" s="1828"/>
      <c r="L119" s="1828"/>
      <c r="M119" s="1828"/>
      <c r="N119" s="1828"/>
      <c r="O119" s="1828"/>
      <c r="P119" s="1828"/>
      <c r="Q119" s="1828"/>
      <c r="R119" s="1828"/>
      <c r="S119" s="1828"/>
      <c r="T119" s="1828"/>
      <c r="U119" s="1828"/>
      <c r="V119" s="1828"/>
      <c r="W119" s="1828"/>
      <c r="X119" s="1828"/>
      <c r="Y119" s="1828"/>
      <c r="Z119" s="1828"/>
      <c r="AA119" s="1828"/>
      <c r="AB119" s="1828"/>
      <c r="AC119" s="1828"/>
      <c r="AD119" s="1828"/>
      <c r="AE119" s="1828"/>
      <c r="AF119" s="1828"/>
      <c r="AG119" s="1828"/>
      <c r="AH119" s="1828"/>
      <c r="AI119" s="1828"/>
      <c r="AJ119" s="1828"/>
      <c r="AK119" s="1828"/>
      <c r="AL119" s="1828"/>
      <c r="AM119" s="1828"/>
      <c r="AN119" s="1828"/>
      <c r="AO119" s="1828"/>
      <c r="AP119" s="1828"/>
      <c r="AQ119" s="1828"/>
    </row>
    <row r="120" spans="1:43" s="1680" customFormat="1" ht="10.5" customHeight="1">
      <c r="A120" s="1829"/>
      <c r="B120" s="1829"/>
      <c r="C120" s="1830"/>
      <c r="D120" s="1830"/>
      <c r="E120" s="1830"/>
      <c r="F120" s="1831"/>
      <c r="G120" s="1830"/>
      <c r="H120" s="1830"/>
      <c r="I120" s="1830"/>
      <c r="J120" s="1831"/>
      <c r="K120" s="1841"/>
      <c r="L120" s="1841"/>
      <c r="M120" s="1841"/>
      <c r="N120" s="1841"/>
      <c r="O120" s="1841"/>
      <c r="P120" s="1841"/>
      <c r="Q120" s="1841"/>
      <c r="R120" s="1841"/>
      <c r="S120" s="1841"/>
      <c r="T120" s="1841"/>
      <c r="U120" s="1841"/>
      <c r="V120" s="1841"/>
      <c r="W120" s="1841"/>
      <c r="X120" s="1841"/>
      <c r="Y120" s="1841"/>
      <c r="Z120" s="1841"/>
      <c r="AA120" s="1841"/>
      <c r="AB120" s="1841"/>
      <c r="AC120" s="1841"/>
      <c r="AD120" s="1841"/>
      <c r="AE120" s="1841"/>
      <c r="AF120" s="1841"/>
      <c r="AG120" s="1841"/>
      <c r="AH120" s="1841"/>
      <c r="AI120" s="1841"/>
      <c r="AJ120" s="1841"/>
      <c r="AK120" s="1841"/>
      <c r="AL120" s="1841"/>
      <c r="AM120" s="1841"/>
      <c r="AN120" s="1841"/>
      <c r="AO120" s="1841"/>
      <c r="AP120" s="1841"/>
      <c r="AQ120" s="1841"/>
    </row>
    <row r="121" spans="1:43" s="1675" customFormat="1" ht="18" customHeight="1">
      <c r="A121" s="1829"/>
      <c r="B121" s="1829"/>
      <c r="C121" s="1830"/>
      <c r="D121" s="1830"/>
      <c r="E121" s="1830"/>
      <c r="F121" s="1834"/>
      <c r="G121" s="1830"/>
      <c r="H121" s="1836"/>
      <c r="I121" s="1836"/>
      <c r="J121" s="1866"/>
      <c r="K121" s="1828"/>
      <c r="L121" s="1828"/>
      <c r="M121" s="1828"/>
      <c r="N121" s="1828"/>
      <c r="O121" s="1828"/>
      <c r="P121" s="1828"/>
      <c r="Q121" s="1828"/>
      <c r="R121" s="1828"/>
      <c r="S121" s="1828"/>
      <c r="T121" s="1828"/>
      <c r="U121" s="1828"/>
      <c r="V121" s="1828"/>
      <c r="W121" s="1828"/>
      <c r="X121" s="1828"/>
      <c r="Y121" s="1828"/>
      <c r="Z121" s="1828"/>
      <c r="AA121" s="1828"/>
      <c r="AB121" s="1828"/>
      <c r="AC121" s="1828"/>
      <c r="AD121" s="1828"/>
      <c r="AE121" s="1828"/>
      <c r="AF121" s="1828"/>
      <c r="AG121" s="1828"/>
      <c r="AH121" s="1828"/>
      <c r="AI121" s="1828"/>
      <c r="AJ121" s="1828"/>
      <c r="AK121" s="1828"/>
      <c r="AL121" s="1828"/>
      <c r="AM121" s="1828"/>
      <c r="AN121" s="1828"/>
      <c r="AO121" s="1828"/>
      <c r="AP121" s="1828"/>
      <c r="AQ121" s="1828"/>
    </row>
    <row r="122" spans="1:43" s="1675" customFormat="1" ht="10.5" customHeight="1">
      <c r="A122" s="1829"/>
      <c r="B122" s="1829"/>
      <c r="C122" s="3848"/>
      <c r="D122" s="3848"/>
      <c r="E122" s="3848"/>
      <c r="F122" s="3848"/>
      <c r="G122" s="1830"/>
      <c r="H122" s="1836"/>
      <c r="I122" s="1836"/>
      <c r="J122" s="1866"/>
      <c r="K122" s="1828"/>
      <c r="L122" s="1828"/>
      <c r="M122" s="1828"/>
      <c r="N122" s="1828"/>
      <c r="O122" s="1828"/>
      <c r="P122" s="1828"/>
      <c r="Q122" s="1828"/>
      <c r="R122" s="1828"/>
      <c r="S122" s="1828"/>
      <c r="T122" s="1828"/>
      <c r="U122" s="1828"/>
      <c r="V122" s="1828"/>
      <c r="W122" s="1828"/>
      <c r="X122" s="1828"/>
      <c r="Y122" s="1828"/>
      <c r="Z122" s="1828"/>
      <c r="AA122" s="1828"/>
      <c r="AB122" s="1828"/>
      <c r="AC122" s="1828"/>
      <c r="AD122" s="1828"/>
      <c r="AE122" s="1828"/>
      <c r="AF122" s="1828"/>
      <c r="AG122" s="1828"/>
      <c r="AH122" s="1828"/>
      <c r="AI122" s="1828"/>
      <c r="AJ122" s="1828"/>
      <c r="AK122" s="1828"/>
      <c r="AL122" s="1828"/>
      <c r="AM122" s="1828"/>
      <c r="AN122" s="1828"/>
      <c r="AO122" s="1828"/>
      <c r="AP122" s="1828"/>
      <c r="AQ122" s="1828"/>
    </row>
    <row r="123" spans="1:43" s="1675" customFormat="1" ht="18" customHeight="1">
      <c r="A123" s="1829"/>
      <c r="B123" s="1829"/>
      <c r="C123" s="3848"/>
      <c r="D123" s="3848"/>
      <c r="E123" s="3848"/>
      <c r="F123" s="3848"/>
      <c r="G123" s="1830"/>
      <c r="H123" s="1836"/>
      <c r="I123" s="1836"/>
      <c r="J123" s="1866"/>
      <c r="K123" s="1828"/>
      <c r="L123" s="1828"/>
      <c r="M123" s="1828"/>
      <c r="N123" s="1828"/>
      <c r="O123" s="1828"/>
      <c r="P123" s="1828"/>
      <c r="Q123" s="1828"/>
      <c r="R123" s="1828"/>
      <c r="S123" s="1828"/>
      <c r="T123" s="1828"/>
      <c r="U123" s="1828"/>
      <c r="V123" s="1828"/>
      <c r="W123" s="1828"/>
      <c r="X123" s="1828"/>
      <c r="Y123" s="1828"/>
      <c r="Z123" s="1828"/>
      <c r="AA123" s="1828"/>
      <c r="AB123" s="1828"/>
      <c r="AC123" s="1828"/>
      <c r="AD123" s="1828"/>
      <c r="AE123" s="1828"/>
      <c r="AF123" s="1828"/>
      <c r="AG123" s="1828"/>
      <c r="AH123" s="1828"/>
      <c r="AI123" s="1828"/>
      <c r="AJ123" s="1828"/>
      <c r="AK123" s="1828"/>
      <c r="AL123" s="1828"/>
      <c r="AM123" s="1828"/>
      <c r="AN123" s="1828"/>
      <c r="AO123" s="1828"/>
      <c r="AP123" s="1828"/>
      <c r="AQ123" s="1828"/>
    </row>
    <row r="124" spans="1:43" s="1675" customFormat="1" ht="18" customHeight="1">
      <c r="A124" s="1852"/>
      <c r="B124" s="1852"/>
      <c r="C124" s="3849"/>
      <c r="D124" s="3849"/>
      <c r="E124" s="3849"/>
      <c r="F124" s="3849"/>
      <c r="G124" s="3849"/>
      <c r="H124" s="1836"/>
      <c r="I124" s="1836"/>
      <c r="J124" s="1866"/>
      <c r="K124" s="1836"/>
      <c r="L124" s="1836"/>
      <c r="M124" s="1836"/>
      <c r="N124" s="1836"/>
      <c r="O124" s="1836"/>
      <c r="P124" s="1828"/>
      <c r="Q124" s="1828"/>
      <c r="R124" s="1828"/>
      <c r="S124" s="1828"/>
      <c r="T124" s="1828"/>
      <c r="U124" s="1828"/>
      <c r="V124" s="1828"/>
      <c r="W124" s="1828"/>
      <c r="X124" s="1828"/>
      <c r="Y124" s="1828"/>
      <c r="Z124" s="1828"/>
      <c r="AA124" s="1828"/>
      <c r="AB124" s="1828"/>
      <c r="AC124" s="1828"/>
      <c r="AD124" s="1828"/>
      <c r="AE124" s="1828"/>
      <c r="AF124" s="1828"/>
      <c r="AG124" s="1828"/>
      <c r="AH124" s="1828"/>
      <c r="AI124" s="1828"/>
      <c r="AJ124" s="1828"/>
      <c r="AK124" s="1828"/>
      <c r="AL124" s="1828"/>
      <c r="AM124" s="1828"/>
      <c r="AN124" s="1828"/>
      <c r="AO124" s="1828"/>
      <c r="AP124" s="1828"/>
      <c r="AQ124" s="1828"/>
    </row>
    <row r="125" spans="1:43" s="1675" customFormat="1" ht="19.5" customHeight="1">
      <c r="A125" s="1867"/>
      <c r="B125" s="1867"/>
      <c r="C125" s="3849"/>
      <c r="D125" s="3849"/>
      <c r="E125" s="3849"/>
      <c r="F125" s="3849"/>
      <c r="G125" s="3849"/>
      <c r="H125" s="1836"/>
      <c r="I125" s="1836"/>
      <c r="J125" s="1866"/>
      <c r="K125" s="1836"/>
      <c r="L125" s="1836"/>
      <c r="M125" s="1836"/>
      <c r="N125" s="1836"/>
      <c r="O125" s="1836"/>
      <c r="P125" s="1828"/>
      <c r="Q125" s="1828"/>
      <c r="R125" s="1828"/>
      <c r="S125" s="1828"/>
      <c r="T125" s="1828"/>
      <c r="U125" s="1828"/>
      <c r="V125" s="1828"/>
      <c r="W125" s="1828"/>
      <c r="X125" s="1828"/>
      <c r="Y125" s="1828"/>
      <c r="Z125" s="1828"/>
      <c r="AA125" s="1828"/>
      <c r="AB125" s="1828"/>
      <c r="AC125" s="1828"/>
      <c r="AD125" s="1828"/>
      <c r="AE125" s="1828"/>
      <c r="AF125" s="1828"/>
      <c r="AG125" s="1828"/>
      <c r="AH125" s="1828"/>
      <c r="AI125" s="1828"/>
      <c r="AJ125" s="1828"/>
      <c r="AK125" s="1828"/>
      <c r="AL125" s="1828"/>
      <c r="AM125" s="1828"/>
      <c r="AN125" s="1828"/>
      <c r="AO125" s="1828"/>
      <c r="AP125" s="1828"/>
      <c r="AQ125" s="1828"/>
    </row>
    <row r="126" spans="1:43" s="535" customFormat="1" ht="10.5" customHeight="1">
      <c r="A126" s="1867"/>
      <c r="B126" s="1867"/>
      <c r="C126" s="1831"/>
      <c r="D126" s="1833"/>
      <c r="E126" s="1831"/>
      <c r="F126" s="1833"/>
      <c r="G126" s="1831"/>
      <c r="H126" s="1836"/>
      <c r="I126" s="1836"/>
      <c r="J126" s="1866"/>
      <c r="K126" s="1836"/>
      <c r="L126" s="1836"/>
      <c r="M126" s="1836"/>
      <c r="N126" s="1836"/>
      <c r="O126" s="1836"/>
      <c r="P126" s="1868"/>
      <c r="Q126" s="1868"/>
      <c r="R126" s="1868"/>
      <c r="S126" s="1868"/>
      <c r="T126" s="1868"/>
      <c r="U126" s="1868"/>
      <c r="V126" s="1868"/>
      <c r="W126" s="1868"/>
      <c r="X126" s="1868"/>
      <c r="Y126" s="1868"/>
      <c r="Z126" s="1868"/>
      <c r="AA126" s="1868"/>
      <c r="AB126" s="1868"/>
      <c r="AC126" s="1868"/>
      <c r="AD126" s="1868"/>
      <c r="AE126" s="1868"/>
      <c r="AF126" s="1868"/>
      <c r="AG126" s="1868"/>
      <c r="AH126" s="1868"/>
      <c r="AI126" s="1868"/>
      <c r="AJ126" s="1868"/>
      <c r="AK126" s="1868"/>
      <c r="AL126" s="1868"/>
      <c r="AM126" s="1868"/>
      <c r="AN126" s="1868"/>
      <c r="AO126" s="1868"/>
      <c r="AP126" s="1868"/>
      <c r="AQ126" s="1868"/>
    </row>
    <row r="127" spans="1:43" s="1675" customFormat="1" ht="18" customHeight="1">
      <c r="A127" s="1867"/>
      <c r="B127" s="1867"/>
      <c r="C127" s="1869"/>
      <c r="D127" s="1834"/>
      <c r="E127" s="1830"/>
      <c r="F127" s="1834"/>
      <c r="G127" s="1830"/>
      <c r="H127" s="1836"/>
      <c r="I127" s="1836"/>
      <c r="J127" s="1866"/>
      <c r="K127" s="1836"/>
      <c r="L127" s="1836"/>
      <c r="M127" s="1836"/>
      <c r="N127" s="1836"/>
      <c r="O127" s="1836"/>
      <c r="P127" s="1828"/>
      <c r="Q127" s="1828"/>
      <c r="R127" s="1828"/>
      <c r="S127" s="1828"/>
      <c r="T127" s="1828"/>
      <c r="U127" s="1828"/>
      <c r="V127" s="1828"/>
      <c r="W127" s="1828"/>
      <c r="X127" s="1828"/>
      <c r="Y127" s="1828"/>
      <c r="Z127" s="1828"/>
      <c r="AA127" s="1828"/>
      <c r="AB127" s="1828"/>
      <c r="AC127" s="1828"/>
      <c r="AD127" s="1828"/>
      <c r="AE127" s="1828"/>
      <c r="AF127" s="1828"/>
      <c r="AG127" s="1828"/>
      <c r="AH127" s="1828"/>
      <c r="AI127" s="1828"/>
      <c r="AJ127" s="1828"/>
      <c r="AK127" s="1828"/>
      <c r="AL127" s="1828"/>
      <c r="AM127" s="1828"/>
      <c r="AN127" s="1828"/>
      <c r="AO127" s="1828"/>
      <c r="AP127" s="1828"/>
      <c r="AQ127" s="1828"/>
    </row>
    <row r="128" spans="1:43" s="1675" customFormat="1" ht="19.5" customHeight="1">
      <c r="A128" s="1829"/>
      <c r="B128" s="1829"/>
      <c r="C128" s="1830"/>
      <c r="D128" s="1830"/>
      <c r="E128" s="1830"/>
      <c r="F128" s="1830"/>
      <c r="G128" s="1830"/>
      <c r="H128" s="1836"/>
      <c r="I128" s="1836"/>
      <c r="J128" s="1866"/>
      <c r="K128" s="1836"/>
      <c r="L128" s="1836"/>
      <c r="M128" s="1836"/>
      <c r="N128" s="1836"/>
      <c r="O128" s="1836"/>
      <c r="P128" s="1828"/>
      <c r="Q128" s="1828"/>
      <c r="R128" s="1828"/>
      <c r="S128" s="1828"/>
      <c r="T128" s="1828"/>
      <c r="U128" s="1828"/>
      <c r="V128" s="1828"/>
      <c r="W128" s="1828"/>
      <c r="X128" s="1828"/>
      <c r="Y128" s="1828"/>
      <c r="Z128" s="1828"/>
      <c r="AA128" s="1828"/>
      <c r="AB128" s="1828"/>
      <c r="AC128" s="1828"/>
      <c r="AD128" s="1828"/>
      <c r="AE128" s="1828"/>
      <c r="AF128" s="1828"/>
      <c r="AG128" s="1828"/>
      <c r="AH128" s="1828"/>
      <c r="AI128" s="1828"/>
      <c r="AJ128" s="1828"/>
      <c r="AK128" s="1828"/>
      <c r="AL128" s="1828"/>
      <c r="AM128" s="1828"/>
      <c r="AN128" s="1828"/>
      <c r="AO128" s="1828"/>
      <c r="AP128" s="1828"/>
      <c r="AQ128" s="1828"/>
    </row>
    <row r="129" spans="1:43" s="1675" customFormat="1" ht="10.5" customHeight="1">
      <c r="A129" s="1857"/>
      <c r="B129" s="1857"/>
      <c r="C129" s="1831"/>
      <c r="D129" s="1833"/>
      <c r="E129" s="1861"/>
      <c r="F129" s="1833"/>
      <c r="G129" s="1677"/>
      <c r="H129" s="1836"/>
      <c r="I129" s="1836"/>
      <c r="J129" s="1866"/>
      <c r="K129" s="1836"/>
      <c r="L129" s="1836"/>
      <c r="M129" s="1836"/>
      <c r="N129" s="1836"/>
      <c r="O129" s="1836"/>
      <c r="P129" s="1828"/>
      <c r="Q129" s="1828"/>
      <c r="R129" s="1828"/>
      <c r="S129" s="1828"/>
      <c r="T129" s="1828"/>
      <c r="U129" s="1828"/>
      <c r="V129" s="1828"/>
      <c r="W129" s="1828"/>
      <c r="X129" s="1828"/>
      <c r="Y129" s="1828"/>
      <c r="Z129" s="1828"/>
      <c r="AA129" s="1828"/>
      <c r="AB129" s="1828"/>
      <c r="AC129" s="1828"/>
      <c r="AD129" s="1828"/>
      <c r="AE129" s="1828"/>
      <c r="AF129" s="1828"/>
      <c r="AG129" s="1828"/>
      <c r="AH129" s="1828"/>
      <c r="AI129" s="1828"/>
      <c r="AJ129" s="1828"/>
      <c r="AK129" s="1828"/>
      <c r="AL129" s="1828"/>
      <c r="AM129" s="1828"/>
      <c r="AN129" s="1828"/>
      <c r="AO129" s="1828"/>
      <c r="AP129" s="1828"/>
      <c r="AQ129" s="1828"/>
    </row>
    <row r="130" spans="1:43" s="1675" customFormat="1" ht="18" customHeight="1">
      <c r="A130" s="1857"/>
      <c r="B130" s="1857"/>
      <c r="C130" s="1830"/>
      <c r="D130" s="1834"/>
      <c r="E130" s="1830"/>
      <c r="F130" s="1862"/>
      <c r="G130" s="1830"/>
      <c r="H130" s="1830"/>
      <c r="I130" s="1769"/>
      <c r="J130" s="1769"/>
      <c r="K130" s="1836"/>
      <c r="L130" s="1769"/>
      <c r="M130" s="1769"/>
      <c r="N130" s="1769"/>
      <c r="O130" s="1769"/>
      <c r="P130" s="1828"/>
      <c r="Q130" s="1828"/>
      <c r="R130" s="1828"/>
      <c r="S130" s="1828"/>
      <c r="T130" s="1828"/>
      <c r="U130" s="1828"/>
      <c r="V130" s="1828"/>
      <c r="W130" s="1828"/>
      <c r="X130" s="1828"/>
      <c r="Y130" s="1828"/>
      <c r="Z130" s="1828"/>
      <c r="AA130" s="1828"/>
      <c r="AB130" s="1828"/>
      <c r="AC130" s="1828"/>
      <c r="AD130" s="1828"/>
      <c r="AE130" s="1828"/>
      <c r="AF130" s="1828"/>
      <c r="AG130" s="1828"/>
      <c r="AH130" s="1828"/>
      <c r="AI130" s="1828"/>
      <c r="AJ130" s="1828"/>
      <c r="AK130" s="1828"/>
      <c r="AL130" s="1828"/>
      <c r="AM130" s="1828"/>
      <c r="AN130" s="1828"/>
      <c r="AO130" s="1828"/>
      <c r="AP130" s="1828"/>
      <c r="AQ130" s="1828"/>
    </row>
    <row r="131" spans="1:43" s="1675" customFormat="1" ht="10.5" customHeight="1">
      <c r="A131" s="1857"/>
      <c r="B131" s="1857"/>
      <c r="C131" s="1848"/>
      <c r="D131" s="1848"/>
      <c r="E131" s="1830"/>
      <c r="F131" s="1830"/>
      <c r="G131" s="1830"/>
      <c r="H131" s="1845"/>
      <c r="I131" s="1769"/>
      <c r="J131" s="1836"/>
      <c r="K131" s="1769"/>
      <c r="L131" s="1769"/>
      <c r="M131" s="1769"/>
      <c r="N131" s="1769"/>
      <c r="O131" s="1769"/>
      <c r="P131" s="1828"/>
      <c r="Q131" s="1828"/>
      <c r="R131" s="1828"/>
      <c r="S131" s="1828"/>
      <c r="T131" s="1828"/>
      <c r="U131" s="1828"/>
      <c r="V131" s="1828"/>
      <c r="W131" s="1828"/>
      <c r="X131" s="1828"/>
      <c r="Y131" s="1828"/>
      <c r="Z131" s="1828"/>
      <c r="AA131" s="1828"/>
      <c r="AB131" s="1828"/>
      <c r="AC131" s="1828"/>
      <c r="AD131" s="1828"/>
      <c r="AE131" s="1828"/>
      <c r="AF131" s="1828"/>
      <c r="AG131" s="1828"/>
      <c r="AH131" s="1828"/>
      <c r="AI131" s="1828"/>
      <c r="AJ131" s="1828"/>
      <c r="AK131" s="1828"/>
      <c r="AL131" s="1828"/>
      <c r="AM131" s="1828"/>
      <c r="AN131" s="1828"/>
      <c r="AO131" s="1828"/>
      <c r="AP131" s="1828"/>
      <c r="AQ131" s="1828"/>
    </row>
    <row r="132" spans="1:43" s="1675" customFormat="1" ht="18" customHeight="1">
      <c r="A132" s="1829"/>
      <c r="B132" s="1829"/>
      <c r="C132" s="1834"/>
      <c r="D132" s="1830"/>
      <c r="E132" s="1834"/>
      <c r="F132" s="1830"/>
      <c r="G132" s="1834"/>
      <c r="H132" s="1859"/>
      <c r="I132" s="1830"/>
      <c r="J132" s="1836"/>
      <c r="K132" s="1836"/>
      <c r="L132" s="1769"/>
      <c r="M132" s="1769"/>
      <c r="N132" s="1769"/>
      <c r="O132" s="1769"/>
      <c r="P132" s="1828"/>
      <c r="Q132" s="1828"/>
      <c r="R132" s="1828"/>
      <c r="S132" s="1828"/>
      <c r="T132" s="1828"/>
      <c r="U132" s="1828"/>
      <c r="V132" s="1828"/>
      <c r="W132" s="1828"/>
      <c r="X132" s="1828"/>
      <c r="Y132" s="1828"/>
      <c r="Z132" s="1828"/>
      <c r="AA132" s="1828"/>
      <c r="AB132" s="1828"/>
      <c r="AC132" s="1828"/>
      <c r="AD132" s="1828"/>
      <c r="AE132" s="1828"/>
      <c r="AF132" s="1828"/>
      <c r="AG132" s="1828"/>
      <c r="AH132" s="1828"/>
      <c r="AI132" s="1828"/>
      <c r="AJ132" s="1828"/>
      <c r="AK132" s="1828"/>
      <c r="AL132" s="1828"/>
      <c r="AM132" s="1828"/>
      <c r="AN132" s="1828"/>
      <c r="AO132" s="1828"/>
      <c r="AP132" s="1828"/>
      <c r="AQ132" s="1828"/>
    </row>
    <row r="133" spans="1:43" s="1675" customFormat="1" ht="10.5" customHeight="1">
      <c r="A133" s="1829"/>
      <c r="B133" s="1829"/>
      <c r="C133" s="1856"/>
      <c r="D133" s="1839"/>
      <c r="E133" s="1839"/>
      <c r="F133" s="1830"/>
      <c r="G133" s="1830"/>
      <c r="H133" s="1859"/>
      <c r="I133" s="1830"/>
      <c r="J133" s="1836"/>
      <c r="K133" s="1836"/>
      <c r="L133" s="1769"/>
      <c r="M133" s="1769"/>
      <c r="N133" s="1769"/>
      <c r="O133" s="1769"/>
      <c r="P133" s="1828"/>
      <c r="Q133" s="1828"/>
      <c r="R133" s="1828"/>
      <c r="S133" s="1828"/>
      <c r="T133" s="1828"/>
      <c r="U133" s="1828"/>
      <c r="V133" s="1828"/>
      <c r="W133" s="1828"/>
      <c r="X133" s="1828"/>
      <c r="Y133" s="1828"/>
      <c r="Z133" s="1828"/>
      <c r="AA133" s="1828"/>
      <c r="AB133" s="1828"/>
      <c r="AC133" s="1828"/>
      <c r="AD133" s="1828"/>
      <c r="AE133" s="1828"/>
      <c r="AF133" s="1828"/>
      <c r="AG133" s="1828"/>
      <c r="AH133" s="1828"/>
      <c r="AI133" s="1828"/>
      <c r="AJ133" s="1828"/>
      <c r="AK133" s="1828"/>
      <c r="AL133" s="1828"/>
      <c r="AM133" s="1828"/>
      <c r="AN133" s="1828"/>
      <c r="AO133" s="1828"/>
      <c r="AP133" s="1828"/>
      <c r="AQ133" s="1828"/>
    </row>
    <row r="134" spans="1:43" s="1675" customFormat="1" ht="19.5" customHeight="1">
      <c r="A134" s="1829"/>
      <c r="B134" s="1829"/>
      <c r="C134" s="1839"/>
      <c r="D134" s="1839"/>
      <c r="E134" s="1839"/>
      <c r="F134" s="1830"/>
      <c r="G134" s="1830"/>
      <c r="H134" s="1769"/>
      <c r="I134" s="1859"/>
      <c r="J134" s="1836"/>
      <c r="K134" s="1836"/>
      <c r="L134" s="1769"/>
      <c r="M134" s="1769"/>
      <c r="N134" s="1769"/>
      <c r="O134" s="1769"/>
      <c r="P134" s="1828"/>
      <c r="Q134" s="1828"/>
      <c r="R134" s="1828"/>
      <c r="S134" s="1828"/>
      <c r="T134" s="1828"/>
      <c r="U134" s="1828"/>
      <c r="V134" s="1828"/>
      <c r="W134" s="1828"/>
      <c r="X134" s="1828"/>
      <c r="Y134" s="1828"/>
      <c r="Z134" s="1828"/>
      <c r="AA134" s="1828"/>
      <c r="AB134" s="1828"/>
      <c r="AC134" s="1828"/>
      <c r="AD134" s="1828"/>
      <c r="AE134" s="1828"/>
      <c r="AF134" s="1828"/>
      <c r="AG134" s="1828"/>
      <c r="AH134" s="1828"/>
      <c r="AI134" s="1828"/>
      <c r="AJ134" s="1828"/>
      <c r="AK134" s="1828"/>
      <c r="AL134" s="1828"/>
      <c r="AM134" s="1828"/>
      <c r="AN134" s="1828"/>
      <c r="AO134" s="1828"/>
      <c r="AP134" s="1828"/>
      <c r="AQ134" s="1828"/>
    </row>
    <row r="135" spans="1:43" s="1680" customFormat="1" ht="24" customHeight="1">
      <c r="A135" s="1829"/>
      <c r="B135" s="1829"/>
      <c r="C135" s="1830"/>
      <c r="D135" s="1834"/>
      <c r="E135" s="1831"/>
      <c r="F135" s="1830"/>
      <c r="G135" s="1677"/>
      <c r="H135" s="1840"/>
      <c r="I135" s="1848"/>
      <c r="J135" s="1830"/>
      <c r="K135" s="1830"/>
      <c r="L135" s="1840"/>
      <c r="M135" s="1840"/>
      <c r="N135" s="1840"/>
      <c r="O135" s="1840"/>
      <c r="P135" s="1841"/>
      <c r="Q135" s="1841"/>
      <c r="R135" s="1841"/>
      <c r="S135" s="1841"/>
      <c r="T135" s="1841"/>
      <c r="U135" s="1841"/>
      <c r="V135" s="1841"/>
      <c r="W135" s="1841"/>
      <c r="X135" s="1841"/>
      <c r="Y135" s="1841"/>
      <c r="Z135" s="1841"/>
      <c r="AA135" s="1841"/>
      <c r="AB135" s="1841"/>
      <c r="AC135" s="1841"/>
      <c r="AD135" s="1841"/>
      <c r="AE135" s="1841"/>
      <c r="AF135" s="1841"/>
      <c r="AG135" s="1841"/>
      <c r="AH135" s="1841"/>
      <c r="AI135" s="1841"/>
      <c r="AJ135" s="1841"/>
      <c r="AK135" s="1841"/>
      <c r="AL135" s="1841"/>
      <c r="AM135" s="1841"/>
      <c r="AN135" s="1841"/>
      <c r="AO135" s="1841"/>
      <c r="AP135" s="1841"/>
      <c r="AQ135" s="1841"/>
    </row>
    <row r="136" spans="1:43" s="1680" customFormat="1" ht="45.75" customHeight="1">
      <c r="A136" s="1829"/>
      <c r="B136" s="1829"/>
      <c r="C136" s="3850"/>
      <c r="D136" s="3850"/>
      <c r="E136" s="3850"/>
      <c r="F136" s="3850"/>
      <c r="G136" s="3850"/>
      <c r="H136" s="1840"/>
      <c r="I136" s="1848"/>
      <c r="J136" s="1830"/>
      <c r="K136" s="1830"/>
      <c r="L136" s="1840"/>
      <c r="M136" s="1840"/>
      <c r="N136" s="1840"/>
      <c r="O136" s="1840"/>
      <c r="P136" s="1841"/>
      <c r="Q136" s="1841"/>
      <c r="R136" s="1841"/>
      <c r="S136" s="1841"/>
      <c r="T136" s="1841"/>
      <c r="U136" s="1841"/>
      <c r="V136" s="1841"/>
      <c r="W136" s="1841"/>
      <c r="X136" s="1841"/>
      <c r="Y136" s="1841"/>
      <c r="Z136" s="1841"/>
      <c r="AA136" s="1841"/>
      <c r="AB136" s="1841"/>
      <c r="AC136" s="1841"/>
      <c r="AD136" s="1841"/>
      <c r="AE136" s="1841"/>
      <c r="AF136" s="1841"/>
      <c r="AG136" s="1841"/>
      <c r="AH136" s="1841"/>
      <c r="AI136" s="1841"/>
      <c r="AJ136" s="1841"/>
      <c r="AK136" s="1841"/>
      <c r="AL136" s="1841"/>
      <c r="AM136" s="1841"/>
      <c r="AN136" s="1841"/>
      <c r="AO136" s="1841"/>
      <c r="AP136" s="1841"/>
      <c r="AQ136" s="1841"/>
    </row>
    <row r="137" spans="1:43" s="1675" customFormat="1" ht="10.5" customHeight="1">
      <c r="A137" s="1829"/>
      <c r="B137" s="1829"/>
      <c r="C137" s="3850"/>
      <c r="D137" s="3850"/>
      <c r="E137" s="3850"/>
      <c r="F137" s="3850"/>
      <c r="G137" s="3850"/>
      <c r="H137" s="1769"/>
      <c r="I137" s="1769"/>
      <c r="J137" s="1769"/>
      <c r="K137" s="1769"/>
      <c r="L137" s="1769"/>
      <c r="M137" s="1769"/>
      <c r="N137" s="1769"/>
      <c r="O137" s="1769"/>
      <c r="P137" s="1828"/>
      <c r="Q137" s="1828"/>
      <c r="R137" s="1828"/>
      <c r="S137" s="1828"/>
      <c r="T137" s="1828"/>
      <c r="U137" s="1828"/>
      <c r="V137" s="1828"/>
      <c r="W137" s="1828"/>
      <c r="X137" s="1828"/>
      <c r="Y137" s="1828"/>
      <c r="Z137" s="1828"/>
      <c r="AA137" s="1828"/>
      <c r="AB137" s="1828"/>
      <c r="AC137" s="1828"/>
      <c r="AD137" s="1828"/>
      <c r="AE137" s="1828"/>
      <c r="AF137" s="1828"/>
      <c r="AG137" s="1828"/>
      <c r="AH137" s="1828"/>
      <c r="AI137" s="1828"/>
      <c r="AJ137" s="1828"/>
      <c r="AK137" s="1828"/>
      <c r="AL137" s="1828"/>
      <c r="AM137" s="1828"/>
      <c r="AN137" s="1828"/>
      <c r="AO137" s="1828"/>
      <c r="AP137" s="1828"/>
      <c r="AQ137" s="1828"/>
    </row>
    <row r="138" spans="1:43" s="1675" customFormat="1" ht="18" customHeight="1">
      <c r="A138" s="1829"/>
      <c r="B138" s="1829"/>
      <c r="C138" s="1830"/>
      <c r="D138" s="1830"/>
      <c r="E138" s="1830"/>
      <c r="F138" s="1830"/>
      <c r="G138" s="1830"/>
      <c r="H138" s="1870"/>
      <c r="I138" s="1769"/>
      <c r="J138" s="1830"/>
      <c r="K138" s="1769"/>
      <c r="L138" s="1830"/>
      <c r="M138" s="1830"/>
      <c r="N138" s="1830"/>
      <c r="O138" s="1830"/>
      <c r="P138" s="1828"/>
      <c r="Q138" s="1828"/>
      <c r="R138" s="1828"/>
      <c r="S138" s="1828"/>
      <c r="T138" s="1828"/>
      <c r="U138" s="1828"/>
      <c r="V138" s="1828"/>
      <c r="W138" s="1828"/>
      <c r="X138" s="1828"/>
      <c r="Y138" s="1828"/>
      <c r="Z138" s="1828"/>
      <c r="AA138" s="1828"/>
      <c r="AB138" s="1828"/>
      <c r="AC138" s="1828"/>
      <c r="AD138" s="1828"/>
      <c r="AE138" s="1828"/>
      <c r="AF138" s="1828"/>
      <c r="AG138" s="1828"/>
      <c r="AH138" s="1828"/>
      <c r="AI138" s="1828"/>
      <c r="AJ138" s="1828"/>
      <c r="AK138" s="1828"/>
      <c r="AL138" s="1828"/>
      <c r="AM138" s="1828"/>
      <c r="AN138" s="1828"/>
      <c r="AO138" s="1828"/>
      <c r="AP138" s="1828"/>
      <c r="AQ138" s="1828"/>
    </row>
    <row r="139" spans="1:43" s="1677" customFormat="1" ht="10.5" customHeight="1">
      <c r="A139" s="1857"/>
      <c r="B139" s="1857"/>
      <c r="C139" s="1848"/>
      <c r="D139" s="1830"/>
      <c r="E139" s="1830"/>
      <c r="F139" s="1830"/>
      <c r="G139" s="1830"/>
      <c r="H139" s="1833"/>
      <c r="I139" s="1830"/>
      <c r="J139" s="1830"/>
      <c r="K139" s="1830"/>
      <c r="L139" s="1830"/>
      <c r="M139" s="1830"/>
      <c r="N139" s="1830"/>
      <c r="O139" s="1830"/>
      <c r="P139" s="1871"/>
      <c r="Q139" s="1871"/>
      <c r="R139" s="1871"/>
      <c r="S139" s="1871"/>
      <c r="T139" s="1871"/>
      <c r="U139" s="1871"/>
      <c r="V139" s="1871"/>
      <c r="W139" s="1871"/>
      <c r="X139" s="1871"/>
      <c r="Y139" s="1871"/>
      <c r="Z139" s="1871"/>
      <c r="AA139" s="1871"/>
      <c r="AB139" s="1871"/>
      <c r="AC139" s="1871"/>
      <c r="AD139" s="1871"/>
      <c r="AE139" s="1871"/>
      <c r="AF139" s="1871"/>
      <c r="AG139" s="1871"/>
      <c r="AH139" s="1871"/>
      <c r="AI139" s="1871"/>
      <c r="AJ139" s="1871"/>
      <c r="AK139" s="1871"/>
      <c r="AL139" s="1871"/>
      <c r="AM139" s="1871"/>
      <c r="AN139" s="1871"/>
      <c r="AO139" s="1871"/>
      <c r="AP139" s="1871"/>
      <c r="AQ139" s="1871"/>
    </row>
    <row r="140" spans="1:43" s="1675" customFormat="1" ht="18" customHeight="1">
      <c r="A140" s="1857"/>
      <c r="B140" s="1857"/>
      <c r="C140" s="1848"/>
      <c r="D140" s="1830"/>
      <c r="E140" s="1830"/>
      <c r="F140" s="1830"/>
      <c r="G140" s="1830"/>
      <c r="H140" s="1769"/>
      <c r="I140" s="1870"/>
      <c r="J140" s="1870"/>
      <c r="K140" s="1830"/>
      <c r="L140" s="1830"/>
      <c r="M140" s="1830"/>
      <c r="N140" s="1830"/>
      <c r="O140" s="1830"/>
      <c r="P140" s="1828"/>
      <c r="Q140" s="1828"/>
      <c r="R140" s="1828"/>
      <c r="S140" s="1828"/>
      <c r="T140" s="1828"/>
      <c r="U140" s="1828"/>
      <c r="V140" s="1828"/>
      <c r="W140" s="1828"/>
      <c r="X140" s="1828"/>
      <c r="Y140" s="1828"/>
      <c r="Z140" s="1828"/>
      <c r="AA140" s="1828"/>
      <c r="AB140" s="1828"/>
      <c r="AC140" s="1828"/>
      <c r="AD140" s="1828"/>
      <c r="AE140" s="1828"/>
      <c r="AF140" s="1828"/>
      <c r="AG140" s="1828"/>
      <c r="AH140" s="1828"/>
      <c r="AI140" s="1828"/>
      <c r="AJ140" s="1828"/>
      <c r="AK140" s="1828"/>
      <c r="AL140" s="1828"/>
      <c r="AM140" s="1828"/>
      <c r="AN140" s="1828"/>
      <c r="AO140" s="1828"/>
      <c r="AP140" s="1828"/>
      <c r="AQ140" s="1828"/>
    </row>
    <row r="141" spans="1:43" s="1675" customFormat="1" ht="10.5" customHeight="1">
      <c r="A141" s="1857"/>
      <c r="B141" s="1857"/>
      <c r="C141" s="3851"/>
      <c r="D141" s="3851"/>
      <c r="E141" s="3851"/>
      <c r="F141" s="3851"/>
      <c r="G141" s="3851"/>
      <c r="H141" s="1769"/>
      <c r="I141" s="1769"/>
      <c r="J141" s="1872"/>
      <c r="K141" s="1870"/>
      <c r="L141" s="1836"/>
      <c r="M141" s="1836"/>
      <c r="N141" s="1836"/>
      <c r="O141" s="1836"/>
      <c r="P141" s="1828"/>
      <c r="Q141" s="1828"/>
      <c r="R141" s="1828"/>
      <c r="S141" s="1828"/>
      <c r="T141" s="1828"/>
      <c r="U141" s="1828"/>
      <c r="V141" s="1828"/>
      <c r="W141" s="1828"/>
      <c r="X141" s="1828"/>
      <c r="Y141" s="1828"/>
      <c r="Z141" s="1828"/>
      <c r="AA141" s="1828"/>
      <c r="AB141" s="1828"/>
      <c r="AC141" s="1828"/>
      <c r="AD141" s="1828"/>
      <c r="AE141" s="1828"/>
      <c r="AF141" s="1828"/>
      <c r="AG141" s="1828"/>
      <c r="AH141" s="1828"/>
      <c r="AI141" s="1828"/>
      <c r="AJ141" s="1828"/>
      <c r="AK141" s="1828"/>
      <c r="AL141" s="1828"/>
      <c r="AM141" s="1828"/>
      <c r="AN141" s="1828"/>
      <c r="AO141" s="1828"/>
      <c r="AP141" s="1828"/>
      <c r="AQ141" s="1828"/>
    </row>
    <row r="142" spans="1:43" s="1675" customFormat="1" ht="19.5" customHeight="1">
      <c r="A142" s="1867"/>
      <c r="B142" s="1867"/>
      <c r="C142" s="1833"/>
      <c r="D142" s="1833"/>
      <c r="E142" s="1833"/>
      <c r="F142" s="1833"/>
      <c r="G142" s="1833"/>
      <c r="H142" s="1769"/>
      <c r="I142" s="1769"/>
      <c r="J142" s="1830"/>
      <c r="K142" s="1769"/>
      <c r="L142" s="1833"/>
      <c r="M142" s="1769"/>
      <c r="N142" s="1769"/>
      <c r="O142" s="1769"/>
      <c r="P142" s="1828"/>
      <c r="Q142" s="1828"/>
      <c r="R142" s="1828"/>
      <c r="S142" s="1828"/>
      <c r="T142" s="1828"/>
      <c r="U142" s="1828"/>
      <c r="V142" s="1828"/>
      <c r="W142" s="1828"/>
      <c r="X142" s="1828"/>
      <c r="Y142" s="1828"/>
      <c r="Z142" s="1828"/>
      <c r="AA142" s="1828"/>
      <c r="AB142" s="1828"/>
      <c r="AC142" s="1828"/>
      <c r="AD142" s="1828"/>
      <c r="AE142" s="1828"/>
      <c r="AF142" s="1828"/>
      <c r="AG142" s="1828"/>
      <c r="AH142" s="1828"/>
      <c r="AI142" s="1828"/>
      <c r="AJ142" s="1828"/>
      <c r="AK142" s="1828"/>
      <c r="AL142" s="1828"/>
      <c r="AM142" s="1828"/>
      <c r="AN142" s="1828"/>
      <c r="AO142" s="1828"/>
      <c r="AP142" s="1828"/>
      <c r="AQ142" s="1828"/>
    </row>
    <row r="143" spans="1:43" s="1675" customFormat="1" ht="10.5" customHeight="1">
      <c r="A143" s="1867"/>
      <c r="B143" s="1867"/>
      <c r="C143" s="1861"/>
      <c r="D143" s="1833"/>
      <c r="E143" s="1861"/>
      <c r="F143" s="1833"/>
      <c r="G143" s="1861"/>
      <c r="H143" s="1769"/>
      <c r="I143" s="1769"/>
      <c r="J143" s="1830"/>
      <c r="K143" s="1830"/>
      <c r="L143" s="1830"/>
      <c r="M143" s="1830"/>
      <c r="N143" s="1830"/>
      <c r="O143" s="1830"/>
      <c r="P143" s="1828"/>
      <c r="Q143" s="1828"/>
      <c r="R143" s="1828"/>
      <c r="S143" s="1828"/>
      <c r="T143" s="1828"/>
      <c r="U143" s="1828"/>
      <c r="V143" s="1828"/>
      <c r="W143" s="1828"/>
      <c r="X143" s="1828"/>
      <c r="Y143" s="1828"/>
      <c r="Z143" s="1828"/>
      <c r="AA143" s="1828"/>
      <c r="AB143" s="1828"/>
      <c r="AC143" s="1828"/>
      <c r="AD143" s="1828"/>
      <c r="AE143" s="1828"/>
      <c r="AF143" s="1828"/>
      <c r="AG143" s="1828"/>
      <c r="AH143" s="1828"/>
      <c r="AI143" s="1828"/>
      <c r="AJ143" s="1828"/>
      <c r="AK143" s="1828"/>
      <c r="AL143" s="1828"/>
      <c r="AM143" s="1828"/>
      <c r="AN143" s="1828"/>
      <c r="AO143" s="1828"/>
      <c r="AP143" s="1828"/>
      <c r="AQ143" s="1828"/>
    </row>
    <row r="144" spans="1:43" s="1675" customFormat="1" ht="19.5" customHeight="1">
      <c r="A144" s="1830"/>
      <c r="B144" s="1830"/>
      <c r="C144" s="1830"/>
      <c r="D144" s="1830"/>
      <c r="E144" s="1830"/>
      <c r="F144" s="1830"/>
      <c r="G144" s="1830"/>
      <c r="H144" s="1830"/>
      <c r="I144" s="1769"/>
      <c r="J144" s="1830"/>
      <c r="K144" s="1830"/>
      <c r="L144" s="1830"/>
      <c r="M144" s="1830"/>
      <c r="N144" s="1830"/>
      <c r="O144" s="1830"/>
      <c r="P144" s="1830"/>
      <c r="Q144" s="1830"/>
      <c r="R144" s="1830"/>
      <c r="S144" s="1830"/>
      <c r="T144" s="1828"/>
      <c r="U144" s="1828"/>
      <c r="V144" s="1828"/>
      <c r="W144" s="1828"/>
      <c r="X144" s="1828"/>
      <c r="Y144" s="1828"/>
      <c r="Z144" s="1828"/>
      <c r="AA144" s="1828"/>
      <c r="AB144" s="1828"/>
      <c r="AC144" s="1828"/>
      <c r="AD144" s="1828"/>
      <c r="AE144" s="1828"/>
      <c r="AF144" s="1828"/>
      <c r="AG144" s="1828"/>
      <c r="AH144" s="1828"/>
      <c r="AI144" s="1828"/>
      <c r="AJ144" s="1828"/>
      <c r="AK144" s="1828"/>
      <c r="AL144" s="1828"/>
      <c r="AM144" s="1828"/>
      <c r="AN144" s="1828"/>
      <c r="AO144" s="1828"/>
      <c r="AP144" s="1828"/>
      <c r="AQ144" s="1828"/>
    </row>
    <row r="145" spans="1:43" s="1675" customFormat="1" ht="10.5" customHeight="1">
      <c r="A145" s="1830"/>
      <c r="B145" s="1830"/>
      <c r="C145" s="1861"/>
      <c r="D145" s="1833"/>
      <c r="E145" s="1861"/>
      <c r="F145" s="1872"/>
      <c r="G145" s="1677"/>
      <c r="H145" s="1830"/>
      <c r="I145" s="1830"/>
      <c r="J145" s="1830"/>
      <c r="K145" s="1830"/>
      <c r="L145" s="1830"/>
      <c r="M145" s="1830"/>
      <c r="N145" s="1830"/>
      <c r="O145" s="1830"/>
      <c r="P145" s="1830"/>
      <c r="Q145" s="1830"/>
      <c r="R145" s="1830"/>
      <c r="S145" s="1830"/>
      <c r="T145" s="1828"/>
      <c r="U145" s="1828"/>
      <c r="V145" s="1828"/>
      <c r="W145" s="1828"/>
      <c r="X145" s="1828"/>
      <c r="Y145" s="1828"/>
      <c r="Z145" s="1828"/>
      <c r="AA145" s="1828"/>
      <c r="AB145" s="1828"/>
      <c r="AC145" s="1828"/>
      <c r="AD145" s="1828"/>
      <c r="AE145" s="1828"/>
      <c r="AF145" s="1828"/>
      <c r="AG145" s="1828"/>
      <c r="AH145" s="1828"/>
      <c r="AI145" s="1828"/>
      <c r="AJ145" s="1828"/>
      <c r="AK145" s="1828"/>
      <c r="AL145" s="1828"/>
      <c r="AM145" s="1828"/>
      <c r="AN145" s="1828"/>
      <c r="AO145" s="1828"/>
      <c r="AP145" s="1828"/>
      <c r="AQ145" s="1828"/>
    </row>
    <row r="146" spans="1:43" s="1675" customFormat="1" ht="32.25" customHeight="1">
      <c r="A146" s="1830"/>
      <c r="B146" s="1830"/>
      <c r="C146" s="1830"/>
      <c r="D146" s="1830"/>
      <c r="E146" s="1830"/>
      <c r="F146" s="1830"/>
      <c r="G146" s="1830"/>
      <c r="H146" s="1856"/>
      <c r="I146" s="1830"/>
      <c r="J146" s="1830"/>
      <c r="K146" s="1830"/>
      <c r="L146" s="1830"/>
      <c r="M146" s="1830"/>
      <c r="N146" s="1830"/>
      <c r="O146" s="1830"/>
      <c r="P146" s="1830"/>
      <c r="Q146" s="1830"/>
      <c r="R146" s="1830"/>
      <c r="S146" s="1830"/>
      <c r="T146" s="1828"/>
      <c r="U146" s="1828"/>
      <c r="V146" s="1828"/>
      <c r="W146" s="1828"/>
      <c r="X146" s="1828"/>
      <c r="Y146" s="1828"/>
      <c r="Z146" s="1828"/>
      <c r="AA146" s="1828"/>
      <c r="AB146" s="1828"/>
      <c r="AC146" s="1828"/>
      <c r="AD146" s="1828"/>
      <c r="AE146" s="1828"/>
      <c r="AF146" s="1828"/>
      <c r="AG146" s="1828"/>
      <c r="AH146" s="1828"/>
      <c r="AI146" s="1828"/>
      <c r="AJ146" s="1828"/>
      <c r="AK146" s="1828"/>
      <c r="AL146" s="1828"/>
      <c r="AM146" s="1828"/>
      <c r="AN146" s="1828"/>
      <c r="AO146" s="1828"/>
      <c r="AP146" s="1828"/>
      <c r="AQ146" s="1828"/>
    </row>
    <row r="147" spans="1:43" s="1675" customFormat="1" ht="10.5" customHeight="1">
      <c r="A147" s="1873"/>
      <c r="B147" s="1873"/>
      <c r="C147" s="3846"/>
      <c r="D147" s="3852"/>
      <c r="E147" s="3852"/>
      <c r="F147" s="3852"/>
      <c r="G147" s="3852"/>
      <c r="H147" s="1830"/>
      <c r="I147" s="1830"/>
      <c r="J147" s="1830"/>
      <c r="K147" s="1830"/>
      <c r="L147" s="1830"/>
      <c r="M147" s="1830"/>
      <c r="N147" s="1830"/>
      <c r="O147" s="1830"/>
      <c r="P147" s="1830"/>
      <c r="Q147" s="1830"/>
      <c r="R147" s="1830"/>
      <c r="S147" s="1830"/>
      <c r="T147" s="1828"/>
      <c r="U147" s="1828"/>
      <c r="V147" s="1828"/>
      <c r="W147" s="1828"/>
      <c r="X147" s="1828"/>
      <c r="Y147" s="1828"/>
      <c r="Z147" s="1828"/>
      <c r="AA147" s="1828"/>
      <c r="AB147" s="1828"/>
      <c r="AC147" s="1828"/>
      <c r="AD147" s="1828"/>
      <c r="AE147" s="1828"/>
      <c r="AF147" s="1828"/>
      <c r="AG147" s="1828"/>
      <c r="AH147" s="1828"/>
      <c r="AI147" s="1828"/>
      <c r="AJ147" s="1828"/>
      <c r="AK147" s="1828"/>
      <c r="AL147" s="1828"/>
      <c r="AM147" s="1828"/>
      <c r="AN147" s="1828"/>
      <c r="AO147" s="1828"/>
      <c r="AP147" s="1828"/>
      <c r="AQ147" s="1828"/>
    </row>
    <row r="148" spans="1:43" s="1675" customFormat="1" ht="19.5" customHeight="1">
      <c r="A148" s="1873"/>
      <c r="B148" s="1873"/>
      <c r="C148" s="1860"/>
      <c r="D148" s="1846"/>
      <c r="E148" s="1846"/>
      <c r="F148" s="1846"/>
      <c r="G148" s="1846"/>
      <c r="H148" s="1830"/>
      <c r="I148" s="1830"/>
      <c r="J148" s="1830"/>
      <c r="K148" s="1830"/>
      <c r="L148" s="1830"/>
      <c r="M148" s="1830"/>
      <c r="N148" s="1830"/>
      <c r="O148" s="1830"/>
      <c r="P148" s="1830"/>
      <c r="Q148" s="1830"/>
      <c r="R148" s="1830"/>
      <c r="S148" s="1830"/>
      <c r="T148" s="1828"/>
      <c r="U148" s="1828"/>
      <c r="V148" s="1828"/>
      <c r="W148" s="1828"/>
      <c r="X148" s="1828"/>
      <c r="Y148" s="1828"/>
      <c r="Z148" s="1828"/>
      <c r="AA148" s="1828"/>
      <c r="AB148" s="1828"/>
      <c r="AC148" s="1828"/>
      <c r="AD148" s="1828"/>
      <c r="AE148" s="1828"/>
      <c r="AF148" s="1828"/>
      <c r="AG148" s="1828"/>
      <c r="AH148" s="1828"/>
      <c r="AI148" s="1828"/>
      <c r="AJ148" s="1828"/>
      <c r="AK148" s="1828"/>
      <c r="AL148" s="1828"/>
      <c r="AM148" s="1828"/>
      <c r="AN148" s="1828"/>
      <c r="AO148" s="1828"/>
      <c r="AP148" s="1828"/>
      <c r="AQ148" s="1828"/>
    </row>
    <row r="149" spans="1:43" s="1675" customFormat="1" ht="10.5" customHeight="1">
      <c r="A149" s="1857"/>
      <c r="B149" s="1857"/>
      <c r="C149" s="1861"/>
      <c r="D149" s="1833"/>
      <c r="E149" s="1861"/>
      <c r="F149" s="1833"/>
      <c r="G149" s="1861"/>
      <c r="H149" s="1830"/>
      <c r="I149" s="1830"/>
      <c r="J149" s="1830"/>
      <c r="K149" s="1830"/>
      <c r="L149" s="1830"/>
      <c r="M149" s="1830"/>
      <c r="N149" s="1830"/>
      <c r="O149" s="1830"/>
      <c r="P149" s="1830"/>
      <c r="Q149" s="1830"/>
      <c r="R149" s="1830"/>
      <c r="S149" s="1830"/>
      <c r="T149" s="1828"/>
      <c r="U149" s="1828"/>
      <c r="V149" s="1828"/>
      <c r="W149" s="1828"/>
      <c r="X149" s="1828"/>
      <c r="Y149" s="1828"/>
      <c r="Z149" s="1828"/>
      <c r="AA149" s="1828"/>
      <c r="AB149" s="1828"/>
      <c r="AC149" s="1828"/>
      <c r="AD149" s="1828"/>
      <c r="AE149" s="1828"/>
      <c r="AF149" s="1828"/>
      <c r="AG149" s="1828"/>
      <c r="AH149" s="1828"/>
      <c r="AI149" s="1828"/>
      <c r="AJ149" s="1828"/>
      <c r="AK149" s="1828"/>
      <c r="AL149" s="1828"/>
      <c r="AM149" s="1828"/>
      <c r="AN149" s="1828"/>
      <c r="AO149" s="1828"/>
      <c r="AP149" s="1828"/>
      <c r="AQ149" s="1828"/>
    </row>
    <row r="150" spans="1:43" s="1675" customFormat="1" ht="28.5" customHeight="1">
      <c r="A150" s="1830"/>
      <c r="B150" s="1830"/>
      <c r="C150" s="1830"/>
      <c r="D150" s="1830"/>
      <c r="E150" s="1830"/>
      <c r="F150" s="1830"/>
      <c r="G150" s="1830"/>
      <c r="H150" s="1858"/>
      <c r="I150" s="1830"/>
      <c r="J150" s="1830"/>
      <c r="K150" s="1830"/>
      <c r="L150" s="1830"/>
      <c r="M150" s="1830"/>
      <c r="N150" s="1830"/>
      <c r="O150" s="1830"/>
      <c r="P150" s="1830"/>
      <c r="Q150" s="1830"/>
      <c r="R150" s="1830"/>
      <c r="S150" s="1830"/>
      <c r="T150" s="1828"/>
      <c r="U150" s="1828"/>
      <c r="V150" s="1828"/>
      <c r="W150" s="1828"/>
      <c r="X150" s="1828"/>
      <c r="Y150" s="1828"/>
      <c r="Z150" s="1828"/>
      <c r="AA150" s="1828"/>
      <c r="AB150" s="1828"/>
      <c r="AC150" s="1828"/>
      <c r="AD150" s="1828"/>
      <c r="AE150" s="1828"/>
      <c r="AF150" s="1828"/>
      <c r="AG150" s="1828"/>
      <c r="AH150" s="1828"/>
      <c r="AI150" s="1828"/>
      <c r="AJ150" s="1828"/>
      <c r="AK150" s="1828"/>
      <c r="AL150" s="1828"/>
      <c r="AM150" s="1828"/>
      <c r="AN150" s="1828"/>
      <c r="AO150" s="1828"/>
      <c r="AP150" s="1828"/>
      <c r="AQ150" s="1828"/>
    </row>
    <row r="151" spans="1:43" s="1675" customFormat="1" ht="10.5" customHeight="1">
      <c r="A151" s="1873"/>
      <c r="B151" s="1873"/>
      <c r="C151" s="3846"/>
      <c r="D151" s="3847"/>
      <c r="E151" s="3847"/>
      <c r="F151" s="3847"/>
      <c r="G151" s="3847"/>
      <c r="H151" s="1858"/>
      <c r="I151" s="1830"/>
      <c r="J151" s="1830"/>
      <c r="K151" s="1830"/>
      <c r="L151" s="1830"/>
      <c r="M151" s="1830"/>
      <c r="N151" s="1830"/>
      <c r="O151" s="1830"/>
      <c r="P151" s="1830"/>
      <c r="Q151" s="1830"/>
      <c r="R151" s="1830"/>
      <c r="S151" s="1830"/>
      <c r="T151" s="1828"/>
      <c r="U151" s="1828"/>
      <c r="V151" s="1828"/>
      <c r="W151" s="1828"/>
      <c r="X151" s="1828"/>
      <c r="Y151" s="1828"/>
      <c r="Z151" s="1828"/>
      <c r="AA151" s="1828"/>
      <c r="AB151" s="1828"/>
      <c r="AC151" s="1828"/>
      <c r="AD151" s="1828"/>
      <c r="AE151" s="1828"/>
      <c r="AF151" s="1828"/>
      <c r="AG151" s="1828"/>
      <c r="AH151" s="1828"/>
      <c r="AI151" s="1828"/>
      <c r="AJ151" s="1828"/>
      <c r="AK151" s="1828"/>
      <c r="AL151" s="1828"/>
      <c r="AM151" s="1828"/>
      <c r="AN151" s="1828"/>
      <c r="AO151" s="1828"/>
      <c r="AP151" s="1828"/>
      <c r="AQ151" s="1828"/>
    </row>
    <row r="152" spans="1:43" s="1675" customFormat="1" ht="19.5" customHeight="1">
      <c r="A152" s="1873"/>
      <c r="B152" s="1873"/>
      <c r="C152" s="1860"/>
      <c r="D152" s="1846"/>
      <c r="E152" s="1846"/>
      <c r="F152" s="1846"/>
      <c r="G152" s="1846"/>
      <c r="H152" s="1830"/>
      <c r="I152" s="1769"/>
      <c r="J152" s="1830"/>
      <c r="K152" s="1830"/>
      <c r="L152" s="1830"/>
      <c r="M152" s="1830"/>
      <c r="N152" s="1830"/>
      <c r="O152" s="1830"/>
      <c r="P152" s="1830"/>
      <c r="Q152" s="1830"/>
      <c r="R152" s="1830"/>
      <c r="S152" s="1830"/>
      <c r="T152" s="1828"/>
      <c r="U152" s="1828"/>
      <c r="V152" s="1828"/>
      <c r="W152" s="1828"/>
      <c r="X152" s="1828"/>
      <c r="Y152" s="1828"/>
      <c r="Z152" s="1828"/>
      <c r="AA152" s="1828"/>
      <c r="AB152" s="1828"/>
      <c r="AC152" s="1828"/>
      <c r="AD152" s="1828"/>
      <c r="AE152" s="1828"/>
      <c r="AF152" s="1828"/>
      <c r="AG152" s="1828"/>
      <c r="AH152" s="1828"/>
      <c r="AI152" s="1828"/>
      <c r="AJ152" s="1828"/>
      <c r="AK152" s="1828"/>
      <c r="AL152" s="1828"/>
      <c r="AM152" s="1828"/>
      <c r="AN152" s="1828"/>
      <c r="AO152" s="1828"/>
      <c r="AP152" s="1828"/>
      <c r="AQ152" s="1828"/>
    </row>
    <row r="153" spans="1:43" s="1675" customFormat="1" ht="10.5" customHeight="1">
      <c r="A153" s="1857"/>
      <c r="B153" s="1857"/>
      <c r="C153" s="1861"/>
      <c r="D153" s="1833"/>
      <c r="E153" s="1861"/>
      <c r="F153" s="1833"/>
      <c r="G153" s="1861"/>
      <c r="H153" s="1830"/>
      <c r="I153" s="1830"/>
      <c r="J153" s="1830"/>
      <c r="K153" s="1830"/>
      <c r="L153" s="1830"/>
      <c r="M153" s="1830"/>
      <c r="N153" s="1830"/>
      <c r="O153" s="1830"/>
      <c r="P153" s="1830"/>
      <c r="Q153" s="1830"/>
      <c r="R153" s="1830"/>
      <c r="S153" s="1830"/>
      <c r="T153" s="1828"/>
      <c r="U153" s="1828"/>
      <c r="V153" s="1828"/>
      <c r="W153" s="1828"/>
      <c r="X153" s="1828"/>
      <c r="Y153" s="1828"/>
      <c r="Z153" s="1828"/>
      <c r="AA153" s="1828"/>
      <c r="AB153" s="1828"/>
      <c r="AC153" s="1828"/>
      <c r="AD153" s="1828"/>
      <c r="AE153" s="1828"/>
      <c r="AF153" s="1828"/>
      <c r="AG153" s="1828"/>
      <c r="AH153" s="1828"/>
      <c r="AI153" s="1828"/>
      <c r="AJ153" s="1828"/>
      <c r="AK153" s="1828"/>
      <c r="AL153" s="1828"/>
      <c r="AM153" s="1828"/>
      <c r="AN153" s="1828"/>
      <c r="AO153" s="1828"/>
      <c r="AP153" s="1828"/>
      <c r="AQ153" s="1828"/>
    </row>
    <row r="154" spans="1:43" s="1675" customFormat="1" ht="18" customHeight="1">
      <c r="A154" s="1830"/>
      <c r="B154" s="1830"/>
      <c r="C154" s="1830"/>
      <c r="D154" s="1830"/>
      <c r="E154" s="1830"/>
      <c r="F154" s="1834"/>
      <c r="G154" s="1830"/>
      <c r="H154" s="1836"/>
      <c r="I154" s="1830"/>
      <c r="J154" s="1830"/>
      <c r="K154" s="1830"/>
      <c r="L154" s="1830"/>
      <c r="M154" s="1830"/>
      <c r="N154" s="1830"/>
      <c r="O154" s="1830"/>
      <c r="P154" s="1830"/>
      <c r="Q154" s="1830"/>
      <c r="R154" s="1830"/>
      <c r="S154" s="1830"/>
      <c r="T154" s="1828"/>
      <c r="U154" s="1828"/>
      <c r="V154" s="1828"/>
      <c r="W154" s="1828"/>
      <c r="X154" s="1828"/>
      <c r="Y154" s="1828"/>
      <c r="Z154" s="1828"/>
      <c r="AA154" s="1828"/>
      <c r="AB154" s="1828"/>
      <c r="AC154" s="1828"/>
      <c r="AD154" s="1828"/>
      <c r="AE154" s="1828"/>
      <c r="AF154" s="1828"/>
      <c r="AG154" s="1828"/>
      <c r="AH154" s="1828"/>
      <c r="AI154" s="1828"/>
      <c r="AJ154" s="1828"/>
      <c r="AK154" s="1828"/>
      <c r="AL154" s="1828"/>
      <c r="AM154" s="1828"/>
      <c r="AN154" s="1828"/>
      <c r="AO154" s="1828"/>
      <c r="AP154" s="1828"/>
      <c r="AQ154" s="1828"/>
    </row>
    <row r="155" spans="1:43" s="1675" customFormat="1" ht="10.5" customHeight="1">
      <c r="A155" s="1857"/>
      <c r="B155" s="1857"/>
      <c r="C155" s="1830"/>
      <c r="D155" s="1830"/>
      <c r="E155" s="1830"/>
      <c r="F155" s="1830"/>
      <c r="G155" s="1830"/>
      <c r="H155" s="1836"/>
      <c r="I155" s="1830"/>
      <c r="J155" s="1830"/>
      <c r="K155" s="1830"/>
      <c r="L155" s="1830"/>
      <c r="M155" s="1830"/>
      <c r="N155" s="1830"/>
      <c r="O155" s="1830"/>
      <c r="P155" s="1830"/>
      <c r="Q155" s="1830"/>
      <c r="R155" s="1830"/>
      <c r="S155" s="1830"/>
      <c r="T155" s="1828"/>
      <c r="U155" s="1828"/>
      <c r="V155" s="1828"/>
      <c r="W155" s="1828"/>
      <c r="X155" s="1828"/>
      <c r="Y155" s="1828"/>
      <c r="Z155" s="1828"/>
      <c r="AA155" s="1828"/>
      <c r="AB155" s="1828"/>
      <c r="AC155" s="1828"/>
      <c r="AD155" s="1828"/>
      <c r="AE155" s="1828"/>
      <c r="AF155" s="1828"/>
      <c r="AG155" s="1828"/>
      <c r="AH155" s="1828"/>
      <c r="AI155" s="1828"/>
      <c r="AJ155" s="1828"/>
      <c r="AK155" s="1828"/>
      <c r="AL155" s="1828"/>
      <c r="AM155" s="1828"/>
      <c r="AN155" s="1828"/>
      <c r="AO155" s="1828"/>
      <c r="AP155" s="1828"/>
      <c r="AQ155" s="1828"/>
    </row>
    <row r="156" spans="1:43" s="1675" customFormat="1" ht="19.5" customHeight="1">
      <c r="A156" s="1857"/>
      <c r="B156" s="1857"/>
      <c r="C156" s="1830"/>
      <c r="D156" s="1830"/>
      <c r="E156" s="1830"/>
      <c r="F156" s="1830"/>
      <c r="G156" s="1830"/>
      <c r="H156" s="1836"/>
      <c r="I156" s="1836"/>
      <c r="J156" s="1836"/>
      <c r="K156" s="1830"/>
      <c r="L156" s="1830"/>
      <c r="M156" s="1830"/>
      <c r="N156" s="1830"/>
      <c r="O156" s="1830"/>
      <c r="P156" s="1830"/>
      <c r="Q156" s="1830"/>
      <c r="R156" s="1830"/>
      <c r="S156" s="1830"/>
      <c r="T156" s="1828"/>
      <c r="U156" s="1828"/>
      <c r="V156" s="1828"/>
      <c r="W156" s="1828"/>
      <c r="X156" s="1828"/>
      <c r="Y156" s="1828"/>
      <c r="Z156" s="1828"/>
      <c r="AA156" s="1828"/>
      <c r="AB156" s="1828"/>
      <c r="AC156" s="1828"/>
      <c r="AD156" s="1828"/>
      <c r="AE156" s="1828"/>
      <c r="AF156" s="1828"/>
      <c r="AG156" s="1828"/>
      <c r="AH156" s="1828"/>
      <c r="AI156" s="1828"/>
      <c r="AJ156" s="1828"/>
      <c r="AK156" s="1828"/>
      <c r="AL156" s="1828"/>
      <c r="AM156" s="1828"/>
      <c r="AN156" s="1828"/>
      <c r="AO156" s="1828"/>
      <c r="AP156" s="1828"/>
      <c r="AQ156" s="1828"/>
    </row>
    <row r="157" spans="1:43" ht="10.5" customHeight="1">
      <c r="A157" s="1346"/>
      <c r="B157" s="1346"/>
      <c r="C157" s="1347"/>
      <c r="D157" s="1343"/>
      <c r="E157" s="1347"/>
      <c r="F157" s="1343"/>
      <c r="G157" s="1347"/>
      <c r="H157" s="1348"/>
      <c r="I157" s="1344"/>
      <c r="J157" s="1344"/>
      <c r="K157" s="1344"/>
      <c r="L157" s="1344"/>
      <c r="M157" s="1344"/>
      <c r="N157" s="1344"/>
      <c r="O157" s="1344"/>
      <c r="P157" s="1344"/>
      <c r="Q157" s="1344"/>
      <c r="R157" s="1344"/>
      <c r="S157" s="1344"/>
      <c r="T157" s="1341"/>
      <c r="U157" s="1341"/>
      <c r="V157" s="1341"/>
      <c r="W157" s="1341"/>
      <c r="X157" s="1341"/>
      <c r="Y157" s="1341"/>
      <c r="Z157" s="1341"/>
      <c r="AA157" s="1341"/>
      <c r="AB157" s="1341"/>
      <c r="AC157" s="1341"/>
      <c r="AD157" s="1341"/>
      <c r="AE157" s="1341"/>
      <c r="AF157" s="1341"/>
      <c r="AG157" s="1341"/>
      <c r="AH157" s="1341"/>
      <c r="AI157" s="1341"/>
      <c r="AJ157" s="1341"/>
      <c r="AK157" s="1341"/>
      <c r="AL157" s="1341"/>
      <c r="AM157" s="1341"/>
      <c r="AN157" s="1341"/>
      <c r="AO157" s="1341"/>
      <c r="AP157" s="1341"/>
      <c r="AQ157" s="1341"/>
    </row>
    <row r="158" spans="1:43">
      <c r="A158" s="1345"/>
      <c r="B158" s="1345"/>
      <c r="C158" s="1349"/>
      <c r="D158" s="1342"/>
      <c r="E158" s="1342"/>
      <c r="F158" s="1342"/>
      <c r="G158" s="1342"/>
      <c r="H158" s="1340"/>
      <c r="I158" s="1340"/>
      <c r="J158" s="1340"/>
      <c r="K158" s="1344"/>
      <c r="L158" s="1340"/>
      <c r="M158" s="1344"/>
      <c r="N158" s="1344"/>
      <c r="O158" s="1344"/>
      <c r="P158" s="1344"/>
      <c r="Q158" s="1344"/>
      <c r="R158" s="1344"/>
      <c r="S158" s="1344"/>
      <c r="T158" s="1341"/>
      <c r="U158" s="1341"/>
      <c r="V158" s="1341"/>
      <c r="W158" s="1341"/>
      <c r="X158" s="1341"/>
      <c r="Y158" s="1341"/>
      <c r="Z158" s="1341"/>
      <c r="AA158" s="1341"/>
      <c r="AB158" s="1341"/>
      <c r="AC158" s="1341"/>
      <c r="AD158" s="1341"/>
      <c r="AE158" s="1341"/>
      <c r="AF158" s="1341"/>
      <c r="AG158" s="1341"/>
      <c r="AH158" s="1341"/>
      <c r="AI158" s="1341"/>
      <c r="AJ158" s="1341"/>
      <c r="AK158" s="1341"/>
      <c r="AL158" s="1341"/>
      <c r="AM158" s="1341"/>
      <c r="AN158" s="1341"/>
      <c r="AO158" s="1341"/>
      <c r="AP158" s="1341"/>
      <c r="AQ158" s="1341"/>
    </row>
    <row r="159" spans="1:43">
      <c r="A159" s="1350"/>
      <c r="B159" s="1350"/>
      <c r="C159" s="1351"/>
      <c r="D159" s="1340"/>
      <c r="E159" s="1340"/>
      <c r="F159" s="1340"/>
      <c r="G159" s="1340"/>
      <c r="H159" s="1341"/>
      <c r="I159" s="1341"/>
      <c r="J159" s="1341"/>
      <c r="K159" s="1341"/>
      <c r="L159" s="1341"/>
      <c r="M159" s="1344"/>
      <c r="N159" s="1344"/>
      <c r="O159" s="1344"/>
      <c r="P159" s="1344"/>
      <c r="Q159" s="1344"/>
      <c r="R159" s="1344"/>
      <c r="S159" s="1344"/>
      <c r="T159" s="1341"/>
      <c r="U159" s="1341"/>
      <c r="V159" s="1341"/>
      <c r="W159" s="1341"/>
      <c r="X159" s="1341"/>
      <c r="Y159" s="1341"/>
      <c r="Z159" s="1341"/>
      <c r="AA159" s="1341"/>
      <c r="AB159" s="1341"/>
      <c r="AC159" s="1341"/>
      <c r="AD159" s="1341"/>
      <c r="AE159" s="1341"/>
      <c r="AF159" s="1341"/>
      <c r="AG159" s="1341"/>
      <c r="AH159" s="1341"/>
      <c r="AI159" s="1341"/>
      <c r="AJ159" s="1341"/>
      <c r="AK159" s="1341"/>
      <c r="AL159" s="1341"/>
      <c r="AM159" s="1341"/>
      <c r="AN159" s="1341"/>
      <c r="AO159" s="1341"/>
      <c r="AP159" s="1341"/>
      <c r="AQ159" s="1341"/>
    </row>
    <row r="160" spans="1:43">
      <c r="A160" s="1341"/>
      <c r="B160" s="1341"/>
      <c r="C160" s="1341"/>
      <c r="D160" s="1341"/>
      <c r="E160" s="1341"/>
      <c r="F160" s="1341"/>
      <c r="G160" s="1341"/>
      <c r="H160" s="1341"/>
      <c r="I160" s="1341"/>
      <c r="J160" s="1341"/>
      <c r="K160" s="1341"/>
      <c r="L160" s="1341"/>
      <c r="M160" s="1344"/>
      <c r="N160" s="1344"/>
      <c r="O160" s="1344"/>
      <c r="P160" s="1344"/>
      <c r="Q160" s="1344"/>
      <c r="R160" s="1344"/>
      <c r="S160" s="1344"/>
      <c r="T160" s="1341"/>
      <c r="U160" s="1341"/>
      <c r="V160" s="1341"/>
      <c r="W160" s="1341"/>
      <c r="X160" s="1341"/>
      <c r="Y160" s="1341"/>
      <c r="Z160" s="1341"/>
      <c r="AA160" s="1341"/>
      <c r="AB160" s="1341"/>
      <c r="AC160" s="1341"/>
      <c r="AD160" s="1341"/>
      <c r="AE160" s="1341"/>
      <c r="AF160" s="1341"/>
      <c r="AG160" s="1341"/>
      <c r="AH160" s="1341"/>
      <c r="AI160" s="1341"/>
      <c r="AJ160" s="1341"/>
      <c r="AK160" s="1341"/>
      <c r="AL160" s="1341"/>
      <c r="AM160" s="1341"/>
      <c r="AN160" s="1341"/>
      <c r="AO160" s="1341"/>
      <c r="AP160" s="1341"/>
      <c r="AQ160" s="1341"/>
    </row>
    <row r="161" spans="1:43">
      <c r="A161" s="1341"/>
      <c r="B161" s="1341"/>
      <c r="C161" s="1341"/>
      <c r="D161" s="1341"/>
      <c r="E161" s="1341"/>
      <c r="F161" s="1341"/>
      <c r="G161" s="1341"/>
      <c r="H161" s="1341"/>
      <c r="I161" s="1352"/>
      <c r="J161" s="1341"/>
      <c r="K161" s="1341"/>
      <c r="L161" s="1341"/>
      <c r="M161" s="1344"/>
      <c r="N161" s="1344"/>
      <c r="O161" s="1344"/>
      <c r="P161" s="1344"/>
      <c r="Q161" s="1344"/>
      <c r="R161" s="1344"/>
      <c r="S161" s="1344"/>
      <c r="T161" s="1341"/>
      <c r="U161" s="1341"/>
      <c r="V161" s="1341"/>
      <c r="W161" s="1341"/>
      <c r="X161" s="1341"/>
      <c r="Y161" s="1341"/>
      <c r="Z161" s="1341"/>
      <c r="AA161" s="1341"/>
      <c r="AB161" s="1341"/>
      <c r="AC161" s="1341"/>
      <c r="AD161" s="1341"/>
      <c r="AE161" s="1341"/>
      <c r="AF161" s="1341"/>
      <c r="AG161" s="1341"/>
      <c r="AH161" s="1341"/>
      <c r="AI161" s="1341"/>
      <c r="AJ161" s="1341"/>
      <c r="AK161" s="1341"/>
      <c r="AL161" s="1341"/>
      <c r="AM161" s="1341"/>
      <c r="AN161" s="1341"/>
      <c r="AO161" s="1341"/>
      <c r="AP161" s="1341"/>
      <c r="AQ161" s="1341"/>
    </row>
    <row r="162" spans="1:43">
      <c r="A162" s="1341"/>
      <c r="B162" s="1341"/>
      <c r="C162" s="1341"/>
      <c r="D162" s="1341"/>
      <c r="E162" s="1341"/>
      <c r="F162" s="1341"/>
      <c r="G162" s="1341"/>
      <c r="H162" s="1341"/>
      <c r="I162" s="1352"/>
      <c r="J162" s="1341"/>
      <c r="K162" s="1341"/>
      <c r="L162" s="1341"/>
      <c r="M162" s="1344"/>
      <c r="N162" s="1344"/>
      <c r="O162" s="1344"/>
      <c r="P162" s="1344"/>
      <c r="Q162" s="1344"/>
      <c r="R162" s="1344"/>
      <c r="S162" s="1344"/>
      <c r="T162" s="1341"/>
      <c r="U162" s="1341"/>
      <c r="V162" s="1341"/>
      <c r="W162" s="1341"/>
      <c r="X162" s="1341"/>
      <c r="Y162" s="1341"/>
      <c r="Z162" s="1341"/>
      <c r="AA162" s="1341"/>
      <c r="AB162" s="1341"/>
      <c r="AC162" s="1341"/>
      <c r="AD162" s="1341"/>
      <c r="AE162" s="1341"/>
      <c r="AF162" s="1341"/>
      <c r="AG162" s="1341"/>
      <c r="AH162" s="1341"/>
      <c r="AI162" s="1341"/>
      <c r="AJ162" s="1341"/>
      <c r="AK162" s="1341"/>
      <c r="AL162" s="1341"/>
      <c r="AM162" s="1341"/>
      <c r="AN162" s="1341"/>
      <c r="AO162" s="1341"/>
      <c r="AP162" s="1341"/>
      <c r="AQ162" s="1341"/>
    </row>
    <row r="163" spans="1:43">
      <c r="A163" s="1341"/>
      <c r="B163" s="1341"/>
      <c r="C163" s="1341"/>
      <c r="D163" s="1341"/>
      <c r="E163" s="1341"/>
      <c r="F163" s="1341"/>
      <c r="G163" s="1341"/>
      <c r="H163" s="1341"/>
      <c r="I163" s="1352"/>
      <c r="K163" s="1341"/>
      <c r="L163" s="1341"/>
      <c r="M163" s="1344"/>
      <c r="N163" s="1344"/>
      <c r="O163" s="1344"/>
      <c r="P163" s="1344"/>
      <c r="Q163" s="1344"/>
      <c r="R163" s="1344"/>
      <c r="S163" s="1344"/>
      <c r="T163" s="1341"/>
      <c r="U163" s="1341"/>
      <c r="V163" s="1341"/>
      <c r="W163" s="1341"/>
      <c r="X163" s="1341"/>
      <c r="Y163" s="1341"/>
      <c r="Z163" s="1341"/>
      <c r="AA163" s="1341"/>
      <c r="AB163" s="1341"/>
      <c r="AC163" s="1341"/>
      <c r="AD163" s="1341"/>
      <c r="AE163" s="1341"/>
      <c r="AF163" s="1341"/>
      <c r="AG163" s="1341"/>
      <c r="AH163" s="1341"/>
      <c r="AI163" s="1341"/>
      <c r="AJ163" s="1341"/>
      <c r="AK163" s="1341"/>
      <c r="AL163" s="1341"/>
      <c r="AM163" s="1341"/>
      <c r="AN163" s="1341"/>
      <c r="AO163" s="1341"/>
      <c r="AP163" s="1341"/>
      <c r="AQ163" s="1341"/>
    </row>
    <row r="164" spans="1:43">
      <c r="A164" s="1341"/>
      <c r="B164" s="1341"/>
      <c r="C164" s="1341"/>
      <c r="D164" s="1341"/>
      <c r="E164" s="1341"/>
      <c r="F164" s="1341"/>
      <c r="G164" s="1341"/>
      <c r="H164" s="1341"/>
      <c r="I164" s="1352"/>
      <c r="J164" s="1340"/>
      <c r="K164" s="1341"/>
      <c r="L164" s="1341"/>
      <c r="M164" s="1344"/>
      <c r="N164" s="1344"/>
      <c r="O164" s="1344"/>
      <c r="P164" s="1344"/>
      <c r="Q164" s="1344"/>
      <c r="R164" s="1344"/>
      <c r="S164" s="1344"/>
      <c r="T164" s="1341"/>
      <c r="U164" s="1341"/>
      <c r="V164" s="1341"/>
      <c r="W164" s="1341"/>
      <c r="X164" s="1341"/>
      <c r="Y164" s="1341"/>
      <c r="Z164" s="1341"/>
      <c r="AA164" s="1341"/>
      <c r="AB164" s="1341"/>
      <c r="AC164" s="1341"/>
      <c r="AD164" s="1341"/>
      <c r="AE164" s="1341"/>
      <c r="AF164" s="1341"/>
      <c r="AG164" s="1341"/>
      <c r="AH164" s="1341"/>
      <c r="AI164" s="1341"/>
      <c r="AJ164" s="1341"/>
      <c r="AK164" s="1341"/>
      <c r="AL164" s="1341"/>
      <c r="AM164" s="1341"/>
      <c r="AN164" s="1341"/>
      <c r="AO164" s="1341"/>
      <c r="AP164" s="1341"/>
      <c r="AQ164" s="1341"/>
    </row>
    <row r="165" spans="1:43">
      <c r="A165" s="1341"/>
      <c r="B165" s="1341"/>
      <c r="C165" s="1341"/>
      <c r="D165" s="1341"/>
      <c r="E165" s="1341"/>
      <c r="F165" s="1341"/>
      <c r="G165" s="1341"/>
      <c r="H165" s="1341"/>
      <c r="J165" s="1341"/>
      <c r="K165" s="1341"/>
      <c r="L165" s="1341"/>
      <c r="M165" s="1344"/>
      <c r="N165" s="1344"/>
      <c r="O165" s="1344"/>
      <c r="P165" s="1344"/>
      <c r="Q165" s="1344"/>
      <c r="R165" s="1344"/>
      <c r="S165" s="1344"/>
      <c r="T165" s="1341"/>
      <c r="U165" s="1341"/>
      <c r="V165" s="1341"/>
      <c r="W165" s="1341"/>
      <c r="X165" s="1341"/>
      <c r="Y165" s="1341"/>
      <c r="Z165" s="1341"/>
      <c r="AA165" s="1341"/>
      <c r="AB165" s="1341"/>
      <c r="AC165" s="1341"/>
      <c r="AD165" s="1341"/>
      <c r="AE165" s="1341"/>
      <c r="AF165" s="1341"/>
      <c r="AG165" s="1341"/>
      <c r="AH165" s="1341"/>
      <c r="AI165" s="1341"/>
      <c r="AJ165" s="1341"/>
      <c r="AK165" s="1341"/>
      <c r="AL165" s="1341"/>
      <c r="AM165" s="1341"/>
      <c r="AN165" s="1341"/>
      <c r="AO165" s="1341"/>
      <c r="AP165" s="1341"/>
      <c r="AQ165" s="1341"/>
    </row>
    <row r="166" spans="1:43">
      <c r="A166" s="1341"/>
      <c r="B166" s="1341"/>
      <c r="C166" s="1341"/>
      <c r="D166" s="1341"/>
      <c r="E166" s="1341"/>
      <c r="F166" s="1341"/>
      <c r="G166" s="1341"/>
    </row>
  </sheetData>
  <sheetProtection sheet="1" objects="1" scenarios="1"/>
  <mergeCells count="37">
    <mergeCell ref="A15:C15"/>
    <mergeCell ref="D1:F1"/>
    <mergeCell ref="F97:G98"/>
    <mergeCell ref="F73:G73"/>
    <mergeCell ref="C74:G74"/>
    <mergeCell ref="C60:F60"/>
    <mergeCell ref="C56:G56"/>
    <mergeCell ref="C84:G84"/>
    <mergeCell ref="C90:G90"/>
    <mergeCell ref="G4:G5"/>
    <mergeCell ref="H2:J2"/>
    <mergeCell ref="L45:M45"/>
    <mergeCell ref="C47:G47"/>
    <mergeCell ref="F49:G49"/>
    <mergeCell ref="C77:G78"/>
    <mergeCell ref="B37:E37"/>
    <mergeCell ref="A39:B39"/>
    <mergeCell ref="A40:G40"/>
    <mergeCell ref="B35:E35"/>
    <mergeCell ref="C31:E31"/>
    <mergeCell ref="A25:C25"/>
    <mergeCell ref="A17:C17"/>
    <mergeCell ref="A19:C19"/>
    <mergeCell ref="A21:C21"/>
    <mergeCell ref="A23:C23"/>
    <mergeCell ref="A13:C13"/>
    <mergeCell ref="C151:G151"/>
    <mergeCell ref="C122:F123"/>
    <mergeCell ref="C124:G125"/>
    <mergeCell ref="C136:G137"/>
    <mergeCell ref="C141:G141"/>
    <mergeCell ref="C147:G147"/>
    <mergeCell ref="F99:G99"/>
    <mergeCell ref="A100:D100"/>
    <mergeCell ref="E103:G103"/>
    <mergeCell ref="E116:G116"/>
    <mergeCell ref="E118:G118"/>
  </mergeCells>
  <dataValidations count="1">
    <dataValidation allowBlank="1" showInputMessage="1" showErrorMessage="1" promptTitle="20% minimum" prompt="This should incorporate potential growth in the system.  As peak to average flow ratio increases, peaking should increase. " sqref="F29"/>
  </dataValidations>
  <pageMargins left="0.7" right="0.7" top="0.5" bottom="0.5" header="0.3" footer="0.3"/>
  <pageSetup orientation="portrait" blackAndWhite="1" verticalDpi="1200" r:id="rId1"/>
  <ignoredErrors>
    <ignoredError sqref="F27" formula="1"/>
  </ignoredError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indexed="14"/>
  </sheetPr>
  <dimension ref="A1:AS143"/>
  <sheetViews>
    <sheetView showGridLines="0" showZeros="0" view="pageBreakPreview" zoomScaleNormal="100" zoomScaleSheetLayoutView="100" workbookViewId="0">
      <selection activeCell="G4" sqref="G4"/>
    </sheetView>
  </sheetViews>
  <sheetFormatPr defaultColWidth="8.88671875" defaultRowHeight="13.2"/>
  <cols>
    <col min="1" max="1" width="3.109375" customWidth="1"/>
    <col min="2" max="2" width="11.44140625" customWidth="1"/>
    <col min="3" max="3" width="13.44140625" customWidth="1"/>
    <col min="4" max="9" width="11.44140625" customWidth="1"/>
  </cols>
  <sheetData>
    <row r="1" spans="1:45" ht="54.9" customHeight="1">
      <c r="B1" s="467"/>
      <c r="D1" s="3920" t="s">
        <v>1760</v>
      </c>
      <c r="E1" s="3920"/>
      <c r="F1" s="3920"/>
      <c r="G1" s="492"/>
      <c r="H1" s="492"/>
      <c r="I1" s="493"/>
      <c r="J1" s="278"/>
      <c r="K1" s="279"/>
      <c r="L1" s="280"/>
      <c r="M1" s="280"/>
      <c r="N1" s="280"/>
      <c r="O1" s="280"/>
      <c r="P1" s="280"/>
      <c r="Q1" s="280"/>
      <c r="R1" s="280"/>
      <c r="S1" s="280"/>
      <c r="T1" s="280"/>
      <c r="U1" s="280"/>
      <c r="V1" s="280"/>
      <c r="W1" s="280"/>
      <c r="X1" s="280"/>
      <c r="Y1" s="280"/>
      <c r="Z1" s="280"/>
      <c r="AA1" s="280"/>
      <c r="AB1" s="280"/>
      <c r="AC1" s="280"/>
      <c r="AD1" s="280"/>
      <c r="AE1" s="280"/>
      <c r="AF1" s="280"/>
      <c r="AG1" s="280"/>
      <c r="AH1" s="280"/>
      <c r="AI1" s="280"/>
      <c r="AJ1" s="280"/>
      <c r="AK1" s="280"/>
      <c r="AL1" s="280"/>
      <c r="AM1" s="280"/>
      <c r="AN1" s="280"/>
      <c r="AO1" s="280"/>
      <c r="AP1" s="280"/>
      <c r="AQ1" s="280"/>
      <c r="AR1" s="280"/>
      <c r="AS1" s="280"/>
    </row>
    <row r="2" spans="1:45" ht="18" customHeight="1">
      <c r="A2" s="689" t="s">
        <v>147</v>
      </c>
      <c r="B2" s="690" t="s">
        <v>552</v>
      </c>
      <c r="C2" s="691"/>
      <c r="D2" s="3515" t="s">
        <v>1016</v>
      </c>
      <c r="E2" s="3515"/>
      <c r="F2" s="3516" t="str">
        <f>IF(ISBLANK(Summary!S3)," ",Summary!S3)</f>
        <v xml:space="preserve"> </v>
      </c>
      <c r="G2" s="3516"/>
      <c r="H2" s="691"/>
      <c r="I2" s="1163" t="str">
        <f>'Drop-Down Lists'!J40</f>
        <v>v 04.01.2021</v>
      </c>
      <c r="J2" s="3928"/>
      <c r="K2" s="3928"/>
      <c r="L2" s="3928"/>
      <c r="M2" s="281"/>
      <c r="N2" s="281"/>
      <c r="O2" s="281"/>
      <c r="P2" s="281"/>
      <c r="Q2" s="281"/>
      <c r="R2" s="281"/>
      <c r="S2" s="281"/>
      <c r="T2" s="281"/>
      <c r="U2" s="281"/>
      <c r="V2" s="281"/>
      <c r="W2" s="281"/>
      <c r="X2" s="281"/>
      <c r="Y2" s="281"/>
      <c r="Z2" s="281"/>
      <c r="AA2" s="281"/>
      <c r="AB2" s="281"/>
      <c r="AC2" s="281"/>
      <c r="AD2" s="281"/>
      <c r="AE2" s="281"/>
      <c r="AF2" s="281"/>
      <c r="AG2" s="281"/>
      <c r="AH2" s="281"/>
      <c r="AI2" s="281"/>
      <c r="AJ2" s="281"/>
      <c r="AK2" s="281"/>
      <c r="AL2" s="281"/>
      <c r="AM2" s="281"/>
      <c r="AN2" s="281"/>
      <c r="AO2" s="281"/>
      <c r="AP2" s="281"/>
      <c r="AQ2" s="281"/>
      <c r="AR2" s="281"/>
      <c r="AS2" s="281"/>
    </row>
    <row r="3" spans="1:45" ht="10.5" customHeight="1">
      <c r="A3" s="282"/>
      <c r="B3" s="283"/>
      <c r="C3" s="284"/>
      <c r="D3" s="283"/>
      <c r="E3" s="284"/>
      <c r="F3" s="283"/>
      <c r="G3" s="283"/>
      <c r="H3" s="283"/>
      <c r="I3" s="285"/>
      <c r="J3" s="286"/>
      <c r="K3" s="286"/>
      <c r="L3" s="286"/>
      <c r="M3" s="287"/>
      <c r="N3" s="287"/>
      <c r="O3" s="287"/>
      <c r="P3" s="287"/>
      <c r="Q3" s="287"/>
      <c r="R3" s="287"/>
      <c r="S3" s="287"/>
      <c r="T3" s="287"/>
      <c r="U3" s="287"/>
      <c r="V3" s="287"/>
      <c r="W3" s="287"/>
      <c r="X3" s="287"/>
      <c r="Y3" s="287"/>
      <c r="Z3" s="287"/>
      <c r="AA3" s="287"/>
      <c r="AB3" s="287"/>
      <c r="AC3" s="287"/>
      <c r="AD3" s="287"/>
      <c r="AE3" s="287"/>
      <c r="AF3" s="287"/>
      <c r="AG3" s="287"/>
      <c r="AH3" s="287"/>
      <c r="AI3" s="287"/>
      <c r="AJ3" s="287"/>
      <c r="AK3" s="287"/>
      <c r="AL3" s="287"/>
      <c r="AM3" s="287"/>
      <c r="AN3" s="287"/>
      <c r="AO3" s="287"/>
      <c r="AP3" s="287"/>
      <c r="AQ3" s="287"/>
      <c r="AR3" s="287"/>
      <c r="AS3" s="287"/>
    </row>
    <row r="4" spans="1:45" ht="19.5" customHeight="1">
      <c r="A4" s="288" t="s">
        <v>88</v>
      </c>
      <c r="B4" s="433" t="s">
        <v>186</v>
      </c>
      <c r="C4" s="337"/>
      <c r="D4" s="337"/>
      <c r="E4" s="337"/>
      <c r="G4" s="1198"/>
      <c r="H4" s="289"/>
      <c r="I4" s="290"/>
      <c r="J4" s="291"/>
      <c r="K4" s="422"/>
      <c r="L4" s="422"/>
      <c r="M4" s="419"/>
      <c r="N4" s="419"/>
      <c r="O4" s="281"/>
      <c r="P4" s="281"/>
      <c r="Q4" s="281"/>
      <c r="R4" s="281"/>
      <c r="S4" s="281"/>
      <c r="T4" s="281"/>
      <c r="U4" s="281"/>
      <c r="V4" s="281"/>
      <c r="W4" s="281"/>
      <c r="X4" s="281"/>
      <c r="Y4" s="281"/>
      <c r="Z4" s="281"/>
      <c r="AA4" s="281"/>
      <c r="AB4" s="281"/>
      <c r="AC4" s="281"/>
      <c r="AD4" s="281"/>
      <c r="AE4" s="281"/>
      <c r="AF4" s="281"/>
      <c r="AG4" s="281"/>
      <c r="AH4" s="281"/>
      <c r="AI4" s="281"/>
      <c r="AJ4" s="281"/>
      <c r="AK4" s="281"/>
      <c r="AL4" s="281"/>
      <c r="AM4" s="281"/>
      <c r="AN4" s="281"/>
      <c r="AO4" s="281"/>
      <c r="AP4" s="281"/>
      <c r="AQ4" s="281"/>
      <c r="AR4" s="281"/>
      <c r="AS4" s="281"/>
    </row>
    <row r="5" spans="1:45" ht="10.5" customHeight="1">
      <c r="A5" s="288"/>
      <c r="B5" s="292"/>
      <c r="C5" s="289"/>
      <c r="D5" s="289"/>
      <c r="E5" s="289"/>
      <c r="F5" s="289"/>
      <c r="G5" s="289"/>
      <c r="H5" s="289"/>
      <c r="I5" s="290"/>
      <c r="J5" s="291"/>
      <c r="K5" s="421"/>
      <c r="L5" s="421"/>
      <c r="M5" s="420"/>
      <c r="N5" s="420"/>
      <c r="O5" s="281"/>
      <c r="P5" s="281"/>
      <c r="Q5" s="281"/>
      <c r="R5" s="281"/>
      <c r="S5" s="281"/>
      <c r="T5" s="281"/>
      <c r="U5" s="281"/>
      <c r="V5" s="281"/>
      <c r="W5" s="281"/>
      <c r="X5" s="281"/>
      <c r="Y5" s="281"/>
      <c r="Z5" s="281"/>
      <c r="AA5" s="281"/>
      <c r="AB5" s="281"/>
      <c r="AC5" s="281"/>
      <c r="AD5" s="281"/>
      <c r="AE5" s="281"/>
      <c r="AF5" s="281"/>
      <c r="AG5" s="281"/>
      <c r="AH5" s="281"/>
      <c r="AI5" s="281"/>
      <c r="AJ5" s="281"/>
      <c r="AK5" s="281"/>
      <c r="AL5" s="281"/>
      <c r="AM5" s="281"/>
      <c r="AN5" s="281"/>
      <c r="AO5" s="281"/>
      <c r="AP5" s="281"/>
      <c r="AQ5" s="281"/>
      <c r="AR5" s="281"/>
      <c r="AS5" s="281"/>
    </row>
    <row r="6" spans="1:45" ht="18" customHeight="1">
      <c r="A6" s="288" t="s">
        <v>89</v>
      </c>
      <c r="B6" s="292" t="s">
        <v>187</v>
      </c>
      <c r="C6" s="289"/>
      <c r="D6" s="298"/>
      <c r="E6" s="297"/>
      <c r="F6" s="298"/>
      <c r="G6" s="297"/>
      <c r="H6" s="289"/>
      <c r="I6" s="290"/>
      <c r="J6" s="291"/>
      <c r="K6" s="421"/>
      <c r="L6" s="421"/>
      <c r="M6" s="420"/>
      <c r="N6" s="420"/>
      <c r="O6" s="281"/>
      <c r="P6" s="281"/>
      <c r="Q6" s="281"/>
      <c r="R6" s="281"/>
      <c r="S6" s="281"/>
      <c r="T6" s="281"/>
      <c r="U6" s="281"/>
      <c r="V6" s="281"/>
      <c r="W6" s="281"/>
      <c r="X6" s="281"/>
      <c r="Y6" s="281"/>
      <c r="Z6" s="281"/>
      <c r="AA6" s="281"/>
      <c r="AB6" s="281"/>
      <c r="AC6" s="281"/>
      <c r="AD6" s="281"/>
      <c r="AE6" s="281"/>
      <c r="AF6" s="281"/>
      <c r="AG6" s="281"/>
      <c r="AH6" s="281"/>
      <c r="AI6" s="281"/>
      <c r="AJ6" s="281"/>
      <c r="AK6" s="281"/>
      <c r="AL6" s="281"/>
      <c r="AM6" s="281"/>
      <c r="AN6" s="281"/>
      <c r="AO6" s="281"/>
      <c r="AP6" s="281"/>
      <c r="AQ6" s="281"/>
      <c r="AR6" s="281"/>
      <c r="AS6" s="281"/>
    </row>
    <row r="7" spans="1:45" ht="10.5" customHeight="1">
      <c r="A7" s="293"/>
      <c r="B7" s="294"/>
      <c r="C7" s="295"/>
      <c r="D7" s="294"/>
      <c r="E7" s="294"/>
      <c r="F7" s="294"/>
      <c r="G7" s="294"/>
      <c r="H7" s="295"/>
      <c r="I7" s="296"/>
      <c r="J7" s="297"/>
      <c r="K7" s="297"/>
      <c r="L7" s="297"/>
      <c r="M7" s="289"/>
      <c r="N7" s="289"/>
      <c r="O7" s="289"/>
      <c r="P7" s="289"/>
      <c r="Q7" s="289"/>
      <c r="R7" s="289"/>
      <c r="S7" s="289"/>
      <c r="T7" s="289"/>
      <c r="U7" s="289"/>
      <c r="V7" s="289"/>
      <c r="W7" s="289"/>
      <c r="X7" s="289"/>
      <c r="Y7" s="289"/>
      <c r="Z7" s="289"/>
      <c r="AA7" s="289"/>
      <c r="AB7" s="289"/>
      <c r="AC7" s="289"/>
      <c r="AD7" s="289"/>
      <c r="AE7" s="289"/>
      <c r="AF7" s="289"/>
      <c r="AG7" s="289"/>
      <c r="AH7" s="289"/>
      <c r="AI7" s="289"/>
      <c r="AJ7" s="289"/>
      <c r="AK7" s="289"/>
      <c r="AL7" s="289"/>
      <c r="AM7" s="289"/>
      <c r="AN7" s="289"/>
      <c r="AO7" s="289"/>
      <c r="AP7" s="289"/>
      <c r="AQ7" s="289"/>
      <c r="AR7" s="289"/>
      <c r="AS7" s="289"/>
    </row>
    <row r="8" spans="1:45" ht="18" customHeight="1">
      <c r="A8" s="689" t="s">
        <v>631</v>
      </c>
      <c r="B8" s="690" t="s">
        <v>584</v>
      </c>
      <c r="C8" s="690"/>
      <c r="D8" s="690"/>
      <c r="E8" s="691"/>
      <c r="F8" s="691"/>
      <c r="G8" s="693"/>
      <c r="H8" s="691"/>
      <c r="I8" s="692"/>
      <c r="J8" s="297"/>
      <c r="K8" s="298"/>
      <c r="L8" s="298"/>
      <c r="M8" s="281"/>
      <c r="N8" s="281"/>
      <c r="O8" s="281"/>
      <c r="P8" s="281"/>
      <c r="Q8" s="281"/>
      <c r="R8" s="281"/>
      <c r="S8" s="281"/>
      <c r="T8" s="281"/>
      <c r="U8" s="281"/>
      <c r="V8" s="281"/>
      <c r="W8" s="281"/>
      <c r="X8" s="281"/>
      <c r="Y8" s="281"/>
      <c r="Z8" s="281"/>
      <c r="AA8" s="281"/>
      <c r="AB8" s="281"/>
      <c r="AC8" s="281"/>
      <c r="AD8" s="281"/>
      <c r="AE8" s="281"/>
      <c r="AF8" s="281"/>
      <c r="AG8" s="281"/>
      <c r="AH8" s="281"/>
      <c r="AI8" s="281"/>
      <c r="AJ8" s="281"/>
      <c r="AK8" s="281"/>
      <c r="AL8" s="281"/>
      <c r="AM8" s="281"/>
      <c r="AN8" s="281"/>
      <c r="AO8" s="281"/>
      <c r="AP8" s="281"/>
      <c r="AQ8" s="281"/>
      <c r="AR8" s="281"/>
      <c r="AS8" s="281"/>
    </row>
    <row r="9" spans="1:45" ht="18" customHeight="1">
      <c r="A9" s="299"/>
      <c r="B9" s="289" t="s">
        <v>553</v>
      </c>
      <c r="C9" s="289"/>
      <c r="D9" s="289"/>
      <c r="E9" s="300"/>
      <c r="F9" s="289"/>
      <c r="G9" s="289"/>
      <c r="H9" s="289"/>
      <c r="I9" s="290"/>
      <c r="J9" s="297"/>
      <c r="K9" s="298"/>
      <c r="L9" s="298"/>
      <c r="M9" s="281"/>
      <c r="N9" s="281"/>
      <c r="O9" s="281"/>
      <c r="P9" s="281"/>
      <c r="Q9" s="281"/>
      <c r="R9" s="281"/>
      <c r="S9" s="281"/>
      <c r="T9" s="281"/>
      <c r="U9" s="281"/>
      <c r="V9" s="281"/>
      <c r="W9" s="281"/>
      <c r="X9" s="281"/>
      <c r="Y9" s="281"/>
      <c r="Z9" s="281"/>
      <c r="AA9" s="281"/>
      <c r="AB9" s="281"/>
      <c r="AC9" s="281"/>
      <c r="AD9" s="281"/>
      <c r="AE9" s="281"/>
      <c r="AF9" s="281"/>
      <c r="AG9" s="281"/>
      <c r="AH9" s="281"/>
      <c r="AI9" s="281"/>
      <c r="AJ9" s="281"/>
      <c r="AK9" s="281"/>
      <c r="AL9" s="281"/>
      <c r="AM9" s="281"/>
      <c r="AN9" s="281"/>
      <c r="AO9" s="281"/>
      <c r="AP9" s="281"/>
      <c r="AQ9" s="281"/>
      <c r="AR9" s="281"/>
      <c r="AS9" s="281"/>
    </row>
    <row r="10" spans="1:45" ht="18" customHeight="1">
      <c r="A10" s="299"/>
      <c r="B10" s="301" t="s">
        <v>554</v>
      </c>
      <c r="C10" s="300"/>
      <c r="D10" s="300"/>
      <c r="E10" s="300"/>
      <c r="F10" s="300"/>
      <c r="G10" s="300"/>
      <c r="H10" s="300"/>
      <c r="I10" s="302"/>
      <c r="J10" s="303"/>
      <c r="K10" s="3929"/>
      <c r="L10" s="3929"/>
      <c r="M10" s="281"/>
      <c r="N10" s="281"/>
      <c r="O10" s="281"/>
      <c r="P10" s="281"/>
      <c r="Q10" s="281"/>
      <c r="R10" s="281"/>
      <c r="S10" s="281"/>
      <c r="T10" s="281"/>
      <c r="U10" s="281"/>
      <c r="V10" s="281"/>
      <c r="W10" s="281"/>
      <c r="X10" s="281"/>
      <c r="Y10" s="281"/>
      <c r="Z10" s="281"/>
      <c r="AA10" s="281"/>
      <c r="AB10" s="281"/>
      <c r="AC10" s="281"/>
      <c r="AD10" s="281"/>
      <c r="AE10" s="281"/>
      <c r="AF10" s="281"/>
      <c r="AG10" s="281"/>
      <c r="AH10" s="281"/>
      <c r="AI10" s="281"/>
      <c r="AJ10" s="281"/>
      <c r="AK10" s="281"/>
      <c r="AL10" s="281"/>
      <c r="AM10" s="281"/>
      <c r="AN10" s="281"/>
      <c r="AO10" s="281"/>
      <c r="AP10" s="281"/>
      <c r="AQ10" s="281"/>
      <c r="AR10" s="281"/>
      <c r="AS10" s="281"/>
    </row>
    <row r="11" spans="1:45" ht="10.5" customHeight="1">
      <c r="A11" s="299"/>
      <c r="B11" s="301"/>
      <c r="C11" s="300"/>
      <c r="D11" s="300"/>
      <c r="E11" s="300"/>
      <c r="F11" s="300"/>
      <c r="G11" s="300"/>
      <c r="H11" s="300"/>
      <c r="I11" s="302"/>
      <c r="J11" s="3930"/>
      <c r="K11" s="3931"/>
      <c r="L11" s="3931"/>
      <c r="M11" s="281"/>
      <c r="N11" s="289"/>
      <c r="O11" s="289"/>
      <c r="P11" s="281"/>
      <c r="Q11" s="281"/>
      <c r="R11" s="281"/>
      <c r="S11" s="281"/>
      <c r="T11" s="281"/>
      <c r="U11" s="281"/>
      <c r="V11" s="281"/>
      <c r="W11" s="281"/>
      <c r="X11" s="281"/>
      <c r="Y11" s="281"/>
      <c r="Z11" s="281"/>
      <c r="AA11" s="281"/>
      <c r="AB11" s="281"/>
      <c r="AC11" s="281"/>
      <c r="AD11" s="281"/>
      <c r="AE11" s="281"/>
      <c r="AF11" s="281"/>
      <c r="AG11" s="281"/>
      <c r="AH11" s="281"/>
      <c r="AI11" s="281"/>
      <c r="AJ11" s="281"/>
      <c r="AK11" s="281"/>
      <c r="AL11" s="281"/>
      <c r="AM11" s="281"/>
      <c r="AN11" s="281"/>
      <c r="AO11" s="281"/>
      <c r="AP11" s="281"/>
      <c r="AQ11" s="281"/>
      <c r="AR11" s="281"/>
      <c r="AS11" s="281"/>
    </row>
    <row r="12" spans="1:45" ht="19.5" customHeight="1">
      <c r="A12" s="282"/>
      <c r="B12" s="908">
        <f>G4</f>
        <v>0</v>
      </c>
      <c r="C12" s="486" t="s">
        <v>60</v>
      </c>
      <c r="D12" s="1198"/>
      <c r="E12" s="344" t="s">
        <v>555</v>
      </c>
      <c r="F12" s="909" t="str">
        <f>IF(ISBLANK(D12),"",B12*D12)</f>
        <v/>
      </c>
      <c r="G12" s="344" t="s">
        <v>96</v>
      </c>
      <c r="H12" s="101"/>
      <c r="I12" s="290"/>
      <c r="J12" s="304"/>
      <c r="K12" s="305"/>
      <c r="L12" s="305"/>
      <c r="M12" s="289"/>
      <c r="N12" s="289"/>
      <c r="O12" s="306"/>
      <c r="P12" s="306"/>
      <c r="Q12" s="306"/>
      <c r="R12" s="306"/>
      <c r="S12" s="306"/>
      <c r="T12" s="306"/>
      <c r="U12" s="306"/>
      <c r="V12" s="306"/>
      <c r="W12" s="297"/>
      <c r="X12" s="307"/>
      <c r="Y12" s="308"/>
      <c r="Z12" s="308"/>
      <c r="AA12" s="309"/>
      <c r="AB12" s="309"/>
      <c r="AC12" s="310"/>
      <c r="AD12" s="310"/>
      <c r="AE12" s="310"/>
      <c r="AF12" s="311"/>
      <c r="AG12" s="311"/>
      <c r="AH12" s="311"/>
      <c r="AI12" s="311"/>
      <c r="AJ12" s="311"/>
      <c r="AK12" s="311"/>
      <c r="AL12" s="311"/>
      <c r="AM12" s="311"/>
      <c r="AN12" s="311"/>
      <c r="AO12" s="311"/>
      <c r="AP12" s="311"/>
      <c r="AQ12" s="311"/>
      <c r="AR12" s="311"/>
      <c r="AS12" s="311"/>
    </row>
    <row r="13" spans="1:45" ht="10.5" customHeight="1">
      <c r="A13" s="299"/>
      <c r="B13" s="312"/>
      <c r="C13" s="300"/>
      <c r="D13" s="300"/>
      <c r="E13" s="300"/>
      <c r="F13" s="300"/>
      <c r="G13" s="300"/>
      <c r="H13" s="300"/>
      <c r="I13" s="302"/>
      <c r="J13" s="304"/>
      <c r="K13" s="305"/>
      <c r="L13" s="298"/>
      <c r="M13" s="281"/>
      <c r="N13" s="281"/>
      <c r="O13" s="281"/>
      <c r="P13" s="281"/>
      <c r="Q13" s="281"/>
      <c r="R13" s="281"/>
      <c r="S13" s="281"/>
      <c r="T13" s="281"/>
      <c r="U13" s="281"/>
      <c r="V13" s="281"/>
      <c r="W13" s="281"/>
      <c r="X13" s="281"/>
      <c r="Y13" s="281"/>
      <c r="Z13" s="281"/>
      <c r="AA13" s="281"/>
      <c r="AB13" s="281"/>
      <c r="AC13" s="281"/>
      <c r="AD13" s="281"/>
      <c r="AE13" s="281"/>
      <c r="AF13" s="281"/>
      <c r="AG13" s="281"/>
      <c r="AH13" s="281"/>
      <c r="AI13" s="281"/>
      <c r="AJ13" s="281"/>
      <c r="AK13" s="281"/>
      <c r="AL13" s="281"/>
      <c r="AM13" s="281"/>
      <c r="AN13" s="281"/>
      <c r="AO13" s="281"/>
      <c r="AP13" s="281"/>
      <c r="AQ13" s="281"/>
      <c r="AR13" s="281"/>
      <c r="AS13" s="281"/>
    </row>
    <row r="14" spans="1:45" ht="18" customHeight="1">
      <c r="A14" s="689" t="s">
        <v>149</v>
      </c>
      <c r="B14" s="690" t="s">
        <v>556</v>
      </c>
      <c r="C14" s="691"/>
      <c r="D14" s="691"/>
      <c r="E14" s="691"/>
      <c r="F14" s="691"/>
      <c r="G14" s="691"/>
      <c r="H14" s="693"/>
      <c r="I14" s="694"/>
      <c r="J14" s="313"/>
      <c r="K14" s="305"/>
      <c r="L14" s="298"/>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c r="AL14" s="281"/>
      <c r="AM14" s="281"/>
      <c r="AN14" s="281"/>
      <c r="AO14" s="281"/>
      <c r="AP14" s="281"/>
      <c r="AQ14" s="281"/>
      <c r="AR14" s="281"/>
      <c r="AS14" s="281"/>
    </row>
    <row r="15" spans="1:45" ht="10.5" customHeight="1">
      <c r="A15" s="282"/>
      <c r="B15" s="283"/>
      <c r="C15" s="284"/>
      <c r="D15" s="283"/>
      <c r="E15" s="284"/>
      <c r="F15" s="283"/>
      <c r="G15" s="283"/>
      <c r="H15" s="283"/>
      <c r="I15" s="285"/>
      <c r="J15" s="304"/>
      <c r="K15" s="305"/>
      <c r="L15" s="298"/>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c r="AL15" s="281"/>
      <c r="AM15" s="281"/>
      <c r="AN15" s="281"/>
      <c r="AO15" s="281"/>
      <c r="AP15" s="281"/>
      <c r="AQ15" s="281"/>
      <c r="AR15" s="281"/>
      <c r="AS15" s="281"/>
    </row>
    <row r="16" spans="1:45" ht="19.5" customHeight="1">
      <c r="A16" s="341" t="s">
        <v>88</v>
      </c>
      <c r="B16" s="344" t="s">
        <v>273</v>
      </c>
      <c r="C16" s="289"/>
      <c r="D16" s="101"/>
      <c r="E16" s="1199"/>
      <c r="F16" s="344" t="s">
        <v>1138</v>
      </c>
      <c r="G16" s="297"/>
      <c r="H16" s="297"/>
      <c r="I16" s="314"/>
      <c r="J16" s="313"/>
      <c r="K16" s="305"/>
      <c r="L16" s="298"/>
      <c r="M16" s="281"/>
      <c r="N16" s="281"/>
      <c r="O16" s="281"/>
      <c r="P16" s="281"/>
      <c r="Q16" s="281"/>
      <c r="R16" s="281"/>
      <c r="S16" s="281"/>
      <c r="T16" s="281"/>
      <c r="U16" s="281"/>
      <c r="V16" s="281"/>
      <c r="W16" s="281"/>
      <c r="X16" s="281"/>
      <c r="Y16" s="281"/>
      <c r="Z16" s="281"/>
      <c r="AA16" s="281"/>
      <c r="AB16" s="281"/>
      <c r="AC16" s="281"/>
      <c r="AD16" s="281"/>
      <c r="AE16" s="281"/>
      <c r="AF16" s="281"/>
      <c r="AG16" s="281"/>
      <c r="AH16" s="281"/>
      <c r="AI16" s="281"/>
      <c r="AJ16" s="281"/>
      <c r="AK16" s="281"/>
      <c r="AL16" s="281"/>
      <c r="AM16" s="281"/>
      <c r="AN16" s="281"/>
      <c r="AO16" s="281"/>
      <c r="AP16" s="281"/>
      <c r="AQ16" s="281"/>
      <c r="AR16" s="281"/>
      <c r="AS16" s="281"/>
    </row>
    <row r="17" spans="1:45" ht="18" customHeight="1">
      <c r="A17" s="288"/>
      <c r="B17" s="315" t="s">
        <v>1422</v>
      </c>
      <c r="C17" s="289"/>
      <c r="D17" s="289"/>
      <c r="E17" s="297"/>
      <c r="F17" s="289"/>
      <c r="G17" s="297"/>
      <c r="H17" s="297"/>
      <c r="I17" s="316"/>
      <c r="J17" s="313"/>
      <c r="K17" s="305"/>
      <c r="L17" s="298"/>
      <c r="M17" s="281"/>
      <c r="N17" s="281"/>
      <c r="O17" s="281"/>
      <c r="P17" s="317"/>
      <c r="Q17" s="317"/>
      <c r="R17" s="317"/>
      <c r="S17" s="317"/>
      <c r="T17" s="317"/>
      <c r="U17" s="317"/>
      <c r="V17" s="317"/>
      <c r="W17" s="317"/>
      <c r="X17" s="317"/>
      <c r="Y17" s="317"/>
      <c r="Z17" s="317"/>
      <c r="AA17" s="317"/>
      <c r="AB17" s="317"/>
      <c r="AC17" s="317"/>
      <c r="AD17" s="317"/>
      <c r="AE17" s="317"/>
      <c r="AF17" s="317"/>
      <c r="AG17" s="317"/>
      <c r="AH17" s="317"/>
      <c r="AI17" s="317"/>
      <c r="AJ17" s="317"/>
      <c r="AK17" s="317"/>
      <c r="AL17" s="317"/>
      <c r="AM17" s="317"/>
      <c r="AN17" s="317"/>
      <c r="AO17" s="317"/>
      <c r="AP17" s="317"/>
      <c r="AQ17" s="317"/>
      <c r="AR17" s="317"/>
      <c r="AS17" s="317"/>
    </row>
    <row r="18" spans="1:45" ht="10.5" customHeight="1">
      <c r="A18" s="288"/>
      <c r="B18" s="292"/>
      <c r="C18" s="289"/>
      <c r="D18" s="289"/>
      <c r="E18" s="297"/>
      <c r="F18" s="289"/>
      <c r="G18" s="297"/>
      <c r="H18" s="297"/>
      <c r="I18" s="316"/>
      <c r="J18" s="313"/>
      <c r="K18" s="305"/>
      <c r="L18" s="305"/>
      <c r="M18" s="281"/>
      <c r="N18" s="281"/>
      <c r="O18" s="281"/>
      <c r="P18" s="317"/>
      <c r="Q18" s="317"/>
      <c r="R18" s="317"/>
      <c r="S18" s="317"/>
      <c r="T18" s="317"/>
      <c r="U18" s="317"/>
      <c r="V18" s="317"/>
      <c r="W18" s="317"/>
      <c r="X18" s="317"/>
      <c r="Y18" s="317"/>
      <c r="Z18" s="317"/>
      <c r="AA18" s="317"/>
      <c r="AB18" s="317"/>
      <c r="AC18" s="317"/>
      <c r="AD18" s="317"/>
      <c r="AE18" s="317"/>
      <c r="AF18" s="317"/>
      <c r="AG18" s="317"/>
      <c r="AH18" s="317"/>
      <c r="AI18" s="317"/>
      <c r="AJ18" s="317"/>
      <c r="AK18" s="317"/>
      <c r="AL18" s="317"/>
      <c r="AM18" s="317"/>
      <c r="AN18" s="317"/>
      <c r="AO18" s="317"/>
      <c r="AP18" s="317"/>
      <c r="AQ18" s="317"/>
      <c r="AR18" s="317"/>
      <c r="AS18" s="317"/>
    </row>
    <row r="19" spans="1:45" ht="18" customHeight="1">
      <c r="A19" s="288" t="s">
        <v>89</v>
      </c>
      <c r="B19" s="289" t="s">
        <v>1423</v>
      </c>
      <c r="C19" s="289"/>
      <c r="D19" s="289"/>
      <c r="E19" s="289"/>
      <c r="F19" s="289"/>
      <c r="G19" s="289"/>
      <c r="H19" s="289"/>
      <c r="I19" s="290"/>
      <c r="J19" s="313"/>
      <c r="K19" s="305"/>
      <c r="L19" s="305"/>
      <c r="M19" s="281"/>
      <c r="N19" s="281"/>
      <c r="O19" s="281"/>
      <c r="P19" s="317"/>
      <c r="Q19" s="317"/>
      <c r="R19" s="317"/>
      <c r="S19" s="317"/>
      <c r="T19" s="317"/>
      <c r="U19" s="317"/>
      <c r="V19" s="317"/>
      <c r="W19" s="317"/>
      <c r="X19" s="317"/>
      <c r="Y19" s="317"/>
      <c r="Z19" s="317"/>
      <c r="AA19" s="317"/>
      <c r="AB19" s="317"/>
      <c r="AC19" s="317"/>
      <c r="AD19" s="317"/>
      <c r="AE19" s="317"/>
      <c r="AF19" s="317"/>
      <c r="AG19" s="317"/>
      <c r="AH19" s="317"/>
      <c r="AI19" s="317"/>
      <c r="AJ19" s="317"/>
      <c r="AK19" s="317"/>
      <c r="AL19" s="317"/>
      <c r="AM19" s="317"/>
      <c r="AN19" s="317"/>
      <c r="AO19" s="317"/>
      <c r="AP19" s="317"/>
      <c r="AQ19" s="317"/>
      <c r="AR19" s="317"/>
      <c r="AS19" s="317"/>
    </row>
    <row r="20" spans="1:45" ht="10.5" customHeight="1">
      <c r="A20" s="288"/>
      <c r="B20" s="289"/>
      <c r="C20" s="289"/>
      <c r="D20" s="289"/>
      <c r="E20" s="289"/>
      <c r="F20" s="289"/>
      <c r="G20" s="289"/>
      <c r="H20" s="289"/>
      <c r="I20" s="290"/>
      <c r="J20" s="313"/>
      <c r="K20" s="305"/>
      <c r="L20" s="305"/>
      <c r="M20" s="281"/>
      <c r="N20" s="281"/>
      <c r="O20" s="281"/>
      <c r="P20" s="317"/>
      <c r="Q20" s="317"/>
      <c r="R20" s="317"/>
      <c r="S20" s="317"/>
      <c r="T20" s="317"/>
      <c r="U20" s="317"/>
      <c r="V20" s="317"/>
      <c r="W20" s="317"/>
      <c r="X20" s="317"/>
      <c r="Y20" s="317"/>
      <c r="Z20" s="317"/>
      <c r="AA20" s="317"/>
      <c r="AB20" s="317"/>
      <c r="AC20" s="317"/>
      <c r="AD20" s="317"/>
      <c r="AE20" s="317"/>
      <c r="AF20" s="317"/>
      <c r="AG20" s="317"/>
      <c r="AH20" s="317"/>
      <c r="AI20" s="317"/>
      <c r="AJ20" s="317"/>
      <c r="AK20" s="317"/>
      <c r="AL20" s="317"/>
      <c r="AM20" s="317"/>
      <c r="AN20" s="317"/>
      <c r="AO20" s="317"/>
      <c r="AP20" s="317"/>
      <c r="AQ20" s="317"/>
      <c r="AR20" s="317"/>
      <c r="AS20" s="317"/>
    </row>
    <row r="21" spans="1:45" ht="19.5" customHeight="1">
      <c r="A21" s="288"/>
      <c r="B21" s="909" t="str">
        <f>IF(ISBLANK(G4),"",G4)</f>
        <v/>
      </c>
      <c r="C21" s="486" t="s">
        <v>1424</v>
      </c>
      <c r="D21" s="909" t="str">
        <f>IF(ISBLANK(E16),"",E16)</f>
        <v/>
      </c>
      <c r="E21" s="344" t="s">
        <v>1420</v>
      </c>
      <c r="F21" s="909" t="str">
        <f>IF(ISBLANK(E16),"",B21/D21)</f>
        <v/>
      </c>
      <c r="G21" s="344" t="s">
        <v>22</v>
      </c>
      <c r="H21" s="101"/>
      <c r="I21" s="290"/>
      <c r="J21" s="313"/>
      <c r="K21" s="305"/>
      <c r="L21" s="305"/>
      <c r="M21" s="281"/>
      <c r="N21" s="281"/>
      <c r="O21" s="281"/>
      <c r="P21" s="317"/>
      <c r="Q21" s="317"/>
      <c r="R21" s="317"/>
      <c r="S21" s="317"/>
      <c r="T21" s="317"/>
      <c r="U21" s="317"/>
      <c r="V21" s="317"/>
      <c r="W21" s="317"/>
      <c r="X21" s="317"/>
      <c r="Y21" s="317"/>
      <c r="Z21" s="317"/>
      <c r="AA21" s="317"/>
      <c r="AB21" s="317"/>
      <c r="AC21" s="317"/>
      <c r="AD21" s="317"/>
      <c r="AE21" s="317"/>
      <c r="AF21" s="317"/>
      <c r="AG21" s="317"/>
      <c r="AH21" s="317"/>
      <c r="AI21" s="317"/>
      <c r="AJ21" s="317"/>
      <c r="AK21" s="317"/>
      <c r="AL21" s="317"/>
      <c r="AM21" s="317"/>
      <c r="AN21" s="317"/>
      <c r="AO21" s="317"/>
      <c r="AP21" s="317"/>
      <c r="AQ21" s="317"/>
      <c r="AR21" s="317"/>
      <c r="AS21" s="317"/>
    </row>
    <row r="22" spans="1:45" ht="10.5" customHeight="1">
      <c r="A22" s="288"/>
      <c r="B22" s="300"/>
      <c r="C22" s="289"/>
      <c r="D22" s="300"/>
      <c r="E22" s="289"/>
      <c r="F22" s="300"/>
      <c r="G22" s="300"/>
      <c r="H22" s="289"/>
      <c r="I22" s="290"/>
      <c r="J22" s="313"/>
      <c r="K22" s="305"/>
      <c r="L22" s="305"/>
      <c r="M22" s="281"/>
      <c r="N22" s="281"/>
      <c r="O22" s="281"/>
      <c r="P22" s="317"/>
      <c r="Q22" s="317"/>
      <c r="R22" s="317"/>
      <c r="S22" s="317"/>
      <c r="T22" s="317"/>
      <c r="U22" s="317"/>
      <c r="V22" s="317"/>
      <c r="W22" s="317"/>
      <c r="X22" s="317"/>
      <c r="Y22" s="317"/>
      <c r="Z22" s="317"/>
      <c r="AA22" s="317"/>
      <c r="AB22" s="317"/>
      <c r="AC22" s="317"/>
      <c r="AD22" s="317"/>
      <c r="AE22" s="317"/>
      <c r="AF22" s="317"/>
      <c r="AG22" s="317"/>
      <c r="AH22" s="317"/>
      <c r="AI22" s="317"/>
      <c r="AJ22" s="317"/>
      <c r="AK22" s="317"/>
      <c r="AL22" s="317"/>
      <c r="AM22" s="317"/>
      <c r="AN22" s="317"/>
      <c r="AO22" s="317"/>
      <c r="AP22" s="317"/>
      <c r="AQ22" s="317"/>
      <c r="AR22" s="317"/>
      <c r="AS22" s="317"/>
    </row>
    <row r="23" spans="1:45" ht="18" customHeight="1">
      <c r="A23" s="288" t="s">
        <v>141</v>
      </c>
      <c r="B23" s="289" t="s">
        <v>784</v>
      </c>
      <c r="C23" s="289"/>
      <c r="D23" s="289"/>
      <c r="E23" s="289"/>
      <c r="F23" s="289"/>
      <c r="G23" s="289"/>
      <c r="H23" s="289"/>
      <c r="I23" s="290"/>
      <c r="J23" s="313"/>
      <c r="K23" s="318"/>
      <c r="L23" s="305"/>
      <c r="M23" s="289"/>
      <c r="N23" s="3890"/>
      <c r="O23" s="3891"/>
      <c r="P23" s="317"/>
      <c r="Q23" s="317"/>
      <c r="R23" s="317"/>
      <c r="S23" s="317"/>
      <c r="T23" s="317"/>
      <c r="U23" s="317"/>
      <c r="V23" s="317"/>
      <c r="W23" s="317"/>
      <c r="X23" s="317"/>
      <c r="Y23" s="317"/>
      <c r="Z23" s="317"/>
      <c r="AA23" s="317"/>
      <c r="AB23" s="317"/>
      <c r="AC23" s="317"/>
      <c r="AD23" s="317"/>
      <c r="AE23" s="317"/>
      <c r="AF23" s="317"/>
      <c r="AG23" s="317"/>
      <c r="AH23" s="317"/>
      <c r="AI23" s="317"/>
      <c r="AJ23" s="317"/>
      <c r="AK23" s="317"/>
      <c r="AL23" s="317"/>
      <c r="AM23" s="317"/>
      <c r="AN23" s="317"/>
      <c r="AO23" s="317"/>
      <c r="AP23" s="317"/>
      <c r="AQ23" s="317"/>
      <c r="AR23" s="317"/>
      <c r="AS23" s="317"/>
    </row>
    <row r="24" spans="1:45" ht="18" customHeight="1">
      <c r="A24" s="288" t="s">
        <v>200</v>
      </c>
      <c r="B24" s="3898" t="s">
        <v>785</v>
      </c>
      <c r="C24" s="3572"/>
      <c r="D24" s="3572"/>
      <c r="E24" s="3572"/>
      <c r="F24" s="3572"/>
      <c r="G24" s="3572"/>
      <c r="H24" s="3572"/>
      <c r="I24" s="3573"/>
      <c r="J24" s="313"/>
      <c r="K24" s="318"/>
      <c r="L24" s="305"/>
      <c r="M24" s="289"/>
      <c r="N24" s="319"/>
      <c r="O24" s="320"/>
      <c r="P24" s="317"/>
      <c r="Q24" s="317"/>
      <c r="R24" s="317"/>
      <c r="S24" s="317"/>
      <c r="T24" s="317"/>
      <c r="U24" s="317"/>
      <c r="V24" s="317"/>
      <c r="W24" s="317"/>
      <c r="X24" s="317"/>
      <c r="Y24" s="317"/>
      <c r="Z24" s="317"/>
      <c r="AA24" s="317"/>
      <c r="AB24" s="317"/>
      <c r="AC24" s="317"/>
      <c r="AD24" s="317"/>
      <c r="AE24" s="317"/>
      <c r="AF24" s="317"/>
      <c r="AG24" s="317"/>
      <c r="AH24" s="317"/>
      <c r="AI24" s="317"/>
      <c r="AJ24" s="317"/>
      <c r="AK24" s="317"/>
      <c r="AL24" s="317"/>
      <c r="AM24" s="317"/>
      <c r="AN24" s="317"/>
      <c r="AO24" s="317"/>
      <c r="AP24" s="317"/>
      <c r="AQ24" s="317"/>
      <c r="AR24" s="317"/>
      <c r="AS24" s="317"/>
    </row>
    <row r="25" spans="1:45" ht="10.5" customHeight="1">
      <c r="A25" s="288"/>
      <c r="B25" s="423"/>
      <c r="C25" s="423"/>
      <c r="D25" s="423"/>
      <c r="E25" s="423"/>
      <c r="F25" s="423"/>
      <c r="G25" s="423"/>
      <c r="H25" s="423"/>
      <c r="I25" s="418"/>
      <c r="J25" s="313"/>
      <c r="K25" s="318"/>
      <c r="L25" s="305"/>
      <c r="M25" s="289"/>
      <c r="N25" s="319"/>
      <c r="O25" s="320"/>
      <c r="P25" s="317"/>
      <c r="Q25" s="317"/>
      <c r="R25" s="317"/>
      <c r="S25" s="317"/>
      <c r="T25" s="317"/>
      <c r="U25" s="317"/>
      <c r="V25" s="317"/>
      <c r="W25" s="317"/>
      <c r="X25" s="317"/>
      <c r="Y25" s="317"/>
      <c r="Z25" s="317"/>
      <c r="AA25" s="317"/>
      <c r="AB25" s="317"/>
      <c r="AC25" s="317"/>
      <c r="AD25" s="317"/>
      <c r="AE25" s="317"/>
      <c r="AF25" s="317"/>
      <c r="AG25" s="317"/>
      <c r="AH25" s="317"/>
      <c r="AI25" s="317"/>
      <c r="AJ25" s="317"/>
      <c r="AK25" s="317"/>
      <c r="AL25" s="317"/>
      <c r="AM25" s="317"/>
      <c r="AN25" s="317"/>
      <c r="AO25" s="317"/>
      <c r="AP25" s="317"/>
      <c r="AQ25" s="317"/>
      <c r="AR25" s="317"/>
      <c r="AS25" s="317"/>
    </row>
    <row r="26" spans="1:45" ht="19.5" customHeight="1">
      <c r="A26" s="321"/>
      <c r="B26" s="909" t="str">
        <f>IF(ISBLANK(G4),"",G4)</f>
        <v/>
      </c>
      <c r="C26" s="486" t="s">
        <v>60</v>
      </c>
      <c r="D26" s="1198"/>
      <c r="E26" s="3924" t="s">
        <v>267</v>
      </c>
      <c r="F26" s="3925"/>
      <c r="G26" s="910" t="str">
        <f>IF(ISBLANK(G4),"",B26*D26*0.00000834)</f>
        <v/>
      </c>
      <c r="H26" s="344" t="s">
        <v>199</v>
      </c>
      <c r="I26" s="511"/>
      <c r="J26" s="313"/>
      <c r="K26" s="305"/>
      <c r="L26" s="305"/>
      <c r="M26" s="281"/>
      <c r="N26" s="281"/>
      <c r="O26" s="281"/>
      <c r="P26" s="317"/>
      <c r="Q26" s="317"/>
      <c r="R26" s="317"/>
      <c r="S26" s="317"/>
      <c r="T26" s="317"/>
      <c r="U26" s="317"/>
      <c r="V26" s="317"/>
      <c r="W26" s="317"/>
      <c r="X26" s="317"/>
      <c r="Y26" s="317"/>
      <c r="Z26" s="317"/>
      <c r="AA26" s="317"/>
      <c r="AB26" s="317"/>
      <c r="AC26" s="317"/>
      <c r="AD26" s="317"/>
      <c r="AE26" s="317"/>
      <c r="AF26" s="317"/>
      <c r="AG26" s="317"/>
      <c r="AH26" s="317"/>
      <c r="AI26" s="317"/>
      <c r="AJ26" s="317"/>
      <c r="AK26" s="317"/>
      <c r="AL26" s="317"/>
      <c r="AM26" s="317"/>
      <c r="AN26" s="317"/>
      <c r="AO26" s="317"/>
      <c r="AP26" s="317"/>
      <c r="AQ26" s="317"/>
      <c r="AR26" s="317"/>
      <c r="AS26" s="317"/>
    </row>
    <row r="27" spans="1:45" s="381" customFormat="1" ht="10.5" customHeight="1">
      <c r="A27" s="347"/>
      <c r="B27" s="434"/>
      <c r="C27" s="435"/>
      <c r="D27" s="434"/>
      <c r="E27" s="436"/>
      <c r="F27" s="436"/>
      <c r="G27" s="424"/>
      <c r="H27" s="430"/>
      <c r="I27" s="512"/>
      <c r="J27" s="313"/>
      <c r="K27" s="305"/>
      <c r="L27" s="305"/>
      <c r="M27" s="334"/>
      <c r="N27" s="334"/>
      <c r="O27" s="334"/>
      <c r="P27" s="426"/>
      <c r="Q27" s="426"/>
      <c r="R27" s="426"/>
      <c r="S27" s="426"/>
      <c r="T27" s="426"/>
      <c r="U27" s="426"/>
      <c r="V27" s="426"/>
      <c r="W27" s="426"/>
      <c r="X27" s="426"/>
      <c r="Y27" s="426"/>
      <c r="Z27" s="426"/>
      <c r="AA27" s="426"/>
      <c r="AB27" s="426"/>
      <c r="AC27" s="426"/>
      <c r="AD27" s="426"/>
      <c r="AE27" s="426"/>
      <c r="AF27" s="426"/>
      <c r="AG27" s="426"/>
      <c r="AH27" s="426"/>
      <c r="AI27" s="426"/>
      <c r="AJ27" s="426"/>
      <c r="AK27" s="426"/>
      <c r="AL27" s="426"/>
      <c r="AM27" s="426"/>
      <c r="AN27" s="426"/>
      <c r="AO27" s="426"/>
      <c r="AP27" s="426"/>
      <c r="AQ27" s="426"/>
      <c r="AR27" s="426"/>
      <c r="AS27" s="426"/>
    </row>
    <row r="28" spans="1:45" ht="18" customHeight="1">
      <c r="A28" s="322" t="s">
        <v>201</v>
      </c>
      <c r="B28" s="297" t="s">
        <v>203</v>
      </c>
      <c r="C28" s="291"/>
      <c r="D28" s="323"/>
      <c r="E28" s="298"/>
      <c r="F28" s="297"/>
      <c r="G28" s="297"/>
      <c r="H28" s="298"/>
      <c r="I28" s="316"/>
      <c r="J28" s="313"/>
      <c r="K28" s="305"/>
      <c r="L28" s="305"/>
      <c r="M28" s="297"/>
      <c r="N28" s="297"/>
      <c r="O28" s="297"/>
      <c r="P28" s="317"/>
      <c r="Q28" s="317"/>
      <c r="R28" s="317"/>
      <c r="S28" s="317"/>
      <c r="T28" s="317"/>
      <c r="U28" s="317"/>
      <c r="V28" s="317"/>
      <c r="W28" s="317"/>
      <c r="X28" s="317"/>
      <c r="Y28" s="317"/>
      <c r="Z28" s="317"/>
      <c r="AA28" s="317"/>
      <c r="AB28" s="317"/>
      <c r="AC28" s="317"/>
      <c r="AD28" s="317"/>
      <c r="AE28" s="317"/>
      <c r="AF28" s="317"/>
      <c r="AG28" s="317"/>
      <c r="AH28" s="317"/>
      <c r="AI28" s="317"/>
      <c r="AJ28" s="317"/>
      <c r="AK28" s="317"/>
      <c r="AL28" s="317"/>
      <c r="AM28" s="317"/>
      <c r="AN28" s="317"/>
      <c r="AO28" s="317"/>
      <c r="AP28" s="317"/>
      <c r="AQ28" s="317"/>
      <c r="AR28" s="317"/>
      <c r="AS28" s="317"/>
    </row>
    <row r="29" spans="1:45" ht="10.5" customHeight="1">
      <c r="A29" s="322"/>
      <c r="B29" s="297"/>
      <c r="C29" s="291"/>
      <c r="D29" s="323"/>
      <c r="E29" s="298"/>
      <c r="F29" s="297"/>
      <c r="G29" s="297"/>
      <c r="H29" s="298"/>
      <c r="I29" s="316"/>
      <c r="J29" s="313"/>
      <c r="K29" s="305"/>
      <c r="L29" s="305"/>
      <c r="M29" s="297"/>
      <c r="N29" s="297"/>
      <c r="O29" s="297"/>
      <c r="P29" s="317"/>
      <c r="Q29" s="317"/>
      <c r="R29" s="317"/>
      <c r="S29" s="317"/>
      <c r="T29" s="317"/>
      <c r="U29" s="317"/>
      <c r="V29" s="317"/>
      <c r="W29" s="317"/>
      <c r="X29" s="317"/>
      <c r="Y29" s="317"/>
      <c r="Z29" s="317"/>
      <c r="AA29" s="317"/>
      <c r="AB29" s="317"/>
      <c r="AC29" s="317"/>
      <c r="AD29" s="317"/>
      <c r="AE29" s="317"/>
      <c r="AF29" s="317"/>
      <c r="AG29" s="317"/>
      <c r="AH29" s="317"/>
      <c r="AI29" s="317"/>
      <c r="AJ29" s="317"/>
      <c r="AK29" s="317"/>
      <c r="AL29" s="317"/>
      <c r="AM29" s="317"/>
      <c r="AN29" s="317"/>
      <c r="AO29" s="317"/>
      <c r="AP29" s="317"/>
      <c r="AQ29" s="317"/>
      <c r="AR29" s="317"/>
      <c r="AS29" s="317"/>
    </row>
    <row r="30" spans="1:45" ht="19.5" customHeight="1">
      <c r="A30" s="322"/>
      <c r="B30" s="909" t="str">
        <f>G26</f>
        <v/>
      </c>
      <c r="C30" s="344" t="s">
        <v>202</v>
      </c>
      <c r="D30" s="909" t="str">
        <f>F21</f>
        <v/>
      </c>
      <c r="E30" s="344" t="s">
        <v>527</v>
      </c>
      <c r="F30" s="3926" t="str">
        <f>IF(ISBLANK(E16),"",B30/D30)</f>
        <v/>
      </c>
      <c r="G30" s="3927"/>
      <c r="H30" s="344" t="s">
        <v>528</v>
      </c>
      <c r="I30" s="316"/>
      <c r="J30" s="313"/>
      <c r="K30" s="305"/>
      <c r="L30" s="305"/>
      <c r="M30" s="297"/>
      <c r="N30" s="297"/>
      <c r="O30" s="297"/>
      <c r="P30" s="317"/>
      <c r="Q30" s="317"/>
      <c r="R30" s="317"/>
      <c r="S30" s="317"/>
      <c r="T30" s="317"/>
      <c r="U30" s="317"/>
      <c r="V30" s="317"/>
      <c r="W30" s="317"/>
      <c r="X30" s="317"/>
      <c r="Y30" s="317"/>
      <c r="Z30" s="317"/>
      <c r="AA30" s="317"/>
      <c r="AB30" s="317"/>
      <c r="AC30" s="317"/>
      <c r="AD30" s="317"/>
      <c r="AE30" s="317"/>
      <c r="AF30" s="317"/>
      <c r="AG30" s="317"/>
      <c r="AH30" s="317"/>
      <c r="AI30" s="317"/>
      <c r="AJ30" s="317"/>
      <c r="AK30" s="317"/>
      <c r="AL30" s="317"/>
      <c r="AM30" s="317"/>
      <c r="AN30" s="317"/>
      <c r="AO30" s="317"/>
      <c r="AP30" s="317"/>
      <c r="AQ30" s="317"/>
      <c r="AR30" s="317"/>
      <c r="AS30" s="317"/>
    </row>
    <row r="31" spans="1:45" s="381" customFormat="1" ht="10.5" customHeight="1">
      <c r="A31" s="322"/>
      <c r="B31" s="298"/>
      <c r="C31" s="430"/>
      <c r="D31" s="298"/>
      <c r="E31" s="430"/>
      <c r="F31" s="298"/>
      <c r="G31" s="430"/>
      <c r="H31" s="429"/>
      <c r="I31" s="316"/>
      <c r="J31" s="313"/>
      <c r="K31" s="305"/>
      <c r="L31" s="305"/>
      <c r="M31" s="297"/>
      <c r="N31" s="297"/>
      <c r="O31" s="297"/>
      <c r="P31" s="426"/>
      <c r="Q31" s="426"/>
      <c r="R31" s="426"/>
      <c r="S31" s="426"/>
      <c r="T31" s="426"/>
      <c r="U31" s="426"/>
      <c r="V31" s="426"/>
      <c r="W31" s="426"/>
      <c r="X31" s="426"/>
      <c r="Y31" s="426"/>
      <c r="Z31" s="426"/>
      <c r="AA31" s="426"/>
      <c r="AB31" s="426"/>
      <c r="AC31" s="426"/>
      <c r="AD31" s="426"/>
      <c r="AE31" s="426"/>
      <c r="AF31" s="426"/>
      <c r="AG31" s="426"/>
      <c r="AH31" s="426"/>
      <c r="AI31" s="426"/>
      <c r="AJ31" s="426"/>
      <c r="AK31" s="426"/>
      <c r="AL31" s="426"/>
      <c r="AM31" s="426"/>
      <c r="AN31" s="426"/>
      <c r="AO31" s="426"/>
      <c r="AP31" s="426"/>
      <c r="AQ31" s="426"/>
      <c r="AR31" s="426"/>
      <c r="AS31" s="426"/>
    </row>
    <row r="32" spans="1:45" s="381" customFormat="1" ht="15" customHeight="1">
      <c r="A32" s="322"/>
      <c r="B32" s="324"/>
      <c r="C32" s="430"/>
      <c r="D32" s="298"/>
      <c r="E32" s="430"/>
      <c r="F32" s="298"/>
      <c r="G32" s="430"/>
      <c r="H32" s="429"/>
      <c r="I32" s="316"/>
      <c r="J32" s="313"/>
      <c r="K32" s="305"/>
      <c r="L32" s="305"/>
      <c r="M32" s="297"/>
      <c r="N32" s="297"/>
      <c r="O32" s="297"/>
      <c r="P32" s="426"/>
      <c r="Q32" s="426"/>
      <c r="R32" s="426"/>
      <c r="S32" s="426"/>
      <c r="T32" s="426"/>
      <c r="U32" s="426"/>
      <c r="V32" s="426"/>
      <c r="W32" s="426"/>
      <c r="X32" s="426"/>
      <c r="Y32" s="426"/>
      <c r="Z32" s="426"/>
      <c r="AA32" s="426"/>
      <c r="AB32" s="426"/>
      <c r="AC32" s="426"/>
      <c r="AD32" s="426"/>
      <c r="AE32" s="426"/>
      <c r="AF32" s="426"/>
      <c r="AG32" s="426"/>
      <c r="AH32" s="426"/>
      <c r="AI32" s="426"/>
      <c r="AJ32" s="426"/>
      <c r="AK32" s="426"/>
      <c r="AL32" s="426"/>
      <c r="AM32" s="426"/>
      <c r="AN32" s="426"/>
      <c r="AO32" s="426"/>
      <c r="AP32" s="426"/>
      <c r="AQ32" s="426"/>
      <c r="AR32" s="426"/>
      <c r="AS32" s="426"/>
    </row>
    <row r="33" spans="1:45" s="381" customFormat="1" ht="15" customHeight="1">
      <c r="A33" s="322" t="s">
        <v>268</v>
      </c>
      <c r="B33" s="3932" t="s">
        <v>274</v>
      </c>
      <c r="C33" s="3933"/>
      <c r="D33" s="3933"/>
      <c r="E33" s="3933"/>
      <c r="F33" s="3934"/>
      <c r="G33" s="3934"/>
      <c r="H33" s="3934"/>
      <c r="I33" s="3935"/>
      <c r="J33" s="313"/>
      <c r="K33" s="305"/>
      <c r="L33" s="305"/>
      <c r="M33" s="297"/>
      <c r="N33" s="297"/>
      <c r="O33" s="297"/>
      <c r="P33" s="426"/>
      <c r="Q33" s="426"/>
      <c r="R33" s="426"/>
      <c r="S33" s="426"/>
      <c r="T33" s="426"/>
      <c r="U33" s="426"/>
      <c r="V33" s="426"/>
      <c r="W33" s="426"/>
      <c r="X33" s="426"/>
      <c r="Y33" s="426"/>
      <c r="Z33" s="426"/>
      <c r="AA33" s="426"/>
      <c r="AB33" s="426"/>
      <c r="AC33" s="426"/>
      <c r="AD33" s="426"/>
      <c r="AE33" s="426"/>
      <c r="AF33" s="426"/>
      <c r="AG33" s="426"/>
      <c r="AH33" s="426"/>
      <c r="AI33" s="426"/>
      <c r="AJ33" s="426"/>
      <c r="AK33" s="426"/>
      <c r="AL33" s="426"/>
      <c r="AM33" s="426"/>
      <c r="AN33" s="426"/>
      <c r="AO33" s="426"/>
      <c r="AP33" s="426"/>
      <c r="AQ33" s="426"/>
      <c r="AR33" s="426"/>
      <c r="AS33" s="426"/>
    </row>
    <row r="34" spans="1:45" ht="10.5" customHeight="1">
      <c r="A34" s="322"/>
      <c r="B34" s="297"/>
      <c r="C34" s="291"/>
      <c r="D34" s="323"/>
      <c r="E34" s="298"/>
      <c r="F34" s="297"/>
      <c r="G34" s="297"/>
      <c r="H34" s="298"/>
      <c r="I34" s="316"/>
      <c r="J34" s="313"/>
      <c r="K34" s="305"/>
      <c r="L34" s="305"/>
      <c r="M34" s="297"/>
      <c r="N34" s="297"/>
      <c r="O34" s="297"/>
      <c r="P34" s="317"/>
      <c r="Q34" s="317"/>
      <c r="R34" s="317"/>
      <c r="S34" s="317"/>
      <c r="T34" s="317"/>
      <c r="U34" s="317"/>
      <c r="V34" s="317"/>
      <c r="W34" s="317"/>
      <c r="X34" s="317"/>
      <c r="Y34" s="317"/>
      <c r="Z34" s="317"/>
      <c r="AA34" s="317"/>
      <c r="AB34" s="317"/>
      <c r="AC34" s="317"/>
      <c r="AD34" s="317"/>
      <c r="AE34" s="317"/>
      <c r="AF34" s="317"/>
      <c r="AG34" s="317"/>
      <c r="AH34" s="317"/>
      <c r="AI34" s="317"/>
      <c r="AJ34" s="317"/>
      <c r="AK34" s="317"/>
      <c r="AL34" s="317"/>
      <c r="AM34" s="317"/>
      <c r="AN34" s="317"/>
      <c r="AO34" s="317"/>
      <c r="AP34" s="317"/>
      <c r="AQ34" s="317"/>
      <c r="AR34" s="317"/>
      <c r="AS34" s="317"/>
    </row>
    <row r="35" spans="1:45" ht="19.5" customHeight="1">
      <c r="A35" s="322"/>
      <c r="B35" s="911" t="str">
        <f>G26</f>
        <v/>
      </c>
      <c r="C35" s="344" t="s">
        <v>269</v>
      </c>
      <c r="D35" s="434"/>
      <c r="E35" s="912" t="str">
        <f>IF(ISBLANK(E16), " ",B35/0.005)</f>
        <v xml:space="preserve"> </v>
      </c>
      <c r="F35" s="344" t="s">
        <v>22</v>
      </c>
      <c r="G35" s="101"/>
      <c r="H35" s="101"/>
      <c r="I35" s="316"/>
      <c r="J35" s="313"/>
      <c r="K35" s="305"/>
      <c r="L35" s="305"/>
      <c r="M35" s="297"/>
      <c r="N35" s="297"/>
      <c r="O35" s="297"/>
      <c r="P35" s="317"/>
      <c r="Q35" s="317"/>
      <c r="R35" s="317"/>
      <c r="S35" s="317"/>
      <c r="T35" s="317"/>
      <c r="U35" s="317"/>
      <c r="V35" s="317"/>
      <c r="W35" s="317"/>
      <c r="X35" s="317"/>
      <c r="Y35" s="317"/>
      <c r="Z35" s="317"/>
      <c r="AA35" s="317"/>
      <c r="AB35" s="317"/>
      <c r="AC35" s="317"/>
      <c r="AD35" s="317"/>
      <c r="AE35" s="317"/>
      <c r="AF35" s="317"/>
      <c r="AG35" s="317"/>
      <c r="AH35" s="317"/>
      <c r="AI35" s="317"/>
      <c r="AJ35" s="317"/>
      <c r="AK35" s="317"/>
      <c r="AL35" s="317"/>
      <c r="AM35" s="317"/>
      <c r="AN35" s="317"/>
      <c r="AO35" s="317"/>
      <c r="AP35" s="317"/>
      <c r="AQ35" s="317"/>
      <c r="AR35" s="317"/>
      <c r="AS35" s="317"/>
    </row>
    <row r="36" spans="1:45" ht="10.5" customHeight="1">
      <c r="A36" s="288"/>
      <c r="B36" s="300"/>
      <c r="C36" s="289"/>
      <c r="D36" s="300"/>
      <c r="E36" s="289"/>
      <c r="F36" s="300"/>
      <c r="G36" s="300"/>
      <c r="H36" s="289"/>
      <c r="I36" s="290"/>
      <c r="J36" s="313"/>
      <c r="K36" s="305"/>
      <c r="L36" s="305"/>
      <c r="M36" s="281"/>
      <c r="N36" s="281"/>
      <c r="O36" s="281"/>
      <c r="P36" s="317"/>
      <c r="Q36" s="317"/>
      <c r="R36" s="317"/>
      <c r="S36" s="317"/>
      <c r="T36" s="317"/>
      <c r="U36" s="317"/>
      <c r="V36" s="317"/>
      <c r="W36" s="317"/>
      <c r="X36" s="317"/>
      <c r="Y36" s="317"/>
      <c r="Z36" s="317"/>
      <c r="AA36" s="317"/>
      <c r="AB36" s="317"/>
      <c r="AC36" s="317"/>
      <c r="AD36" s="317"/>
      <c r="AE36" s="317"/>
      <c r="AF36" s="317"/>
      <c r="AG36" s="317"/>
      <c r="AH36" s="317"/>
      <c r="AI36" s="317"/>
      <c r="AJ36" s="317"/>
      <c r="AK36" s="317"/>
      <c r="AL36" s="317"/>
      <c r="AM36" s="317"/>
      <c r="AN36" s="317"/>
      <c r="AO36" s="317"/>
      <c r="AP36" s="317"/>
      <c r="AQ36" s="317"/>
      <c r="AR36" s="317"/>
      <c r="AS36" s="317"/>
    </row>
    <row r="37" spans="1:45" ht="19.5" customHeight="1">
      <c r="A37" s="288" t="s">
        <v>270</v>
      </c>
      <c r="B37" s="3936" t="s">
        <v>271</v>
      </c>
      <c r="C37" s="3933"/>
      <c r="D37" s="3933"/>
      <c r="E37" s="3933"/>
      <c r="F37" s="865" t="str">
        <f>IF(ISBLANK(E16), " ", MAX(F21,E35))</f>
        <v xml:space="preserve"> </v>
      </c>
      <c r="G37" s="300"/>
      <c r="H37" s="289"/>
      <c r="I37" s="290"/>
      <c r="J37" s="313"/>
      <c r="K37" s="305"/>
      <c r="L37" s="305"/>
      <c r="M37" s="281"/>
      <c r="N37" s="281"/>
      <c r="O37" s="281"/>
      <c r="P37" s="317"/>
      <c r="Q37" s="317"/>
      <c r="R37" s="317"/>
      <c r="S37" s="317"/>
      <c r="T37" s="317"/>
      <c r="U37" s="317"/>
      <c r="V37" s="317"/>
      <c r="W37" s="317"/>
      <c r="X37" s="317"/>
      <c r="Y37" s="317"/>
      <c r="Z37" s="317"/>
      <c r="AA37" s="317"/>
      <c r="AB37" s="317"/>
      <c r="AC37" s="317"/>
      <c r="AD37" s="317"/>
      <c r="AE37" s="317"/>
      <c r="AF37" s="317"/>
      <c r="AG37" s="317"/>
      <c r="AH37" s="317"/>
      <c r="AI37" s="317"/>
      <c r="AJ37" s="317"/>
      <c r="AK37" s="317"/>
      <c r="AL37" s="317"/>
      <c r="AM37" s="317"/>
      <c r="AN37" s="317"/>
      <c r="AO37" s="317"/>
      <c r="AP37" s="317"/>
      <c r="AQ37" s="317"/>
      <c r="AR37" s="317"/>
      <c r="AS37" s="317"/>
    </row>
    <row r="38" spans="1:45" ht="10.5" customHeight="1">
      <c r="A38" s="288"/>
      <c r="B38" s="300"/>
      <c r="C38" s="289"/>
      <c r="D38" s="300"/>
      <c r="E38" s="289"/>
      <c r="F38" s="300"/>
      <c r="G38" s="300"/>
      <c r="H38" s="289"/>
      <c r="I38" s="290"/>
      <c r="J38" s="313"/>
      <c r="K38" s="305"/>
      <c r="L38" s="305"/>
      <c r="M38" s="281"/>
      <c r="N38" s="281"/>
      <c r="O38" s="281"/>
      <c r="P38" s="317"/>
      <c r="Q38" s="317"/>
      <c r="R38" s="317"/>
      <c r="S38" s="317"/>
      <c r="T38" s="317"/>
      <c r="U38" s="317"/>
      <c r="V38" s="317"/>
      <c r="W38" s="317"/>
      <c r="X38" s="317"/>
      <c r="Y38" s="317"/>
      <c r="Z38" s="317"/>
      <c r="AA38" s="317"/>
      <c r="AB38" s="317"/>
      <c r="AC38" s="317"/>
      <c r="AD38" s="317"/>
      <c r="AE38" s="317"/>
      <c r="AF38" s="317"/>
      <c r="AG38" s="317"/>
      <c r="AH38" s="317"/>
      <c r="AI38" s="317"/>
      <c r="AJ38" s="317"/>
      <c r="AK38" s="317"/>
      <c r="AL38" s="317"/>
      <c r="AM38" s="317"/>
      <c r="AN38" s="317"/>
      <c r="AO38" s="317"/>
      <c r="AP38" s="317"/>
      <c r="AQ38" s="317"/>
      <c r="AR38" s="317"/>
      <c r="AS38" s="317"/>
    </row>
    <row r="39" spans="1:45" ht="19.5" customHeight="1">
      <c r="A39" s="341" t="s">
        <v>142</v>
      </c>
      <c r="B39" s="344" t="s">
        <v>557</v>
      </c>
      <c r="C39" s="289"/>
      <c r="D39" s="1198"/>
      <c r="E39" s="344" t="s">
        <v>92</v>
      </c>
      <c r="F39" s="101"/>
      <c r="G39" s="289"/>
      <c r="H39" s="289"/>
      <c r="I39" s="290"/>
      <c r="J39" s="313"/>
      <c r="K39" s="305"/>
      <c r="L39" s="305"/>
      <c r="M39" s="281"/>
      <c r="N39" s="281"/>
      <c r="O39" s="281"/>
      <c r="P39" s="317"/>
      <c r="Q39" s="317"/>
      <c r="R39" s="317"/>
      <c r="S39" s="317"/>
      <c r="T39" s="317"/>
      <c r="U39" s="317"/>
      <c r="V39" s="317"/>
      <c r="W39" s="317"/>
      <c r="X39" s="317"/>
      <c r="Y39" s="317"/>
      <c r="Z39" s="317"/>
      <c r="AA39" s="317"/>
      <c r="AB39" s="317"/>
      <c r="AC39" s="317"/>
      <c r="AD39" s="317"/>
      <c r="AE39" s="317"/>
      <c r="AF39" s="317"/>
      <c r="AG39" s="317"/>
      <c r="AH39" s="317"/>
      <c r="AI39" s="317"/>
      <c r="AJ39" s="317"/>
      <c r="AK39" s="317"/>
      <c r="AL39" s="317"/>
      <c r="AM39" s="317"/>
      <c r="AN39" s="317"/>
      <c r="AO39" s="317"/>
      <c r="AP39" s="317"/>
      <c r="AQ39" s="317"/>
      <c r="AR39" s="317"/>
      <c r="AS39" s="317"/>
    </row>
    <row r="40" spans="1:45" ht="10.5" customHeight="1">
      <c r="A40" s="288"/>
      <c r="B40" s="289"/>
      <c r="C40" s="289"/>
      <c r="D40" s="289"/>
      <c r="E40" s="289"/>
      <c r="F40" s="289"/>
      <c r="G40" s="289"/>
      <c r="H40" s="289"/>
      <c r="I40" s="290"/>
      <c r="J40" s="313"/>
      <c r="K40" s="305"/>
      <c r="L40" s="305"/>
      <c r="M40" s="281"/>
      <c r="N40" s="281"/>
      <c r="O40" s="281"/>
      <c r="P40" s="317"/>
      <c r="Q40" s="317"/>
      <c r="R40" s="317"/>
      <c r="S40" s="317"/>
      <c r="T40" s="317"/>
      <c r="U40" s="317"/>
      <c r="V40" s="317"/>
      <c r="W40" s="317"/>
      <c r="X40" s="317"/>
      <c r="Y40" s="317"/>
      <c r="Z40" s="317"/>
      <c r="AA40" s="317"/>
      <c r="AB40" s="317"/>
      <c r="AC40" s="317"/>
      <c r="AD40" s="317"/>
      <c r="AE40" s="317"/>
      <c r="AF40" s="317"/>
      <c r="AG40" s="317"/>
      <c r="AH40" s="317"/>
      <c r="AI40" s="317"/>
      <c r="AJ40" s="317"/>
      <c r="AK40" s="317"/>
      <c r="AL40" s="317"/>
      <c r="AM40" s="317"/>
      <c r="AN40" s="317"/>
      <c r="AO40" s="317"/>
      <c r="AP40" s="317"/>
      <c r="AQ40" s="317"/>
      <c r="AR40" s="317"/>
      <c r="AS40" s="317"/>
    </row>
    <row r="41" spans="1:45" ht="18" customHeight="1">
      <c r="A41" s="288" t="s">
        <v>91</v>
      </c>
      <c r="B41" s="289" t="s">
        <v>272</v>
      </c>
      <c r="C41" s="289"/>
      <c r="D41" s="289"/>
      <c r="E41" s="289"/>
      <c r="F41" s="289"/>
      <c r="G41" s="289"/>
      <c r="H41" s="289"/>
      <c r="I41" s="290"/>
      <c r="J41" s="313"/>
      <c r="K41" s="305"/>
      <c r="L41" s="305"/>
      <c r="M41" s="281"/>
      <c r="N41" s="281"/>
      <c r="O41" s="281"/>
      <c r="P41" s="317"/>
      <c r="Q41" s="317"/>
      <c r="R41" s="317"/>
      <c r="S41" s="317"/>
      <c r="T41" s="317"/>
      <c r="U41" s="317"/>
      <c r="V41" s="317"/>
      <c r="W41" s="317"/>
      <c r="X41" s="317"/>
      <c r="Y41" s="317"/>
      <c r="Z41" s="317"/>
      <c r="AA41" s="317"/>
      <c r="AB41" s="317"/>
      <c r="AC41" s="317"/>
      <c r="AD41" s="317"/>
      <c r="AE41" s="317"/>
      <c r="AF41" s="317"/>
      <c r="AG41" s="317"/>
      <c r="AH41" s="317"/>
      <c r="AI41" s="317"/>
      <c r="AJ41" s="317"/>
      <c r="AK41" s="317"/>
      <c r="AL41" s="317"/>
      <c r="AM41" s="317"/>
      <c r="AN41" s="317"/>
      <c r="AO41" s="317"/>
      <c r="AP41" s="317"/>
      <c r="AQ41" s="317"/>
      <c r="AR41" s="317"/>
      <c r="AS41" s="317"/>
    </row>
    <row r="42" spans="1:45" ht="10.5" customHeight="1">
      <c r="A42" s="288"/>
      <c r="B42" s="289"/>
      <c r="C42" s="289"/>
      <c r="D42" s="289"/>
      <c r="E42" s="289"/>
      <c r="F42" s="289"/>
      <c r="G42" s="289"/>
      <c r="H42" s="289"/>
      <c r="I42" s="290"/>
      <c r="J42" s="313"/>
      <c r="K42" s="305"/>
      <c r="L42" s="305"/>
      <c r="M42" s="281"/>
      <c r="N42" s="281"/>
      <c r="O42" s="281"/>
      <c r="P42" s="317"/>
      <c r="Q42" s="317"/>
      <c r="R42" s="317"/>
      <c r="S42" s="317"/>
      <c r="T42" s="317"/>
      <c r="U42" s="317"/>
      <c r="V42" s="317"/>
      <c r="W42" s="317"/>
      <c r="X42" s="317"/>
      <c r="Y42" s="317"/>
      <c r="Z42" s="317"/>
      <c r="AA42" s="317"/>
      <c r="AB42" s="317"/>
      <c r="AC42" s="317"/>
      <c r="AD42" s="317"/>
      <c r="AE42" s="317"/>
      <c r="AF42" s="317"/>
      <c r="AG42" s="317"/>
      <c r="AH42" s="317"/>
      <c r="AI42" s="317"/>
      <c r="AJ42" s="317"/>
      <c r="AK42" s="317"/>
      <c r="AL42" s="317"/>
      <c r="AM42" s="317"/>
      <c r="AN42" s="317"/>
      <c r="AO42" s="317"/>
      <c r="AP42" s="317"/>
      <c r="AQ42" s="317"/>
      <c r="AR42" s="317"/>
      <c r="AS42" s="317"/>
    </row>
    <row r="43" spans="1:45" ht="24" customHeight="1">
      <c r="A43" s="321"/>
      <c r="B43" s="909" t="str">
        <f>F37</f>
        <v xml:space="preserve"> </v>
      </c>
      <c r="C43" s="344" t="s">
        <v>529</v>
      </c>
      <c r="D43" s="909" t="str">
        <f>IF(ISBLANK(D39),"",D39)</f>
        <v/>
      </c>
      <c r="E43" s="344" t="s">
        <v>61</v>
      </c>
      <c r="F43" s="909" t="str">
        <f>IF(ISBLANK(D39),"",B43/D43)</f>
        <v/>
      </c>
      <c r="G43" s="344" t="s">
        <v>92</v>
      </c>
      <c r="H43" s="101"/>
      <c r="I43" s="290"/>
      <c r="J43" s="325"/>
      <c r="K43" s="326"/>
      <c r="L43" s="281"/>
      <c r="M43" s="281"/>
      <c r="N43" s="281"/>
      <c r="O43" s="281"/>
      <c r="P43" s="281"/>
      <c r="Q43" s="317"/>
      <c r="R43" s="317"/>
      <c r="S43" s="317"/>
      <c r="T43" s="317"/>
      <c r="U43" s="317"/>
      <c r="V43" s="317"/>
      <c r="W43" s="317"/>
      <c r="X43" s="317"/>
      <c r="Y43" s="317"/>
      <c r="Z43" s="317"/>
      <c r="AA43" s="317"/>
      <c r="AB43" s="317"/>
      <c r="AC43" s="317"/>
      <c r="AD43" s="317"/>
      <c r="AE43" s="317"/>
      <c r="AF43" s="317"/>
      <c r="AG43" s="317"/>
      <c r="AH43" s="317"/>
      <c r="AI43" s="317"/>
      <c r="AJ43" s="317"/>
      <c r="AK43" s="317"/>
      <c r="AL43" s="317"/>
      <c r="AM43" s="317"/>
      <c r="AN43" s="317"/>
      <c r="AO43" s="317"/>
      <c r="AP43" s="317"/>
      <c r="AQ43" s="317"/>
      <c r="AR43" s="317"/>
      <c r="AS43" s="317"/>
    </row>
    <row r="44" spans="1:45" ht="10.5" customHeight="1">
      <c r="A44" s="321"/>
      <c r="B44" s="300"/>
      <c r="C44" s="289"/>
      <c r="D44" s="300"/>
      <c r="E44" s="289"/>
      <c r="F44" s="300"/>
      <c r="G44" s="289"/>
      <c r="H44" s="289"/>
      <c r="I44" s="290"/>
      <c r="J44" s="327"/>
      <c r="K44" s="326"/>
      <c r="L44" s="281"/>
      <c r="M44" s="281"/>
      <c r="N44" s="281"/>
      <c r="O44" s="281"/>
      <c r="P44" s="297"/>
      <c r="Q44" s="317"/>
      <c r="R44" s="317"/>
      <c r="S44" s="317"/>
      <c r="T44" s="317"/>
      <c r="U44" s="317"/>
      <c r="V44" s="317"/>
      <c r="W44" s="317"/>
      <c r="X44" s="317"/>
      <c r="Y44" s="317"/>
      <c r="Z44" s="317"/>
      <c r="AA44" s="317"/>
      <c r="AB44" s="317"/>
      <c r="AC44" s="317"/>
      <c r="AD44" s="317"/>
      <c r="AE44" s="317"/>
      <c r="AF44" s="317"/>
      <c r="AG44" s="317"/>
      <c r="AH44" s="317"/>
      <c r="AI44" s="317"/>
      <c r="AJ44" s="317"/>
      <c r="AK44" s="317"/>
      <c r="AL44" s="317"/>
      <c r="AM44" s="317"/>
      <c r="AN44" s="317"/>
      <c r="AO44" s="317"/>
      <c r="AP44" s="317"/>
      <c r="AQ44" s="317"/>
      <c r="AR44" s="317"/>
      <c r="AS44" s="317"/>
    </row>
    <row r="45" spans="1:45" ht="24" customHeight="1">
      <c r="A45" s="321"/>
      <c r="B45" s="328" t="s">
        <v>558</v>
      </c>
      <c r="C45" s="289"/>
      <c r="D45" s="1198"/>
      <c r="E45" s="101"/>
      <c r="F45" s="289"/>
      <c r="G45" s="289"/>
      <c r="H45" s="289"/>
      <c r="I45" s="290"/>
      <c r="J45" s="327"/>
      <c r="K45" s="326"/>
      <c r="L45" s="281"/>
      <c r="M45" s="281"/>
      <c r="N45" s="281"/>
      <c r="O45" s="281"/>
      <c r="P45" s="281"/>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row>
    <row r="46" spans="1:45" ht="18" customHeight="1">
      <c r="A46" s="299"/>
      <c r="B46" s="324" t="s">
        <v>559</v>
      </c>
      <c r="C46" s="289"/>
      <c r="D46" s="300"/>
      <c r="E46" s="289"/>
      <c r="F46" s="300"/>
      <c r="G46" s="289"/>
      <c r="H46" s="289"/>
      <c r="I46" s="290"/>
      <c r="J46" s="281"/>
      <c r="K46" s="281"/>
      <c r="L46" s="281"/>
      <c r="M46" s="281"/>
      <c r="N46" s="281"/>
      <c r="O46" s="281"/>
      <c r="P46" s="281"/>
      <c r="Q46" s="317"/>
      <c r="R46" s="317"/>
      <c r="S46" s="317"/>
      <c r="T46" s="317"/>
      <c r="U46" s="317"/>
      <c r="V46" s="317"/>
      <c r="W46" s="317"/>
      <c r="X46" s="317"/>
      <c r="Y46" s="317"/>
      <c r="Z46" s="317"/>
      <c r="AA46" s="317"/>
      <c r="AB46" s="317"/>
      <c r="AC46" s="317"/>
      <c r="AD46" s="317"/>
      <c r="AE46" s="317"/>
      <c r="AF46" s="317"/>
      <c r="AG46" s="317"/>
      <c r="AH46" s="317"/>
      <c r="AI46" s="317"/>
      <c r="AJ46" s="317"/>
      <c r="AK46" s="317"/>
      <c r="AL46" s="317"/>
      <c r="AM46" s="317"/>
      <c r="AN46" s="317"/>
      <c r="AO46" s="317"/>
      <c r="AP46" s="317"/>
      <c r="AQ46" s="317"/>
      <c r="AR46" s="317"/>
      <c r="AS46" s="317"/>
    </row>
    <row r="47" spans="1:45" ht="5.25" customHeight="1">
      <c r="A47" s="293"/>
      <c r="B47" s="295"/>
      <c r="C47" s="294"/>
      <c r="D47" s="295"/>
      <c r="E47" s="294"/>
      <c r="F47" s="295"/>
      <c r="G47" s="294"/>
      <c r="H47" s="294"/>
      <c r="I47" s="296"/>
      <c r="J47" s="281"/>
      <c r="K47" s="281"/>
      <c r="L47" s="281"/>
      <c r="M47" s="281"/>
      <c r="N47" s="281"/>
      <c r="O47" s="281"/>
      <c r="P47" s="281"/>
      <c r="Q47" s="317"/>
      <c r="R47" s="317"/>
      <c r="S47" s="317"/>
      <c r="T47" s="317"/>
      <c r="U47" s="317"/>
      <c r="V47" s="317"/>
      <c r="W47" s="317"/>
      <c r="X47" s="317"/>
      <c r="Y47" s="317"/>
      <c r="Z47" s="317"/>
      <c r="AA47" s="317"/>
      <c r="AB47" s="317"/>
      <c r="AC47" s="317"/>
      <c r="AD47" s="317"/>
      <c r="AE47" s="317"/>
      <c r="AF47" s="317"/>
      <c r="AG47" s="317"/>
      <c r="AH47" s="317"/>
      <c r="AI47" s="317"/>
      <c r="AJ47" s="317"/>
      <c r="AK47" s="317"/>
      <c r="AL47" s="317"/>
      <c r="AM47" s="317"/>
      <c r="AN47" s="317"/>
      <c r="AO47" s="317"/>
      <c r="AP47" s="317"/>
      <c r="AQ47" s="317"/>
      <c r="AR47" s="317"/>
      <c r="AS47" s="317"/>
    </row>
    <row r="48" spans="1:45" ht="18" customHeight="1">
      <c r="A48" s="689" t="s">
        <v>588</v>
      </c>
      <c r="B48" s="690" t="s">
        <v>560</v>
      </c>
      <c r="C48" s="691"/>
      <c r="D48" s="691"/>
      <c r="E48" s="691"/>
      <c r="F48" s="691"/>
      <c r="G48" s="691"/>
      <c r="H48" s="691"/>
      <c r="I48" s="692"/>
      <c r="J48" s="281"/>
      <c r="K48" s="281"/>
      <c r="L48" s="281"/>
      <c r="M48" s="281"/>
      <c r="N48" s="281"/>
      <c r="O48" s="281"/>
      <c r="P48" s="281"/>
      <c r="Q48" s="317"/>
      <c r="R48" s="317"/>
      <c r="S48" s="317"/>
      <c r="T48" s="317"/>
      <c r="U48" s="317"/>
      <c r="V48" s="317"/>
      <c r="W48" s="317"/>
      <c r="X48" s="317"/>
      <c r="Y48" s="317"/>
      <c r="Z48" s="317"/>
      <c r="AA48" s="317"/>
      <c r="AB48" s="317"/>
      <c r="AC48" s="317"/>
      <c r="AD48" s="317"/>
      <c r="AE48" s="317"/>
      <c r="AF48" s="317"/>
      <c r="AG48" s="317"/>
      <c r="AH48" s="317"/>
      <c r="AI48" s="317"/>
      <c r="AJ48" s="317"/>
      <c r="AK48" s="317"/>
      <c r="AL48" s="317"/>
      <c r="AM48" s="317"/>
      <c r="AN48" s="317"/>
      <c r="AO48" s="317"/>
      <c r="AP48" s="317"/>
      <c r="AQ48" s="317"/>
      <c r="AR48" s="317"/>
      <c r="AS48" s="317"/>
    </row>
    <row r="49" spans="1:45" ht="10.5" customHeight="1">
      <c r="A49" s="299"/>
      <c r="B49" s="292"/>
      <c r="C49" s="289"/>
      <c r="D49" s="289"/>
      <c r="E49" s="289"/>
      <c r="F49" s="289"/>
      <c r="G49" s="289"/>
      <c r="H49" s="300"/>
      <c r="I49" s="302"/>
      <c r="J49" s="300"/>
      <c r="K49" s="300"/>
      <c r="L49" s="281"/>
      <c r="M49" s="281"/>
      <c r="N49" s="281"/>
      <c r="O49" s="281"/>
      <c r="P49" s="281"/>
      <c r="Q49" s="317"/>
      <c r="R49" s="317"/>
      <c r="S49" s="317"/>
      <c r="T49" s="317"/>
      <c r="U49" s="317"/>
      <c r="V49" s="317"/>
      <c r="W49" s="317"/>
      <c r="X49" s="317"/>
      <c r="Y49" s="317"/>
      <c r="Z49" s="317"/>
      <c r="AA49" s="317"/>
      <c r="AB49" s="317"/>
      <c r="AC49" s="317"/>
      <c r="AD49" s="317"/>
      <c r="AE49" s="317"/>
      <c r="AF49" s="317"/>
      <c r="AG49" s="317"/>
      <c r="AH49" s="317"/>
      <c r="AI49" s="317"/>
      <c r="AJ49" s="317"/>
      <c r="AK49" s="317"/>
      <c r="AL49" s="317"/>
      <c r="AM49" s="317"/>
      <c r="AN49" s="317"/>
      <c r="AO49" s="317"/>
      <c r="AP49" s="317"/>
      <c r="AQ49" s="317"/>
      <c r="AR49" s="317"/>
      <c r="AS49" s="317"/>
    </row>
    <row r="50" spans="1:45" ht="19.5" customHeight="1">
      <c r="A50" s="288" t="s">
        <v>88</v>
      </c>
      <c r="B50" s="289" t="s">
        <v>561</v>
      </c>
      <c r="C50" s="289"/>
      <c r="D50" s="289"/>
      <c r="E50" s="3921"/>
      <c r="F50" s="3922"/>
      <c r="G50" s="3922"/>
      <c r="H50" s="3923"/>
      <c r="I50" s="290"/>
      <c r="J50" s="281"/>
      <c r="M50" s="281"/>
      <c r="N50" s="281"/>
      <c r="O50" s="281"/>
      <c r="P50" s="281"/>
      <c r="Q50" s="317"/>
      <c r="R50" s="317"/>
      <c r="S50" s="317"/>
      <c r="T50" s="317"/>
      <c r="U50" s="317"/>
      <c r="V50" s="317"/>
      <c r="W50" s="317"/>
      <c r="X50" s="317"/>
      <c r="Y50" s="317"/>
      <c r="Z50" s="317"/>
      <c r="AA50" s="317"/>
      <c r="AB50" s="317"/>
      <c r="AC50" s="317"/>
      <c r="AD50" s="317"/>
      <c r="AE50" s="317"/>
      <c r="AF50" s="317"/>
      <c r="AG50" s="317"/>
      <c r="AH50" s="317"/>
      <c r="AI50" s="317"/>
      <c r="AJ50" s="317"/>
      <c r="AK50" s="317"/>
      <c r="AL50" s="317"/>
      <c r="AM50" s="317"/>
      <c r="AN50" s="317"/>
      <c r="AO50" s="317"/>
      <c r="AP50" s="317"/>
      <c r="AQ50" s="317"/>
      <c r="AR50" s="317"/>
      <c r="AS50" s="317"/>
    </row>
    <row r="51" spans="1:45" ht="48.75" customHeight="1">
      <c r="A51" s="288"/>
      <c r="B51" s="3913" t="s">
        <v>958</v>
      </c>
      <c r="C51" s="3914"/>
      <c r="D51" s="3914"/>
      <c r="E51" s="3914"/>
      <c r="F51" s="3914"/>
      <c r="G51" s="3914"/>
      <c r="H51" s="3914"/>
      <c r="I51" s="3899"/>
      <c r="J51" s="281"/>
      <c r="M51" s="281"/>
      <c r="N51" s="281"/>
      <c r="O51" s="281"/>
      <c r="P51" s="281"/>
      <c r="Q51" s="317"/>
      <c r="R51" s="317"/>
      <c r="S51" s="317"/>
      <c r="T51" s="317"/>
      <c r="U51" s="317"/>
      <c r="V51" s="317"/>
      <c r="W51" s="317"/>
      <c r="X51" s="317"/>
      <c r="Y51" s="317"/>
      <c r="Z51" s="317"/>
      <c r="AA51" s="317"/>
      <c r="AB51" s="317"/>
      <c r="AC51" s="317"/>
      <c r="AD51" s="317"/>
      <c r="AE51" s="317"/>
      <c r="AF51" s="317"/>
      <c r="AG51" s="317"/>
      <c r="AH51" s="317"/>
      <c r="AI51" s="317"/>
      <c r="AJ51" s="317"/>
      <c r="AK51" s="317"/>
      <c r="AL51" s="317"/>
      <c r="AM51" s="317"/>
      <c r="AN51" s="317"/>
      <c r="AO51" s="317"/>
      <c r="AP51" s="317"/>
      <c r="AQ51" s="317"/>
      <c r="AR51" s="317"/>
      <c r="AS51" s="317"/>
    </row>
    <row r="52" spans="1:45" ht="10.5" customHeight="1">
      <c r="A52" s="288"/>
      <c r="B52" s="289"/>
      <c r="C52" s="289"/>
      <c r="D52" s="289"/>
      <c r="E52" s="289"/>
      <c r="F52" s="289"/>
      <c r="G52" s="289"/>
      <c r="H52" s="289"/>
      <c r="I52" s="290"/>
      <c r="J52" s="281"/>
      <c r="K52" s="281"/>
      <c r="L52" s="281"/>
      <c r="M52" s="281"/>
      <c r="N52" s="281"/>
      <c r="O52" s="281"/>
      <c r="P52" s="281"/>
      <c r="Q52" s="317"/>
      <c r="R52" s="317"/>
      <c r="S52" s="317"/>
      <c r="T52" s="317"/>
      <c r="U52" s="317"/>
      <c r="V52" s="317"/>
      <c r="W52" s="317"/>
      <c r="X52" s="317"/>
      <c r="Y52" s="317"/>
      <c r="Z52" s="317"/>
      <c r="AA52" s="317"/>
      <c r="AB52" s="317"/>
      <c r="AC52" s="317"/>
      <c r="AD52" s="317"/>
      <c r="AE52" s="317"/>
      <c r="AF52" s="317"/>
      <c r="AG52" s="317"/>
      <c r="AH52" s="317"/>
      <c r="AI52" s="317"/>
      <c r="AJ52" s="317"/>
      <c r="AK52" s="317"/>
      <c r="AL52" s="317"/>
      <c r="AM52" s="317"/>
      <c r="AN52" s="317"/>
      <c r="AO52" s="317"/>
      <c r="AP52" s="317"/>
      <c r="AQ52" s="317"/>
      <c r="AR52" s="317"/>
      <c r="AS52" s="317"/>
    </row>
    <row r="53" spans="1:45" ht="19.5" customHeight="1">
      <c r="A53" s="288" t="s">
        <v>89</v>
      </c>
      <c r="B53" s="289" t="s">
        <v>562</v>
      </c>
      <c r="C53" s="289"/>
      <c r="D53" s="289"/>
      <c r="E53" s="1198"/>
      <c r="F53" s="289" t="s">
        <v>92</v>
      </c>
      <c r="G53" s="289"/>
      <c r="H53" s="289"/>
      <c r="I53" s="290"/>
      <c r="J53" s="281"/>
      <c r="K53" s="281"/>
      <c r="L53" s="281"/>
      <c r="M53" s="281"/>
      <c r="N53" s="281"/>
      <c r="O53" s="281"/>
      <c r="P53" s="281"/>
      <c r="Q53" s="317"/>
      <c r="R53" s="317"/>
      <c r="S53" s="317"/>
      <c r="T53" s="317"/>
      <c r="U53" s="317"/>
      <c r="V53" s="317"/>
      <c r="W53" s="317"/>
      <c r="X53" s="317"/>
      <c r="Y53" s="317"/>
      <c r="Z53" s="317"/>
      <c r="AA53" s="317"/>
      <c r="AB53" s="317"/>
      <c r="AC53" s="317"/>
      <c r="AD53" s="317"/>
      <c r="AE53" s="317"/>
      <c r="AF53" s="317"/>
      <c r="AG53" s="317"/>
      <c r="AH53" s="317"/>
      <c r="AI53" s="317"/>
      <c r="AJ53" s="317"/>
      <c r="AK53" s="317"/>
      <c r="AL53" s="317"/>
      <c r="AM53" s="317"/>
      <c r="AN53" s="317"/>
      <c r="AO53" s="317"/>
      <c r="AP53" s="317"/>
      <c r="AQ53" s="317"/>
      <c r="AR53" s="317"/>
      <c r="AS53" s="317"/>
    </row>
    <row r="54" spans="1:45" ht="18" customHeight="1">
      <c r="A54" s="288"/>
      <c r="B54" s="3900" t="s">
        <v>1360</v>
      </c>
      <c r="C54" s="3916"/>
      <c r="D54" s="3916"/>
      <c r="E54" s="3916"/>
      <c r="F54" s="3916"/>
      <c r="G54" s="3916"/>
      <c r="H54" s="3916"/>
      <c r="I54" s="3917"/>
      <c r="J54" s="281"/>
      <c r="K54" s="281"/>
      <c r="L54" s="281"/>
      <c r="M54" s="281"/>
      <c r="N54" s="281"/>
      <c r="O54" s="281"/>
      <c r="P54" s="281"/>
      <c r="Q54" s="317"/>
      <c r="R54" s="317"/>
      <c r="S54" s="317"/>
      <c r="T54" s="317"/>
      <c r="U54" s="317"/>
      <c r="V54" s="317"/>
      <c r="W54" s="317"/>
      <c r="X54" s="317"/>
      <c r="Y54" s="317"/>
      <c r="Z54" s="317"/>
      <c r="AA54" s="317"/>
      <c r="AB54" s="317"/>
      <c r="AC54" s="317"/>
      <c r="AD54" s="317"/>
      <c r="AE54" s="317"/>
      <c r="AF54" s="317"/>
      <c r="AG54" s="317"/>
      <c r="AH54" s="317"/>
      <c r="AI54" s="317"/>
      <c r="AJ54" s="317"/>
      <c r="AK54" s="317"/>
      <c r="AL54" s="317"/>
      <c r="AM54" s="317"/>
      <c r="AN54" s="317"/>
      <c r="AO54" s="317"/>
      <c r="AP54" s="317"/>
      <c r="AQ54" s="317"/>
      <c r="AR54" s="317"/>
      <c r="AS54" s="317"/>
    </row>
    <row r="55" spans="1:45" ht="18" customHeight="1">
      <c r="A55" s="288"/>
      <c r="B55" s="3916"/>
      <c r="C55" s="3916"/>
      <c r="D55" s="3916"/>
      <c r="E55" s="3916"/>
      <c r="F55" s="3916"/>
      <c r="G55" s="3916"/>
      <c r="H55" s="3916"/>
      <c r="I55" s="3917"/>
      <c r="J55" s="281"/>
      <c r="K55" s="281"/>
      <c r="L55" s="281"/>
      <c r="M55" s="281"/>
      <c r="N55" s="281"/>
      <c r="O55" s="281"/>
      <c r="P55" s="281"/>
      <c r="Q55" s="317"/>
      <c r="R55" s="317"/>
      <c r="S55" s="317"/>
      <c r="T55" s="317"/>
      <c r="U55" s="317"/>
      <c r="V55" s="317"/>
      <c r="W55" s="317"/>
      <c r="X55" s="317"/>
      <c r="Y55" s="317"/>
      <c r="Z55" s="317"/>
      <c r="AA55" s="317"/>
      <c r="AB55" s="317"/>
      <c r="AC55" s="317"/>
      <c r="AD55" s="317"/>
      <c r="AE55" s="317"/>
      <c r="AF55" s="317"/>
      <c r="AG55" s="317"/>
      <c r="AH55" s="317"/>
      <c r="AI55" s="317"/>
      <c r="AJ55" s="317"/>
      <c r="AK55" s="317"/>
      <c r="AL55" s="317"/>
      <c r="AM55" s="317"/>
      <c r="AN55" s="317"/>
      <c r="AO55" s="317"/>
      <c r="AP55" s="317"/>
      <c r="AQ55" s="317"/>
      <c r="AR55" s="317"/>
      <c r="AS55" s="317"/>
    </row>
    <row r="56" spans="1:45" ht="10.5" customHeight="1">
      <c r="A56" s="299"/>
      <c r="B56" s="292"/>
      <c r="C56" s="289"/>
      <c r="D56" s="289"/>
      <c r="E56" s="289"/>
      <c r="F56" s="289"/>
      <c r="G56" s="289"/>
      <c r="H56" s="1105"/>
      <c r="I56" s="1106"/>
      <c r="J56" s="300"/>
      <c r="K56" s="300"/>
      <c r="L56" s="281"/>
      <c r="O56" s="281"/>
      <c r="P56" s="281"/>
      <c r="Q56" s="317"/>
      <c r="R56" s="317"/>
      <c r="S56" s="317"/>
      <c r="T56" s="317"/>
      <c r="U56" s="317"/>
      <c r="V56" s="317"/>
      <c r="W56" s="317"/>
      <c r="X56" s="317"/>
      <c r="Y56" s="317"/>
      <c r="Z56" s="317"/>
      <c r="AA56" s="317"/>
      <c r="AB56" s="317"/>
      <c r="AC56" s="317"/>
      <c r="AD56" s="317"/>
      <c r="AE56" s="317"/>
      <c r="AF56" s="317"/>
      <c r="AG56" s="317"/>
      <c r="AH56" s="317"/>
      <c r="AI56" s="317"/>
      <c r="AJ56" s="317"/>
      <c r="AK56" s="317"/>
      <c r="AL56" s="317"/>
      <c r="AM56" s="317"/>
      <c r="AN56" s="317"/>
      <c r="AO56" s="317"/>
      <c r="AP56" s="317"/>
      <c r="AQ56" s="317"/>
      <c r="AR56" s="317"/>
      <c r="AS56" s="317"/>
    </row>
    <row r="57" spans="1:45" ht="19.5" customHeight="1">
      <c r="A57" s="288"/>
      <c r="B57" s="289" t="s">
        <v>198</v>
      </c>
      <c r="C57" s="329"/>
      <c r="D57" s="1198"/>
      <c r="E57" s="344" t="s">
        <v>1013</v>
      </c>
      <c r="F57" s="913" t="str">
        <f>IF(ISBLANK(D57),"",D57/12)</f>
        <v/>
      </c>
      <c r="G57" s="289" t="s">
        <v>92</v>
      </c>
      <c r="H57" s="1105"/>
      <c r="I57" s="1106"/>
      <c r="J57" s="281"/>
      <c r="K57" s="281"/>
      <c r="L57" s="281"/>
      <c r="O57" s="281"/>
      <c r="P57" s="281"/>
      <c r="Q57" s="317"/>
      <c r="R57" s="317"/>
      <c r="S57" s="317"/>
      <c r="T57" s="317"/>
      <c r="U57" s="317"/>
      <c r="V57" s="317"/>
      <c r="W57" s="317"/>
      <c r="X57" s="317"/>
      <c r="Y57" s="317"/>
      <c r="Z57" s="317"/>
      <c r="AA57" s="317"/>
      <c r="AB57" s="317"/>
      <c r="AC57" s="317"/>
      <c r="AD57" s="317"/>
      <c r="AE57" s="317"/>
      <c r="AF57" s="317"/>
      <c r="AG57" s="317"/>
      <c r="AH57" s="317"/>
      <c r="AI57" s="317"/>
      <c r="AJ57" s="317"/>
      <c r="AK57" s="317"/>
      <c r="AL57" s="317"/>
      <c r="AM57" s="317"/>
      <c r="AN57" s="317"/>
      <c r="AO57" s="317"/>
      <c r="AP57" s="317"/>
      <c r="AQ57" s="317"/>
      <c r="AR57" s="317"/>
      <c r="AS57" s="317"/>
    </row>
    <row r="58" spans="1:45" ht="23.1" customHeight="1">
      <c r="A58" s="299"/>
      <c r="B58" s="344" t="s">
        <v>1362</v>
      </c>
      <c r="C58" s="289"/>
      <c r="D58" s="289"/>
      <c r="E58" s="289"/>
      <c r="F58" s="101"/>
      <c r="G58" s="289"/>
      <c r="H58" s="1105"/>
      <c r="I58" s="1106"/>
      <c r="J58" s="300"/>
      <c r="K58" s="300"/>
      <c r="L58" s="281"/>
      <c r="M58" s="281"/>
      <c r="N58" s="281"/>
      <c r="O58" s="281"/>
      <c r="P58" s="281"/>
      <c r="Q58" s="317"/>
      <c r="R58" s="317"/>
      <c r="S58" s="317"/>
      <c r="T58" s="317"/>
      <c r="U58" s="317"/>
      <c r="V58" s="317"/>
      <c r="W58" s="317"/>
      <c r="X58" s="317"/>
      <c r="Y58" s="317"/>
      <c r="Z58" s="317"/>
      <c r="AA58" s="317"/>
      <c r="AB58" s="317"/>
      <c r="AC58" s="317"/>
      <c r="AD58" s="317"/>
      <c r="AE58" s="317"/>
      <c r="AF58" s="317"/>
      <c r="AG58" s="317"/>
      <c r="AH58" s="317"/>
      <c r="AI58" s="317"/>
      <c r="AJ58" s="317"/>
      <c r="AK58" s="317"/>
      <c r="AL58" s="317"/>
      <c r="AM58" s="317"/>
      <c r="AN58" s="317"/>
      <c r="AO58" s="317"/>
      <c r="AP58" s="317"/>
      <c r="AQ58" s="317"/>
      <c r="AR58" s="317"/>
      <c r="AS58" s="317"/>
    </row>
    <row r="59" spans="1:45" ht="19.5" customHeight="1">
      <c r="A59" s="288"/>
      <c r="B59" s="289" t="s">
        <v>830</v>
      </c>
      <c r="C59" s="289"/>
      <c r="D59" s="1198"/>
      <c r="E59" s="344" t="s">
        <v>1013</v>
      </c>
      <c r="F59" s="913" t="str">
        <f>IF(ISBLANK(D59),"",D59/12)</f>
        <v/>
      </c>
      <c r="G59" s="289" t="s">
        <v>1361</v>
      </c>
      <c r="H59" s="1107"/>
      <c r="I59" s="1106"/>
      <c r="J59" s="281"/>
      <c r="K59" s="281"/>
      <c r="L59" s="281"/>
      <c r="M59" s="317"/>
      <c r="N59" s="317"/>
      <c r="O59" s="317"/>
      <c r="P59" s="317"/>
      <c r="Q59" s="317"/>
      <c r="R59" s="317"/>
      <c r="S59" s="317"/>
      <c r="T59" s="317"/>
      <c r="U59" s="317"/>
      <c r="V59" s="317"/>
      <c r="W59" s="317"/>
      <c r="X59" s="317"/>
      <c r="Y59" s="317"/>
      <c r="Z59" s="317"/>
      <c r="AA59" s="317"/>
      <c r="AB59" s="317"/>
      <c r="AC59" s="317"/>
      <c r="AD59" s="317"/>
      <c r="AE59" s="317"/>
      <c r="AF59" s="317"/>
      <c r="AG59" s="317"/>
      <c r="AH59" s="317"/>
      <c r="AI59" s="317"/>
      <c r="AJ59" s="317"/>
      <c r="AK59" s="317"/>
      <c r="AL59" s="317"/>
      <c r="AM59" s="317"/>
      <c r="AN59" s="317"/>
      <c r="AO59" s="317"/>
      <c r="AP59" s="317"/>
      <c r="AQ59" s="317"/>
      <c r="AR59" s="317"/>
      <c r="AS59" s="317"/>
    </row>
    <row r="60" spans="1:45" ht="23.1" customHeight="1">
      <c r="A60" s="299"/>
      <c r="B60" s="344" t="s">
        <v>1363</v>
      </c>
      <c r="C60" s="289"/>
      <c r="D60" s="289"/>
      <c r="E60" s="289"/>
      <c r="F60" s="101"/>
      <c r="G60" s="289"/>
      <c r="H60" s="1107"/>
      <c r="I60" s="1106"/>
      <c r="J60" s="300"/>
      <c r="K60" s="300"/>
      <c r="L60" s="281"/>
      <c r="M60" s="281"/>
      <c r="N60" s="281"/>
      <c r="O60" s="281"/>
      <c r="P60" s="281"/>
      <c r="Q60" s="317"/>
      <c r="R60" s="317"/>
      <c r="S60" s="317"/>
      <c r="T60" s="317"/>
      <c r="U60" s="317"/>
      <c r="V60" s="317"/>
      <c r="W60" s="317"/>
      <c r="X60" s="317"/>
      <c r="Y60" s="317"/>
      <c r="Z60" s="317"/>
      <c r="AA60" s="317"/>
      <c r="AB60" s="317"/>
      <c r="AC60" s="317"/>
      <c r="AD60" s="317"/>
      <c r="AE60" s="317"/>
      <c r="AF60" s="317"/>
      <c r="AG60" s="317"/>
      <c r="AH60" s="317"/>
      <c r="AI60" s="317"/>
      <c r="AJ60" s="317"/>
      <c r="AK60" s="317"/>
      <c r="AL60" s="317"/>
      <c r="AM60" s="317"/>
      <c r="AN60" s="317"/>
      <c r="AO60" s="317"/>
      <c r="AP60" s="317"/>
      <c r="AQ60" s="317"/>
      <c r="AR60" s="317"/>
      <c r="AS60" s="317"/>
    </row>
    <row r="61" spans="1:45" ht="18" customHeight="1">
      <c r="A61" s="288" t="s">
        <v>141</v>
      </c>
      <c r="B61" s="3915" t="s">
        <v>563</v>
      </c>
      <c r="C61" s="3915"/>
      <c r="D61" s="3915"/>
      <c r="E61" s="3915"/>
      <c r="F61" s="3915"/>
      <c r="G61" s="3915"/>
      <c r="H61" s="3915"/>
      <c r="I61" s="290"/>
      <c r="J61" s="292"/>
      <c r="K61" s="292"/>
      <c r="L61" s="289"/>
      <c r="M61" s="317"/>
      <c r="N61" s="317"/>
      <c r="O61" s="317"/>
      <c r="P61" s="317"/>
      <c r="Q61" s="317"/>
      <c r="R61" s="317"/>
      <c r="S61" s="317"/>
      <c r="T61" s="317"/>
      <c r="U61" s="317"/>
      <c r="V61" s="317"/>
      <c r="W61" s="317"/>
      <c r="X61" s="317"/>
      <c r="Y61" s="317"/>
      <c r="Z61" s="317"/>
      <c r="AA61" s="317"/>
      <c r="AB61" s="317"/>
      <c r="AC61" s="317"/>
      <c r="AD61" s="317"/>
      <c r="AE61" s="317"/>
      <c r="AF61" s="317"/>
      <c r="AG61" s="317"/>
      <c r="AH61" s="317"/>
      <c r="AI61" s="317"/>
      <c r="AJ61" s="317"/>
      <c r="AK61" s="317"/>
      <c r="AL61" s="317"/>
      <c r="AM61" s="317"/>
      <c r="AN61" s="317"/>
      <c r="AO61" s="317"/>
      <c r="AP61" s="317"/>
      <c r="AQ61" s="317"/>
      <c r="AR61" s="317"/>
      <c r="AS61" s="317"/>
    </row>
    <row r="62" spans="1:45" s="381" customFormat="1" ht="10.5" customHeight="1">
      <c r="A62" s="322"/>
      <c r="B62" s="412"/>
      <c r="C62" s="412"/>
      <c r="D62" s="412"/>
      <c r="E62" s="412"/>
      <c r="F62" s="412"/>
      <c r="G62" s="412"/>
      <c r="H62" s="412"/>
      <c r="I62" s="316"/>
      <c r="J62" s="333"/>
      <c r="K62" s="333"/>
      <c r="L62" s="297"/>
      <c r="M62" s="426"/>
      <c r="N62" s="426"/>
      <c r="O62" s="426"/>
      <c r="P62" s="426"/>
      <c r="Q62" s="426"/>
      <c r="R62" s="426"/>
      <c r="S62" s="426"/>
      <c r="T62" s="426"/>
      <c r="U62" s="426"/>
      <c r="V62" s="426"/>
      <c r="W62" s="426"/>
      <c r="X62" s="426"/>
      <c r="Y62" s="426"/>
      <c r="Z62" s="426"/>
      <c r="AA62" s="426"/>
      <c r="AB62" s="426"/>
      <c r="AC62" s="426"/>
      <c r="AD62" s="426"/>
      <c r="AE62" s="426"/>
      <c r="AF62" s="426"/>
      <c r="AG62" s="426"/>
      <c r="AH62" s="426"/>
      <c r="AI62" s="426"/>
      <c r="AJ62" s="426"/>
      <c r="AK62" s="426"/>
      <c r="AL62" s="426"/>
      <c r="AM62" s="426"/>
      <c r="AN62" s="426"/>
      <c r="AO62" s="426"/>
      <c r="AP62" s="426"/>
      <c r="AQ62" s="426"/>
      <c r="AR62" s="426"/>
      <c r="AS62" s="426"/>
    </row>
    <row r="63" spans="1:45" ht="19.5" customHeight="1">
      <c r="A63" s="288"/>
      <c r="B63" s="909" t="str">
        <f>F37</f>
        <v xml:space="preserve"> </v>
      </c>
      <c r="C63" s="344" t="s">
        <v>530</v>
      </c>
      <c r="D63" s="911" t="str">
        <f>IF(ISBLANK(D57),"",F57)</f>
        <v/>
      </c>
      <c r="E63" s="344" t="s">
        <v>118</v>
      </c>
      <c r="F63" s="909" t="str">
        <f>IF(ISBLANK(D57),"",B63*D63)</f>
        <v/>
      </c>
      <c r="G63" s="344" t="s">
        <v>24</v>
      </c>
      <c r="H63" s="101"/>
      <c r="I63" s="290"/>
      <c r="J63" s="289"/>
      <c r="K63" s="289"/>
      <c r="L63" s="289"/>
      <c r="M63" s="317"/>
      <c r="N63" s="317"/>
      <c r="O63" s="317"/>
      <c r="P63" s="317"/>
      <c r="Q63" s="317"/>
      <c r="R63" s="317"/>
      <c r="S63" s="317"/>
      <c r="T63" s="317"/>
      <c r="U63" s="317"/>
      <c r="V63" s="317"/>
      <c r="W63" s="317"/>
      <c r="X63" s="317"/>
      <c r="Y63" s="317"/>
      <c r="Z63" s="317"/>
      <c r="AA63" s="317"/>
      <c r="AB63" s="317"/>
      <c r="AC63" s="317"/>
      <c r="AD63" s="317"/>
      <c r="AE63" s="317"/>
      <c r="AF63" s="317"/>
      <c r="AG63" s="317"/>
      <c r="AH63" s="317"/>
      <c r="AI63" s="317"/>
      <c r="AJ63" s="317"/>
      <c r="AK63" s="317"/>
      <c r="AL63" s="317"/>
      <c r="AM63" s="317"/>
      <c r="AN63" s="317"/>
      <c r="AO63" s="317"/>
      <c r="AP63" s="317"/>
      <c r="AQ63" s="317"/>
      <c r="AR63" s="317"/>
      <c r="AS63" s="317"/>
    </row>
    <row r="64" spans="1:45" ht="18" customHeight="1">
      <c r="A64" s="288"/>
      <c r="B64" s="289" t="s">
        <v>188</v>
      </c>
      <c r="C64" s="289"/>
      <c r="D64" s="289"/>
      <c r="E64" s="289"/>
      <c r="F64" s="289"/>
      <c r="G64" s="289"/>
      <c r="H64" s="289"/>
      <c r="I64" s="290"/>
      <c r="J64" s="289"/>
      <c r="K64" s="289"/>
      <c r="L64" s="289"/>
      <c r="M64" s="317"/>
      <c r="N64" s="317"/>
      <c r="O64" s="317"/>
      <c r="P64" s="317"/>
      <c r="Q64" s="317"/>
      <c r="R64" s="317"/>
      <c r="S64" s="317"/>
      <c r="T64" s="317"/>
      <c r="U64" s="317"/>
      <c r="V64" s="317"/>
      <c r="W64" s="317"/>
      <c r="X64" s="317"/>
      <c r="Y64" s="317"/>
      <c r="Z64" s="317"/>
      <c r="AA64" s="317"/>
      <c r="AB64" s="317"/>
      <c r="AC64" s="317"/>
      <c r="AD64" s="317"/>
      <c r="AE64" s="317"/>
      <c r="AF64" s="317"/>
      <c r="AG64" s="317"/>
      <c r="AH64" s="317"/>
      <c r="AI64" s="317"/>
      <c r="AJ64" s="317"/>
      <c r="AK64" s="317"/>
      <c r="AL64" s="317"/>
      <c r="AM64" s="317"/>
      <c r="AN64" s="317"/>
      <c r="AO64" s="317"/>
      <c r="AP64" s="317"/>
      <c r="AQ64" s="317"/>
      <c r="AR64" s="317"/>
      <c r="AS64" s="317"/>
    </row>
    <row r="65" spans="1:45" s="381" customFormat="1" ht="10.5" customHeight="1">
      <c r="A65" s="322"/>
      <c r="B65" s="297"/>
      <c r="C65" s="297"/>
      <c r="D65" s="297"/>
      <c r="E65" s="297"/>
      <c r="F65" s="297"/>
      <c r="G65" s="297"/>
      <c r="H65" s="297"/>
      <c r="I65" s="316"/>
      <c r="J65" s="297"/>
      <c r="K65" s="297"/>
      <c r="L65" s="297"/>
      <c r="M65" s="426"/>
      <c r="N65" s="426"/>
      <c r="O65" s="426"/>
      <c r="P65" s="426"/>
      <c r="Q65" s="426"/>
      <c r="R65" s="426"/>
      <c r="S65" s="426"/>
      <c r="T65" s="426"/>
      <c r="U65" s="426"/>
      <c r="V65" s="426"/>
      <c r="W65" s="426"/>
      <c r="X65" s="426"/>
      <c r="Y65" s="426"/>
      <c r="Z65" s="426"/>
      <c r="AA65" s="426"/>
      <c r="AB65" s="426"/>
      <c r="AC65" s="426"/>
      <c r="AD65" s="426"/>
      <c r="AE65" s="426"/>
      <c r="AF65" s="426"/>
      <c r="AG65" s="426"/>
      <c r="AH65" s="426"/>
      <c r="AI65" s="426"/>
      <c r="AJ65" s="426"/>
      <c r="AK65" s="426"/>
      <c r="AL65" s="426"/>
      <c r="AM65" s="426"/>
      <c r="AN65" s="426"/>
      <c r="AO65" s="426"/>
      <c r="AP65" s="426"/>
      <c r="AQ65" s="426"/>
      <c r="AR65" s="426"/>
      <c r="AS65" s="426"/>
    </row>
    <row r="66" spans="1:45" ht="19.5" customHeight="1">
      <c r="A66" s="288"/>
      <c r="B66" s="909" t="str">
        <f>F63</f>
        <v/>
      </c>
      <c r="C66" s="344" t="s">
        <v>531</v>
      </c>
      <c r="D66" s="914" t="str">
        <f>IF(ISBLANK(D57),"",B66/27)</f>
        <v/>
      </c>
      <c r="E66" s="344" t="s">
        <v>25</v>
      </c>
      <c r="F66" s="101"/>
      <c r="G66" s="289"/>
      <c r="H66" s="289"/>
      <c r="I66" s="290"/>
      <c r="J66" s="289"/>
      <c r="K66" s="289"/>
      <c r="L66" s="289"/>
      <c r="M66" s="317"/>
      <c r="N66" s="317"/>
      <c r="O66" s="317"/>
      <c r="P66" s="317"/>
      <c r="Q66" s="317"/>
      <c r="R66" s="317"/>
      <c r="S66" s="317"/>
      <c r="T66" s="317"/>
      <c r="U66" s="317"/>
      <c r="V66" s="317"/>
      <c r="W66" s="317"/>
      <c r="X66" s="317"/>
      <c r="Y66" s="317"/>
      <c r="Z66" s="317"/>
      <c r="AA66" s="317"/>
      <c r="AB66" s="317"/>
      <c r="AC66" s="317"/>
      <c r="AD66" s="317"/>
      <c r="AE66" s="317"/>
      <c r="AF66" s="317"/>
      <c r="AG66" s="317"/>
      <c r="AH66" s="317"/>
      <c r="AI66" s="317"/>
      <c r="AJ66" s="317"/>
      <c r="AK66" s="317"/>
      <c r="AL66" s="317"/>
      <c r="AM66" s="317"/>
      <c r="AN66" s="317"/>
      <c r="AO66" s="317"/>
      <c r="AP66" s="317"/>
      <c r="AQ66" s="317"/>
      <c r="AR66" s="317"/>
      <c r="AS66" s="317"/>
    </row>
    <row r="67" spans="1:45" ht="18" customHeight="1">
      <c r="A67" s="288" t="s">
        <v>564</v>
      </c>
      <c r="B67" s="3915" t="s">
        <v>565</v>
      </c>
      <c r="C67" s="3915"/>
      <c r="D67" s="3915"/>
      <c r="E67" s="3915"/>
      <c r="F67" s="3915"/>
      <c r="G67" s="3915"/>
      <c r="H67" s="3915"/>
      <c r="I67" s="290"/>
      <c r="J67" s="292"/>
      <c r="K67" s="292"/>
      <c r="L67" s="289" t="s">
        <v>226</v>
      </c>
      <c r="M67" s="317"/>
      <c r="N67" s="317"/>
      <c r="O67" s="317"/>
      <c r="P67" s="317"/>
      <c r="Q67" s="317"/>
      <c r="R67" s="317"/>
      <c r="S67" s="317"/>
      <c r="T67" s="317"/>
      <c r="U67" s="317"/>
      <c r="V67" s="317"/>
      <c r="W67" s="317"/>
      <c r="X67" s="317"/>
      <c r="Y67" s="317"/>
      <c r="Z67" s="317"/>
      <c r="AA67" s="317"/>
      <c r="AB67" s="317"/>
      <c r="AC67" s="317"/>
      <c r="AD67" s="317"/>
      <c r="AE67" s="317"/>
      <c r="AF67" s="317"/>
      <c r="AG67" s="317"/>
      <c r="AH67" s="317"/>
      <c r="AI67" s="317"/>
      <c r="AJ67" s="317"/>
      <c r="AK67" s="317"/>
      <c r="AL67" s="317"/>
      <c r="AM67" s="317"/>
      <c r="AN67" s="317"/>
      <c r="AO67" s="317"/>
      <c r="AP67" s="317"/>
      <c r="AQ67" s="317"/>
      <c r="AR67" s="317"/>
      <c r="AS67" s="317"/>
    </row>
    <row r="68" spans="1:45" s="381" customFormat="1" ht="10.5" customHeight="1">
      <c r="A68" s="322"/>
      <c r="B68" s="412"/>
      <c r="C68" s="412"/>
      <c r="D68" s="412"/>
      <c r="E68" s="412"/>
      <c r="F68" s="412"/>
      <c r="G68" s="412"/>
      <c r="H68" s="412"/>
      <c r="I68" s="316"/>
      <c r="J68" s="333"/>
      <c r="K68" s="333"/>
      <c r="L68" s="297"/>
      <c r="M68" s="426"/>
      <c r="N68" s="426"/>
      <c r="O68" s="426"/>
      <c r="P68" s="426"/>
      <c r="Q68" s="426"/>
      <c r="R68" s="426"/>
      <c r="S68" s="426"/>
      <c r="T68" s="426"/>
      <c r="U68" s="426"/>
      <c r="V68" s="426"/>
      <c r="W68" s="426"/>
      <c r="X68" s="426"/>
      <c r="Y68" s="426"/>
      <c r="Z68" s="426"/>
      <c r="AA68" s="426"/>
      <c r="AB68" s="426"/>
      <c r="AC68" s="426"/>
      <c r="AD68" s="426"/>
      <c r="AE68" s="426"/>
      <c r="AF68" s="426"/>
      <c r="AG68" s="426"/>
      <c r="AH68" s="426"/>
      <c r="AI68" s="426"/>
      <c r="AJ68" s="426"/>
      <c r="AK68" s="426"/>
      <c r="AL68" s="426"/>
      <c r="AM68" s="426"/>
      <c r="AN68" s="426"/>
      <c r="AO68" s="426"/>
      <c r="AP68" s="426"/>
      <c r="AQ68" s="426"/>
      <c r="AR68" s="426"/>
      <c r="AS68" s="426"/>
    </row>
    <row r="69" spans="1:45" ht="19.5" customHeight="1">
      <c r="A69" s="288"/>
      <c r="B69" s="909" t="str">
        <f>F37</f>
        <v xml:space="preserve"> </v>
      </c>
      <c r="C69" s="344" t="s">
        <v>532</v>
      </c>
      <c r="D69" s="914" t="str">
        <f>IF(ISBLANK(D59),"",F59)</f>
        <v/>
      </c>
      <c r="E69" s="344" t="s">
        <v>118</v>
      </c>
      <c r="F69" s="909" t="str">
        <f>IF(ISBLANK(D59),"",B69*D69)</f>
        <v/>
      </c>
      <c r="G69" s="344" t="s">
        <v>24</v>
      </c>
      <c r="H69" s="101"/>
      <c r="I69" s="290"/>
      <c r="J69" s="289"/>
      <c r="K69" s="289"/>
      <c r="L69" s="289"/>
      <c r="M69" s="317"/>
      <c r="N69" s="317"/>
      <c r="O69" s="317"/>
      <c r="P69" s="317"/>
      <c r="Q69" s="317"/>
      <c r="R69" s="317"/>
      <c r="S69" s="317"/>
      <c r="T69" s="317"/>
      <c r="U69" s="317"/>
      <c r="V69" s="317"/>
      <c r="W69" s="317"/>
      <c r="X69" s="317"/>
      <c r="Y69" s="317"/>
      <c r="Z69" s="317"/>
      <c r="AA69" s="317"/>
      <c r="AB69" s="317"/>
      <c r="AC69" s="317"/>
      <c r="AD69" s="317"/>
      <c r="AE69" s="317"/>
      <c r="AF69" s="317"/>
      <c r="AG69" s="317"/>
      <c r="AH69" s="317"/>
      <c r="AI69" s="317"/>
      <c r="AJ69" s="317"/>
      <c r="AK69" s="317"/>
      <c r="AL69" s="317"/>
      <c r="AM69" s="317"/>
      <c r="AN69" s="317"/>
      <c r="AO69" s="317"/>
      <c r="AP69" s="317"/>
      <c r="AQ69" s="317"/>
      <c r="AR69" s="317"/>
      <c r="AS69" s="317"/>
    </row>
    <row r="70" spans="1:45" ht="18" customHeight="1">
      <c r="A70" s="288"/>
      <c r="B70" s="289" t="s">
        <v>189</v>
      </c>
      <c r="C70" s="289"/>
      <c r="D70" s="289"/>
      <c r="E70" s="289"/>
      <c r="F70" s="289"/>
      <c r="G70" s="289"/>
      <c r="H70" s="289"/>
      <c r="I70" s="290"/>
      <c r="J70" s="289"/>
      <c r="K70" s="289"/>
      <c r="L70" s="289"/>
      <c r="M70" s="317"/>
      <c r="N70" s="317"/>
      <c r="O70" s="317"/>
      <c r="P70" s="317"/>
      <c r="Q70" s="317"/>
      <c r="R70" s="317"/>
      <c r="S70" s="317"/>
      <c r="T70" s="317"/>
      <c r="U70" s="317"/>
      <c r="V70" s="317"/>
      <c r="W70" s="317"/>
      <c r="X70" s="317"/>
      <c r="Y70" s="317"/>
      <c r="Z70" s="317"/>
      <c r="AA70" s="317"/>
      <c r="AB70" s="317"/>
      <c r="AC70" s="317"/>
      <c r="AD70" s="317"/>
      <c r="AE70" s="317"/>
      <c r="AF70" s="317"/>
      <c r="AG70" s="317"/>
      <c r="AH70" s="317"/>
      <c r="AI70" s="317"/>
      <c r="AJ70" s="317"/>
      <c r="AK70" s="317"/>
      <c r="AL70" s="317"/>
      <c r="AM70" s="317"/>
      <c r="AN70" s="317"/>
      <c r="AO70" s="317"/>
      <c r="AP70" s="317"/>
      <c r="AQ70" s="317"/>
      <c r="AR70" s="317"/>
      <c r="AS70" s="317"/>
    </row>
    <row r="71" spans="1:45" s="381" customFormat="1" ht="10.5" customHeight="1">
      <c r="A71" s="322"/>
      <c r="B71" s="297"/>
      <c r="C71" s="297"/>
      <c r="D71" s="297"/>
      <c r="E71" s="297"/>
      <c r="F71" s="297"/>
      <c r="G71" s="297"/>
      <c r="H71" s="297"/>
      <c r="I71" s="316"/>
      <c r="J71" s="297"/>
      <c r="K71" s="297"/>
      <c r="L71" s="297"/>
      <c r="M71" s="426"/>
      <c r="N71" s="426"/>
      <c r="O71" s="426"/>
      <c r="P71" s="426"/>
      <c r="Q71" s="426"/>
      <c r="R71" s="426"/>
      <c r="S71" s="426"/>
      <c r="T71" s="426"/>
      <c r="U71" s="426"/>
      <c r="V71" s="426"/>
      <c r="W71" s="426"/>
      <c r="X71" s="426"/>
      <c r="Y71" s="426"/>
      <c r="Z71" s="426"/>
      <c r="AA71" s="426"/>
      <c r="AB71" s="426"/>
      <c r="AC71" s="426"/>
      <c r="AD71" s="426"/>
      <c r="AE71" s="426"/>
      <c r="AF71" s="426"/>
      <c r="AG71" s="426"/>
      <c r="AH71" s="426"/>
      <c r="AI71" s="426"/>
      <c r="AJ71" s="426"/>
      <c r="AK71" s="426"/>
      <c r="AL71" s="426"/>
      <c r="AM71" s="426"/>
      <c r="AN71" s="426"/>
      <c r="AO71" s="426"/>
      <c r="AP71" s="426"/>
      <c r="AQ71" s="426"/>
      <c r="AR71" s="426"/>
      <c r="AS71" s="426"/>
    </row>
    <row r="72" spans="1:45" ht="19.5" customHeight="1">
      <c r="A72" s="288"/>
      <c r="B72" s="909" t="str">
        <f>F69</f>
        <v/>
      </c>
      <c r="C72" s="344" t="s">
        <v>531</v>
      </c>
      <c r="D72" s="914" t="str">
        <f>IF(ISBLANK(D59),"",B72/27)</f>
        <v/>
      </c>
      <c r="E72" s="344" t="s">
        <v>25</v>
      </c>
      <c r="F72" s="101"/>
      <c r="G72" s="289"/>
      <c r="H72" s="289"/>
      <c r="I72" s="290"/>
      <c r="J72" s="289"/>
      <c r="K72" s="289"/>
      <c r="L72" s="289"/>
      <c r="M72" s="317"/>
      <c r="N72" s="317"/>
      <c r="O72" s="317"/>
      <c r="P72" s="317"/>
      <c r="Q72" s="317"/>
      <c r="R72" s="317"/>
      <c r="S72" s="317"/>
      <c r="T72" s="317"/>
      <c r="U72" s="317"/>
      <c r="V72" s="317"/>
      <c r="W72" s="317"/>
      <c r="X72" s="317"/>
      <c r="Y72" s="317"/>
      <c r="Z72" s="317"/>
      <c r="AA72" s="317"/>
      <c r="AB72" s="317"/>
      <c r="AC72" s="317"/>
      <c r="AD72" s="317"/>
      <c r="AE72" s="317"/>
      <c r="AF72" s="317"/>
      <c r="AG72" s="317"/>
      <c r="AH72" s="317"/>
      <c r="AI72" s="317"/>
      <c r="AJ72" s="317"/>
      <c r="AK72" s="317"/>
      <c r="AL72" s="317"/>
      <c r="AM72" s="317"/>
      <c r="AN72" s="317"/>
      <c r="AO72" s="317"/>
      <c r="AP72" s="317"/>
      <c r="AQ72" s="317"/>
      <c r="AR72" s="317"/>
      <c r="AS72" s="317"/>
    </row>
    <row r="73" spans="1:45" ht="10.5" customHeight="1">
      <c r="A73" s="288"/>
      <c r="B73" s="300"/>
      <c r="C73" s="289"/>
      <c r="D73" s="332"/>
      <c r="E73" s="289"/>
      <c r="F73" s="289"/>
      <c r="G73" s="289"/>
      <c r="H73" s="289"/>
      <c r="I73" s="290"/>
      <c r="J73" s="289"/>
      <c r="K73" s="289"/>
      <c r="L73" s="289"/>
      <c r="M73" s="317"/>
      <c r="N73" s="317"/>
      <c r="O73" s="317"/>
      <c r="P73" s="317"/>
      <c r="Q73" s="317"/>
      <c r="R73" s="317"/>
      <c r="S73" s="317"/>
      <c r="T73" s="317"/>
      <c r="U73" s="317"/>
      <c r="V73" s="317"/>
      <c r="W73" s="317"/>
      <c r="X73" s="317"/>
      <c r="Y73" s="317"/>
      <c r="Z73" s="317"/>
      <c r="AA73" s="317"/>
      <c r="AB73" s="317"/>
      <c r="AC73" s="317"/>
      <c r="AD73" s="317"/>
      <c r="AE73" s="317"/>
      <c r="AF73" s="317"/>
      <c r="AG73" s="317"/>
      <c r="AH73" s="317"/>
      <c r="AI73" s="317"/>
      <c r="AJ73" s="317"/>
      <c r="AK73" s="317"/>
      <c r="AL73" s="317"/>
      <c r="AM73" s="317"/>
      <c r="AN73" s="317"/>
      <c r="AO73" s="317"/>
      <c r="AP73" s="317"/>
      <c r="AQ73" s="317"/>
      <c r="AR73" s="317"/>
      <c r="AS73" s="317"/>
    </row>
    <row r="74" spans="1:45" ht="19.5" customHeight="1">
      <c r="A74" s="341" t="s">
        <v>91</v>
      </c>
      <c r="B74" s="344" t="s">
        <v>566</v>
      </c>
      <c r="C74" s="289"/>
      <c r="D74" s="1198"/>
      <c r="E74" s="3918" t="s">
        <v>1432</v>
      </c>
      <c r="F74" s="3918"/>
      <c r="G74" s="3918"/>
      <c r="H74" s="3918"/>
      <c r="I74" s="3919"/>
      <c r="J74" s="1104"/>
      <c r="K74" s="1104"/>
      <c r="L74" s="1104"/>
      <c r="M74" s="1104"/>
      <c r="N74" s="317"/>
      <c r="O74" s="317"/>
      <c r="P74" s="317"/>
      <c r="Q74" s="317"/>
      <c r="R74" s="317"/>
      <c r="S74" s="317"/>
      <c r="T74" s="317"/>
      <c r="U74" s="317"/>
      <c r="V74" s="317"/>
      <c r="W74" s="317"/>
      <c r="X74" s="317"/>
      <c r="Y74" s="317"/>
      <c r="Z74" s="317"/>
      <c r="AA74" s="317"/>
      <c r="AB74" s="317"/>
      <c r="AC74" s="317"/>
      <c r="AD74" s="317"/>
      <c r="AE74" s="317"/>
      <c r="AF74" s="317"/>
      <c r="AG74" s="317"/>
      <c r="AH74" s="317"/>
      <c r="AI74" s="317"/>
      <c r="AJ74" s="317"/>
      <c r="AK74" s="317"/>
      <c r="AL74" s="317"/>
      <c r="AM74" s="317"/>
      <c r="AN74" s="317"/>
      <c r="AO74" s="317"/>
      <c r="AP74" s="317"/>
      <c r="AQ74" s="317"/>
      <c r="AR74" s="317"/>
      <c r="AS74" s="317"/>
    </row>
    <row r="75" spans="1:45" s="381" customFormat="1" ht="10.5" customHeight="1">
      <c r="A75" s="322"/>
      <c r="B75" s="297"/>
      <c r="C75" s="297"/>
      <c r="D75" s="297"/>
      <c r="E75" s="3918"/>
      <c r="F75" s="3918"/>
      <c r="G75" s="3918"/>
      <c r="H75" s="3918"/>
      <c r="I75" s="3919"/>
      <c r="J75" s="297"/>
      <c r="K75" s="297"/>
      <c r="L75" s="297"/>
      <c r="M75" s="426"/>
      <c r="N75" s="426"/>
      <c r="O75" s="426"/>
      <c r="P75" s="426"/>
      <c r="Q75" s="426"/>
      <c r="R75" s="426"/>
      <c r="S75" s="426"/>
      <c r="T75" s="426"/>
      <c r="U75" s="426"/>
      <c r="V75" s="426"/>
      <c r="W75" s="426"/>
      <c r="X75" s="426"/>
      <c r="Y75" s="426"/>
      <c r="Z75" s="426"/>
      <c r="AA75" s="426"/>
      <c r="AB75" s="426"/>
      <c r="AC75" s="426"/>
      <c r="AD75" s="426"/>
      <c r="AE75" s="426"/>
      <c r="AF75" s="426"/>
      <c r="AG75" s="426"/>
      <c r="AH75" s="426"/>
      <c r="AI75" s="426"/>
      <c r="AJ75" s="426"/>
      <c r="AK75" s="426"/>
      <c r="AL75" s="426"/>
      <c r="AM75" s="426"/>
      <c r="AN75" s="426"/>
      <c r="AO75" s="426"/>
      <c r="AP75" s="426"/>
      <c r="AQ75" s="426"/>
      <c r="AR75" s="426"/>
      <c r="AS75" s="426"/>
    </row>
    <row r="76" spans="1:45" ht="19.5" customHeight="1">
      <c r="A76" s="341" t="s">
        <v>93</v>
      </c>
      <c r="B76" s="344" t="s">
        <v>567</v>
      </c>
      <c r="C76" s="289"/>
      <c r="D76" s="1198"/>
      <c r="E76" s="3901" t="s">
        <v>568</v>
      </c>
      <c r="F76" s="3902"/>
      <c r="G76" s="3902"/>
      <c r="H76" s="3902"/>
      <c r="I76" s="290"/>
      <c r="J76" s="281"/>
      <c r="K76" s="281"/>
      <c r="L76" s="281"/>
      <c r="M76" s="317"/>
      <c r="N76" s="317"/>
      <c r="O76" s="317"/>
      <c r="P76" s="317"/>
      <c r="Q76" s="317"/>
      <c r="R76" s="317"/>
      <c r="S76" s="317"/>
      <c r="T76" s="317"/>
      <c r="U76" s="317"/>
      <c r="V76" s="317"/>
      <c r="W76" s="317"/>
      <c r="X76" s="317"/>
      <c r="Y76" s="317"/>
      <c r="Z76" s="317"/>
      <c r="AA76" s="317"/>
      <c r="AB76" s="317"/>
      <c r="AC76" s="317"/>
      <c r="AD76" s="317"/>
      <c r="AE76" s="317"/>
      <c r="AF76" s="317"/>
      <c r="AG76" s="317"/>
      <c r="AH76" s="317"/>
      <c r="AI76" s="317"/>
      <c r="AJ76" s="317"/>
      <c r="AK76" s="317"/>
      <c r="AL76" s="317"/>
      <c r="AM76" s="317"/>
      <c r="AN76" s="317"/>
      <c r="AO76" s="317"/>
      <c r="AP76" s="317"/>
      <c r="AQ76" s="317"/>
      <c r="AR76" s="317"/>
      <c r="AS76" s="317"/>
    </row>
    <row r="77" spans="1:45" ht="165" customHeight="1">
      <c r="A77" s="3903" t="s">
        <v>959</v>
      </c>
      <c r="B77" s="3904"/>
      <c r="C77" s="3904"/>
      <c r="D77" s="772"/>
      <c r="E77" s="772"/>
      <c r="F77" s="772"/>
      <c r="G77" s="772"/>
      <c r="H77" s="772"/>
      <c r="I77" s="773"/>
      <c r="J77" s="281"/>
      <c r="K77" s="281"/>
      <c r="L77" s="281"/>
      <c r="M77" s="317"/>
      <c r="N77" s="317"/>
      <c r="O77" s="317"/>
      <c r="P77" s="317"/>
      <c r="Q77" s="317"/>
      <c r="R77" s="317"/>
      <c r="S77" s="317"/>
      <c r="T77" s="317"/>
      <c r="U77" s="317"/>
      <c r="V77" s="317"/>
      <c r="W77" s="317"/>
      <c r="X77" s="317"/>
      <c r="Y77" s="317"/>
      <c r="Z77" s="317"/>
      <c r="AA77" s="317"/>
      <c r="AB77" s="317"/>
      <c r="AC77" s="317"/>
      <c r="AD77" s="317"/>
      <c r="AE77" s="317"/>
      <c r="AF77" s="317"/>
      <c r="AG77" s="317"/>
      <c r="AH77" s="317"/>
      <c r="AI77" s="317"/>
      <c r="AJ77" s="317"/>
      <c r="AK77" s="317"/>
      <c r="AL77" s="317"/>
      <c r="AM77" s="317"/>
      <c r="AN77" s="317"/>
      <c r="AO77" s="317"/>
      <c r="AP77" s="317"/>
      <c r="AQ77" s="317"/>
      <c r="AR77" s="317"/>
      <c r="AS77" s="317"/>
    </row>
    <row r="78" spans="1:45" ht="18" customHeight="1">
      <c r="A78" s="689" t="s">
        <v>589</v>
      </c>
      <c r="B78" s="690" t="s">
        <v>569</v>
      </c>
      <c r="C78" s="691"/>
      <c r="D78" s="691"/>
      <c r="E78" s="691"/>
      <c r="F78" s="691"/>
      <c r="G78" s="691"/>
      <c r="H78" s="691"/>
      <c r="I78" s="692"/>
      <c r="J78" s="281"/>
      <c r="K78" s="281"/>
      <c r="L78" s="281"/>
      <c r="M78" s="317"/>
      <c r="N78" s="317"/>
      <c r="O78" s="317"/>
      <c r="P78" s="317"/>
      <c r="Q78" s="317"/>
      <c r="R78" s="317"/>
      <c r="S78" s="317"/>
      <c r="T78" s="317"/>
      <c r="U78" s="317"/>
      <c r="V78" s="317"/>
      <c r="W78" s="317"/>
      <c r="X78" s="317"/>
      <c r="Y78" s="317"/>
      <c r="Z78" s="317"/>
      <c r="AA78" s="317"/>
      <c r="AB78" s="317"/>
      <c r="AC78" s="317"/>
      <c r="AD78" s="317"/>
      <c r="AE78" s="317"/>
      <c r="AF78" s="317"/>
      <c r="AG78" s="317"/>
      <c r="AH78" s="317"/>
      <c r="AI78" s="317"/>
      <c r="AJ78" s="317"/>
      <c r="AK78" s="317"/>
      <c r="AL78" s="317"/>
      <c r="AM78" s="317"/>
      <c r="AN78" s="317"/>
      <c r="AO78" s="317"/>
      <c r="AP78" s="317"/>
      <c r="AQ78" s="317"/>
      <c r="AR78" s="317"/>
      <c r="AS78" s="317"/>
    </row>
    <row r="79" spans="1:45" ht="10.5" customHeight="1">
      <c r="A79" s="322"/>
      <c r="B79" s="297"/>
      <c r="C79" s="333"/>
      <c r="D79" s="333"/>
      <c r="E79" s="297"/>
      <c r="F79" s="297"/>
      <c r="G79" s="297"/>
      <c r="H79" s="297"/>
      <c r="I79" s="316"/>
      <c r="J79" s="334"/>
      <c r="K79" s="334"/>
      <c r="L79" s="334"/>
      <c r="M79" s="334"/>
      <c r="N79" s="334"/>
      <c r="O79" s="317"/>
      <c r="P79" s="317"/>
      <c r="Q79" s="317"/>
      <c r="R79" s="317"/>
      <c r="S79" s="317"/>
      <c r="T79" s="317"/>
      <c r="U79" s="317"/>
      <c r="V79" s="317"/>
      <c r="W79" s="317"/>
      <c r="X79" s="317"/>
      <c r="Y79" s="317"/>
      <c r="Z79" s="317"/>
      <c r="AA79" s="317"/>
      <c r="AB79" s="317"/>
      <c r="AC79" s="317"/>
      <c r="AD79" s="317"/>
      <c r="AE79" s="317"/>
      <c r="AF79" s="317"/>
      <c r="AG79" s="317"/>
      <c r="AH79" s="317"/>
      <c r="AI79" s="317"/>
      <c r="AJ79" s="317"/>
      <c r="AK79" s="317"/>
      <c r="AL79" s="317"/>
      <c r="AM79" s="317"/>
      <c r="AN79" s="317"/>
      <c r="AO79" s="317"/>
      <c r="AP79" s="317"/>
      <c r="AQ79" s="317"/>
      <c r="AR79" s="317"/>
      <c r="AS79" s="317"/>
    </row>
    <row r="80" spans="1:45" ht="19.5" customHeight="1">
      <c r="A80" s="341" t="s">
        <v>88</v>
      </c>
      <c r="B80" s="344" t="s">
        <v>570</v>
      </c>
      <c r="C80" s="292"/>
      <c r="D80" s="3910"/>
      <c r="E80" s="3911"/>
      <c r="F80" s="3911"/>
      <c r="G80" s="3912"/>
      <c r="H80" s="101"/>
      <c r="I80" s="290"/>
      <c r="J80" s="281"/>
      <c r="K80" s="281"/>
      <c r="M80" s="281"/>
      <c r="N80" s="281"/>
      <c r="O80" s="317"/>
      <c r="P80" s="317"/>
      <c r="Q80" s="317"/>
      <c r="R80" s="317"/>
      <c r="S80" s="317"/>
      <c r="T80" s="317"/>
      <c r="U80" s="317"/>
      <c r="V80" s="317"/>
      <c r="W80" s="317"/>
      <c r="X80" s="317"/>
      <c r="Y80" s="317"/>
      <c r="Z80" s="317"/>
      <c r="AA80" s="317"/>
      <c r="AB80" s="317"/>
      <c r="AC80" s="317"/>
      <c r="AD80" s="317"/>
      <c r="AE80" s="317"/>
      <c r="AF80" s="317"/>
      <c r="AG80" s="317"/>
      <c r="AH80" s="317"/>
      <c r="AI80" s="317"/>
      <c r="AJ80" s="317"/>
      <c r="AK80" s="317"/>
      <c r="AL80" s="317"/>
      <c r="AM80" s="317"/>
      <c r="AN80" s="317"/>
      <c r="AO80" s="317"/>
      <c r="AP80" s="317"/>
      <c r="AQ80" s="317"/>
      <c r="AR80" s="317"/>
      <c r="AS80" s="317"/>
    </row>
    <row r="81" spans="1:45" ht="10.5" customHeight="1">
      <c r="A81" s="322"/>
      <c r="B81" s="297"/>
      <c r="C81" s="333"/>
      <c r="D81" s="297"/>
      <c r="E81" s="297"/>
      <c r="F81" s="297"/>
      <c r="G81" s="297"/>
      <c r="H81" s="101"/>
      <c r="I81" s="316"/>
      <c r="J81" s="334"/>
      <c r="K81" s="334"/>
      <c r="M81" s="334"/>
      <c r="N81" s="334"/>
      <c r="O81" s="317"/>
      <c r="P81" s="317"/>
      <c r="Q81" s="317"/>
      <c r="R81" s="317"/>
      <c r="S81" s="317"/>
      <c r="T81" s="317"/>
      <c r="U81" s="317"/>
      <c r="V81" s="317"/>
      <c r="W81" s="317"/>
      <c r="X81" s="317"/>
      <c r="Y81" s="317"/>
      <c r="Z81" s="317"/>
      <c r="AA81" s="317"/>
      <c r="AB81" s="317"/>
      <c r="AC81" s="317"/>
      <c r="AD81" s="317"/>
      <c r="AE81" s="317"/>
      <c r="AF81" s="317"/>
      <c r="AG81" s="317"/>
      <c r="AH81" s="317"/>
      <c r="AI81" s="317"/>
      <c r="AJ81" s="317"/>
      <c r="AK81" s="317"/>
      <c r="AL81" s="317"/>
      <c r="AM81" s="317"/>
      <c r="AN81" s="317"/>
      <c r="AO81" s="317"/>
      <c r="AP81" s="317"/>
      <c r="AQ81" s="317"/>
      <c r="AR81" s="317"/>
      <c r="AS81" s="317"/>
    </row>
    <row r="82" spans="1:45" ht="19.5" customHeight="1">
      <c r="A82" s="341" t="s">
        <v>89</v>
      </c>
      <c r="B82" s="344" t="s">
        <v>571</v>
      </c>
      <c r="C82" s="344"/>
      <c r="D82" s="1198"/>
      <c r="E82" s="344" t="s">
        <v>92</v>
      </c>
      <c r="F82" s="324" t="s">
        <v>572</v>
      </c>
      <c r="G82" s="417"/>
      <c r="H82" s="101"/>
      <c r="I82" s="316"/>
      <c r="J82" s="281"/>
      <c r="K82" s="281"/>
      <c r="L82" s="281"/>
      <c r="M82" s="281"/>
      <c r="N82" s="281"/>
      <c r="O82" s="317"/>
      <c r="P82" s="317"/>
      <c r="Q82" s="317"/>
      <c r="R82" s="317"/>
      <c r="S82" s="317"/>
      <c r="T82" s="317"/>
      <c r="U82" s="317"/>
      <c r="V82" s="317"/>
      <c r="W82" s="317"/>
      <c r="X82" s="317"/>
      <c r="Y82" s="317"/>
      <c r="Z82" s="317"/>
      <c r="AA82" s="317"/>
      <c r="AB82" s="317"/>
      <c r="AC82" s="317"/>
      <c r="AD82" s="317"/>
      <c r="AE82" s="317"/>
      <c r="AF82" s="317"/>
      <c r="AG82" s="317"/>
      <c r="AH82" s="317"/>
      <c r="AI82" s="317"/>
      <c r="AJ82" s="317"/>
      <c r="AK82" s="317"/>
      <c r="AL82" s="317"/>
      <c r="AM82" s="317"/>
      <c r="AN82" s="317"/>
      <c r="AO82" s="317"/>
      <c r="AP82" s="317"/>
      <c r="AQ82" s="317"/>
      <c r="AR82" s="317"/>
      <c r="AS82" s="317"/>
    </row>
    <row r="83" spans="1:45" ht="10.5" customHeight="1">
      <c r="A83" s="288"/>
      <c r="B83" s="315"/>
      <c r="C83" s="292"/>
      <c r="D83" s="292"/>
      <c r="E83" s="289"/>
      <c r="F83" s="289"/>
      <c r="G83" s="289"/>
      <c r="H83" s="289"/>
      <c r="I83" s="290"/>
      <c r="J83" s="281"/>
      <c r="K83" s="281"/>
      <c r="L83" s="281"/>
      <c r="M83" s="281"/>
      <c r="N83" s="281"/>
      <c r="O83" s="317"/>
      <c r="P83" s="317"/>
      <c r="Q83" s="317"/>
      <c r="R83" s="317"/>
      <c r="S83" s="317"/>
      <c r="T83" s="317"/>
      <c r="U83" s="317"/>
      <c r="V83" s="317"/>
      <c r="W83" s="317"/>
      <c r="X83" s="317"/>
      <c r="Y83" s="317"/>
      <c r="Z83" s="317"/>
      <c r="AA83" s="317"/>
      <c r="AB83" s="317"/>
      <c r="AC83" s="317"/>
      <c r="AD83" s="317"/>
      <c r="AE83" s="317"/>
      <c r="AF83" s="317"/>
      <c r="AG83" s="317"/>
      <c r="AH83" s="317"/>
      <c r="AI83" s="317"/>
      <c r="AJ83" s="317"/>
      <c r="AK83" s="317"/>
      <c r="AL83" s="317"/>
      <c r="AM83" s="317"/>
      <c r="AN83" s="317"/>
      <c r="AO83" s="317"/>
      <c r="AP83" s="317"/>
      <c r="AQ83" s="317"/>
      <c r="AR83" s="317"/>
      <c r="AS83" s="317"/>
    </row>
    <row r="84" spans="1:45" ht="18" customHeight="1">
      <c r="A84" s="288" t="s">
        <v>141</v>
      </c>
      <c r="B84" s="289" t="s">
        <v>573</v>
      </c>
      <c r="C84" s="289"/>
      <c r="D84" s="289"/>
      <c r="E84" s="289"/>
      <c r="F84" s="289"/>
      <c r="G84" s="289"/>
      <c r="H84" s="289"/>
      <c r="I84" s="290"/>
      <c r="J84" s="281"/>
      <c r="K84" s="281"/>
      <c r="L84" s="281"/>
      <c r="M84" s="281"/>
      <c r="N84" s="281"/>
      <c r="O84" s="317"/>
      <c r="P84" s="317"/>
      <c r="Q84" s="317"/>
      <c r="R84" s="317"/>
      <c r="S84" s="317"/>
      <c r="T84" s="317"/>
      <c r="U84" s="317"/>
      <c r="V84" s="317"/>
      <c r="W84" s="317"/>
      <c r="X84" s="317"/>
      <c r="Y84" s="317"/>
      <c r="Z84" s="317"/>
      <c r="AA84" s="317"/>
      <c r="AB84" s="317"/>
      <c r="AC84" s="317"/>
      <c r="AD84" s="317"/>
      <c r="AE84" s="317"/>
      <c r="AF84" s="317"/>
      <c r="AG84" s="317"/>
      <c r="AH84" s="317"/>
      <c r="AI84" s="317"/>
      <c r="AJ84" s="317"/>
      <c r="AK84" s="317"/>
      <c r="AL84" s="317"/>
      <c r="AM84" s="317"/>
      <c r="AN84" s="317"/>
      <c r="AO84" s="317"/>
      <c r="AP84" s="317"/>
      <c r="AQ84" s="317"/>
      <c r="AR84" s="317"/>
      <c r="AS84" s="317"/>
    </row>
    <row r="85" spans="1:45" ht="10.5" customHeight="1">
      <c r="A85" s="288"/>
      <c r="B85" s="289"/>
      <c r="C85" s="289"/>
      <c r="D85" s="289"/>
      <c r="E85" s="289"/>
      <c r="F85" s="289"/>
      <c r="G85" s="289"/>
      <c r="H85" s="289"/>
      <c r="I85" s="290"/>
      <c r="J85" s="281"/>
      <c r="K85" s="281"/>
      <c r="L85" s="281"/>
      <c r="M85" s="281"/>
      <c r="N85" s="281"/>
      <c r="O85" s="317"/>
      <c r="P85" s="317"/>
      <c r="Q85" s="317"/>
      <c r="R85" s="317"/>
      <c r="S85" s="317"/>
      <c r="T85" s="317"/>
      <c r="U85" s="317"/>
      <c r="V85" s="317"/>
      <c r="W85" s="317"/>
      <c r="X85" s="317"/>
      <c r="Y85" s="317"/>
      <c r="Z85" s="317"/>
      <c r="AA85" s="317"/>
      <c r="AB85" s="317"/>
      <c r="AC85" s="317"/>
      <c r="AD85" s="317"/>
      <c r="AE85" s="317"/>
      <c r="AF85" s="317"/>
      <c r="AG85" s="317"/>
      <c r="AH85" s="317"/>
      <c r="AI85" s="317"/>
      <c r="AJ85" s="317"/>
      <c r="AK85" s="317"/>
      <c r="AL85" s="317"/>
      <c r="AM85" s="317"/>
      <c r="AN85" s="317"/>
      <c r="AO85" s="317"/>
      <c r="AP85" s="317"/>
      <c r="AQ85" s="317"/>
      <c r="AR85" s="317"/>
      <c r="AS85" s="317"/>
    </row>
    <row r="86" spans="1:45" ht="19.5" customHeight="1">
      <c r="A86" s="288"/>
      <c r="B86" s="909" t="str">
        <f>F37</f>
        <v xml:space="preserve"> </v>
      </c>
      <c r="C86" s="344" t="s">
        <v>530</v>
      </c>
      <c r="D86" s="909" t="str">
        <f>IF(ISBLANK(D82),"",D82)</f>
        <v/>
      </c>
      <c r="E86" s="344" t="s">
        <v>118</v>
      </c>
      <c r="F86" s="909" t="str">
        <f>IF(ISBLANK(D82),"",B86*D86)</f>
        <v/>
      </c>
      <c r="G86" s="344" t="s">
        <v>24</v>
      </c>
      <c r="H86" s="101"/>
      <c r="I86" s="290"/>
      <c r="J86" s="289"/>
      <c r="K86" s="289"/>
      <c r="L86" s="289"/>
      <c r="M86" s="289"/>
      <c r="N86" s="289"/>
      <c r="O86" s="317"/>
      <c r="P86" s="317"/>
      <c r="Q86" s="317"/>
      <c r="R86" s="317"/>
      <c r="S86" s="317"/>
      <c r="T86" s="317"/>
      <c r="U86" s="317"/>
      <c r="V86" s="317"/>
      <c r="W86" s="317"/>
      <c r="X86" s="317"/>
      <c r="Y86" s="317"/>
      <c r="Z86" s="317"/>
      <c r="AA86" s="317"/>
      <c r="AB86" s="317"/>
      <c r="AC86" s="317"/>
      <c r="AD86" s="317"/>
      <c r="AE86" s="317"/>
      <c r="AF86" s="317"/>
      <c r="AG86" s="317"/>
      <c r="AH86" s="317"/>
      <c r="AI86" s="317"/>
      <c r="AJ86" s="317"/>
      <c r="AK86" s="317"/>
      <c r="AL86" s="317"/>
      <c r="AM86" s="317"/>
      <c r="AN86" s="317"/>
      <c r="AO86" s="317"/>
      <c r="AP86" s="317"/>
      <c r="AQ86" s="317"/>
      <c r="AR86" s="317"/>
      <c r="AS86" s="317"/>
    </row>
    <row r="87" spans="1:45" ht="18" customHeight="1">
      <c r="A87" s="288"/>
      <c r="B87" s="289" t="s">
        <v>190</v>
      </c>
      <c r="C87" s="289"/>
      <c r="D87" s="292"/>
      <c r="E87" s="289"/>
      <c r="F87" s="3890"/>
      <c r="G87" s="3891"/>
      <c r="H87" s="292"/>
      <c r="I87" s="290"/>
      <c r="J87" s="281"/>
      <c r="K87" s="281"/>
      <c r="L87" s="281"/>
      <c r="M87" s="281"/>
      <c r="N87" s="281"/>
      <c r="O87" s="317"/>
      <c r="P87" s="317"/>
      <c r="Q87" s="317"/>
      <c r="R87" s="317"/>
      <c r="S87" s="317"/>
      <c r="T87" s="317"/>
      <c r="U87" s="317"/>
      <c r="V87" s="317"/>
      <c r="W87" s="317"/>
      <c r="X87" s="317"/>
      <c r="Y87" s="317"/>
      <c r="Z87" s="317"/>
      <c r="AA87" s="317"/>
      <c r="AB87" s="317"/>
      <c r="AC87" s="317"/>
      <c r="AD87" s="317"/>
      <c r="AE87" s="317"/>
      <c r="AF87" s="317"/>
      <c r="AG87" s="317"/>
      <c r="AH87" s="317"/>
      <c r="AI87" s="317"/>
      <c r="AJ87" s="317"/>
      <c r="AK87" s="317"/>
      <c r="AL87" s="317"/>
      <c r="AM87" s="317"/>
      <c r="AN87" s="317"/>
      <c r="AO87" s="317"/>
      <c r="AP87" s="317"/>
      <c r="AQ87" s="317"/>
      <c r="AR87" s="317"/>
      <c r="AS87" s="317"/>
    </row>
    <row r="88" spans="1:45" ht="10.5" customHeight="1">
      <c r="A88" s="288"/>
      <c r="B88" s="289"/>
      <c r="C88" s="289"/>
      <c r="D88" s="292"/>
      <c r="E88" s="289"/>
      <c r="F88" s="319"/>
      <c r="G88" s="320"/>
      <c r="H88" s="292"/>
      <c r="I88" s="290"/>
      <c r="J88" s="281"/>
      <c r="K88" s="281"/>
      <c r="L88" s="281"/>
      <c r="M88" s="281"/>
      <c r="N88" s="281"/>
      <c r="O88" s="317"/>
      <c r="P88" s="317"/>
      <c r="Q88" s="317"/>
      <c r="R88" s="317"/>
      <c r="S88" s="317"/>
      <c r="T88" s="317"/>
      <c r="U88" s="317"/>
      <c r="V88" s="317"/>
      <c r="W88" s="317"/>
      <c r="X88" s="317"/>
      <c r="Y88" s="317"/>
      <c r="Z88" s="317"/>
      <c r="AA88" s="317"/>
      <c r="AB88" s="317"/>
      <c r="AC88" s="317"/>
      <c r="AD88" s="317"/>
      <c r="AE88" s="317"/>
      <c r="AF88" s="317"/>
      <c r="AG88" s="317"/>
      <c r="AH88" s="317"/>
      <c r="AI88" s="317"/>
      <c r="AJ88" s="317"/>
      <c r="AK88" s="317"/>
      <c r="AL88" s="317"/>
      <c r="AM88" s="317"/>
      <c r="AN88" s="317"/>
      <c r="AO88" s="317"/>
      <c r="AP88" s="317"/>
      <c r="AQ88" s="317"/>
      <c r="AR88" s="317"/>
      <c r="AS88" s="317"/>
    </row>
    <row r="89" spans="1:45" ht="19.5" customHeight="1">
      <c r="A89" s="322"/>
      <c r="B89" s="909" t="str">
        <f>F86</f>
        <v/>
      </c>
      <c r="C89" s="344" t="s">
        <v>531</v>
      </c>
      <c r="D89" s="914" t="str">
        <f>IF(ISBLANK(D82),"",B89/27)</f>
        <v/>
      </c>
      <c r="E89" s="344" t="s">
        <v>25</v>
      </c>
      <c r="F89" s="101"/>
      <c r="G89" s="297"/>
      <c r="H89" s="297"/>
      <c r="I89" s="316"/>
      <c r="J89" s="334"/>
      <c r="K89" s="334"/>
      <c r="L89" s="334"/>
      <c r="M89" s="334"/>
      <c r="N89" s="334"/>
      <c r="O89" s="317"/>
      <c r="P89" s="317"/>
      <c r="Q89" s="317"/>
      <c r="R89" s="317"/>
      <c r="S89" s="317"/>
      <c r="T89" s="317"/>
      <c r="U89" s="317"/>
      <c r="V89" s="317"/>
      <c r="W89" s="317"/>
      <c r="X89" s="317"/>
      <c r="Y89" s="317"/>
      <c r="Z89" s="317"/>
      <c r="AA89" s="317"/>
      <c r="AB89" s="317"/>
      <c r="AC89" s="317"/>
      <c r="AD89" s="317"/>
      <c r="AE89" s="317"/>
      <c r="AF89" s="317"/>
      <c r="AG89" s="317"/>
      <c r="AH89" s="317"/>
      <c r="AI89" s="317"/>
      <c r="AJ89" s="317"/>
      <c r="AK89" s="317"/>
      <c r="AL89" s="317"/>
      <c r="AM89" s="317"/>
      <c r="AN89" s="317"/>
      <c r="AO89" s="317"/>
      <c r="AP89" s="317"/>
      <c r="AQ89" s="317"/>
      <c r="AR89" s="317"/>
      <c r="AS89" s="317"/>
    </row>
    <row r="90" spans="1:45" ht="10.5" customHeight="1">
      <c r="A90" s="330"/>
      <c r="B90" s="338"/>
      <c r="C90" s="339"/>
      <c r="D90" s="339"/>
      <c r="E90" s="294"/>
      <c r="F90" s="294"/>
      <c r="G90" s="294"/>
      <c r="H90" s="294"/>
      <c r="I90" s="296"/>
      <c r="J90" s="281"/>
      <c r="K90" s="281"/>
      <c r="L90" s="281"/>
      <c r="M90" s="281"/>
      <c r="N90" s="281"/>
      <c r="O90" s="317"/>
      <c r="P90" s="317"/>
      <c r="Q90" s="317"/>
      <c r="R90" s="317"/>
      <c r="S90" s="317"/>
      <c r="T90" s="317"/>
      <c r="U90" s="317"/>
      <c r="V90" s="317"/>
      <c r="W90" s="317"/>
      <c r="X90" s="317"/>
      <c r="Y90" s="317"/>
      <c r="Z90" s="317"/>
      <c r="AA90" s="317"/>
      <c r="AB90" s="317"/>
      <c r="AC90" s="317"/>
      <c r="AD90" s="317"/>
      <c r="AE90" s="317"/>
      <c r="AF90" s="317"/>
      <c r="AG90" s="317"/>
      <c r="AH90" s="317"/>
      <c r="AI90" s="317"/>
      <c r="AJ90" s="317"/>
      <c r="AK90" s="317"/>
      <c r="AL90" s="317"/>
      <c r="AM90" s="317"/>
      <c r="AN90" s="317"/>
      <c r="AO90" s="317"/>
      <c r="AP90" s="317"/>
      <c r="AQ90" s="317"/>
      <c r="AR90" s="317"/>
      <c r="AS90" s="317"/>
    </row>
    <row r="91" spans="1:45" ht="18" customHeight="1">
      <c r="A91" s="689" t="s">
        <v>641</v>
      </c>
      <c r="B91" s="690" t="s">
        <v>574</v>
      </c>
      <c r="C91" s="690"/>
      <c r="D91" s="691"/>
      <c r="E91" s="691"/>
      <c r="F91" s="691"/>
      <c r="G91" s="691"/>
      <c r="H91" s="691"/>
      <c r="I91" s="692"/>
      <c r="J91" s="289"/>
      <c r="K91" s="289"/>
      <c r="L91" s="340"/>
      <c r="M91" s="317"/>
      <c r="N91" s="317"/>
      <c r="O91" s="317"/>
      <c r="P91" s="317"/>
      <c r="Q91" s="317"/>
      <c r="R91" s="317"/>
      <c r="S91" s="317"/>
      <c r="T91" s="317"/>
      <c r="U91" s="317"/>
      <c r="V91" s="317"/>
      <c r="W91" s="317"/>
      <c r="X91" s="317"/>
      <c r="Y91" s="317"/>
      <c r="Z91" s="317"/>
      <c r="AA91" s="317"/>
      <c r="AB91" s="317"/>
      <c r="AC91" s="317"/>
      <c r="AD91" s="317"/>
      <c r="AE91" s="317"/>
      <c r="AF91" s="317"/>
      <c r="AG91" s="317"/>
      <c r="AH91" s="317"/>
      <c r="AI91" s="317"/>
      <c r="AJ91" s="317"/>
      <c r="AK91" s="317"/>
      <c r="AL91" s="317"/>
      <c r="AM91" s="317"/>
      <c r="AN91" s="317"/>
      <c r="AO91" s="317"/>
      <c r="AP91" s="317"/>
      <c r="AQ91" s="317"/>
      <c r="AR91" s="317"/>
      <c r="AS91" s="317"/>
    </row>
    <row r="92" spans="1:45" ht="10.5" customHeight="1">
      <c r="A92" s="299"/>
      <c r="B92" s="300"/>
      <c r="C92" s="289"/>
      <c r="D92" s="332"/>
      <c r="E92" s="289"/>
      <c r="F92" s="289"/>
      <c r="G92" s="289"/>
      <c r="H92" s="289"/>
      <c r="I92" s="290"/>
      <c r="J92" s="289"/>
      <c r="K92" s="289"/>
      <c r="L92" s="340"/>
      <c r="M92" s="317"/>
      <c r="N92" s="317"/>
      <c r="O92" s="317"/>
      <c r="P92" s="317"/>
      <c r="Q92" s="317"/>
      <c r="R92" s="317"/>
      <c r="S92" s="317"/>
      <c r="T92" s="317"/>
      <c r="U92" s="317"/>
      <c r="V92" s="317"/>
      <c r="W92" s="317"/>
      <c r="X92" s="317"/>
      <c r="Y92" s="317"/>
      <c r="Z92" s="317"/>
      <c r="AA92" s="317"/>
      <c r="AB92" s="317"/>
      <c r="AC92" s="317"/>
      <c r="AD92" s="317"/>
      <c r="AE92" s="317"/>
      <c r="AF92" s="317"/>
      <c r="AG92" s="317"/>
      <c r="AH92" s="317"/>
      <c r="AI92" s="317"/>
      <c r="AJ92" s="317"/>
      <c r="AK92" s="317"/>
      <c r="AL92" s="317"/>
      <c r="AM92" s="317"/>
      <c r="AN92" s="317"/>
      <c r="AO92" s="317"/>
      <c r="AP92" s="317"/>
      <c r="AQ92" s="317"/>
      <c r="AR92" s="317"/>
      <c r="AS92" s="317"/>
    </row>
    <row r="93" spans="1:45" ht="19.5" customHeight="1">
      <c r="A93" s="288" t="s">
        <v>88</v>
      </c>
      <c r="B93" s="289" t="s">
        <v>575</v>
      </c>
      <c r="C93" s="289"/>
      <c r="D93" s="3905"/>
      <c r="E93" s="3908"/>
      <c r="F93" s="3908"/>
      <c r="G93" s="3909"/>
      <c r="H93" s="101"/>
      <c r="I93" s="290"/>
      <c r="J93" s="289"/>
      <c r="K93" s="289"/>
      <c r="L93" s="340"/>
      <c r="M93" s="317"/>
      <c r="N93" s="317"/>
      <c r="O93" s="317"/>
      <c r="P93" s="317"/>
      <c r="Q93" s="317"/>
      <c r="R93" s="317"/>
      <c r="S93" s="317"/>
      <c r="T93" s="317"/>
      <c r="U93" s="317"/>
      <c r="V93" s="317"/>
      <c r="W93" s="317"/>
      <c r="X93" s="317"/>
      <c r="Y93" s="317"/>
      <c r="Z93" s="317"/>
      <c r="AA93" s="317"/>
      <c r="AB93" s="317"/>
      <c r="AC93" s="317"/>
      <c r="AD93" s="317"/>
      <c r="AE93" s="317"/>
      <c r="AF93" s="317"/>
      <c r="AG93" s="317"/>
      <c r="AH93" s="317"/>
      <c r="AI93" s="317"/>
      <c r="AJ93" s="317"/>
      <c r="AK93" s="317"/>
      <c r="AL93" s="317"/>
      <c r="AM93" s="317"/>
      <c r="AN93" s="317"/>
      <c r="AO93" s="317"/>
      <c r="AP93" s="317"/>
      <c r="AQ93" s="317"/>
      <c r="AR93" s="317"/>
      <c r="AS93" s="317"/>
    </row>
    <row r="94" spans="1:45" ht="10.5" customHeight="1">
      <c r="A94" s="288"/>
      <c r="B94" s="289"/>
      <c r="C94" s="289"/>
      <c r="D94" s="434"/>
      <c r="E94" s="434"/>
      <c r="F94" s="434"/>
      <c r="G94" s="434"/>
      <c r="H94" s="101"/>
      <c r="I94" s="290"/>
      <c r="J94" s="289"/>
      <c r="K94" s="289"/>
      <c r="L94" s="340"/>
      <c r="M94" s="317"/>
      <c r="N94" s="317"/>
      <c r="O94" s="317"/>
      <c r="P94" s="317"/>
      <c r="Q94" s="317"/>
      <c r="R94" s="317"/>
      <c r="S94" s="317"/>
      <c r="T94" s="317"/>
      <c r="U94" s="317"/>
      <c r="V94" s="317"/>
      <c r="W94" s="317"/>
      <c r="X94" s="317"/>
      <c r="Y94" s="317"/>
      <c r="Z94" s="317"/>
      <c r="AA94" s="317"/>
      <c r="AB94" s="317"/>
      <c r="AC94" s="317"/>
      <c r="AD94" s="317"/>
      <c r="AE94" s="317"/>
      <c r="AF94" s="317"/>
      <c r="AG94" s="317"/>
      <c r="AH94" s="317"/>
      <c r="AI94" s="317"/>
      <c r="AJ94" s="317"/>
      <c r="AK94" s="317"/>
      <c r="AL94" s="317"/>
      <c r="AM94" s="317"/>
      <c r="AN94" s="317"/>
      <c r="AO94" s="317"/>
      <c r="AP94" s="317"/>
      <c r="AQ94" s="317"/>
      <c r="AR94" s="317"/>
      <c r="AS94" s="317"/>
    </row>
    <row r="95" spans="1:45" ht="19.5" customHeight="1">
      <c r="A95" s="288"/>
      <c r="B95" s="289" t="s">
        <v>55</v>
      </c>
      <c r="C95" s="289"/>
      <c r="D95" s="3905"/>
      <c r="E95" s="3906"/>
      <c r="F95" s="3906"/>
      <c r="G95" s="3907"/>
      <c r="H95" s="101"/>
      <c r="I95" s="290"/>
      <c r="J95" s="289"/>
      <c r="K95" s="289"/>
      <c r="L95" s="340"/>
      <c r="M95" s="317"/>
      <c r="N95" s="317"/>
      <c r="O95" s="317"/>
      <c r="P95" s="317"/>
      <c r="Q95" s="317"/>
      <c r="R95" s="317"/>
      <c r="S95" s="317"/>
      <c r="T95" s="317"/>
      <c r="U95" s="317"/>
      <c r="V95" s="317"/>
      <c r="W95" s="317"/>
      <c r="X95" s="317"/>
      <c r="Y95" s="317"/>
      <c r="Z95" s="317"/>
      <c r="AA95" s="317"/>
      <c r="AB95" s="317"/>
      <c r="AC95" s="317"/>
      <c r="AD95" s="317"/>
      <c r="AE95" s="317"/>
      <c r="AF95" s="317"/>
      <c r="AG95" s="317"/>
      <c r="AH95" s="317"/>
      <c r="AI95" s="317"/>
      <c r="AJ95" s="317"/>
      <c r="AK95" s="317"/>
      <c r="AL95" s="317"/>
      <c r="AM95" s="317"/>
      <c r="AN95" s="317"/>
      <c r="AO95" s="317"/>
      <c r="AP95" s="317"/>
      <c r="AQ95" s="317"/>
      <c r="AR95" s="317"/>
      <c r="AS95" s="317"/>
    </row>
    <row r="96" spans="1:45" ht="10.5" customHeight="1">
      <c r="A96" s="288"/>
      <c r="B96" s="289"/>
      <c r="C96" s="289"/>
      <c r="D96" s="289"/>
      <c r="E96" s="289"/>
      <c r="F96" s="289"/>
      <c r="G96" s="289"/>
      <c r="H96" s="289"/>
      <c r="I96" s="290"/>
      <c r="J96" s="289"/>
      <c r="K96" s="289"/>
      <c r="L96" s="340"/>
      <c r="M96" s="317"/>
      <c r="N96" s="317"/>
      <c r="O96" s="317"/>
      <c r="P96" s="317"/>
      <c r="Q96" s="317"/>
      <c r="R96" s="317"/>
      <c r="S96" s="317"/>
      <c r="T96" s="317"/>
      <c r="U96" s="317"/>
      <c r="V96" s="317"/>
      <c r="W96" s="317"/>
      <c r="X96" s="317"/>
      <c r="Y96" s="317"/>
      <c r="Z96" s="317"/>
      <c r="AA96" s="317"/>
      <c r="AB96" s="317"/>
      <c r="AC96" s="317"/>
      <c r="AD96" s="317"/>
      <c r="AE96" s="317"/>
      <c r="AF96" s="317"/>
      <c r="AG96" s="317"/>
      <c r="AH96" s="317"/>
      <c r="AI96" s="317"/>
      <c r="AJ96" s="317"/>
      <c r="AK96" s="317"/>
      <c r="AL96" s="317"/>
      <c r="AM96" s="317"/>
      <c r="AN96" s="317"/>
      <c r="AO96" s="317"/>
      <c r="AP96" s="317"/>
      <c r="AQ96" s="317"/>
      <c r="AR96" s="317"/>
      <c r="AS96" s="317"/>
    </row>
    <row r="97" spans="1:45" ht="19.5" customHeight="1">
      <c r="A97" s="288" t="s">
        <v>89</v>
      </c>
      <c r="B97" s="289" t="s">
        <v>576</v>
      </c>
      <c r="C97" s="289"/>
      <c r="D97" s="289"/>
      <c r="E97" s="1198"/>
      <c r="F97" s="289" t="s">
        <v>92</v>
      </c>
      <c r="G97" s="289"/>
      <c r="H97" s="289"/>
      <c r="I97" s="290"/>
      <c r="J97" s="289"/>
      <c r="K97" s="289"/>
      <c r="L97" s="340"/>
      <c r="M97" s="317"/>
      <c r="N97" s="317"/>
      <c r="O97" s="317"/>
      <c r="P97" s="317"/>
      <c r="Q97" s="317"/>
      <c r="R97" s="317"/>
      <c r="S97" s="317"/>
      <c r="T97" s="317"/>
      <c r="U97" s="317"/>
      <c r="V97" s="317"/>
      <c r="W97" s="317"/>
      <c r="X97" s="317"/>
      <c r="Y97" s="317"/>
      <c r="Z97" s="317"/>
      <c r="AA97" s="317"/>
      <c r="AB97" s="317"/>
      <c r="AC97" s="317"/>
      <c r="AD97" s="317"/>
      <c r="AE97" s="317"/>
      <c r="AF97" s="317"/>
      <c r="AG97" s="317"/>
      <c r="AH97" s="317"/>
      <c r="AI97" s="317"/>
      <c r="AJ97" s="317"/>
      <c r="AK97" s="317"/>
      <c r="AL97" s="317"/>
      <c r="AM97" s="317"/>
      <c r="AN97" s="317"/>
      <c r="AO97" s="317"/>
      <c r="AP97" s="317"/>
      <c r="AQ97" s="317"/>
      <c r="AR97" s="317"/>
      <c r="AS97" s="317"/>
    </row>
    <row r="98" spans="1:45" s="381" customFormat="1" ht="10.5" customHeight="1">
      <c r="A98" s="322"/>
      <c r="B98" s="297"/>
      <c r="C98" s="297"/>
      <c r="D98" s="297"/>
      <c r="E98" s="298"/>
      <c r="F98" s="297"/>
      <c r="G98" s="297"/>
      <c r="H98" s="297"/>
      <c r="I98" s="316"/>
      <c r="J98" s="297"/>
      <c r="K98" s="297"/>
      <c r="L98" s="425"/>
      <c r="M98" s="426"/>
      <c r="N98" s="426"/>
      <c r="O98" s="426"/>
      <c r="P98" s="426"/>
      <c r="Q98" s="426"/>
      <c r="R98" s="426"/>
      <c r="S98" s="426"/>
      <c r="T98" s="426"/>
      <c r="U98" s="426"/>
      <c r="V98" s="426"/>
      <c r="W98" s="426"/>
      <c r="X98" s="426"/>
      <c r="Y98" s="426"/>
      <c r="Z98" s="426"/>
      <c r="AA98" s="426"/>
      <c r="AB98" s="426"/>
      <c r="AC98" s="426"/>
      <c r="AD98" s="426"/>
      <c r="AE98" s="426"/>
      <c r="AF98" s="426"/>
      <c r="AG98" s="426"/>
      <c r="AH98" s="426"/>
      <c r="AI98" s="426"/>
      <c r="AJ98" s="426"/>
      <c r="AK98" s="426"/>
      <c r="AL98" s="426"/>
      <c r="AM98" s="426"/>
      <c r="AN98" s="426"/>
      <c r="AO98" s="426"/>
      <c r="AP98" s="426"/>
      <c r="AQ98" s="426"/>
      <c r="AR98" s="426"/>
      <c r="AS98" s="426"/>
    </row>
    <row r="99" spans="1:45" ht="18" customHeight="1">
      <c r="A99" s="288"/>
      <c r="B99" s="3889" t="s">
        <v>577</v>
      </c>
      <c r="C99" s="3889"/>
      <c r="D99" s="3889"/>
      <c r="E99" s="3889"/>
      <c r="F99" s="289"/>
      <c r="G99" s="289"/>
      <c r="H99" s="289"/>
      <c r="I99" s="290"/>
      <c r="J99" s="289"/>
      <c r="K99" s="289"/>
      <c r="L99" s="340"/>
      <c r="M99" s="317"/>
      <c r="N99" s="317"/>
      <c r="O99" s="317"/>
      <c r="P99" s="317"/>
      <c r="Q99" s="317"/>
      <c r="R99" s="317"/>
      <c r="S99" s="317"/>
      <c r="T99" s="317"/>
      <c r="U99" s="317"/>
      <c r="V99" s="317"/>
      <c r="W99" s="317"/>
      <c r="X99" s="317"/>
      <c r="Y99" s="317"/>
      <c r="Z99" s="317"/>
      <c r="AA99" s="317"/>
      <c r="AB99" s="317"/>
      <c r="AC99" s="317"/>
      <c r="AD99" s="317"/>
      <c r="AE99" s="317"/>
      <c r="AF99" s="317"/>
      <c r="AG99" s="317"/>
      <c r="AH99" s="317"/>
      <c r="AI99" s="317"/>
      <c r="AJ99" s="317"/>
      <c r="AK99" s="317"/>
      <c r="AL99" s="317"/>
      <c r="AM99" s="317"/>
      <c r="AN99" s="317"/>
      <c r="AO99" s="317"/>
      <c r="AP99" s="317"/>
      <c r="AQ99" s="317"/>
      <c r="AR99" s="317"/>
      <c r="AS99" s="317"/>
    </row>
    <row r="100" spans="1:45" ht="10.5" customHeight="1">
      <c r="A100" s="288"/>
      <c r="B100" s="3889"/>
      <c r="C100" s="3889"/>
      <c r="D100" s="3889"/>
      <c r="E100" s="3889"/>
      <c r="F100" s="289"/>
      <c r="G100" s="289"/>
      <c r="H100" s="289"/>
      <c r="I100" s="290"/>
      <c r="J100" s="289"/>
      <c r="K100" s="289"/>
      <c r="L100" s="340"/>
      <c r="M100" s="317"/>
      <c r="N100" s="317"/>
      <c r="O100" s="317"/>
      <c r="P100" s="317"/>
      <c r="Q100" s="317"/>
      <c r="R100" s="317"/>
      <c r="S100" s="317"/>
      <c r="T100" s="317"/>
      <c r="U100" s="317"/>
      <c r="V100" s="317"/>
      <c r="W100" s="317"/>
      <c r="X100" s="317"/>
      <c r="Y100" s="317"/>
      <c r="Z100" s="317"/>
      <c r="AA100" s="317"/>
      <c r="AB100" s="317"/>
      <c r="AC100" s="317"/>
      <c r="AD100" s="317"/>
      <c r="AE100" s="317"/>
      <c r="AF100" s="317"/>
      <c r="AG100" s="317"/>
      <c r="AH100" s="317"/>
      <c r="AI100" s="317"/>
      <c r="AJ100" s="317"/>
      <c r="AK100" s="317"/>
      <c r="AL100" s="317"/>
      <c r="AM100" s="317"/>
      <c r="AN100" s="317"/>
      <c r="AO100" s="317"/>
      <c r="AP100" s="317"/>
      <c r="AQ100" s="317"/>
      <c r="AR100" s="317"/>
      <c r="AS100" s="317"/>
    </row>
    <row r="101" spans="1:45" ht="18" customHeight="1">
      <c r="A101" s="341" t="s">
        <v>141</v>
      </c>
      <c r="B101" s="3887" t="s">
        <v>578</v>
      </c>
      <c r="C101" s="3887"/>
      <c r="D101" s="3887"/>
      <c r="E101" s="3887"/>
      <c r="F101" s="3887"/>
      <c r="G101" s="416"/>
      <c r="H101" s="416"/>
      <c r="I101" s="342"/>
      <c r="J101" s="289"/>
      <c r="K101" s="289"/>
      <c r="L101" s="340"/>
      <c r="M101" s="317"/>
      <c r="N101" s="317"/>
      <c r="O101" s="317"/>
      <c r="P101" s="317"/>
      <c r="Q101" s="317"/>
      <c r="R101" s="317"/>
      <c r="S101" s="317"/>
      <c r="T101" s="317"/>
      <c r="U101" s="317"/>
      <c r="V101" s="317"/>
      <c r="W101" s="317"/>
      <c r="X101" s="317"/>
      <c r="Y101" s="317"/>
      <c r="Z101" s="317"/>
      <c r="AA101" s="317"/>
      <c r="AB101" s="317"/>
      <c r="AC101" s="317"/>
      <c r="AD101" s="317"/>
      <c r="AE101" s="317"/>
      <c r="AF101" s="317"/>
      <c r="AG101" s="317"/>
      <c r="AH101" s="317"/>
      <c r="AI101" s="317"/>
      <c r="AJ101" s="317"/>
      <c r="AK101" s="317"/>
      <c r="AL101" s="317"/>
      <c r="AM101" s="317"/>
      <c r="AN101" s="317"/>
      <c r="AO101" s="317"/>
      <c r="AP101" s="317"/>
      <c r="AQ101" s="317"/>
      <c r="AR101" s="317"/>
      <c r="AS101" s="317"/>
    </row>
    <row r="102" spans="1:45" ht="18" customHeight="1">
      <c r="A102" s="343"/>
      <c r="B102" s="3887"/>
      <c r="C102" s="3887"/>
      <c r="D102" s="3887"/>
      <c r="E102" s="3887"/>
      <c r="F102" s="3887"/>
      <c r="G102" s="344"/>
      <c r="H102" s="344"/>
      <c r="I102" s="342"/>
      <c r="J102" s="289"/>
      <c r="K102" s="289"/>
      <c r="L102" s="340"/>
      <c r="M102" s="289"/>
      <c r="N102" s="289"/>
      <c r="O102" s="289"/>
      <c r="P102" s="289"/>
      <c r="Q102" s="289"/>
      <c r="R102" s="317"/>
      <c r="S102" s="317"/>
      <c r="T102" s="317"/>
      <c r="U102" s="317"/>
      <c r="V102" s="317"/>
      <c r="W102" s="317"/>
      <c r="X102" s="317"/>
      <c r="Y102" s="317"/>
      <c r="Z102" s="317"/>
      <c r="AA102" s="317"/>
      <c r="AB102" s="317"/>
      <c r="AC102" s="317"/>
      <c r="AD102" s="317"/>
      <c r="AE102" s="317"/>
      <c r="AF102" s="317"/>
      <c r="AG102" s="317"/>
      <c r="AH102" s="317"/>
      <c r="AI102" s="317"/>
      <c r="AJ102" s="317"/>
      <c r="AK102" s="317"/>
      <c r="AL102" s="317"/>
      <c r="AM102" s="317"/>
      <c r="AN102" s="317"/>
      <c r="AO102" s="317"/>
      <c r="AP102" s="317"/>
      <c r="AQ102" s="317"/>
      <c r="AR102" s="317"/>
      <c r="AS102" s="317"/>
    </row>
    <row r="103" spans="1:45" ht="19.5" customHeight="1">
      <c r="A103" s="343"/>
      <c r="B103" s="909" t="str">
        <f>F37</f>
        <v xml:space="preserve"> </v>
      </c>
      <c r="C103" s="344" t="s">
        <v>530</v>
      </c>
      <c r="D103" s="909" t="str">
        <f>IF(ISBLANK(E97),"",E97)</f>
        <v/>
      </c>
      <c r="E103" s="344" t="s">
        <v>118</v>
      </c>
      <c r="F103" s="909" t="str">
        <f>IF(ISBLANK(E97),"",B103*D103)</f>
        <v/>
      </c>
      <c r="G103" s="344" t="s">
        <v>24</v>
      </c>
      <c r="H103" s="101"/>
      <c r="I103" s="290"/>
      <c r="J103" s="289"/>
      <c r="K103" s="289"/>
      <c r="L103" s="340"/>
      <c r="M103" s="289"/>
      <c r="N103" s="289"/>
      <c r="O103" s="289"/>
      <c r="P103" s="289"/>
      <c r="Q103" s="289"/>
      <c r="R103" s="317"/>
      <c r="S103" s="317"/>
      <c r="T103" s="317"/>
      <c r="U103" s="317"/>
      <c r="V103" s="317"/>
      <c r="W103" s="317"/>
      <c r="X103" s="317"/>
      <c r="Y103" s="317"/>
      <c r="Z103" s="317"/>
      <c r="AA103" s="317"/>
      <c r="AB103" s="317"/>
      <c r="AC103" s="317"/>
      <c r="AD103" s="317"/>
      <c r="AE103" s="317"/>
      <c r="AF103" s="317"/>
      <c r="AG103" s="317"/>
      <c r="AH103" s="317"/>
      <c r="AI103" s="317"/>
      <c r="AJ103" s="317"/>
      <c r="AK103" s="317"/>
      <c r="AL103" s="317"/>
      <c r="AM103" s="317"/>
      <c r="AN103" s="317"/>
      <c r="AO103" s="317"/>
      <c r="AP103" s="317"/>
      <c r="AQ103" s="317"/>
      <c r="AR103" s="317"/>
      <c r="AS103" s="317"/>
    </row>
    <row r="104" spans="1:45" s="101" customFormat="1" ht="10.5" customHeight="1">
      <c r="A104" s="343"/>
      <c r="B104" s="336"/>
      <c r="C104" s="298"/>
      <c r="D104" s="297"/>
      <c r="E104" s="298"/>
      <c r="F104" s="297"/>
      <c r="G104" s="298"/>
      <c r="H104" s="289"/>
      <c r="I104" s="290"/>
      <c r="J104" s="289"/>
      <c r="K104" s="289"/>
      <c r="L104" s="340"/>
      <c r="M104" s="289"/>
      <c r="N104" s="289"/>
      <c r="O104" s="289"/>
      <c r="P104" s="289"/>
      <c r="Q104" s="289"/>
      <c r="R104" s="427"/>
      <c r="S104" s="427"/>
      <c r="T104" s="427"/>
      <c r="U104" s="427"/>
      <c r="V104" s="427"/>
      <c r="W104" s="427"/>
      <c r="X104" s="427"/>
      <c r="Y104" s="427"/>
      <c r="Z104" s="427"/>
      <c r="AA104" s="427"/>
      <c r="AB104" s="427"/>
      <c r="AC104" s="427"/>
      <c r="AD104" s="427"/>
      <c r="AE104" s="427"/>
      <c r="AF104" s="427"/>
      <c r="AG104" s="427"/>
      <c r="AH104" s="427"/>
      <c r="AI104" s="427"/>
      <c r="AJ104" s="427"/>
      <c r="AK104" s="427"/>
      <c r="AL104" s="427"/>
      <c r="AM104" s="427"/>
      <c r="AN104" s="427"/>
      <c r="AO104" s="427"/>
      <c r="AP104" s="427"/>
      <c r="AQ104" s="427"/>
      <c r="AR104" s="427"/>
      <c r="AS104" s="427"/>
    </row>
    <row r="105" spans="1:45" ht="18" customHeight="1">
      <c r="A105" s="288"/>
      <c r="B105" s="289" t="s">
        <v>190</v>
      </c>
      <c r="C105" s="289"/>
      <c r="D105" s="289"/>
      <c r="E105" s="289"/>
      <c r="F105" s="289"/>
      <c r="G105" s="289"/>
      <c r="H105" s="289"/>
      <c r="I105" s="290"/>
      <c r="J105" s="289"/>
      <c r="K105" s="289"/>
      <c r="L105" s="340"/>
      <c r="M105" s="289"/>
      <c r="N105" s="289"/>
      <c r="O105" s="289"/>
      <c r="P105" s="289"/>
      <c r="Q105" s="289"/>
      <c r="R105" s="317"/>
      <c r="S105" s="317"/>
      <c r="T105" s="317"/>
      <c r="U105" s="317"/>
      <c r="V105" s="317"/>
      <c r="W105" s="317"/>
      <c r="X105" s="317"/>
      <c r="Y105" s="317"/>
      <c r="Z105" s="317"/>
      <c r="AA105" s="317"/>
      <c r="AB105" s="317"/>
      <c r="AC105" s="317"/>
      <c r="AD105" s="317"/>
      <c r="AE105" s="317"/>
      <c r="AF105" s="317"/>
      <c r="AG105" s="317"/>
      <c r="AH105" s="317"/>
      <c r="AI105" s="317"/>
      <c r="AJ105" s="317"/>
      <c r="AK105" s="317"/>
      <c r="AL105" s="317"/>
      <c r="AM105" s="317"/>
      <c r="AN105" s="317"/>
      <c r="AO105" s="317"/>
      <c r="AP105" s="317"/>
      <c r="AQ105" s="317"/>
      <c r="AR105" s="317"/>
      <c r="AS105" s="317"/>
    </row>
    <row r="106" spans="1:45" ht="19.5" customHeight="1">
      <c r="A106" s="299"/>
      <c r="B106" s="909" t="str">
        <f>F103</f>
        <v/>
      </c>
      <c r="C106" s="344" t="s">
        <v>533</v>
      </c>
      <c r="D106" s="914" t="str">
        <f>IF(ISBLANK(E97),"",B106/27)</f>
        <v/>
      </c>
      <c r="E106" s="344" t="s">
        <v>25</v>
      </c>
      <c r="F106" s="101"/>
      <c r="G106" s="289"/>
      <c r="H106" s="289"/>
      <c r="I106" s="290"/>
      <c r="J106" s="289"/>
      <c r="K106" s="289"/>
      <c r="L106" s="340"/>
      <c r="M106" s="289"/>
      <c r="N106" s="289"/>
      <c r="O106" s="289"/>
      <c r="P106" s="289"/>
      <c r="Q106" s="289"/>
      <c r="R106" s="317"/>
      <c r="S106" s="317"/>
      <c r="T106" s="317"/>
      <c r="U106" s="317"/>
      <c r="V106" s="317"/>
      <c r="W106" s="317"/>
      <c r="X106" s="317"/>
      <c r="Y106" s="317"/>
      <c r="Z106" s="317"/>
      <c r="AA106" s="317"/>
      <c r="AB106" s="317"/>
      <c r="AC106" s="317"/>
      <c r="AD106" s="317"/>
      <c r="AE106" s="317"/>
      <c r="AF106" s="317"/>
      <c r="AG106" s="317"/>
      <c r="AH106" s="317"/>
      <c r="AI106" s="317"/>
      <c r="AJ106" s="317"/>
      <c r="AK106" s="317"/>
      <c r="AL106" s="317"/>
      <c r="AM106" s="317"/>
      <c r="AN106" s="317"/>
      <c r="AO106" s="317"/>
      <c r="AP106" s="317"/>
      <c r="AQ106" s="317"/>
      <c r="AR106" s="317"/>
      <c r="AS106" s="317"/>
    </row>
    <row r="107" spans="1:45" ht="10.5" customHeight="1">
      <c r="A107" s="299"/>
      <c r="B107" s="289"/>
      <c r="C107" s="298"/>
      <c r="D107" s="297"/>
      <c r="E107" s="428"/>
      <c r="F107" s="289"/>
      <c r="G107" s="289"/>
      <c r="H107" s="289"/>
      <c r="I107" s="290"/>
      <c r="J107" s="289"/>
      <c r="K107" s="289"/>
      <c r="L107" s="340"/>
      <c r="M107" s="289"/>
      <c r="N107" s="289"/>
      <c r="O107" s="289"/>
      <c r="P107" s="289"/>
      <c r="Q107" s="289"/>
      <c r="R107" s="317"/>
      <c r="S107" s="317"/>
      <c r="T107" s="317"/>
      <c r="U107" s="317"/>
      <c r="V107" s="317"/>
      <c r="W107" s="317"/>
      <c r="X107" s="317"/>
      <c r="Y107" s="317"/>
      <c r="Z107" s="317"/>
      <c r="AA107" s="317"/>
      <c r="AB107" s="317"/>
      <c r="AC107" s="317"/>
      <c r="AD107" s="317"/>
      <c r="AE107" s="317"/>
      <c r="AF107" s="317"/>
      <c r="AG107" s="317"/>
      <c r="AH107" s="317"/>
      <c r="AI107" s="317"/>
      <c r="AJ107" s="317"/>
      <c r="AK107" s="317"/>
      <c r="AL107" s="317"/>
      <c r="AM107" s="317"/>
      <c r="AN107" s="317"/>
      <c r="AO107" s="317"/>
      <c r="AP107" s="317"/>
      <c r="AQ107" s="317"/>
      <c r="AR107" s="317"/>
      <c r="AS107" s="317"/>
    </row>
    <row r="108" spans="1:45" ht="18" customHeight="1">
      <c r="A108" s="689" t="s">
        <v>642</v>
      </c>
      <c r="B108" s="690" t="s">
        <v>579</v>
      </c>
      <c r="C108" s="690"/>
      <c r="D108" s="691"/>
      <c r="E108" s="691"/>
      <c r="F108" s="691"/>
      <c r="G108" s="691"/>
      <c r="H108" s="691"/>
      <c r="I108" s="692"/>
      <c r="J108" s="297"/>
      <c r="K108" s="281"/>
      <c r="L108" s="281"/>
      <c r="M108" s="289"/>
      <c r="N108" s="281"/>
      <c r="O108" s="281"/>
      <c r="P108" s="281"/>
      <c r="Q108" s="281"/>
      <c r="R108" s="317"/>
      <c r="S108" s="317"/>
      <c r="T108" s="317"/>
      <c r="U108" s="317"/>
      <c r="V108" s="317"/>
      <c r="W108" s="317"/>
      <c r="X108" s="317"/>
      <c r="Y108" s="317"/>
      <c r="Z108" s="317"/>
      <c r="AA108" s="317"/>
      <c r="AB108" s="317"/>
      <c r="AC108" s="317"/>
      <c r="AD108" s="317"/>
      <c r="AE108" s="317"/>
      <c r="AF108" s="317"/>
      <c r="AG108" s="317"/>
      <c r="AH108" s="317"/>
      <c r="AI108" s="317"/>
      <c r="AJ108" s="317"/>
      <c r="AK108" s="317"/>
      <c r="AL108" s="317"/>
      <c r="AM108" s="317"/>
      <c r="AN108" s="317"/>
      <c r="AO108" s="317"/>
      <c r="AP108" s="317"/>
      <c r="AQ108" s="317"/>
      <c r="AR108" s="317"/>
      <c r="AS108" s="317"/>
    </row>
    <row r="109" spans="1:45" ht="10.5" customHeight="1">
      <c r="A109" s="288"/>
      <c r="B109" s="300"/>
      <c r="C109" s="289"/>
      <c r="D109" s="300"/>
      <c r="E109" s="289"/>
      <c r="F109" s="300"/>
      <c r="G109" s="300"/>
      <c r="H109" s="289"/>
      <c r="I109" s="290"/>
      <c r="J109" s="291"/>
      <c r="K109" s="281"/>
      <c r="L109" s="289"/>
      <c r="M109" s="281"/>
      <c r="N109" s="281"/>
      <c r="O109" s="281"/>
      <c r="P109" s="281"/>
      <c r="Q109" s="281"/>
      <c r="R109" s="317"/>
      <c r="S109" s="317"/>
      <c r="T109" s="317"/>
      <c r="U109" s="317"/>
      <c r="V109" s="317"/>
      <c r="W109" s="317"/>
      <c r="X109" s="317"/>
      <c r="Y109" s="317"/>
      <c r="Z109" s="317"/>
      <c r="AA109" s="317"/>
      <c r="AB109" s="317"/>
      <c r="AC109" s="317"/>
      <c r="AD109" s="317"/>
      <c r="AE109" s="317"/>
      <c r="AF109" s="317"/>
      <c r="AG109" s="317"/>
      <c r="AH109" s="317"/>
      <c r="AI109" s="317"/>
      <c r="AJ109" s="317"/>
      <c r="AK109" s="317"/>
      <c r="AL109" s="317"/>
      <c r="AM109" s="317"/>
      <c r="AN109" s="317"/>
      <c r="AO109" s="317"/>
      <c r="AP109" s="317"/>
      <c r="AQ109" s="317"/>
      <c r="AR109" s="317"/>
      <c r="AS109" s="317"/>
    </row>
    <row r="110" spans="1:45" ht="18" customHeight="1">
      <c r="A110" s="288"/>
      <c r="B110" s="328" t="s">
        <v>829</v>
      </c>
      <c r="C110" s="423"/>
      <c r="D110" s="423"/>
      <c r="E110" s="289"/>
      <c r="F110" s="289"/>
      <c r="G110" s="289"/>
      <c r="H110" s="297"/>
      <c r="I110" s="316"/>
      <c r="J110" s="292"/>
      <c r="K110" s="297"/>
      <c r="L110" s="289"/>
      <c r="M110" s="289"/>
      <c r="N110" s="281"/>
      <c r="O110" s="281"/>
      <c r="P110" s="281"/>
      <c r="Q110" s="281"/>
      <c r="R110" s="317"/>
      <c r="S110" s="317"/>
      <c r="T110" s="317"/>
      <c r="U110" s="317"/>
      <c r="V110" s="317"/>
      <c r="W110" s="317"/>
      <c r="X110" s="317"/>
      <c r="Y110" s="317"/>
      <c r="Z110" s="317"/>
      <c r="AA110" s="317"/>
      <c r="AB110" s="317"/>
      <c r="AC110" s="317"/>
      <c r="AD110" s="317"/>
      <c r="AE110" s="317"/>
      <c r="AF110" s="317"/>
      <c r="AG110" s="317"/>
      <c r="AH110" s="317"/>
      <c r="AI110" s="317"/>
      <c r="AJ110" s="317"/>
      <c r="AK110" s="317"/>
      <c r="AL110" s="317"/>
      <c r="AM110" s="317"/>
      <c r="AN110" s="317"/>
      <c r="AO110" s="317"/>
      <c r="AP110" s="317"/>
      <c r="AQ110" s="317"/>
      <c r="AR110" s="317"/>
      <c r="AS110" s="317"/>
    </row>
    <row r="111" spans="1:45" ht="10.5" customHeight="1">
      <c r="A111" s="288"/>
      <c r="B111" s="423"/>
      <c r="C111" s="423"/>
      <c r="D111" s="423"/>
      <c r="E111" s="289"/>
      <c r="F111" s="289"/>
      <c r="G111" s="289"/>
      <c r="H111" s="297"/>
      <c r="I111" s="316"/>
      <c r="J111" s="292"/>
      <c r="K111" s="297"/>
      <c r="L111" s="289"/>
      <c r="M111" s="289"/>
      <c r="N111" s="281"/>
      <c r="O111" s="281"/>
      <c r="P111" s="281"/>
      <c r="Q111" s="281"/>
      <c r="R111" s="317"/>
      <c r="S111" s="317"/>
      <c r="T111" s="317"/>
      <c r="U111" s="317"/>
      <c r="V111" s="317"/>
      <c r="W111" s="317"/>
      <c r="X111" s="317"/>
      <c r="Y111" s="317"/>
      <c r="Z111" s="317"/>
      <c r="AA111" s="317"/>
      <c r="AB111" s="317"/>
      <c r="AC111" s="317"/>
      <c r="AD111" s="317"/>
      <c r="AE111" s="317"/>
      <c r="AF111" s="317"/>
      <c r="AG111" s="317"/>
      <c r="AH111" s="317"/>
      <c r="AI111" s="317"/>
      <c r="AJ111" s="317"/>
      <c r="AK111" s="317"/>
      <c r="AL111" s="317"/>
      <c r="AM111" s="317"/>
      <c r="AN111" s="317"/>
      <c r="AO111" s="317"/>
      <c r="AP111" s="317"/>
      <c r="AQ111" s="317"/>
      <c r="AR111" s="317"/>
      <c r="AS111" s="317"/>
    </row>
    <row r="112" spans="1:45" ht="19.5" customHeight="1">
      <c r="A112" s="288"/>
      <c r="B112" s="289"/>
      <c r="C112" s="298"/>
      <c r="D112" s="1198"/>
      <c r="E112" s="297" t="s">
        <v>92</v>
      </c>
      <c r="F112" s="101"/>
      <c r="G112" s="101"/>
      <c r="H112" s="101"/>
      <c r="I112" s="316"/>
      <c r="J112" s="281"/>
      <c r="K112" s="292"/>
      <c r="L112" s="289"/>
      <c r="M112" s="289"/>
      <c r="N112" s="281"/>
      <c r="O112" s="281"/>
      <c r="P112" s="281"/>
      <c r="Q112" s="281"/>
      <c r="R112" s="317"/>
      <c r="S112" s="317"/>
      <c r="T112" s="317"/>
      <c r="U112" s="317"/>
      <c r="V112" s="317"/>
      <c r="W112" s="317"/>
      <c r="X112" s="317"/>
      <c r="Y112" s="317"/>
      <c r="Z112" s="317"/>
      <c r="AA112" s="317"/>
      <c r="AB112" s="317"/>
      <c r="AC112" s="317"/>
      <c r="AD112" s="317"/>
      <c r="AE112" s="317"/>
      <c r="AF112" s="317"/>
      <c r="AG112" s="317"/>
      <c r="AH112" s="317"/>
      <c r="AI112" s="317"/>
      <c r="AJ112" s="317"/>
      <c r="AK112" s="317"/>
      <c r="AL112" s="317"/>
      <c r="AM112" s="317"/>
      <c r="AN112" s="317"/>
      <c r="AO112" s="317"/>
      <c r="AP112" s="317"/>
      <c r="AQ112" s="317"/>
      <c r="AR112" s="317"/>
      <c r="AS112" s="317"/>
    </row>
    <row r="113" spans="1:45" s="381" customFormat="1" ht="24" customHeight="1">
      <c r="A113" s="322"/>
      <c r="B113" s="3900" t="s">
        <v>59</v>
      </c>
      <c r="C113" s="3900"/>
      <c r="D113" s="3900"/>
      <c r="E113" s="3900"/>
      <c r="F113" s="3900"/>
      <c r="G113" s="3900"/>
      <c r="H113" s="429"/>
      <c r="I113" s="316"/>
      <c r="J113" s="334"/>
      <c r="K113" s="333"/>
      <c r="L113" s="297"/>
      <c r="M113" s="297"/>
      <c r="N113" s="334"/>
      <c r="O113" s="334"/>
      <c r="P113" s="334"/>
      <c r="Q113" s="334"/>
      <c r="R113" s="426"/>
      <c r="S113" s="426"/>
      <c r="T113" s="426"/>
      <c r="U113" s="426"/>
      <c r="V113" s="426"/>
      <c r="W113" s="426"/>
      <c r="X113" s="426"/>
      <c r="Y113" s="426"/>
      <c r="Z113" s="426"/>
      <c r="AA113" s="426"/>
      <c r="AB113" s="426"/>
      <c r="AC113" s="426"/>
      <c r="AD113" s="426"/>
      <c r="AE113" s="426"/>
      <c r="AF113" s="426"/>
      <c r="AG113" s="426"/>
      <c r="AH113" s="426"/>
      <c r="AI113" s="426"/>
      <c r="AJ113" s="426"/>
      <c r="AK113" s="426"/>
      <c r="AL113" s="426"/>
      <c r="AM113" s="426"/>
      <c r="AN113" s="426"/>
      <c r="AO113" s="426"/>
      <c r="AP113" s="426"/>
      <c r="AQ113" s="426"/>
      <c r="AR113" s="426"/>
      <c r="AS113" s="426"/>
    </row>
    <row r="114" spans="1:45" s="381" customFormat="1" ht="45.75" customHeight="1">
      <c r="A114" s="322"/>
      <c r="B114" s="3900"/>
      <c r="C114" s="3900"/>
      <c r="D114" s="3900"/>
      <c r="E114" s="3900"/>
      <c r="F114" s="3900"/>
      <c r="G114" s="3900"/>
      <c r="H114" s="415"/>
      <c r="I114" s="414"/>
      <c r="J114" s="334"/>
      <c r="K114" s="333"/>
      <c r="L114" s="297"/>
      <c r="M114" s="297"/>
      <c r="N114" s="334"/>
      <c r="O114" s="334"/>
      <c r="P114" s="334"/>
      <c r="Q114" s="334"/>
      <c r="R114" s="426"/>
      <c r="S114" s="426"/>
      <c r="T114" s="426"/>
      <c r="U114" s="426"/>
      <c r="V114" s="426"/>
      <c r="W114" s="426"/>
      <c r="X114" s="426"/>
      <c r="Y114" s="426"/>
      <c r="Z114" s="426"/>
      <c r="AA114" s="426"/>
      <c r="AB114" s="426"/>
      <c r="AC114" s="426"/>
      <c r="AD114" s="426"/>
      <c r="AE114" s="426"/>
      <c r="AF114" s="426"/>
      <c r="AG114" s="426"/>
      <c r="AH114" s="426"/>
      <c r="AI114" s="426"/>
      <c r="AJ114" s="426"/>
      <c r="AK114" s="426"/>
      <c r="AL114" s="426"/>
      <c r="AM114" s="426"/>
      <c r="AN114" s="426"/>
      <c r="AO114" s="426"/>
      <c r="AP114" s="426"/>
      <c r="AQ114" s="426"/>
      <c r="AR114" s="426"/>
      <c r="AS114" s="426"/>
    </row>
    <row r="115" spans="1:45" ht="10.5" customHeight="1">
      <c r="A115" s="330"/>
      <c r="B115" s="294"/>
      <c r="C115" s="294"/>
      <c r="D115" s="294"/>
      <c r="E115" s="331"/>
      <c r="F115" s="294"/>
      <c r="G115" s="294"/>
      <c r="H115" s="294"/>
      <c r="I115" s="296"/>
      <c r="J115" s="281"/>
      <c r="K115" s="281"/>
      <c r="L115" s="281"/>
      <c r="M115" s="281"/>
      <c r="N115" s="281"/>
      <c r="O115" s="281"/>
      <c r="P115" s="281"/>
      <c r="Q115" s="281"/>
      <c r="R115" s="317"/>
      <c r="S115" s="317"/>
      <c r="T115" s="317"/>
      <c r="U115" s="317"/>
      <c r="V115" s="317"/>
      <c r="W115" s="317"/>
      <c r="X115" s="317"/>
      <c r="Y115" s="317"/>
      <c r="Z115" s="317"/>
      <c r="AA115" s="317"/>
      <c r="AB115" s="317"/>
      <c r="AC115" s="317"/>
      <c r="AD115" s="317"/>
      <c r="AE115" s="317"/>
      <c r="AF115" s="317"/>
      <c r="AG115" s="317"/>
      <c r="AH115" s="317"/>
      <c r="AI115" s="317"/>
      <c r="AJ115" s="317"/>
      <c r="AK115" s="317"/>
      <c r="AL115" s="317"/>
      <c r="AM115" s="317"/>
      <c r="AN115" s="317"/>
      <c r="AO115" s="317"/>
      <c r="AP115" s="317"/>
      <c r="AQ115" s="317"/>
      <c r="AR115" s="317"/>
      <c r="AS115" s="317"/>
    </row>
    <row r="116" spans="1:45" ht="18" customHeight="1">
      <c r="A116" s="689" t="s">
        <v>643</v>
      </c>
      <c r="B116" s="690" t="s">
        <v>580</v>
      </c>
      <c r="C116" s="691"/>
      <c r="D116" s="691"/>
      <c r="E116" s="691"/>
      <c r="F116" s="691"/>
      <c r="G116" s="691"/>
      <c r="H116" s="691"/>
      <c r="I116" s="692"/>
      <c r="J116" s="344"/>
      <c r="K116" s="281"/>
      <c r="L116" s="297"/>
      <c r="M116" s="281"/>
      <c r="N116" s="297"/>
      <c r="O116" s="297"/>
      <c r="P116" s="297"/>
      <c r="Q116" s="297"/>
      <c r="R116" s="317"/>
      <c r="S116" s="317"/>
      <c r="T116" s="317"/>
      <c r="U116" s="317"/>
      <c r="V116" s="317"/>
      <c r="W116" s="317"/>
      <c r="X116" s="317"/>
      <c r="Y116" s="317"/>
      <c r="Z116" s="317"/>
      <c r="AA116" s="317"/>
      <c r="AB116" s="317"/>
      <c r="AC116" s="317"/>
      <c r="AD116" s="317"/>
      <c r="AE116" s="317"/>
      <c r="AF116" s="317"/>
      <c r="AG116" s="317"/>
      <c r="AH116" s="317"/>
      <c r="AI116" s="317"/>
      <c r="AJ116" s="317"/>
      <c r="AK116" s="317"/>
      <c r="AL116" s="317"/>
      <c r="AM116" s="317"/>
      <c r="AN116" s="317"/>
      <c r="AO116" s="317"/>
      <c r="AP116" s="317"/>
      <c r="AQ116" s="317"/>
      <c r="AR116" s="317"/>
      <c r="AS116" s="317"/>
    </row>
    <row r="117" spans="1:45" s="429" customFormat="1" ht="10.5" customHeight="1">
      <c r="A117" s="345"/>
      <c r="B117" s="333"/>
      <c r="C117" s="297"/>
      <c r="D117" s="297"/>
      <c r="E117" s="297"/>
      <c r="F117" s="297"/>
      <c r="G117" s="297"/>
      <c r="H117" s="297"/>
      <c r="I117" s="316"/>
      <c r="J117" s="335"/>
      <c r="K117" s="297"/>
      <c r="L117" s="297"/>
      <c r="M117" s="297"/>
      <c r="N117" s="297"/>
      <c r="O117" s="297"/>
      <c r="P117" s="297"/>
      <c r="Q117" s="297"/>
      <c r="R117" s="431"/>
      <c r="S117" s="431"/>
      <c r="T117" s="431"/>
      <c r="U117" s="431"/>
      <c r="V117" s="431"/>
      <c r="W117" s="431"/>
      <c r="X117" s="431"/>
      <c r="Y117" s="431"/>
      <c r="Z117" s="431"/>
      <c r="AA117" s="431"/>
      <c r="AB117" s="431"/>
      <c r="AC117" s="431"/>
      <c r="AD117" s="431"/>
      <c r="AE117" s="431"/>
      <c r="AF117" s="431"/>
      <c r="AG117" s="431"/>
      <c r="AH117" s="431"/>
      <c r="AI117" s="431"/>
      <c r="AJ117" s="431"/>
      <c r="AK117" s="431"/>
      <c r="AL117" s="431"/>
      <c r="AM117" s="431"/>
      <c r="AN117" s="431"/>
      <c r="AO117" s="431"/>
      <c r="AP117" s="431"/>
      <c r="AQ117" s="431"/>
      <c r="AR117" s="431"/>
      <c r="AS117" s="431"/>
    </row>
    <row r="118" spans="1:45" ht="18" customHeight="1">
      <c r="A118" s="345" t="s">
        <v>88</v>
      </c>
      <c r="B118" s="3898" t="s">
        <v>581</v>
      </c>
      <c r="C118" s="3898"/>
      <c r="D118" s="3898"/>
      <c r="E118" s="3898"/>
      <c r="F118" s="3898"/>
      <c r="G118" s="3898"/>
      <c r="H118" s="3898"/>
      <c r="I118" s="3899"/>
      <c r="J118" s="281"/>
      <c r="K118" s="344"/>
      <c r="L118" s="344"/>
      <c r="M118" s="297"/>
      <c r="N118" s="297"/>
      <c r="O118" s="297"/>
      <c r="P118" s="297"/>
      <c r="Q118" s="297"/>
      <c r="R118" s="317"/>
      <c r="S118" s="317"/>
      <c r="T118" s="317"/>
      <c r="U118" s="317"/>
      <c r="V118" s="317"/>
      <c r="W118" s="317"/>
      <c r="X118" s="317"/>
      <c r="Y118" s="317"/>
      <c r="Z118" s="317"/>
      <c r="AA118" s="317"/>
      <c r="AB118" s="317"/>
      <c r="AC118" s="317"/>
      <c r="AD118" s="317"/>
      <c r="AE118" s="317"/>
      <c r="AF118" s="317"/>
      <c r="AG118" s="317"/>
      <c r="AH118" s="317"/>
      <c r="AI118" s="317"/>
      <c r="AJ118" s="317"/>
      <c r="AK118" s="317"/>
      <c r="AL118" s="317"/>
      <c r="AM118" s="317"/>
      <c r="AN118" s="317"/>
      <c r="AO118" s="317"/>
      <c r="AP118" s="317"/>
      <c r="AQ118" s="317"/>
      <c r="AR118" s="317"/>
      <c r="AS118" s="317"/>
    </row>
    <row r="119" spans="1:45" ht="10.5" customHeight="1">
      <c r="A119" s="343"/>
      <c r="B119" s="344"/>
      <c r="C119" s="344"/>
      <c r="D119" s="344"/>
      <c r="E119" s="344"/>
      <c r="F119" s="344"/>
      <c r="G119" s="344"/>
      <c r="H119" s="101"/>
      <c r="I119" s="484"/>
      <c r="J119" s="281"/>
      <c r="K119" s="281"/>
      <c r="L119" s="346"/>
      <c r="M119" s="344"/>
      <c r="N119" s="289"/>
      <c r="O119" s="289"/>
      <c r="P119" s="289"/>
      <c r="Q119" s="289"/>
      <c r="R119" s="317"/>
      <c r="S119" s="317"/>
      <c r="T119" s="317"/>
      <c r="U119" s="317"/>
      <c r="V119" s="317"/>
      <c r="W119" s="317"/>
      <c r="X119" s="317"/>
      <c r="Y119" s="317"/>
      <c r="Z119" s="317"/>
      <c r="AA119" s="317"/>
      <c r="AB119" s="317"/>
      <c r="AC119" s="317"/>
      <c r="AD119" s="317"/>
      <c r="AE119" s="317"/>
      <c r="AF119" s="317"/>
      <c r="AG119" s="317"/>
      <c r="AH119" s="317"/>
      <c r="AI119" s="317"/>
      <c r="AJ119" s="317"/>
      <c r="AK119" s="317"/>
      <c r="AL119" s="317"/>
      <c r="AM119" s="317"/>
      <c r="AN119" s="317"/>
      <c r="AO119" s="317"/>
      <c r="AP119" s="317"/>
      <c r="AQ119" s="317"/>
      <c r="AR119" s="317"/>
      <c r="AS119" s="317"/>
    </row>
    <row r="120" spans="1:45" ht="19.5" customHeight="1">
      <c r="A120" s="343"/>
      <c r="B120" s="914" t="str">
        <f>IF(ISBLANK(E53),"",E53)</f>
        <v/>
      </c>
      <c r="C120" s="344" t="s">
        <v>62</v>
      </c>
      <c r="D120" s="914" t="str">
        <f>IF(ISBLANK(D82),"",D82)</f>
        <v/>
      </c>
      <c r="E120" s="344" t="s">
        <v>64</v>
      </c>
      <c r="F120" s="914" t="str">
        <f>IF(ISBLANK(E97),"",E97)</f>
        <v/>
      </c>
      <c r="G120" s="344" t="s">
        <v>715</v>
      </c>
      <c r="H120" s="3892" t="s">
        <v>730</v>
      </c>
      <c r="I120" s="3893"/>
      <c r="J120" s="281"/>
      <c r="K120" s="281"/>
      <c r="L120" s="297"/>
      <c r="M120" s="281"/>
      <c r="N120" s="335"/>
      <c r="O120" s="281"/>
      <c r="P120" s="281"/>
      <c r="Q120" s="281"/>
      <c r="R120" s="317"/>
      <c r="S120" s="317"/>
      <c r="T120" s="317"/>
      <c r="U120" s="317"/>
      <c r="V120" s="317"/>
      <c r="W120" s="317"/>
      <c r="X120" s="317"/>
      <c r="Y120" s="317"/>
      <c r="Z120" s="317"/>
      <c r="AA120" s="317"/>
      <c r="AB120" s="317"/>
      <c r="AC120" s="317"/>
      <c r="AD120" s="317"/>
      <c r="AE120" s="317"/>
      <c r="AF120" s="317"/>
      <c r="AG120" s="317"/>
      <c r="AH120" s="317"/>
      <c r="AI120" s="317"/>
      <c r="AJ120" s="317"/>
      <c r="AK120" s="317"/>
      <c r="AL120" s="317"/>
      <c r="AM120" s="317"/>
      <c r="AN120" s="317"/>
      <c r="AO120" s="317"/>
      <c r="AP120" s="317"/>
      <c r="AQ120" s="317"/>
      <c r="AR120" s="317"/>
      <c r="AS120" s="317"/>
    </row>
    <row r="121" spans="1:45" ht="10.5" customHeight="1">
      <c r="A121" s="347"/>
      <c r="B121" s="297"/>
      <c r="C121" s="289"/>
      <c r="D121" s="289"/>
      <c r="E121" s="289"/>
      <c r="F121" s="289"/>
      <c r="G121" s="289"/>
      <c r="H121" s="3894"/>
      <c r="I121" s="3895"/>
      <c r="J121" s="281"/>
      <c r="K121" s="281"/>
      <c r="L121" s="297"/>
      <c r="M121" s="297"/>
      <c r="N121" s="297"/>
      <c r="O121" s="297"/>
      <c r="P121" s="297"/>
      <c r="Q121" s="297"/>
      <c r="R121" s="317"/>
      <c r="S121" s="317"/>
      <c r="T121" s="317"/>
      <c r="U121" s="317"/>
      <c r="V121" s="317"/>
      <c r="W121" s="317"/>
      <c r="X121" s="317"/>
      <c r="Y121" s="317"/>
      <c r="Z121" s="317"/>
      <c r="AA121" s="317"/>
      <c r="AB121" s="317"/>
      <c r="AC121" s="317"/>
      <c r="AD121" s="317"/>
      <c r="AE121" s="317"/>
      <c r="AF121" s="317"/>
      <c r="AG121" s="317"/>
      <c r="AH121" s="317"/>
      <c r="AI121" s="317"/>
      <c r="AJ121" s="317"/>
      <c r="AK121" s="317"/>
      <c r="AL121" s="317"/>
      <c r="AM121" s="317"/>
      <c r="AN121" s="317"/>
      <c r="AO121" s="317"/>
      <c r="AP121" s="317"/>
      <c r="AQ121" s="317"/>
      <c r="AR121" s="317"/>
      <c r="AS121" s="317"/>
    </row>
    <row r="122" spans="1:45" ht="19.5" customHeight="1">
      <c r="A122" s="347"/>
      <c r="B122" s="914" t="str">
        <f>IF(ISBLANK(G4),"",D112)</f>
        <v/>
      </c>
      <c r="C122" s="344" t="s">
        <v>118</v>
      </c>
      <c r="D122" s="914" t="str">
        <f>IF(ISBLANK(E97),"",B120+D120+F120+B122)</f>
        <v/>
      </c>
      <c r="E122" s="487" t="s">
        <v>92</v>
      </c>
      <c r="F122" s="101"/>
      <c r="G122" s="289"/>
      <c r="H122" s="3896"/>
      <c r="I122" s="3897"/>
      <c r="J122" s="297"/>
      <c r="K122" s="281"/>
      <c r="L122" s="297"/>
      <c r="M122" s="297"/>
      <c r="N122" s="297"/>
      <c r="O122" s="297"/>
      <c r="P122" s="297"/>
      <c r="Q122" s="297"/>
      <c r="R122" s="297"/>
      <c r="S122" s="297"/>
      <c r="T122" s="297"/>
      <c r="U122" s="297"/>
      <c r="V122" s="317"/>
      <c r="W122" s="317"/>
      <c r="X122" s="317"/>
      <c r="Y122" s="317"/>
      <c r="Z122" s="317"/>
      <c r="AA122" s="317"/>
      <c r="AB122" s="317"/>
      <c r="AC122" s="317"/>
      <c r="AD122" s="317"/>
      <c r="AE122" s="317"/>
      <c r="AF122" s="317"/>
      <c r="AG122" s="317"/>
      <c r="AH122" s="317"/>
      <c r="AI122" s="317"/>
      <c r="AJ122" s="317"/>
      <c r="AK122" s="317"/>
      <c r="AL122" s="317"/>
      <c r="AM122" s="317"/>
      <c r="AN122" s="317"/>
      <c r="AO122" s="317"/>
      <c r="AP122" s="317"/>
      <c r="AQ122" s="317"/>
      <c r="AR122" s="317"/>
      <c r="AS122" s="317"/>
    </row>
    <row r="123" spans="1:45" ht="10.5" customHeight="1">
      <c r="A123" s="347"/>
      <c r="B123" s="297"/>
      <c r="C123" s="289"/>
      <c r="D123" s="289"/>
      <c r="E123" s="289"/>
      <c r="F123" s="289"/>
      <c r="G123" s="289"/>
      <c r="H123" s="432"/>
      <c r="I123" s="484"/>
      <c r="J123" s="297"/>
      <c r="K123" s="297"/>
      <c r="L123" s="297"/>
      <c r="M123" s="297"/>
      <c r="N123" s="297"/>
      <c r="O123" s="297"/>
      <c r="P123" s="297"/>
      <c r="Q123" s="297"/>
      <c r="R123" s="297"/>
      <c r="S123" s="297"/>
      <c r="T123" s="297"/>
      <c r="U123" s="297"/>
      <c r="V123" s="317"/>
      <c r="W123" s="317"/>
      <c r="X123" s="317"/>
      <c r="Y123" s="317"/>
      <c r="Z123" s="317"/>
      <c r="AA123" s="317"/>
      <c r="AB123" s="317"/>
      <c r="AC123" s="317"/>
      <c r="AD123" s="317"/>
      <c r="AE123" s="317"/>
      <c r="AF123" s="317"/>
      <c r="AG123" s="317"/>
      <c r="AH123" s="317"/>
      <c r="AI123" s="317"/>
      <c r="AJ123" s="317"/>
      <c r="AK123" s="317"/>
      <c r="AL123" s="317"/>
      <c r="AM123" s="317"/>
      <c r="AN123" s="317"/>
      <c r="AO123" s="317"/>
      <c r="AP123" s="317"/>
      <c r="AQ123" s="317"/>
      <c r="AR123" s="317"/>
      <c r="AS123" s="317"/>
    </row>
    <row r="124" spans="1:45" ht="32.25" customHeight="1">
      <c r="A124" s="348" t="s">
        <v>89</v>
      </c>
      <c r="B124" s="3884" t="s">
        <v>65</v>
      </c>
      <c r="C124" s="3888"/>
      <c r="D124" s="3888"/>
      <c r="E124" s="3888"/>
      <c r="F124" s="3888"/>
      <c r="G124" s="3888"/>
      <c r="H124" s="413"/>
      <c r="I124" s="414"/>
      <c r="J124" s="303"/>
      <c r="K124" s="297"/>
      <c r="L124" s="297"/>
      <c r="M124" s="297"/>
      <c r="N124" s="297"/>
      <c r="O124" s="297"/>
      <c r="P124" s="297"/>
      <c r="Q124" s="297"/>
      <c r="R124" s="297"/>
      <c r="S124" s="297"/>
      <c r="T124" s="297"/>
      <c r="U124" s="297"/>
      <c r="V124" s="317"/>
      <c r="W124" s="317"/>
      <c r="X124" s="317"/>
      <c r="Y124" s="317"/>
      <c r="Z124" s="317"/>
      <c r="AA124" s="317"/>
      <c r="AB124" s="317"/>
      <c r="AC124" s="317"/>
      <c r="AD124" s="317"/>
      <c r="AE124" s="317"/>
      <c r="AF124" s="317"/>
      <c r="AG124" s="317"/>
      <c r="AH124" s="317"/>
      <c r="AI124" s="317"/>
      <c r="AJ124" s="317"/>
      <c r="AK124" s="317"/>
      <c r="AL124" s="317"/>
      <c r="AM124" s="317"/>
      <c r="AN124" s="317"/>
      <c r="AO124" s="317"/>
      <c r="AP124" s="317"/>
      <c r="AQ124" s="317"/>
      <c r="AR124" s="317"/>
      <c r="AS124" s="317"/>
    </row>
    <row r="125" spans="1:45" ht="10.5" customHeight="1">
      <c r="A125" s="348"/>
      <c r="B125" s="412"/>
      <c r="C125" s="413"/>
      <c r="D125" s="413"/>
      <c r="E125" s="413"/>
      <c r="F125" s="413"/>
      <c r="G125" s="413"/>
      <c r="H125" s="413"/>
      <c r="I125" s="414"/>
      <c r="J125" s="297"/>
      <c r="K125" s="297"/>
      <c r="L125" s="297"/>
      <c r="M125" s="297"/>
      <c r="N125" s="297"/>
      <c r="O125" s="297"/>
      <c r="P125" s="297"/>
      <c r="Q125" s="297"/>
      <c r="R125" s="297"/>
      <c r="S125" s="297"/>
      <c r="T125" s="297"/>
      <c r="U125" s="297"/>
      <c r="V125" s="317"/>
      <c r="W125" s="317"/>
      <c r="X125" s="317"/>
      <c r="Y125" s="317"/>
      <c r="Z125" s="317"/>
      <c r="AA125" s="317"/>
      <c r="AB125" s="317"/>
      <c r="AC125" s="317"/>
      <c r="AD125" s="317"/>
      <c r="AE125" s="317"/>
      <c r="AF125" s="317"/>
      <c r="AG125" s="317"/>
      <c r="AH125" s="317"/>
      <c r="AI125" s="317"/>
      <c r="AJ125" s="317"/>
      <c r="AK125" s="317"/>
      <c r="AL125" s="317"/>
      <c r="AM125" s="317"/>
      <c r="AN125" s="317"/>
      <c r="AO125" s="317"/>
      <c r="AP125" s="317"/>
      <c r="AQ125" s="317"/>
      <c r="AR125" s="317"/>
      <c r="AS125" s="317"/>
    </row>
    <row r="126" spans="1:45" ht="19.5" customHeight="1">
      <c r="A126" s="345"/>
      <c r="B126" s="914" t="str">
        <f>IF(ISBLANK(D39),"",D39)</f>
        <v/>
      </c>
      <c r="C126" s="344" t="s">
        <v>63</v>
      </c>
      <c r="D126" s="914" t="str">
        <f>D122</f>
        <v/>
      </c>
      <c r="E126" s="344" t="s">
        <v>582</v>
      </c>
      <c r="F126" s="914" t="str">
        <f>IF(ISBLANK(D39),"",(B126+(D126*2)+2))</f>
        <v/>
      </c>
      <c r="G126" s="344" t="s">
        <v>92</v>
      </c>
      <c r="H126" s="101"/>
      <c r="I126" s="316"/>
      <c r="J126" s="297"/>
      <c r="K126" s="297"/>
      <c r="L126" s="297"/>
      <c r="M126" s="297"/>
      <c r="N126" s="297"/>
      <c r="O126" s="297"/>
      <c r="P126" s="297"/>
      <c r="Q126" s="297"/>
      <c r="R126" s="297"/>
      <c r="S126" s="297"/>
      <c r="T126" s="297"/>
      <c r="U126" s="297"/>
      <c r="V126" s="317"/>
      <c r="W126" s="317"/>
      <c r="X126" s="317"/>
      <c r="Y126" s="317"/>
      <c r="Z126" s="317"/>
      <c r="AA126" s="317"/>
      <c r="AB126" s="317"/>
      <c r="AC126" s="317"/>
      <c r="AD126" s="317"/>
      <c r="AE126" s="317"/>
      <c r="AF126" s="317"/>
      <c r="AG126" s="317"/>
      <c r="AH126" s="317"/>
      <c r="AI126" s="317"/>
      <c r="AJ126" s="317"/>
      <c r="AK126" s="317"/>
      <c r="AL126" s="317"/>
      <c r="AM126" s="317"/>
      <c r="AN126" s="317"/>
      <c r="AO126" s="317"/>
      <c r="AP126" s="317"/>
      <c r="AQ126" s="317"/>
      <c r="AR126" s="317"/>
      <c r="AS126" s="317"/>
    </row>
    <row r="127" spans="1:45" ht="10.5" customHeight="1">
      <c r="A127" s="347"/>
      <c r="B127" s="297"/>
      <c r="C127" s="297"/>
      <c r="D127" s="297"/>
      <c r="E127" s="297"/>
      <c r="F127" s="297"/>
      <c r="G127" s="297"/>
      <c r="H127" s="297"/>
      <c r="I127" s="316"/>
      <c r="J127" s="297"/>
      <c r="K127" s="297"/>
      <c r="L127" s="297"/>
      <c r="M127" s="297"/>
      <c r="N127" s="297"/>
      <c r="O127" s="297"/>
      <c r="P127" s="297"/>
      <c r="Q127" s="297"/>
      <c r="R127" s="297"/>
      <c r="S127" s="297"/>
      <c r="T127" s="297"/>
      <c r="U127" s="297"/>
      <c r="V127" s="317"/>
      <c r="W127" s="317"/>
      <c r="X127" s="317"/>
      <c r="Y127" s="317"/>
      <c r="Z127" s="317"/>
      <c r="AA127" s="317"/>
      <c r="AB127" s="317"/>
      <c r="AC127" s="317"/>
      <c r="AD127" s="317"/>
      <c r="AE127" s="317"/>
      <c r="AF127" s="317"/>
      <c r="AG127" s="317"/>
      <c r="AH127" s="317"/>
      <c r="AI127" s="317"/>
      <c r="AJ127" s="317"/>
      <c r="AK127" s="317"/>
      <c r="AL127" s="317"/>
      <c r="AM127" s="317"/>
      <c r="AN127" s="317"/>
      <c r="AO127" s="317"/>
      <c r="AP127" s="317"/>
      <c r="AQ127" s="317"/>
      <c r="AR127" s="317"/>
      <c r="AS127" s="317"/>
    </row>
    <row r="128" spans="1:45" ht="28.5" customHeight="1">
      <c r="A128" s="348" t="s">
        <v>141</v>
      </c>
      <c r="B128" s="3884" t="s">
        <v>66</v>
      </c>
      <c r="C128" s="3885"/>
      <c r="D128" s="3885"/>
      <c r="E128" s="3885"/>
      <c r="F128" s="3885"/>
      <c r="G128" s="3885"/>
      <c r="H128" s="3885"/>
      <c r="I128" s="3886"/>
      <c r="J128" s="300"/>
      <c r="K128" s="297"/>
      <c r="L128" s="297"/>
      <c r="M128" s="297"/>
      <c r="N128" s="297"/>
      <c r="O128" s="297"/>
      <c r="P128" s="297"/>
      <c r="Q128" s="297"/>
      <c r="R128" s="297"/>
      <c r="S128" s="297"/>
      <c r="T128" s="297"/>
      <c r="U128" s="297"/>
      <c r="V128" s="317"/>
      <c r="W128" s="317"/>
      <c r="X128" s="317"/>
      <c r="Y128" s="317"/>
      <c r="Z128" s="317"/>
      <c r="AA128" s="317"/>
      <c r="AB128" s="317"/>
      <c r="AC128" s="317"/>
      <c r="AD128" s="317"/>
      <c r="AE128" s="317"/>
      <c r="AF128" s="317"/>
      <c r="AG128" s="317"/>
      <c r="AH128" s="317"/>
      <c r="AI128" s="317"/>
      <c r="AJ128" s="317"/>
      <c r="AK128" s="317"/>
      <c r="AL128" s="317"/>
      <c r="AM128" s="317"/>
      <c r="AN128" s="317"/>
      <c r="AO128" s="317"/>
      <c r="AP128" s="317"/>
      <c r="AQ128" s="317"/>
      <c r="AR128" s="317"/>
      <c r="AS128" s="317"/>
    </row>
    <row r="129" spans="1:45" ht="10.5" customHeight="1">
      <c r="A129" s="348"/>
      <c r="B129" s="412"/>
      <c r="C129" s="413"/>
      <c r="D129" s="413"/>
      <c r="E129" s="413"/>
      <c r="F129" s="413"/>
      <c r="G129" s="413"/>
      <c r="H129" s="413"/>
      <c r="I129" s="414"/>
      <c r="J129" s="300"/>
      <c r="K129" s="297"/>
      <c r="L129" s="297"/>
      <c r="M129" s="297"/>
      <c r="N129" s="297"/>
      <c r="O129" s="297"/>
      <c r="P129" s="297"/>
      <c r="Q129" s="297"/>
      <c r="R129" s="297"/>
      <c r="S129" s="297"/>
      <c r="T129" s="297"/>
      <c r="U129" s="297"/>
      <c r="V129" s="317"/>
      <c r="W129" s="317"/>
      <c r="X129" s="317"/>
      <c r="Y129" s="317"/>
      <c r="Z129" s="317"/>
      <c r="AA129" s="317"/>
      <c r="AB129" s="317"/>
      <c r="AC129" s="317"/>
      <c r="AD129" s="317"/>
      <c r="AE129" s="317"/>
      <c r="AF129" s="317"/>
      <c r="AG129" s="317"/>
      <c r="AH129" s="317"/>
      <c r="AI129" s="317"/>
      <c r="AJ129" s="317"/>
      <c r="AK129" s="317"/>
      <c r="AL129" s="317"/>
      <c r="AM129" s="317"/>
      <c r="AN129" s="317"/>
      <c r="AO129" s="317"/>
      <c r="AP129" s="317"/>
      <c r="AQ129" s="317"/>
      <c r="AR129" s="317"/>
      <c r="AS129" s="317"/>
    </row>
    <row r="130" spans="1:45" ht="19.5" customHeight="1">
      <c r="A130" s="345"/>
      <c r="B130" s="914" t="str">
        <f>F43</f>
        <v/>
      </c>
      <c r="C130" s="344" t="s">
        <v>63</v>
      </c>
      <c r="D130" s="914" t="str">
        <f>D122</f>
        <v/>
      </c>
      <c r="E130" s="344" t="s">
        <v>582</v>
      </c>
      <c r="F130" s="914" t="str">
        <f>IF(ISBLANK(D39),"",(B130+(D126*2)+2))</f>
        <v/>
      </c>
      <c r="G130" s="344" t="s">
        <v>92</v>
      </c>
      <c r="H130" s="101"/>
      <c r="I130" s="316"/>
      <c r="J130" s="297"/>
      <c r="K130" s="281"/>
      <c r="L130" s="297"/>
      <c r="M130" s="297"/>
      <c r="N130" s="297"/>
      <c r="O130" s="297"/>
      <c r="P130" s="297"/>
      <c r="Q130" s="297"/>
      <c r="R130" s="297"/>
      <c r="S130" s="297"/>
      <c r="T130" s="297"/>
      <c r="U130" s="297"/>
      <c r="V130" s="317"/>
      <c r="W130" s="317"/>
      <c r="X130" s="317"/>
      <c r="Y130" s="317"/>
      <c r="Z130" s="317"/>
      <c r="AA130" s="317"/>
      <c r="AB130" s="317"/>
      <c r="AC130" s="317"/>
      <c r="AD130" s="317"/>
      <c r="AE130" s="317"/>
      <c r="AF130" s="317"/>
      <c r="AG130" s="317"/>
      <c r="AH130" s="317"/>
      <c r="AI130" s="317"/>
      <c r="AJ130" s="317"/>
      <c r="AK130" s="317"/>
      <c r="AL130" s="317"/>
      <c r="AM130" s="317"/>
      <c r="AN130" s="317"/>
      <c r="AO130" s="317"/>
      <c r="AP130" s="317"/>
      <c r="AQ130" s="317"/>
      <c r="AR130" s="317"/>
      <c r="AS130" s="317"/>
    </row>
    <row r="131" spans="1:45" ht="10.5" customHeight="1">
      <c r="A131" s="347"/>
      <c r="B131" s="289"/>
      <c r="C131" s="289"/>
      <c r="D131" s="289"/>
      <c r="E131" s="300"/>
      <c r="F131" s="289"/>
      <c r="G131" s="289"/>
      <c r="H131" s="300"/>
      <c r="I131" s="290"/>
      <c r="J131" s="297"/>
      <c r="K131" s="297"/>
      <c r="L131" s="297"/>
      <c r="M131" s="297"/>
      <c r="N131" s="297"/>
      <c r="O131" s="297"/>
      <c r="P131" s="297"/>
      <c r="Q131" s="297"/>
      <c r="R131" s="297"/>
      <c r="S131" s="297"/>
      <c r="T131" s="297"/>
      <c r="U131" s="297"/>
      <c r="V131" s="317"/>
      <c r="W131" s="317"/>
      <c r="X131" s="317"/>
      <c r="Y131" s="317"/>
      <c r="Z131" s="317"/>
      <c r="AA131" s="317"/>
      <c r="AB131" s="317"/>
      <c r="AC131" s="317"/>
      <c r="AD131" s="317"/>
      <c r="AE131" s="317"/>
      <c r="AF131" s="317"/>
      <c r="AG131" s="317"/>
      <c r="AH131" s="317"/>
      <c r="AI131" s="317"/>
      <c r="AJ131" s="317"/>
      <c r="AK131" s="317"/>
      <c r="AL131" s="317"/>
      <c r="AM131" s="317"/>
      <c r="AN131" s="317"/>
      <c r="AO131" s="317"/>
      <c r="AP131" s="317"/>
      <c r="AQ131" s="317"/>
      <c r="AR131" s="317"/>
      <c r="AS131" s="317"/>
    </row>
    <row r="132" spans="1:45" ht="18" customHeight="1">
      <c r="A132" s="345" t="s">
        <v>142</v>
      </c>
      <c r="B132" s="297" t="s">
        <v>583</v>
      </c>
      <c r="C132" s="297"/>
      <c r="D132" s="297"/>
      <c r="E132" s="297"/>
      <c r="F132" s="297"/>
      <c r="G132" s="297"/>
      <c r="H132" s="297"/>
      <c r="I132" s="316"/>
      <c r="J132" s="289"/>
      <c r="K132" s="297"/>
      <c r="L132" s="297"/>
      <c r="M132" s="297"/>
      <c r="N132" s="297"/>
      <c r="O132" s="297"/>
      <c r="P132" s="297"/>
      <c r="Q132" s="297"/>
      <c r="R132" s="297"/>
      <c r="S132" s="297"/>
      <c r="T132" s="297"/>
      <c r="U132" s="297"/>
      <c r="V132" s="317"/>
      <c r="W132" s="317"/>
      <c r="X132" s="317"/>
      <c r="Y132" s="317"/>
      <c r="Z132" s="317"/>
      <c r="AA132" s="317"/>
      <c r="AB132" s="317"/>
      <c r="AC132" s="317"/>
      <c r="AD132" s="317"/>
      <c r="AE132" s="317"/>
      <c r="AF132" s="317"/>
      <c r="AG132" s="317"/>
      <c r="AH132" s="317"/>
      <c r="AI132" s="317"/>
      <c r="AJ132" s="317"/>
      <c r="AK132" s="317"/>
      <c r="AL132" s="317"/>
      <c r="AM132" s="317"/>
      <c r="AN132" s="317"/>
      <c r="AO132" s="317"/>
      <c r="AP132" s="317"/>
      <c r="AQ132" s="317"/>
      <c r="AR132" s="317"/>
      <c r="AS132" s="317"/>
    </row>
    <row r="133" spans="1:45" ht="10.5" customHeight="1">
      <c r="A133" s="345"/>
      <c r="B133" s="297"/>
      <c r="C133" s="297"/>
      <c r="D133" s="297"/>
      <c r="E133" s="297"/>
      <c r="F133" s="297"/>
      <c r="G133" s="297"/>
      <c r="H133" s="297"/>
      <c r="I133" s="316"/>
      <c r="J133" s="289"/>
      <c r="K133" s="297"/>
      <c r="L133" s="297"/>
      <c r="M133" s="297"/>
      <c r="N133" s="297"/>
      <c r="O133" s="297"/>
      <c r="P133" s="297"/>
      <c r="Q133" s="297"/>
      <c r="R133" s="297"/>
      <c r="S133" s="297"/>
      <c r="T133" s="297"/>
      <c r="U133" s="297"/>
      <c r="V133" s="317"/>
      <c r="W133" s="317"/>
      <c r="X133" s="317"/>
      <c r="Y133" s="317"/>
      <c r="Z133" s="317"/>
      <c r="AA133" s="317"/>
      <c r="AB133" s="317"/>
      <c r="AC133" s="317"/>
      <c r="AD133" s="317"/>
      <c r="AE133" s="317"/>
      <c r="AF133" s="317"/>
      <c r="AG133" s="317"/>
      <c r="AH133" s="317"/>
      <c r="AI133" s="317"/>
      <c r="AJ133" s="317"/>
      <c r="AK133" s="317"/>
      <c r="AL133" s="317"/>
      <c r="AM133" s="317"/>
      <c r="AN133" s="317"/>
      <c r="AO133" s="317"/>
      <c r="AP133" s="317"/>
      <c r="AQ133" s="317"/>
      <c r="AR133" s="317"/>
      <c r="AS133" s="317"/>
    </row>
    <row r="134" spans="1:45" ht="19.5" customHeight="1">
      <c r="A134" s="345"/>
      <c r="B134" s="914" t="str">
        <f>F126</f>
        <v/>
      </c>
      <c r="C134" s="344" t="s">
        <v>530</v>
      </c>
      <c r="D134" s="914" t="str">
        <f>F130</f>
        <v/>
      </c>
      <c r="E134" s="344" t="s">
        <v>118</v>
      </c>
      <c r="F134" s="914" t="str">
        <f>IF(ISBLANK(D39),"",B134*D134)</f>
        <v/>
      </c>
      <c r="G134" s="344" t="s">
        <v>22</v>
      </c>
      <c r="H134" s="101"/>
      <c r="I134" s="316"/>
      <c r="J134" s="289"/>
      <c r="K134" s="289"/>
      <c r="L134" s="289"/>
      <c r="M134" s="297"/>
      <c r="N134" s="297"/>
      <c r="O134" s="297"/>
      <c r="P134" s="297"/>
      <c r="Q134" s="297"/>
      <c r="R134" s="297"/>
      <c r="S134" s="297"/>
      <c r="T134" s="297"/>
      <c r="U134" s="297"/>
      <c r="V134" s="317"/>
      <c r="W134" s="317"/>
      <c r="X134" s="317"/>
      <c r="Y134" s="317"/>
      <c r="Z134" s="317"/>
      <c r="AA134" s="317"/>
      <c r="AB134" s="317"/>
      <c r="AC134" s="317"/>
      <c r="AD134" s="317"/>
      <c r="AE134" s="317"/>
      <c r="AF134" s="317"/>
      <c r="AG134" s="317"/>
      <c r="AH134" s="317"/>
      <c r="AI134" s="317"/>
      <c r="AJ134" s="317"/>
      <c r="AK134" s="317"/>
      <c r="AL134" s="317"/>
      <c r="AM134" s="317"/>
      <c r="AN134" s="317"/>
      <c r="AO134" s="317"/>
      <c r="AP134" s="317"/>
      <c r="AQ134" s="317"/>
      <c r="AR134" s="317"/>
      <c r="AS134" s="317"/>
    </row>
    <row r="135" spans="1:45" ht="10.5" customHeight="1">
      <c r="A135" s="349"/>
      <c r="B135" s="350"/>
      <c r="C135" s="294"/>
      <c r="D135" s="294"/>
      <c r="E135" s="294"/>
      <c r="F135" s="294"/>
      <c r="G135" s="294"/>
      <c r="H135" s="294"/>
      <c r="I135" s="296"/>
      <c r="J135" s="351"/>
      <c r="K135" s="289"/>
      <c r="L135" s="289"/>
      <c r="M135" s="289"/>
      <c r="N135" s="289"/>
      <c r="O135" s="289"/>
      <c r="P135" s="289"/>
      <c r="Q135" s="289"/>
      <c r="R135" s="289"/>
      <c r="S135" s="289"/>
      <c r="T135" s="289"/>
      <c r="U135" s="289"/>
      <c r="V135" s="317"/>
      <c r="W135" s="317"/>
      <c r="X135" s="317"/>
      <c r="Y135" s="317"/>
      <c r="Z135" s="317"/>
      <c r="AA135" s="317"/>
      <c r="AB135" s="317"/>
      <c r="AC135" s="317"/>
      <c r="AD135" s="317"/>
      <c r="AE135" s="317"/>
      <c r="AF135" s="317"/>
      <c r="AG135" s="317"/>
      <c r="AH135" s="317"/>
      <c r="AI135" s="317"/>
      <c r="AJ135" s="317"/>
      <c r="AK135" s="317"/>
      <c r="AL135" s="317"/>
      <c r="AM135" s="317"/>
      <c r="AN135" s="317"/>
      <c r="AO135" s="317"/>
      <c r="AP135" s="317"/>
      <c r="AQ135" s="317"/>
      <c r="AR135" s="317"/>
      <c r="AS135" s="317"/>
    </row>
    <row r="136" spans="1:45" ht="15">
      <c r="A136" s="352"/>
      <c r="B136" s="353"/>
      <c r="C136" s="281"/>
      <c r="D136" s="281"/>
      <c r="E136" s="281"/>
      <c r="F136" s="281"/>
      <c r="G136" s="281"/>
      <c r="H136" s="281"/>
      <c r="I136" s="281"/>
      <c r="J136" s="281"/>
      <c r="K136" s="281"/>
      <c r="L136" s="281"/>
      <c r="M136" s="289"/>
      <c r="N136" s="281"/>
      <c r="O136" s="289"/>
      <c r="P136" s="289"/>
      <c r="Q136" s="289"/>
      <c r="R136" s="289"/>
      <c r="S136" s="289"/>
      <c r="T136" s="289"/>
      <c r="U136" s="289"/>
      <c r="V136" s="317"/>
      <c r="W136" s="317"/>
      <c r="X136" s="317"/>
      <c r="Y136" s="317"/>
      <c r="Z136" s="317"/>
      <c r="AA136" s="317"/>
      <c r="AB136" s="317"/>
      <c r="AC136" s="317"/>
      <c r="AD136" s="317"/>
      <c r="AE136" s="317"/>
      <c r="AF136" s="317"/>
      <c r="AG136" s="317"/>
      <c r="AH136" s="317"/>
      <c r="AI136" s="317"/>
      <c r="AJ136" s="317"/>
      <c r="AK136" s="317"/>
      <c r="AL136" s="317"/>
      <c r="AM136" s="317"/>
      <c r="AN136" s="317"/>
      <c r="AO136" s="317"/>
      <c r="AP136" s="317"/>
      <c r="AQ136" s="317"/>
      <c r="AR136" s="317"/>
      <c r="AS136" s="317"/>
    </row>
    <row r="137" spans="1:45" ht="15">
      <c r="A137" s="317"/>
      <c r="B137" s="317"/>
      <c r="C137" s="317"/>
      <c r="D137" s="317"/>
      <c r="E137" s="317"/>
      <c r="F137" s="317"/>
      <c r="G137" s="317"/>
      <c r="H137" s="317"/>
      <c r="I137" s="317"/>
      <c r="J137" s="317"/>
      <c r="K137" s="317"/>
      <c r="L137" s="317"/>
      <c r="M137" s="317"/>
      <c r="N137" s="317"/>
      <c r="O137" s="289"/>
      <c r="P137" s="289"/>
      <c r="Q137" s="289"/>
      <c r="R137" s="289"/>
      <c r="S137" s="289"/>
      <c r="T137" s="289"/>
      <c r="U137" s="289"/>
      <c r="V137" s="317"/>
      <c r="W137" s="317"/>
      <c r="X137" s="317"/>
      <c r="Y137" s="317"/>
      <c r="Z137" s="317"/>
      <c r="AA137" s="317"/>
      <c r="AB137" s="317"/>
      <c r="AC137" s="317"/>
      <c r="AD137" s="317"/>
      <c r="AE137" s="317"/>
      <c r="AF137" s="317"/>
      <c r="AG137" s="317"/>
      <c r="AH137" s="317"/>
      <c r="AI137" s="317"/>
      <c r="AJ137" s="317"/>
      <c r="AK137" s="317"/>
      <c r="AL137" s="317"/>
      <c r="AM137" s="317"/>
      <c r="AN137" s="317"/>
      <c r="AO137" s="317"/>
      <c r="AP137" s="317"/>
      <c r="AQ137" s="317"/>
      <c r="AR137" s="317"/>
      <c r="AS137" s="317"/>
    </row>
    <row r="138" spans="1:45" ht="15">
      <c r="A138" s="317"/>
      <c r="B138" s="317"/>
      <c r="C138" s="317"/>
      <c r="D138" s="317"/>
      <c r="E138" s="317"/>
      <c r="F138" s="317"/>
      <c r="G138" s="317"/>
      <c r="H138" s="317"/>
      <c r="I138" s="317"/>
      <c r="J138" s="317"/>
      <c r="K138" s="317"/>
      <c r="L138" s="317"/>
      <c r="M138" s="317"/>
      <c r="N138" s="317"/>
      <c r="O138" s="289"/>
      <c r="P138" s="289"/>
      <c r="Q138" s="289"/>
      <c r="R138" s="289"/>
      <c r="S138" s="289"/>
      <c r="T138" s="289"/>
      <c r="U138" s="289"/>
      <c r="V138" s="317"/>
      <c r="W138" s="317"/>
      <c r="X138" s="317"/>
      <c r="Y138" s="317"/>
      <c r="Z138" s="317"/>
      <c r="AA138" s="317"/>
      <c r="AB138" s="317"/>
      <c r="AC138" s="317"/>
      <c r="AD138" s="317"/>
      <c r="AE138" s="317"/>
      <c r="AF138" s="317"/>
      <c r="AG138" s="317"/>
      <c r="AH138" s="317"/>
      <c r="AI138" s="317"/>
      <c r="AJ138" s="317"/>
      <c r="AK138" s="317"/>
      <c r="AL138" s="317"/>
      <c r="AM138" s="317"/>
      <c r="AN138" s="317"/>
      <c r="AO138" s="317"/>
      <c r="AP138" s="317"/>
      <c r="AQ138" s="317"/>
      <c r="AR138" s="317"/>
      <c r="AS138" s="317"/>
    </row>
    <row r="139" spans="1:45" ht="15">
      <c r="A139" s="317"/>
      <c r="B139" s="317"/>
      <c r="C139" s="317"/>
      <c r="D139" s="317"/>
      <c r="E139" s="317"/>
      <c r="F139" s="317"/>
      <c r="G139" s="317"/>
      <c r="H139" s="317"/>
      <c r="I139" s="317"/>
      <c r="J139" s="317"/>
      <c r="K139" s="519"/>
      <c r="L139" s="317"/>
      <c r="M139" s="317"/>
      <c r="N139" s="317"/>
      <c r="O139" s="289"/>
      <c r="P139" s="289"/>
      <c r="Q139" s="289"/>
      <c r="R139" s="289"/>
      <c r="S139" s="289"/>
      <c r="T139" s="289"/>
      <c r="U139" s="289"/>
      <c r="V139" s="317"/>
      <c r="W139" s="317"/>
      <c r="X139" s="317"/>
      <c r="Y139" s="317"/>
      <c r="Z139" s="317"/>
      <c r="AA139" s="317"/>
      <c r="AB139" s="317"/>
      <c r="AC139" s="317"/>
      <c r="AD139" s="317"/>
      <c r="AE139" s="317"/>
      <c r="AF139" s="317"/>
      <c r="AG139" s="317"/>
      <c r="AH139" s="317"/>
      <c r="AI139" s="317"/>
      <c r="AJ139" s="317"/>
      <c r="AK139" s="317"/>
      <c r="AL139" s="317"/>
      <c r="AM139" s="317"/>
      <c r="AN139" s="317"/>
      <c r="AO139" s="317"/>
      <c r="AP139" s="317"/>
      <c r="AQ139" s="317"/>
      <c r="AR139" s="317"/>
      <c r="AS139" s="317"/>
    </row>
    <row r="140" spans="1:45" ht="15">
      <c r="A140" s="317"/>
      <c r="B140" s="317"/>
      <c r="C140" s="317"/>
      <c r="D140" s="317"/>
      <c r="E140" s="317"/>
      <c r="F140" s="317"/>
      <c r="G140" s="317"/>
      <c r="H140" s="317"/>
      <c r="I140" s="317"/>
      <c r="J140" s="317"/>
      <c r="K140" s="519"/>
      <c r="L140" s="317"/>
      <c r="M140" s="317"/>
      <c r="N140" s="317"/>
      <c r="O140" s="289"/>
      <c r="P140" s="289"/>
      <c r="Q140" s="289"/>
      <c r="R140" s="289"/>
      <c r="S140" s="289"/>
      <c r="T140" s="289"/>
      <c r="U140" s="289"/>
      <c r="V140" s="317"/>
      <c r="W140" s="317"/>
      <c r="X140" s="317"/>
      <c r="Y140" s="317"/>
      <c r="Z140" s="317"/>
      <c r="AA140" s="317"/>
      <c r="AB140" s="317"/>
      <c r="AC140" s="317"/>
      <c r="AD140" s="317"/>
      <c r="AE140" s="317"/>
      <c r="AF140" s="317"/>
      <c r="AG140" s="317"/>
      <c r="AH140" s="317"/>
      <c r="AI140" s="317"/>
      <c r="AJ140" s="317"/>
      <c r="AK140" s="317"/>
      <c r="AL140" s="317"/>
      <c r="AM140" s="317"/>
      <c r="AN140" s="317"/>
      <c r="AO140" s="317"/>
      <c r="AP140" s="317"/>
      <c r="AQ140" s="317"/>
      <c r="AR140" s="317"/>
      <c r="AS140" s="317"/>
    </row>
    <row r="141" spans="1:45" ht="15">
      <c r="A141" s="317"/>
      <c r="B141" s="317"/>
      <c r="C141" s="317"/>
      <c r="D141" s="317"/>
      <c r="E141" s="317"/>
      <c r="F141" s="317"/>
      <c r="G141" s="317"/>
      <c r="H141" s="317"/>
      <c r="I141" s="317"/>
      <c r="J141" s="317"/>
      <c r="K141" s="519"/>
      <c r="M141" s="317"/>
      <c r="N141" s="317"/>
      <c r="O141" s="289"/>
      <c r="P141" s="289"/>
      <c r="Q141" s="289"/>
      <c r="R141" s="289"/>
      <c r="S141" s="289"/>
      <c r="T141" s="289"/>
      <c r="U141" s="289"/>
      <c r="V141" s="317"/>
      <c r="W141" s="317"/>
      <c r="X141" s="317"/>
      <c r="Y141" s="317"/>
      <c r="Z141" s="317"/>
      <c r="AA141" s="317"/>
      <c r="AB141" s="317"/>
      <c r="AC141" s="317"/>
      <c r="AD141" s="317"/>
      <c r="AE141" s="317"/>
      <c r="AF141" s="317"/>
      <c r="AG141" s="317"/>
      <c r="AH141" s="317"/>
      <c r="AI141" s="317"/>
      <c r="AJ141" s="317"/>
      <c r="AK141" s="317"/>
      <c r="AL141" s="317"/>
      <c r="AM141" s="317"/>
      <c r="AN141" s="317"/>
      <c r="AO141" s="317"/>
      <c r="AP141" s="317"/>
      <c r="AQ141" s="317"/>
      <c r="AR141" s="317"/>
      <c r="AS141" s="317"/>
    </row>
    <row r="142" spans="1:45" ht="15">
      <c r="A142" s="317"/>
      <c r="B142" s="317"/>
      <c r="C142" s="317"/>
      <c r="D142" s="317"/>
      <c r="E142" s="317"/>
      <c r="F142" s="317"/>
      <c r="G142" s="317"/>
      <c r="H142" s="317"/>
      <c r="I142" s="317"/>
      <c r="J142" s="317"/>
      <c r="K142" s="519"/>
      <c r="L142" s="281"/>
      <c r="M142" s="317"/>
      <c r="N142" s="317"/>
      <c r="O142" s="289"/>
      <c r="P142" s="289"/>
      <c r="Q142" s="289"/>
      <c r="R142" s="289"/>
      <c r="S142" s="289"/>
      <c r="T142" s="289"/>
      <c r="U142" s="289"/>
      <c r="V142" s="317"/>
      <c r="W142" s="317"/>
      <c r="X142" s="317"/>
      <c r="Y142" s="317"/>
      <c r="Z142" s="317"/>
      <c r="AA142" s="317"/>
      <c r="AB142" s="317"/>
      <c r="AC142" s="317"/>
      <c r="AD142" s="317"/>
      <c r="AE142" s="317"/>
      <c r="AF142" s="317"/>
      <c r="AG142" s="317"/>
      <c r="AH142" s="317"/>
      <c r="AI142" s="317"/>
      <c r="AJ142" s="317"/>
      <c r="AK142" s="317"/>
      <c r="AL142" s="317"/>
      <c r="AM142" s="317"/>
      <c r="AN142" s="317"/>
      <c r="AO142" s="317"/>
      <c r="AP142" s="317"/>
      <c r="AQ142" s="317"/>
      <c r="AR142" s="317"/>
      <c r="AS142" s="317"/>
    </row>
    <row r="143" spans="1:45" ht="15">
      <c r="A143" s="317"/>
      <c r="B143" s="317"/>
      <c r="C143" s="317"/>
      <c r="D143" s="317"/>
      <c r="E143" s="317"/>
      <c r="F143" s="317"/>
      <c r="G143" s="317"/>
      <c r="H143" s="317"/>
      <c r="I143" s="317"/>
      <c r="J143" s="317"/>
      <c r="L143" s="317"/>
      <c r="M143" s="317"/>
      <c r="N143" s="317"/>
      <c r="O143" s="289"/>
      <c r="P143" s="289"/>
      <c r="Q143" s="289"/>
      <c r="R143" s="289"/>
      <c r="S143" s="289"/>
      <c r="T143" s="289"/>
      <c r="U143" s="289"/>
      <c r="V143" s="317"/>
      <c r="W143" s="317"/>
      <c r="X143" s="317"/>
      <c r="Y143" s="317"/>
      <c r="Z143" s="317"/>
      <c r="AA143" s="317"/>
      <c r="AB143" s="317"/>
      <c r="AC143" s="317"/>
      <c r="AD143" s="317"/>
      <c r="AE143" s="317"/>
      <c r="AF143" s="317"/>
      <c r="AG143" s="317"/>
      <c r="AH143" s="317"/>
      <c r="AI143" s="317"/>
      <c r="AJ143" s="317"/>
      <c r="AK143" s="317"/>
      <c r="AL143" s="317"/>
      <c r="AM143" s="317"/>
      <c r="AN143" s="317"/>
      <c r="AO143" s="317"/>
      <c r="AP143" s="317"/>
      <c r="AQ143" s="317"/>
      <c r="AR143" s="317"/>
      <c r="AS143" s="317"/>
    </row>
  </sheetData>
  <sheetProtection sheet="1" objects="1" scenarios="1"/>
  <customSheetViews>
    <customSheetView guid="{D1431318-1DB8-4C45-813B-5A8065DFC797}" showPageBreaks="1" zeroValues="0" printArea="1" view="pageBreakPreview">
      <selection activeCell="L112" sqref="L112"/>
      <rowBreaks count="3" manualBreakCount="3">
        <brk id="47" max="8" man="1"/>
        <brk id="77" max="8" man="1"/>
        <brk id="115" max="8" man="1"/>
      </rowBreaks>
      <pageMargins left="0.4" right="0.4" top="0.4" bottom="0.4" header="0.17" footer="0.5"/>
      <printOptions horizontalCentered="1"/>
      <pageSetup scale="95" orientation="portrait" blackAndWhite="1" r:id="rId1"/>
      <headerFooter alignWithMargins="0"/>
    </customSheetView>
  </customSheetViews>
  <mergeCells count="31">
    <mergeCell ref="D1:F1"/>
    <mergeCell ref="N23:O23"/>
    <mergeCell ref="E50:H50"/>
    <mergeCell ref="E26:F26"/>
    <mergeCell ref="F30:G30"/>
    <mergeCell ref="B24:I24"/>
    <mergeCell ref="J2:L2"/>
    <mergeCell ref="K10:L10"/>
    <mergeCell ref="J11:L11"/>
    <mergeCell ref="B33:I33"/>
    <mergeCell ref="B37:E37"/>
    <mergeCell ref="D2:E2"/>
    <mergeCell ref="F2:G2"/>
    <mergeCell ref="B51:I51"/>
    <mergeCell ref="B61:H61"/>
    <mergeCell ref="B54:I55"/>
    <mergeCell ref="B67:H67"/>
    <mergeCell ref="E74:I75"/>
    <mergeCell ref="E76:H76"/>
    <mergeCell ref="A77:C77"/>
    <mergeCell ref="D95:G95"/>
    <mergeCell ref="D93:G93"/>
    <mergeCell ref="D80:G80"/>
    <mergeCell ref="B128:I128"/>
    <mergeCell ref="B101:F102"/>
    <mergeCell ref="B124:G124"/>
    <mergeCell ref="B99:E100"/>
    <mergeCell ref="F87:G87"/>
    <mergeCell ref="H120:I122"/>
    <mergeCell ref="B118:I118"/>
    <mergeCell ref="B113:G114"/>
  </mergeCells>
  <phoneticPr fontId="22" type="noConversion"/>
  <dataValidations count="1">
    <dataValidation type="list" allowBlank="1" showInputMessage="1" showErrorMessage="1" sqref="E50:H50 D80:G80 D93:G93">
      <formula1>DistMedia</formula1>
    </dataValidation>
  </dataValidations>
  <printOptions horizontalCentered="1"/>
  <pageMargins left="0.4" right="0.4" top="0.4" bottom="0.4" header="0.17" footer="0.5"/>
  <pageSetup scale="95" orientation="portrait" blackAndWhite="1" r:id="rId2"/>
  <headerFooter alignWithMargins="0"/>
  <rowBreaks count="3" manualBreakCount="3">
    <brk id="47" max="8" man="1"/>
    <brk id="77" max="8" man="1"/>
    <brk id="115" max="8" man="1"/>
  </rowBreaks>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indexed="10"/>
  </sheetPr>
  <dimension ref="A1:BS100"/>
  <sheetViews>
    <sheetView showGridLines="0" view="pageBreakPreview" zoomScaleNormal="100" zoomScaleSheetLayoutView="100" workbookViewId="0">
      <selection activeCell="B4" sqref="B4"/>
    </sheetView>
  </sheetViews>
  <sheetFormatPr defaultColWidth="8.88671875" defaultRowHeight="13.2"/>
  <cols>
    <col min="1" max="1" width="9" customWidth="1"/>
    <col min="2" max="2" width="14" customWidth="1"/>
    <col min="3" max="3" width="16.109375" customWidth="1"/>
    <col min="4" max="4" width="17.88671875" customWidth="1"/>
    <col min="5" max="5" width="15.44140625" customWidth="1"/>
    <col min="6" max="6" width="15.109375" customWidth="1"/>
    <col min="12" max="12" width="12.33203125" style="2243" customWidth="1"/>
    <col min="13" max="13" width="19.33203125" style="2243" customWidth="1"/>
  </cols>
  <sheetData>
    <row r="1" spans="1:71" s="101" customFormat="1" ht="54.9" customHeight="1">
      <c r="B1" s="471"/>
      <c r="C1" s="3938" t="s">
        <v>1762</v>
      </c>
      <c r="D1" s="3938"/>
      <c r="E1" s="3937"/>
      <c r="F1" s="3937"/>
      <c r="G1" s="169"/>
      <c r="H1" s="169"/>
      <c r="I1" s="169"/>
      <c r="J1" s="169"/>
      <c r="K1" s="169"/>
      <c r="L1" s="2244"/>
      <c r="M1" s="2244"/>
      <c r="N1" s="169"/>
      <c r="O1" s="169"/>
      <c r="P1" s="169"/>
      <c r="Q1" s="169"/>
      <c r="R1" s="169"/>
      <c r="S1" s="169"/>
      <c r="T1" s="169"/>
      <c r="U1" s="169"/>
      <c r="V1" s="169"/>
      <c r="W1" s="169"/>
      <c r="X1" s="169"/>
      <c r="Y1" s="169"/>
      <c r="Z1" s="472"/>
      <c r="AA1" s="472"/>
      <c r="AB1" s="472"/>
      <c r="AC1" s="473"/>
      <c r="AD1" s="473"/>
      <c r="AE1" s="473"/>
      <c r="AF1" s="473"/>
      <c r="AG1" s="473"/>
      <c r="AH1" s="473"/>
      <c r="AI1" s="473"/>
      <c r="AJ1" s="473"/>
      <c r="AK1" s="473"/>
      <c r="AL1" s="473"/>
      <c r="AM1" s="473"/>
      <c r="AN1" s="473"/>
      <c r="AO1" s="473"/>
      <c r="AP1" s="473"/>
      <c r="AQ1" s="473"/>
      <c r="AR1" s="473"/>
      <c r="AS1" s="473"/>
      <c r="AT1" s="473"/>
      <c r="AU1" s="473"/>
      <c r="AV1" s="473"/>
      <c r="AW1" s="473"/>
      <c r="AX1" s="473"/>
      <c r="AY1" s="473"/>
      <c r="AZ1" s="473"/>
      <c r="BA1" s="473"/>
      <c r="BB1" s="473"/>
      <c r="BC1" s="473"/>
      <c r="BD1" s="473"/>
      <c r="BE1" s="473"/>
      <c r="BF1" s="473"/>
      <c r="BG1" s="473"/>
      <c r="BH1" s="473"/>
      <c r="BI1" s="473"/>
      <c r="BJ1" s="473"/>
      <c r="BK1" s="473"/>
      <c r="BL1" s="473"/>
      <c r="BM1" s="473"/>
      <c r="BN1" s="473"/>
      <c r="BO1" s="473"/>
      <c r="BP1" s="473"/>
      <c r="BQ1" s="473"/>
      <c r="BR1" s="473"/>
      <c r="BS1" s="473"/>
    </row>
    <row r="2" spans="1:71" s="101" customFormat="1" ht="12.6" customHeight="1">
      <c r="B2" s="471"/>
      <c r="C2" s="705"/>
      <c r="D2" s="705"/>
      <c r="E2" s="704"/>
      <c r="F2" s="709" t="str">
        <f>'Drop-Down Lists'!J40</f>
        <v>v 04.01.2021</v>
      </c>
      <c r="G2" s="169"/>
      <c r="H2" s="169"/>
      <c r="I2" s="169"/>
      <c r="J2" s="169"/>
      <c r="K2" s="169"/>
      <c r="L2" s="2244"/>
      <c r="M2" s="2244"/>
      <c r="N2" s="169"/>
      <c r="O2" s="169"/>
      <c r="P2" s="169"/>
      <c r="Q2" s="169"/>
      <c r="R2" s="169"/>
      <c r="S2" s="169"/>
      <c r="T2" s="169"/>
      <c r="U2" s="169"/>
      <c r="V2" s="169"/>
      <c r="W2" s="169"/>
      <c r="X2" s="169"/>
      <c r="Y2" s="169"/>
      <c r="Z2" s="472"/>
      <c r="AA2" s="472"/>
      <c r="AB2" s="472"/>
      <c r="AC2" s="473"/>
      <c r="AD2" s="473"/>
      <c r="AE2" s="473"/>
      <c r="AF2" s="473"/>
      <c r="AG2" s="473"/>
      <c r="AH2" s="473"/>
      <c r="AI2" s="473"/>
      <c r="AJ2" s="473"/>
      <c r="AK2" s="473"/>
      <c r="AL2" s="473"/>
      <c r="AM2" s="473"/>
      <c r="AN2" s="473"/>
      <c r="AO2" s="473"/>
      <c r="AP2" s="473"/>
      <c r="AQ2" s="473"/>
      <c r="AR2" s="473"/>
      <c r="AS2" s="473"/>
      <c r="AT2" s="473"/>
      <c r="AU2" s="473"/>
      <c r="AV2" s="473"/>
      <c r="AW2" s="473"/>
      <c r="AX2" s="473"/>
      <c r="AY2" s="473"/>
      <c r="AZ2" s="473"/>
      <c r="BA2" s="473"/>
      <c r="BB2" s="473"/>
      <c r="BC2" s="473"/>
      <c r="BD2" s="473"/>
      <c r="BE2" s="473"/>
      <c r="BF2" s="473"/>
      <c r="BG2" s="473"/>
      <c r="BH2" s="473"/>
      <c r="BI2" s="473"/>
      <c r="BJ2" s="473"/>
      <c r="BK2" s="473"/>
      <c r="BL2" s="473"/>
      <c r="BM2" s="473"/>
      <c r="BN2" s="473"/>
      <c r="BO2" s="473"/>
      <c r="BP2" s="473"/>
      <c r="BQ2" s="473"/>
      <c r="BR2" s="473"/>
      <c r="BS2" s="473"/>
    </row>
    <row r="3" spans="1:71" ht="43.2">
      <c r="A3" s="695" t="s">
        <v>449</v>
      </c>
      <c r="B3" s="695" t="s">
        <v>494</v>
      </c>
      <c r="C3" s="695" t="s">
        <v>1978</v>
      </c>
      <c r="D3" s="695" t="s">
        <v>518</v>
      </c>
      <c r="E3" s="695" t="s">
        <v>517</v>
      </c>
      <c r="F3" s="695" t="s">
        <v>519</v>
      </c>
      <c r="G3" s="170"/>
      <c r="H3" s="170"/>
      <c r="I3" s="170"/>
      <c r="J3" s="170"/>
      <c r="K3" s="170"/>
      <c r="L3" s="2245"/>
      <c r="M3" s="2245"/>
      <c r="N3" s="170"/>
      <c r="O3" s="170"/>
      <c r="P3" s="170"/>
      <c r="Q3" s="170"/>
      <c r="R3" s="170"/>
      <c r="S3" s="170"/>
      <c r="T3" s="170"/>
      <c r="U3" s="170"/>
      <c r="V3" s="170"/>
      <c r="W3" s="170"/>
      <c r="X3" s="170"/>
      <c r="Y3" s="170"/>
      <c r="Z3" s="170"/>
      <c r="AA3" s="170"/>
      <c r="AB3" s="170"/>
      <c r="AC3" s="170"/>
      <c r="AD3" s="170"/>
      <c r="AE3" s="170"/>
      <c r="AF3" s="170"/>
      <c r="AG3" s="170"/>
      <c r="AH3" s="170"/>
      <c r="AI3" s="170"/>
      <c r="AJ3" s="171"/>
      <c r="AK3" s="170"/>
      <c r="AL3" s="170"/>
      <c r="AM3" s="170"/>
      <c r="AN3" s="170"/>
      <c r="AO3" s="170"/>
      <c r="AP3" s="170"/>
      <c r="AQ3" s="170"/>
      <c r="AR3" s="170"/>
      <c r="AS3" s="170"/>
      <c r="AT3" s="170"/>
      <c r="AU3" s="170"/>
      <c r="AV3" s="170"/>
      <c r="AW3" s="170"/>
      <c r="AX3" s="170"/>
      <c r="AY3" s="170"/>
      <c r="AZ3" s="170"/>
      <c r="BA3" s="170"/>
      <c r="BB3" s="170"/>
      <c r="BC3" s="170"/>
      <c r="BD3" s="170"/>
      <c r="BE3" s="170"/>
      <c r="BF3" s="170"/>
      <c r="BG3" s="170"/>
      <c r="BH3" s="170"/>
      <c r="BI3" s="170"/>
      <c r="BJ3" s="170"/>
      <c r="BK3" s="170"/>
      <c r="BL3" s="170"/>
      <c r="BM3" s="170"/>
      <c r="BN3" s="170"/>
      <c r="BO3" s="170"/>
      <c r="BP3" s="170"/>
      <c r="BQ3" s="170"/>
      <c r="BR3" s="170"/>
      <c r="BS3" s="170"/>
    </row>
    <row r="4" spans="1:71" ht="16.2">
      <c r="A4" s="172">
        <v>1</v>
      </c>
      <c r="B4" s="1200"/>
      <c r="C4" s="1200"/>
      <c r="D4" s="2242" t="str">
        <f>IF(ISBLANK(B4)," ",IF(C4="I",(B4*150),IF(C4="II",((B4+1)*75),(IF(C4="III",(((B4)+1)*38)+66)))))</f>
        <v xml:space="preserve"> </v>
      </c>
      <c r="E4" s="1201"/>
      <c r="F4" s="696" t="str">
        <f>IF(ISBLANK(B4),"",D4*E4)</f>
        <v/>
      </c>
      <c r="G4" s="170"/>
      <c r="L4" s="3940" t="s">
        <v>1981</v>
      </c>
      <c r="M4" s="3939" t="s">
        <v>1982</v>
      </c>
      <c r="Q4" s="170"/>
      <c r="AA4" s="170"/>
      <c r="AB4" s="170"/>
      <c r="AC4" s="176"/>
      <c r="AD4" s="173"/>
      <c r="AE4" s="173"/>
      <c r="AF4" s="173"/>
      <c r="AG4" s="173"/>
      <c r="AH4" s="173"/>
      <c r="AI4" s="173"/>
      <c r="AJ4" s="171"/>
      <c r="AK4" s="170"/>
      <c r="AL4" s="170"/>
      <c r="AM4" s="170"/>
      <c r="AN4" s="170"/>
      <c r="AO4" s="170"/>
      <c r="AP4" s="170"/>
      <c r="AQ4" s="170"/>
      <c r="AR4" s="170"/>
      <c r="AS4" s="170"/>
      <c r="AT4" s="170"/>
      <c r="AU4" s="170"/>
      <c r="AV4" s="170"/>
      <c r="AW4" s="170"/>
      <c r="AX4" s="170"/>
      <c r="AY4" s="170"/>
      <c r="AZ4" s="170"/>
      <c r="BA4" s="170"/>
      <c r="BB4" s="170"/>
      <c r="BC4" s="170"/>
      <c r="BD4" s="170"/>
      <c r="BE4" s="170"/>
      <c r="BF4" s="170"/>
      <c r="BG4" s="170"/>
      <c r="BH4" s="170"/>
      <c r="BI4" s="170"/>
      <c r="BJ4" s="170"/>
      <c r="BK4" s="170"/>
      <c r="BL4" s="170"/>
      <c r="BM4" s="170"/>
      <c r="BN4" s="170"/>
      <c r="BO4" s="170"/>
      <c r="BP4" s="170"/>
      <c r="BQ4" s="170"/>
      <c r="BR4" s="170"/>
      <c r="BS4" s="170"/>
    </row>
    <row r="5" spans="1:71" ht="16.2">
      <c r="A5" s="172">
        <v>2</v>
      </c>
      <c r="B5" s="1200"/>
      <c r="C5" s="1200"/>
      <c r="D5" s="2242" t="str">
        <f t="shared" ref="D5:D33" si="0">IF(ISBLANK(C5)," ",IF(C5="I",(B5*150),IF(C5="II",((B5+1)*75),(IF(C5="III",(((B5)+1)*38)+66)))))</f>
        <v xml:space="preserve"> </v>
      </c>
      <c r="E5" s="1201"/>
      <c r="F5" s="696" t="str">
        <f t="shared" ref="F5:F33" si="1">IF(ISBLANK(B5),"",D5*E5)</f>
        <v/>
      </c>
      <c r="G5" s="170"/>
      <c r="L5" s="3940"/>
      <c r="M5" s="3939"/>
      <c r="Q5" s="170"/>
      <c r="R5" s="2241"/>
      <c r="T5" s="2240"/>
      <c r="AA5" s="171"/>
      <c r="AB5" s="170"/>
      <c r="AC5" s="170"/>
      <c r="AD5" s="173"/>
      <c r="AE5" s="173"/>
      <c r="AF5" s="173"/>
      <c r="AG5" s="173"/>
      <c r="AH5" s="173"/>
      <c r="AI5" s="173"/>
      <c r="AJ5" s="171"/>
      <c r="AK5" s="170"/>
      <c r="AL5" s="170"/>
      <c r="AM5" s="170"/>
      <c r="AN5" s="170"/>
      <c r="AO5" s="170"/>
      <c r="AP5" s="170"/>
      <c r="AQ5" s="170"/>
      <c r="AR5" s="170"/>
      <c r="AS5" s="170"/>
      <c r="AT5" s="170"/>
      <c r="AU5" s="170"/>
      <c r="AV5" s="170"/>
      <c r="AW5" s="170"/>
      <c r="AX5" s="170"/>
      <c r="AY5" s="170"/>
      <c r="AZ5" s="170"/>
      <c r="BA5" s="170"/>
      <c r="BB5" s="170"/>
      <c r="BC5" s="170"/>
      <c r="BD5" s="170"/>
      <c r="BE5" s="170"/>
      <c r="BF5" s="170"/>
      <c r="BG5" s="170"/>
      <c r="BH5" s="170"/>
      <c r="BI5" s="170"/>
      <c r="BJ5" s="170"/>
      <c r="BK5" s="170"/>
      <c r="BL5" s="170"/>
      <c r="BM5" s="170"/>
      <c r="BN5" s="170"/>
      <c r="BO5" s="170"/>
      <c r="BP5" s="170"/>
      <c r="BQ5" s="170"/>
      <c r="BR5" s="170"/>
      <c r="BS5" s="170"/>
    </row>
    <row r="6" spans="1:71" ht="16.2">
      <c r="A6" s="172">
        <v>3</v>
      </c>
      <c r="B6" s="1200"/>
      <c r="C6" s="1200"/>
      <c r="D6" s="2242" t="str">
        <f t="shared" si="0"/>
        <v xml:space="preserve"> </v>
      </c>
      <c r="E6" s="1201"/>
      <c r="F6" s="696" t="str">
        <f t="shared" si="1"/>
        <v/>
      </c>
      <c r="G6" s="170"/>
      <c r="L6" s="2247" t="s">
        <v>366</v>
      </c>
      <c r="M6" s="2248">
        <v>150</v>
      </c>
      <c r="Q6" s="170"/>
      <c r="R6" s="2241"/>
      <c r="AA6" s="170"/>
      <c r="AB6" s="170"/>
      <c r="AC6" s="170"/>
      <c r="AD6" s="173"/>
      <c r="AE6" s="173"/>
      <c r="AF6" s="173"/>
      <c r="AG6" s="173"/>
      <c r="AH6" s="173"/>
      <c r="AI6" s="174"/>
      <c r="AJ6" s="171"/>
      <c r="AK6" s="170"/>
      <c r="AL6" s="170"/>
      <c r="AM6" s="170"/>
      <c r="AN6" s="170"/>
      <c r="AO6" s="170"/>
      <c r="AP6" s="170"/>
      <c r="AQ6" s="170"/>
      <c r="AR6" s="170"/>
      <c r="AS6" s="170"/>
      <c r="AT6" s="170"/>
      <c r="AU6" s="170"/>
      <c r="AV6" s="170"/>
      <c r="AW6" s="170"/>
      <c r="AX6" s="170"/>
      <c r="AY6" s="170"/>
      <c r="AZ6" s="170"/>
      <c r="BA6" s="170"/>
      <c r="BB6" s="170"/>
      <c r="BC6" s="170"/>
      <c r="BD6" s="170"/>
      <c r="BE6" s="170"/>
      <c r="BF6" s="170"/>
      <c r="BG6" s="170"/>
      <c r="BH6" s="170"/>
      <c r="BI6" s="170"/>
      <c r="BJ6" s="170"/>
      <c r="BK6" s="170"/>
      <c r="BL6" s="170"/>
      <c r="BM6" s="170"/>
      <c r="BN6" s="170"/>
      <c r="BO6" s="170"/>
      <c r="BP6" s="170"/>
      <c r="BQ6" s="170"/>
      <c r="BR6" s="170"/>
      <c r="BS6" s="170"/>
    </row>
    <row r="7" spans="1:71" ht="16.2">
      <c r="A7" s="172">
        <v>4</v>
      </c>
      <c r="B7" s="1200"/>
      <c r="C7" s="1200"/>
      <c r="D7" s="2242" t="str">
        <f t="shared" si="0"/>
        <v xml:space="preserve"> </v>
      </c>
      <c r="E7" s="1201"/>
      <c r="F7" s="696" t="str">
        <f t="shared" si="1"/>
        <v/>
      </c>
      <c r="G7" s="170"/>
      <c r="L7" s="2247" t="s">
        <v>367</v>
      </c>
      <c r="M7" s="2247" t="s">
        <v>1979</v>
      </c>
      <c r="Q7" s="170"/>
      <c r="AA7" s="170"/>
      <c r="AB7" s="170"/>
      <c r="AC7" s="170"/>
      <c r="AD7" s="173"/>
      <c r="AE7" s="173"/>
      <c r="AF7" s="173"/>
      <c r="AG7" s="173"/>
      <c r="AH7" s="173"/>
      <c r="AI7" s="173"/>
      <c r="AJ7" s="171"/>
      <c r="AK7" s="170"/>
      <c r="AL7" s="170"/>
      <c r="AM7" s="170"/>
      <c r="AN7" s="170"/>
      <c r="AO7" s="170"/>
      <c r="AP7" s="170"/>
      <c r="AQ7" s="170"/>
      <c r="AR7" s="170"/>
      <c r="AS7" s="170"/>
      <c r="AT7" s="170"/>
      <c r="AU7" s="170"/>
      <c r="AV7" s="170"/>
      <c r="AW7" s="170"/>
      <c r="AX7" s="170"/>
      <c r="AY7" s="170"/>
      <c r="AZ7" s="170"/>
      <c r="BA7" s="170"/>
      <c r="BB7" s="170"/>
      <c r="BC7" s="170"/>
      <c r="BD7" s="170"/>
      <c r="BE7" s="170"/>
      <c r="BF7" s="170"/>
      <c r="BG7" s="170"/>
      <c r="BH7" s="170"/>
      <c r="BI7" s="170"/>
      <c r="BJ7" s="170"/>
      <c r="BK7" s="170"/>
      <c r="BL7" s="170"/>
      <c r="BM7" s="170"/>
      <c r="BN7" s="170"/>
      <c r="BO7" s="170"/>
      <c r="BP7" s="170"/>
      <c r="BQ7" s="170"/>
      <c r="BR7" s="170"/>
      <c r="BS7" s="170"/>
    </row>
    <row r="8" spans="1:71" ht="16.2">
      <c r="A8" s="172">
        <v>5</v>
      </c>
      <c r="B8" s="1200"/>
      <c r="C8" s="1200"/>
      <c r="D8" s="2242" t="str">
        <f t="shared" si="0"/>
        <v xml:space="preserve"> </v>
      </c>
      <c r="E8" s="1201"/>
      <c r="F8" s="696" t="str">
        <f t="shared" si="1"/>
        <v/>
      </c>
      <c r="G8" s="170"/>
      <c r="L8" s="2247" t="s">
        <v>368</v>
      </c>
      <c r="M8" s="2247" t="s">
        <v>1976</v>
      </c>
      <c r="Q8" s="170"/>
      <c r="Z8" s="170"/>
      <c r="AA8" s="170"/>
      <c r="AB8" s="170"/>
      <c r="AC8" s="173"/>
      <c r="AD8" s="173"/>
      <c r="AE8" s="173"/>
      <c r="AF8" s="173"/>
      <c r="AG8" s="173"/>
      <c r="AH8" s="173"/>
      <c r="AI8" s="170"/>
      <c r="AJ8" s="170"/>
      <c r="AK8" s="170"/>
      <c r="AL8" s="170"/>
      <c r="AM8" s="170"/>
      <c r="AN8" s="170"/>
      <c r="AO8" s="170"/>
      <c r="AP8" s="170"/>
      <c r="AQ8" s="170"/>
      <c r="AR8" s="170"/>
      <c r="AS8" s="170"/>
      <c r="AT8" s="170"/>
      <c r="AU8" s="170"/>
      <c r="AV8" s="170"/>
      <c r="AW8" s="170"/>
      <c r="AX8" s="170"/>
      <c r="AY8" s="170"/>
      <c r="AZ8" s="170"/>
      <c r="BA8" s="170"/>
      <c r="BB8" s="170"/>
      <c r="BC8" s="170"/>
      <c r="BD8" s="170"/>
      <c r="BE8" s="170"/>
      <c r="BF8" s="170"/>
      <c r="BG8" s="170"/>
      <c r="BH8" s="170"/>
      <c r="BI8" s="170"/>
      <c r="BJ8" s="170"/>
      <c r="BK8" s="170"/>
      <c r="BL8" s="170"/>
      <c r="BM8" s="170"/>
      <c r="BN8" s="170"/>
      <c r="BO8" s="170"/>
      <c r="BP8" s="170"/>
      <c r="BQ8" s="170"/>
      <c r="BR8" s="170"/>
    </row>
    <row r="9" spans="1:71" ht="16.2">
      <c r="A9" s="172">
        <v>6</v>
      </c>
      <c r="B9" s="1200"/>
      <c r="C9" s="1200"/>
      <c r="D9" s="2242" t="str">
        <f t="shared" si="0"/>
        <v xml:space="preserve"> </v>
      </c>
      <c r="E9" s="1201"/>
      <c r="F9" s="696" t="str">
        <f t="shared" si="1"/>
        <v/>
      </c>
      <c r="G9" s="170"/>
      <c r="L9" s="2247" t="s">
        <v>369</v>
      </c>
      <c r="M9" s="2249" t="s">
        <v>1977</v>
      </c>
      <c r="Q9" s="170"/>
      <c r="AA9" s="170"/>
      <c r="AB9" s="170"/>
      <c r="AC9" s="170"/>
      <c r="AD9" s="173"/>
      <c r="AE9" s="173"/>
      <c r="AF9" s="173"/>
      <c r="AG9" s="173"/>
      <c r="AH9" s="173"/>
      <c r="AI9" s="173"/>
      <c r="AJ9" s="170"/>
      <c r="AK9" s="170"/>
      <c r="AL9" s="170"/>
      <c r="AM9" s="170"/>
      <c r="AN9" s="170"/>
      <c r="AO9" s="170"/>
      <c r="AP9" s="170"/>
      <c r="AQ9" s="170"/>
      <c r="AR9" s="170"/>
      <c r="AS9" s="170"/>
      <c r="AT9" s="170"/>
      <c r="AU9" s="170"/>
      <c r="AV9" s="170"/>
      <c r="AW9" s="170"/>
      <c r="AX9" s="170"/>
      <c r="AY9" s="170"/>
      <c r="AZ9" s="170"/>
      <c r="BA9" s="170"/>
      <c r="BB9" s="170"/>
      <c r="BC9" s="170"/>
      <c r="BD9" s="170"/>
      <c r="BE9" s="170"/>
      <c r="BF9" s="170"/>
      <c r="BG9" s="170"/>
      <c r="BH9" s="170"/>
      <c r="BI9" s="170"/>
      <c r="BJ9" s="170"/>
      <c r="BK9" s="170"/>
      <c r="BL9" s="170"/>
      <c r="BM9" s="170"/>
      <c r="BN9" s="170"/>
      <c r="BO9" s="170"/>
      <c r="BP9" s="170"/>
      <c r="BQ9" s="170"/>
      <c r="BR9" s="170"/>
      <c r="BS9" s="170"/>
    </row>
    <row r="10" spans="1:71" ht="16.2">
      <c r="A10" s="172">
        <v>7</v>
      </c>
      <c r="B10" s="1200"/>
      <c r="C10" s="1200"/>
      <c r="D10" s="2242" t="str">
        <f t="shared" si="0"/>
        <v xml:space="preserve"> </v>
      </c>
      <c r="E10" s="1201"/>
      <c r="F10" s="696" t="str">
        <f t="shared" si="1"/>
        <v/>
      </c>
      <c r="G10" s="170"/>
      <c r="Q10" s="170"/>
      <c r="AA10" s="170"/>
      <c r="AB10" s="170"/>
      <c r="AC10" s="170"/>
      <c r="AD10" s="173"/>
      <c r="AE10" s="173"/>
      <c r="AF10" s="173"/>
      <c r="AG10" s="173"/>
      <c r="AH10" s="173"/>
      <c r="AI10" s="173"/>
      <c r="AJ10" s="170"/>
      <c r="AK10" s="170"/>
      <c r="AL10" s="170"/>
      <c r="AM10" s="170"/>
      <c r="AN10" s="170"/>
      <c r="AO10" s="170"/>
      <c r="AP10" s="170"/>
      <c r="AQ10" s="170"/>
      <c r="AR10" s="170"/>
      <c r="AS10" s="170"/>
      <c r="AT10" s="170"/>
      <c r="AU10" s="170"/>
      <c r="AV10" s="170"/>
      <c r="AW10" s="170"/>
      <c r="AX10" s="170"/>
      <c r="AY10" s="170"/>
      <c r="AZ10" s="170"/>
      <c r="BA10" s="170"/>
      <c r="BB10" s="170"/>
      <c r="BC10" s="170"/>
      <c r="BD10" s="170"/>
      <c r="BE10" s="170"/>
      <c r="BF10" s="170"/>
      <c r="BG10" s="170"/>
      <c r="BH10" s="170"/>
      <c r="BI10" s="170"/>
      <c r="BJ10" s="170"/>
      <c r="BK10" s="170"/>
      <c r="BL10" s="170"/>
      <c r="BM10" s="170"/>
      <c r="BN10" s="170"/>
      <c r="BO10" s="170"/>
      <c r="BP10" s="170"/>
      <c r="BQ10" s="170"/>
      <c r="BR10" s="170"/>
      <c r="BS10" s="170"/>
    </row>
    <row r="11" spans="1:71" ht="16.2">
      <c r="A11" s="172">
        <v>8</v>
      </c>
      <c r="B11" s="1200"/>
      <c r="C11" s="1200"/>
      <c r="D11" s="2242" t="str">
        <f t="shared" si="0"/>
        <v xml:space="preserve"> </v>
      </c>
      <c r="E11" s="1201"/>
      <c r="F11" s="696" t="str">
        <f t="shared" si="1"/>
        <v/>
      </c>
      <c r="G11" s="170"/>
      <c r="Q11" s="170"/>
      <c r="AA11" s="170"/>
      <c r="AB11" s="170"/>
      <c r="AC11" s="170"/>
      <c r="AD11" s="173"/>
      <c r="AE11" s="173"/>
      <c r="AF11" s="173"/>
      <c r="AG11" s="173"/>
      <c r="AH11" s="173"/>
      <c r="AI11" s="173"/>
      <c r="AJ11" s="170"/>
      <c r="AK11" s="170"/>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170"/>
      <c r="BL11" s="170"/>
      <c r="BM11" s="170"/>
      <c r="BN11" s="170"/>
      <c r="BO11" s="170"/>
      <c r="BP11" s="170"/>
      <c r="BQ11" s="170"/>
      <c r="BR11" s="170"/>
      <c r="BS11" s="170"/>
    </row>
    <row r="12" spans="1:71" ht="16.2">
      <c r="A12" s="172">
        <v>9</v>
      </c>
      <c r="B12" s="1200"/>
      <c r="C12" s="1200"/>
      <c r="D12" s="2242" t="str">
        <f t="shared" si="0"/>
        <v xml:space="preserve"> </v>
      </c>
      <c r="E12" s="1201"/>
      <c r="F12" s="696" t="str">
        <f t="shared" si="1"/>
        <v/>
      </c>
      <c r="G12" s="170"/>
      <c r="Q12" s="170"/>
      <c r="AA12" s="170"/>
      <c r="AB12" s="170"/>
      <c r="AC12" s="170"/>
      <c r="AD12" s="173"/>
      <c r="AE12" s="173"/>
      <c r="AF12" s="173"/>
      <c r="AG12" s="173"/>
      <c r="AH12" s="173"/>
      <c r="AI12" s="173"/>
      <c r="AJ12" s="170"/>
      <c r="AK12" s="170"/>
      <c r="AL12" s="170"/>
      <c r="AM12" s="170"/>
      <c r="AN12" s="170"/>
      <c r="AO12" s="170"/>
      <c r="AP12" s="170"/>
      <c r="AQ12" s="170"/>
      <c r="AR12" s="170"/>
      <c r="AS12" s="170"/>
      <c r="AT12" s="170"/>
      <c r="AU12" s="170"/>
      <c r="AV12" s="170"/>
      <c r="AW12" s="170"/>
      <c r="AX12" s="170"/>
      <c r="AY12" s="170"/>
      <c r="AZ12" s="170"/>
      <c r="BA12" s="170"/>
      <c r="BB12" s="170"/>
      <c r="BC12" s="170"/>
      <c r="BD12" s="170"/>
      <c r="BE12" s="170"/>
      <c r="BF12" s="170"/>
      <c r="BG12" s="170"/>
      <c r="BH12" s="170"/>
      <c r="BI12" s="170"/>
      <c r="BJ12" s="170"/>
      <c r="BK12" s="170"/>
      <c r="BL12" s="170"/>
      <c r="BM12" s="170"/>
      <c r="BN12" s="170"/>
      <c r="BO12" s="170"/>
      <c r="BP12" s="170"/>
      <c r="BQ12" s="170"/>
      <c r="BR12" s="170"/>
      <c r="BS12" s="170"/>
    </row>
    <row r="13" spans="1:71" ht="16.2">
      <c r="A13" s="172">
        <v>10</v>
      </c>
      <c r="B13" s="1200"/>
      <c r="C13" s="1200"/>
      <c r="D13" s="2242" t="str">
        <f t="shared" si="0"/>
        <v xml:space="preserve"> </v>
      </c>
      <c r="E13" s="1201"/>
      <c r="F13" s="696" t="str">
        <f t="shared" si="1"/>
        <v/>
      </c>
      <c r="G13" s="170"/>
      <c r="Q13" s="170"/>
      <c r="AA13" s="170"/>
      <c r="AB13" s="170"/>
      <c r="AC13" s="170"/>
      <c r="AD13" s="173"/>
      <c r="AE13" s="173"/>
      <c r="AF13" s="173"/>
      <c r="AG13" s="173"/>
      <c r="AH13" s="173"/>
      <c r="AI13" s="174"/>
      <c r="AJ13" s="170"/>
      <c r="AK13" s="170"/>
      <c r="AL13" s="170"/>
      <c r="AM13" s="170"/>
      <c r="AN13" s="170"/>
      <c r="AO13" s="170"/>
      <c r="AP13" s="170"/>
      <c r="AQ13" s="170"/>
      <c r="AR13" s="170"/>
      <c r="AS13" s="170"/>
      <c r="AT13" s="170"/>
      <c r="AU13" s="170"/>
      <c r="AV13" s="170"/>
      <c r="AW13" s="170"/>
      <c r="AX13" s="170"/>
      <c r="AY13" s="170"/>
      <c r="AZ13" s="170"/>
      <c r="BA13" s="170"/>
      <c r="BB13" s="170"/>
      <c r="BC13" s="170"/>
      <c r="BD13" s="170"/>
      <c r="BE13" s="170"/>
      <c r="BF13" s="170"/>
      <c r="BG13" s="170"/>
      <c r="BH13" s="170"/>
      <c r="BI13" s="170"/>
      <c r="BJ13" s="170"/>
      <c r="BK13" s="170"/>
      <c r="BL13" s="170"/>
      <c r="BM13" s="170"/>
      <c r="BN13" s="170"/>
      <c r="BO13" s="170"/>
      <c r="BP13" s="170"/>
      <c r="BQ13" s="170"/>
      <c r="BR13" s="170"/>
      <c r="BS13" s="170"/>
    </row>
    <row r="14" spans="1:71" ht="16.2">
      <c r="A14" s="172">
        <v>11</v>
      </c>
      <c r="B14" s="1200"/>
      <c r="C14" s="1200"/>
      <c r="D14" s="2242" t="str">
        <f t="shared" si="0"/>
        <v xml:space="preserve"> </v>
      </c>
      <c r="E14" s="1201"/>
      <c r="F14" s="696" t="str">
        <f t="shared" si="1"/>
        <v/>
      </c>
      <c r="G14" s="170"/>
      <c r="Q14" s="170"/>
      <c r="AA14" s="170"/>
      <c r="AB14" s="170"/>
      <c r="AC14" s="170"/>
      <c r="AD14" s="173"/>
      <c r="AE14" s="173"/>
      <c r="AF14" s="173"/>
      <c r="AG14" s="173"/>
      <c r="AH14" s="173"/>
      <c r="AI14" s="173"/>
      <c r="AJ14" s="170"/>
      <c r="AK14" s="170"/>
      <c r="AL14" s="170"/>
      <c r="AM14" s="170"/>
      <c r="AN14" s="170"/>
      <c r="AO14" s="170"/>
      <c r="AP14" s="170"/>
      <c r="AQ14" s="170"/>
      <c r="AR14" s="170"/>
      <c r="AS14" s="170"/>
      <c r="AT14" s="170"/>
      <c r="AU14" s="170"/>
      <c r="AV14" s="170"/>
      <c r="AW14" s="170"/>
      <c r="AX14" s="170"/>
      <c r="AY14" s="170"/>
      <c r="AZ14" s="170"/>
      <c r="BA14" s="170"/>
      <c r="BB14" s="170"/>
      <c r="BC14" s="170"/>
      <c r="BD14" s="170"/>
      <c r="BE14" s="170"/>
      <c r="BF14" s="170"/>
      <c r="BG14" s="170"/>
      <c r="BH14" s="170"/>
      <c r="BI14" s="170"/>
      <c r="BJ14" s="170"/>
      <c r="BK14" s="170"/>
      <c r="BL14" s="170"/>
      <c r="BM14" s="170"/>
      <c r="BN14" s="170"/>
      <c r="BO14" s="170"/>
      <c r="BP14" s="170"/>
      <c r="BQ14" s="170"/>
      <c r="BR14" s="170"/>
      <c r="BS14" s="170"/>
    </row>
    <row r="15" spans="1:71" ht="16.2">
      <c r="A15" s="172">
        <v>12</v>
      </c>
      <c r="B15" s="1200"/>
      <c r="C15" s="1200"/>
      <c r="D15" s="2242" t="str">
        <f t="shared" si="0"/>
        <v xml:space="preserve"> </v>
      </c>
      <c r="E15" s="1201"/>
      <c r="F15" s="696" t="str">
        <f t="shared" si="1"/>
        <v/>
      </c>
      <c r="G15" s="170"/>
      <c r="Q15" s="170"/>
      <c r="AA15" s="170"/>
      <c r="AB15" s="170"/>
      <c r="AC15" s="170"/>
      <c r="AD15" s="173"/>
      <c r="AE15" s="173"/>
      <c r="AF15" s="173"/>
      <c r="AG15" s="173"/>
      <c r="AH15" s="173"/>
      <c r="AI15" s="173"/>
      <c r="AJ15" s="170"/>
      <c r="AK15" s="170"/>
      <c r="AL15" s="170"/>
      <c r="AM15" s="170"/>
      <c r="AN15" s="170"/>
      <c r="AO15" s="170"/>
      <c r="AP15" s="170"/>
      <c r="AQ15" s="170"/>
      <c r="AR15" s="170"/>
      <c r="AS15" s="170"/>
      <c r="AT15" s="170"/>
      <c r="AU15" s="170"/>
      <c r="AV15" s="170"/>
      <c r="AW15" s="170"/>
      <c r="AX15" s="170"/>
      <c r="AY15" s="170"/>
      <c r="AZ15" s="170"/>
      <c r="BA15" s="170"/>
      <c r="BB15" s="170"/>
      <c r="BC15" s="170"/>
      <c r="BD15" s="170"/>
      <c r="BE15" s="170"/>
      <c r="BF15" s="170"/>
      <c r="BG15" s="170"/>
      <c r="BH15" s="170"/>
      <c r="BI15" s="170"/>
      <c r="BJ15" s="170"/>
      <c r="BK15" s="170"/>
      <c r="BL15" s="170"/>
      <c r="BM15" s="170"/>
      <c r="BN15" s="170"/>
      <c r="BO15" s="170"/>
      <c r="BP15" s="170"/>
      <c r="BQ15" s="170"/>
      <c r="BR15" s="170"/>
      <c r="BS15" s="170"/>
    </row>
    <row r="16" spans="1:71" ht="16.2">
      <c r="A16" s="172">
        <v>13</v>
      </c>
      <c r="B16" s="1200"/>
      <c r="C16" s="1200"/>
      <c r="D16" s="2242" t="str">
        <f t="shared" si="0"/>
        <v xml:space="preserve"> </v>
      </c>
      <c r="E16" s="1201"/>
      <c r="F16" s="696" t="str">
        <f t="shared" si="1"/>
        <v/>
      </c>
      <c r="G16" s="170"/>
      <c r="Q16" s="170"/>
      <c r="AA16" s="170"/>
      <c r="AB16" s="170"/>
      <c r="AC16" s="170"/>
      <c r="AD16" s="173"/>
      <c r="AE16" s="173"/>
      <c r="AF16" s="173"/>
      <c r="AG16" s="173"/>
      <c r="AH16" s="173"/>
      <c r="AI16" s="173"/>
      <c r="AJ16" s="170"/>
      <c r="AK16" s="170"/>
      <c r="AL16" s="170"/>
      <c r="AM16" s="170"/>
      <c r="AN16" s="170"/>
      <c r="AO16" s="170"/>
      <c r="AP16" s="170"/>
      <c r="AQ16" s="170"/>
      <c r="AR16" s="170"/>
      <c r="AS16" s="170"/>
      <c r="AT16" s="170"/>
      <c r="AU16" s="170"/>
      <c r="AV16" s="170"/>
      <c r="AW16" s="170"/>
      <c r="AX16" s="170"/>
      <c r="AY16" s="170"/>
      <c r="AZ16" s="170"/>
      <c r="BA16" s="170"/>
      <c r="BB16" s="170"/>
      <c r="BC16" s="170"/>
      <c r="BD16" s="170"/>
      <c r="BE16" s="170"/>
      <c r="BF16" s="170"/>
      <c r="BG16" s="170"/>
      <c r="BH16" s="170"/>
      <c r="BI16" s="170"/>
      <c r="BJ16" s="170"/>
      <c r="BK16" s="170"/>
      <c r="BL16" s="170"/>
      <c r="BM16" s="170"/>
      <c r="BN16" s="170"/>
      <c r="BO16" s="170"/>
      <c r="BP16" s="170"/>
      <c r="BQ16" s="170"/>
      <c r="BR16" s="170"/>
      <c r="BS16" s="170"/>
    </row>
    <row r="17" spans="1:71" ht="16.2">
      <c r="A17" s="172">
        <v>14</v>
      </c>
      <c r="B17" s="1200"/>
      <c r="C17" s="1200"/>
      <c r="D17" s="2242" t="str">
        <f t="shared" si="0"/>
        <v xml:space="preserve"> </v>
      </c>
      <c r="E17" s="1201"/>
      <c r="F17" s="696" t="str">
        <f t="shared" si="1"/>
        <v/>
      </c>
      <c r="G17" s="170"/>
      <c r="Q17" s="170"/>
      <c r="AA17" s="170"/>
      <c r="AB17" s="170"/>
      <c r="AC17" s="170"/>
      <c r="AD17" s="173"/>
      <c r="AE17" s="173"/>
      <c r="AF17" s="173"/>
      <c r="AG17" s="173"/>
      <c r="AH17" s="173"/>
      <c r="AI17" s="173"/>
      <c r="AJ17" s="170"/>
      <c r="AK17" s="170"/>
      <c r="AL17" s="170"/>
      <c r="AM17" s="170"/>
      <c r="AN17" s="170"/>
      <c r="AO17" s="170"/>
      <c r="AP17" s="170"/>
      <c r="AQ17" s="170"/>
      <c r="AR17" s="170"/>
      <c r="AS17" s="170"/>
      <c r="AT17" s="170"/>
      <c r="AU17" s="170"/>
      <c r="AV17" s="170"/>
      <c r="AW17" s="170"/>
      <c r="AX17" s="170"/>
      <c r="AY17" s="170"/>
      <c r="AZ17" s="170"/>
      <c r="BA17" s="170"/>
      <c r="BB17" s="170"/>
      <c r="BC17" s="170"/>
      <c r="BD17" s="170"/>
      <c r="BE17" s="170"/>
      <c r="BF17" s="170"/>
      <c r="BG17" s="170"/>
      <c r="BH17" s="170"/>
      <c r="BI17" s="170"/>
      <c r="BJ17" s="170"/>
      <c r="BK17" s="170"/>
      <c r="BL17" s="170"/>
      <c r="BM17" s="170"/>
      <c r="BN17" s="170"/>
      <c r="BO17" s="170"/>
      <c r="BP17" s="170"/>
      <c r="BQ17" s="170"/>
      <c r="BR17" s="170"/>
      <c r="BS17" s="170"/>
    </row>
    <row r="18" spans="1:71" ht="16.2">
      <c r="A18" s="172">
        <v>15</v>
      </c>
      <c r="B18" s="1200"/>
      <c r="C18" s="1200"/>
      <c r="D18" s="2242" t="str">
        <f t="shared" si="0"/>
        <v xml:space="preserve"> </v>
      </c>
      <c r="E18" s="1201"/>
      <c r="F18" s="696" t="str">
        <f t="shared" si="1"/>
        <v/>
      </c>
      <c r="G18" s="170"/>
      <c r="Q18" s="170"/>
      <c r="AA18" s="170"/>
      <c r="AB18" s="170"/>
      <c r="AC18" s="170"/>
      <c r="AD18" s="173"/>
      <c r="AE18" s="173"/>
      <c r="AF18" s="173"/>
      <c r="AG18" s="173"/>
      <c r="AH18" s="173"/>
      <c r="AI18" s="173"/>
      <c r="AJ18" s="170"/>
      <c r="AK18" s="170"/>
      <c r="AL18" s="170"/>
      <c r="AM18" s="170"/>
      <c r="AN18" s="170"/>
      <c r="AO18" s="170"/>
      <c r="AP18" s="170"/>
      <c r="AQ18" s="170"/>
      <c r="AR18" s="170"/>
      <c r="AS18" s="170"/>
      <c r="AT18" s="170"/>
      <c r="AU18" s="170"/>
      <c r="AV18" s="170"/>
      <c r="AW18" s="170"/>
      <c r="AX18" s="170"/>
      <c r="AY18" s="170"/>
      <c r="AZ18" s="170"/>
      <c r="BA18" s="170"/>
      <c r="BB18" s="170"/>
      <c r="BC18" s="170"/>
      <c r="BD18" s="170"/>
      <c r="BE18" s="170"/>
      <c r="BF18" s="170"/>
      <c r="BG18" s="170"/>
      <c r="BH18" s="170"/>
      <c r="BI18" s="170"/>
      <c r="BJ18" s="170"/>
      <c r="BK18" s="170"/>
      <c r="BL18" s="170"/>
      <c r="BM18" s="170"/>
      <c r="BN18" s="170"/>
      <c r="BO18" s="170"/>
      <c r="BP18" s="170"/>
      <c r="BQ18" s="170"/>
      <c r="BR18" s="170"/>
      <c r="BS18" s="170"/>
    </row>
    <row r="19" spans="1:71" ht="16.2">
      <c r="A19" s="172">
        <v>16</v>
      </c>
      <c r="B19" s="1200"/>
      <c r="C19" s="1200"/>
      <c r="D19" s="2242" t="str">
        <f t="shared" si="0"/>
        <v xml:space="preserve"> </v>
      </c>
      <c r="E19" s="1201"/>
      <c r="F19" s="696" t="str">
        <f t="shared" si="1"/>
        <v/>
      </c>
      <c r="G19" s="170"/>
      <c r="Q19" s="170"/>
      <c r="AA19" s="170"/>
      <c r="AB19" s="170"/>
      <c r="AC19" s="170"/>
      <c r="AD19" s="173"/>
      <c r="AE19" s="173"/>
      <c r="AF19" s="173"/>
      <c r="AG19" s="173"/>
      <c r="AH19" s="173"/>
      <c r="AI19" s="173"/>
      <c r="AJ19" s="170"/>
      <c r="AK19" s="170"/>
      <c r="AL19" s="170"/>
      <c r="AM19" s="170"/>
      <c r="AN19" s="170"/>
      <c r="AO19" s="170"/>
      <c r="AP19" s="170"/>
      <c r="AQ19" s="170"/>
      <c r="AR19" s="170"/>
      <c r="AS19" s="170"/>
      <c r="AT19" s="170"/>
      <c r="AU19" s="170"/>
      <c r="AV19" s="170"/>
      <c r="AW19" s="170"/>
      <c r="AX19" s="170"/>
      <c r="AY19" s="170"/>
      <c r="AZ19" s="170"/>
      <c r="BA19" s="170"/>
      <c r="BB19" s="170"/>
      <c r="BC19" s="170"/>
      <c r="BD19" s="170"/>
      <c r="BE19" s="170"/>
      <c r="BF19" s="170"/>
      <c r="BG19" s="170"/>
      <c r="BH19" s="170"/>
      <c r="BI19" s="170"/>
      <c r="BJ19" s="170"/>
      <c r="BK19" s="170"/>
      <c r="BL19" s="170"/>
      <c r="BM19" s="170"/>
      <c r="BN19" s="170"/>
      <c r="BO19" s="170"/>
      <c r="BP19" s="170"/>
      <c r="BQ19" s="170"/>
      <c r="BR19" s="170"/>
      <c r="BS19" s="170"/>
    </row>
    <row r="20" spans="1:71" ht="16.2">
      <c r="A20" s="172">
        <v>17</v>
      </c>
      <c r="B20" s="1200"/>
      <c r="C20" s="1200"/>
      <c r="D20" s="2242" t="str">
        <f t="shared" si="0"/>
        <v xml:space="preserve"> </v>
      </c>
      <c r="E20" s="1201"/>
      <c r="F20" s="696" t="str">
        <f t="shared" si="1"/>
        <v/>
      </c>
      <c r="G20" s="170"/>
      <c r="Q20" s="170"/>
      <c r="AA20" s="170"/>
      <c r="AB20" s="170"/>
      <c r="AC20" s="170"/>
      <c r="AD20" s="173"/>
      <c r="AE20" s="173"/>
      <c r="AF20" s="173"/>
      <c r="AG20" s="173"/>
      <c r="AH20" s="173"/>
      <c r="AI20" s="173"/>
      <c r="AJ20" s="170"/>
      <c r="AK20" s="170"/>
      <c r="AL20" s="170"/>
      <c r="AM20" s="170"/>
      <c r="AN20" s="170"/>
      <c r="AO20" s="170"/>
      <c r="AP20" s="170"/>
      <c r="AQ20" s="170"/>
      <c r="AR20" s="170"/>
      <c r="AS20" s="170"/>
      <c r="AT20" s="170"/>
      <c r="AU20" s="170"/>
      <c r="AV20" s="170"/>
      <c r="AW20" s="170"/>
      <c r="AX20" s="170"/>
      <c r="AY20" s="170"/>
      <c r="AZ20" s="170"/>
      <c r="BA20" s="170"/>
      <c r="BB20" s="170"/>
      <c r="BC20" s="170"/>
      <c r="BD20" s="170"/>
      <c r="BE20" s="170"/>
      <c r="BF20" s="170"/>
      <c r="BG20" s="170"/>
      <c r="BH20" s="170"/>
      <c r="BI20" s="170"/>
      <c r="BJ20" s="170"/>
      <c r="BK20" s="170"/>
      <c r="BL20" s="170"/>
      <c r="BM20" s="170"/>
      <c r="BN20" s="170"/>
      <c r="BO20" s="170"/>
      <c r="BP20" s="170"/>
      <c r="BQ20" s="170"/>
      <c r="BR20" s="170"/>
      <c r="BS20" s="170"/>
    </row>
    <row r="21" spans="1:71" ht="16.2">
      <c r="A21" s="172">
        <v>18</v>
      </c>
      <c r="B21" s="1200"/>
      <c r="C21" s="1200"/>
      <c r="D21" s="2242" t="str">
        <f t="shared" si="0"/>
        <v xml:space="preserve"> </v>
      </c>
      <c r="E21" s="1201"/>
      <c r="F21" s="696" t="str">
        <f t="shared" si="1"/>
        <v/>
      </c>
      <c r="G21" s="170"/>
      <c r="Q21" s="170"/>
      <c r="AA21" s="170"/>
      <c r="AB21" s="170"/>
      <c r="AC21" s="170"/>
      <c r="AD21" s="173"/>
      <c r="AE21" s="173"/>
      <c r="AF21" s="173"/>
      <c r="AG21" s="173"/>
      <c r="AH21" s="173"/>
      <c r="AI21" s="173"/>
      <c r="AJ21" s="170"/>
      <c r="AK21" s="170"/>
      <c r="AL21" s="170"/>
      <c r="AM21" s="170"/>
      <c r="AN21" s="170"/>
      <c r="AO21" s="170"/>
      <c r="AP21" s="170"/>
      <c r="AQ21" s="170"/>
      <c r="AR21" s="170"/>
      <c r="AS21" s="170"/>
      <c r="AT21" s="170"/>
      <c r="AU21" s="170"/>
      <c r="AV21" s="170"/>
      <c r="AW21" s="170"/>
      <c r="AX21" s="170"/>
      <c r="AY21" s="170"/>
      <c r="AZ21" s="170"/>
      <c r="BA21" s="170"/>
      <c r="BB21" s="170"/>
      <c r="BC21" s="170"/>
      <c r="BD21" s="170"/>
      <c r="BE21" s="170"/>
      <c r="BF21" s="170"/>
      <c r="BG21" s="170"/>
      <c r="BH21" s="170"/>
      <c r="BI21" s="170"/>
      <c r="BJ21" s="170"/>
      <c r="BK21" s="170"/>
      <c r="BL21" s="170"/>
      <c r="BM21" s="170"/>
      <c r="BN21" s="170"/>
      <c r="BO21" s="170"/>
      <c r="BP21" s="170"/>
      <c r="BQ21" s="170"/>
      <c r="BR21" s="170"/>
      <c r="BS21" s="170"/>
    </row>
    <row r="22" spans="1:71" ht="16.2">
      <c r="A22" s="172">
        <v>19</v>
      </c>
      <c r="B22" s="1200"/>
      <c r="C22" s="1200"/>
      <c r="D22" s="2242" t="str">
        <f t="shared" si="0"/>
        <v xml:space="preserve"> </v>
      </c>
      <c r="E22" s="1201"/>
      <c r="F22" s="696" t="str">
        <f t="shared" si="1"/>
        <v/>
      </c>
      <c r="G22" s="170"/>
      <c r="Q22" s="170"/>
      <c r="AA22" s="170"/>
      <c r="AB22" s="170"/>
      <c r="AC22" s="170"/>
      <c r="AD22" s="173"/>
      <c r="AE22" s="173"/>
      <c r="AF22" s="173"/>
      <c r="AG22" s="173"/>
      <c r="AH22" s="173"/>
      <c r="AI22" s="173"/>
      <c r="AJ22" s="170"/>
      <c r="AK22" s="170"/>
      <c r="AL22" s="170"/>
      <c r="AM22" s="170"/>
      <c r="AN22" s="170"/>
      <c r="AO22" s="170"/>
      <c r="AP22" s="170"/>
      <c r="AQ22" s="170"/>
      <c r="AR22" s="170"/>
      <c r="AS22" s="170"/>
      <c r="AT22" s="170"/>
      <c r="AU22" s="170"/>
      <c r="AV22" s="170"/>
      <c r="AW22" s="170"/>
      <c r="AX22" s="170"/>
      <c r="AY22" s="170"/>
      <c r="AZ22" s="170"/>
      <c r="BA22" s="170"/>
      <c r="BB22" s="170"/>
      <c r="BC22" s="170"/>
      <c r="BD22" s="170"/>
      <c r="BE22" s="170"/>
      <c r="BF22" s="170"/>
      <c r="BG22" s="170"/>
      <c r="BH22" s="170"/>
      <c r="BI22" s="170"/>
      <c r="BJ22" s="170"/>
      <c r="BK22" s="170"/>
      <c r="BL22" s="170"/>
      <c r="BM22" s="170"/>
      <c r="BN22" s="170"/>
      <c r="BO22" s="170"/>
      <c r="BP22" s="170"/>
      <c r="BQ22" s="170"/>
      <c r="BR22" s="170"/>
      <c r="BS22" s="170"/>
    </row>
    <row r="23" spans="1:71" ht="16.2">
      <c r="A23" s="172">
        <v>20</v>
      </c>
      <c r="B23" s="1200"/>
      <c r="C23" s="1200"/>
      <c r="D23" s="2242" t="str">
        <f t="shared" si="0"/>
        <v xml:space="preserve"> </v>
      </c>
      <c r="E23" s="1201"/>
      <c r="F23" s="696" t="str">
        <f t="shared" si="1"/>
        <v/>
      </c>
      <c r="G23" s="170"/>
      <c r="Q23" s="170"/>
      <c r="AA23" s="170"/>
      <c r="AB23" s="170"/>
      <c r="AC23" s="170"/>
      <c r="AD23" s="173"/>
      <c r="AE23" s="173"/>
      <c r="AF23" s="173"/>
      <c r="AG23" s="173"/>
      <c r="AH23" s="173"/>
      <c r="AI23" s="173"/>
      <c r="AJ23" s="170"/>
      <c r="AK23" s="170"/>
      <c r="AL23" s="170"/>
      <c r="AM23" s="170"/>
      <c r="AN23" s="170"/>
      <c r="AO23" s="170"/>
      <c r="AP23" s="170"/>
      <c r="AQ23" s="170"/>
      <c r="AR23" s="170"/>
      <c r="AS23" s="170"/>
      <c r="AT23" s="170"/>
      <c r="AU23" s="170"/>
      <c r="AV23" s="170"/>
      <c r="AW23" s="170"/>
      <c r="AX23" s="170"/>
      <c r="AY23" s="170"/>
      <c r="AZ23" s="170"/>
      <c r="BA23" s="170"/>
      <c r="BB23" s="170"/>
      <c r="BC23" s="170"/>
      <c r="BD23" s="170"/>
      <c r="BE23" s="170"/>
      <c r="BF23" s="170"/>
      <c r="BG23" s="170"/>
      <c r="BH23" s="170"/>
      <c r="BI23" s="170"/>
      <c r="BJ23" s="170"/>
      <c r="BK23" s="170"/>
      <c r="BL23" s="170"/>
      <c r="BM23" s="170"/>
      <c r="BN23" s="170"/>
      <c r="BO23" s="170"/>
      <c r="BP23" s="170"/>
      <c r="BQ23" s="170"/>
      <c r="BR23" s="170"/>
      <c r="BS23" s="170"/>
    </row>
    <row r="24" spans="1:71" ht="16.2">
      <c r="A24" s="172">
        <v>21</v>
      </c>
      <c r="B24" s="1200"/>
      <c r="C24" s="1200"/>
      <c r="D24" s="2242" t="str">
        <f t="shared" si="0"/>
        <v xml:space="preserve"> </v>
      </c>
      <c r="E24" s="1201"/>
      <c r="F24" s="696" t="str">
        <f t="shared" si="1"/>
        <v/>
      </c>
      <c r="G24" s="170"/>
      <c r="Q24" s="170"/>
      <c r="AA24" s="170"/>
      <c r="AB24" s="170"/>
      <c r="AC24" s="170"/>
      <c r="AD24" s="173"/>
      <c r="AE24" s="173"/>
      <c r="AF24" s="173"/>
      <c r="AG24" s="173"/>
      <c r="AH24" s="173"/>
      <c r="AI24" s="173"/>
      <c r="AJ24" s="170"/>
      <c r="AK24" s="170"/>
      <c r="AL24" s="170"/>
      <c r="AM24" s="170"/>
      <c r="AN24" s="170"/>
      <c r="AO24" s="170"/>
      <c r="AP24" s="170"/>
      <c r="AQ24" s="170"/>
      <c r="AR24" s="170"/>
      <c r="AS24" s="170"/>
      <c r="AT24" s="170"/>
      <c r="AU24" s="170"/>
      <c r="AV24" s="170"/>
      <c r="AW24" s="170"/>
      <c r="AX24" s="170"/>
      <c r="AY24" s="170"/>
      <c r="AZ24" s="170"/>
      <c r="BA24" s="170"/>
      <c r="BB24" s="170"/>
      <c r="BC24" s="170"/>
      <c r="BD24" s="170"/>
      <c r="BE24" s="170"/>
      <c r="BF24" s="170"/>
      <c r="BG24" s="170"/>
      <c r="BH24" s="170"/>
      <c r="BI24" s="170"/>
      <c r="BJ24" s="170"/>
      <c r="BK24" s="170"/>
      <c r="BL24" s="170"/>
      <c r="BM24" s="170"/>
      <c r="BN24" s="170"/>
      <c r="BO24" s="170"/>
      <c r="BP24" s="170"/>
      <c r="BQ24" s="170"/>
      <c r="BR24" s="170"/>
      <c r="BS24" s="170"/>
    </row>
    <row r="25" spans="1:71" ht="16.2">
      <c r="A25" s="172">
        <v>22</v>
      </c>
      <c r="B25" s="1200"/>
      <c r="C25" s="1200"/>
      <c r="D25" s="2242" t="str">
        <f t="shared" si="0"/>
        <v xml:space="preserve"> </v>
      </c>
      <c r="E25" s="1201"/>
      <c r="F25" s="696" t="str">
        <f t="shared" si="1"/>
        <v/>
      </c>
      <c r="G25" s="170"/>
      <c r="Q25" s="170"/>
      <c r="AA25" s="170"/>
      <c r="AB25" s="170"/>
      <c r="AC25" s="170"/>
      <c r="AD25" s="173"/>
      <c r="AE25" s="173"/>
      <c r="AF25" s="173"/>
      <c r="AG25" s="173"/>
      <c r="AH25" s="173"/>
      <c r="AI25" s="173"/>
      <c r="AJ25" s="170"/>
      <c r="AK25" s="170"/>
      <c r="AL25" s="170"/>
      <c r="AM25" s="170"/>
      <c r="AN25" s="170"/>
      <c r="AO25" s="170"/>
      <c r="AP25" s="170"/>
      <c r="AQ25" s="170"/>
      <c r="AR25" s="170"/>
      <c r="AS25" s="170"/>
      <c r="AT25" s="170"/>
      <c r="AU25" s="170"/>
      <c r="AV25" s="170"/>
      <c r="AW25" s="170"/>
      <c r="AX25" s="170"/>
      <c r="AY25" s="170"/>
      <c r="AZ25" s="170"/>
      <c r="BA25" s="170"/>
      <c r="BB25" s="170"/>
      <c r="BC25" s="170"/>
      <c r="BD25" s="170"/>
      <c r="BE25" s="170"/>
      <c r="BF25" s="170"/>
      <c r="BG25" s="170"/>
      <c r="BH25" s="170"/>
      <c r="BI25" s="170"/>
      <c r="BJ25" s="170"/>
      <c r="BK25" s="170"/>
      <c r="BL25" s="170"/>
      <c r="BM25" s="170"/>
      <c r="BN25" s="170"/>
      <c r="BO25" s="170"/>
      <c r="BP25" s="170"/>
      <c r="BQ25" s="170"/>
      <c r="BR25" s="170"/>
      <c r="BS25" s="170"/>
    </row>
    <row r="26" spans="1:71" ht="16.2">
      <c r="A26" s="172">
        <v>23</v>
      </c>
      <c r="B26" s="1200"/>
      <c r="C26" s="1200"/>
      <c r="D26" s="2242" t="str">
        <f t="shared" si="0"/>
        <v xml:space="preserve"> </v>
      </c>
      <c r="E26" s="1201"/>
      <c r="F26" s="696" t="str">
        <f t="shared" si="1"/>
        <v/>
      </c>
      <c r="G26" s="170"/>
      <c r="Q26" s="170"/>
      <c r="AA26" s="170"/>
      <c r="AB26" s="170"/>
      <c r="AC26" s="170"/>
      <c r="AD26" s="173"/>
      <c r="AE26" s="173"/>
      <c r="AF26" s="173"/>
      <c r="AG26" s="173"/>
      <c r="AH26" s="173"/>
      <c r="AI26" s="173"/>
      <c r="AJ26" s="170"/>
      <c r="AK26" s="170"/>
      <c r="AL26" s="170"/>
      <c r="AM26" s="170"/>
      <c r="AN26" s="170"/>
      <c r="AO26" s="170"/>
      <c r="AP26" s="170"/>
      <c r="AQ26" s="170"/>
      <c r="AR26" s="170"/>
      <c r="AS26" s="170"/>
      <c r="AT26" s="170"/>
      <c r="AU26" s="170"/>
      <c r="AV26" s="170"/>
      <c r="AW26" s="170"/>
      <c r="AX26" s="170"/>
      <c r="AY26" s="170"/>
      <c r="AZ26" s="170"/>
      <c r="BA26" s="170"/>
      <c r="BB26" s="170"/>
      <c r="BC26" s="170"/>
      <c r="BD26" s="170"/>
      <c r="BE26" s="170"/>
      <c r="BF26" s="170"/>
      <c r="BG26" s="170"/>
      <c r="BH26" s="170"/>
      <c r="BI26" s="170"/>
      <c r="BJ26" s="170"/>
      <c r="BK26" s="170"/>
      <c r="BL26" s="170"/>
      <c r="BM26" s="170"/>
      <c r="BN26" s="170"/>
      <c r="BO26" s="170"/>
      <c r="BP26" s="170"/>
      <c r="BQ26" s="170"/>
      <c r="BR26" s="170"/>
      <c r="BS26" s="170"/>
    </row>
    <row r="27" spans="1:71" ht="16.2">
      <c r="A27" s="172">
        <v>24</v>
      </c>
      <c r="B27" s="1200"/>
      <c r="C27" s="1200"/>
      <c r="D27" s="2242" t="str">
        <f t="shared" si="0"/>
        <v xml:space="preserve"> </v>
      </c>
      <c r="E27" s="1201"/>
      <c r="F27" s="696" t="str">
        <f t="shared" si="1"/>
        <v/>
      </c>
      <c r="G27" s="170"/>
      <c r="Q27" s="170"/>
      <c r="AA27" s="170"/>
      <c r="AB27" s="170"/>
      <c r="AC27" s="170"/>
      <c r="AD27" s="173"/>
      <c r="AE27" s="173"/>
      <c r="AF27" s="173"/>
      <c r="AG27" s="173"/>
      <c r="AH27" s="173"/>
      <c r="AI27" s="173"/>
      <c r="AJ27" s="170"/>
      <c r="AK27" s="170"/>
      <c r="AL27" s="170"/>
      <c r="AM27" s="170"/>
      <c r="AN27" s="170"/>
      <c r="AO27" s="170"/>
      <c r="AP27" s="170"/>
      <c r="AQ27" s="170"/>
      <c r="AR27" s="170"/>
      <c r="AS27" s="170"/>
      <c r="AT27" s="170"/>
      <c r="AU27" s="170"/>
      <c r="AV27" s="170"/>
      <c r="AW27" s="170"/>
      <c r="AX27" s="170"/>
      <c r="AY27" s="170"/>
      <c r="AZ27" s="170"/>
      <c r="BA27" s="170"/>
      <c r="BB27" s="170"/>
      <c r="BC27" s="170"/>
      <c r="BD27" s="170"/>
      <c r="BE27" s="170"/>
      <c r="BF27" s="170"/>
      <c r="BG27" s="170"/>
      <c r="BH27" s="170"/>
      <c r="BI27" s="170"/>
      <c r="BJ27" s="170"/>
      <c r="BK27" s="170"/>
      <c r="BL27" s="170"/>
      <c r="BM27" s="170"/>
      <c r="BN27" s="170"/>
      <c r="BO27" s="170"/>
      <c r="BP27" s="170"/>
      <c r="BQ27" s="170"/>
      <c r="BR27" s="170"/>
      <c r="BS27" s="170"/>
    </row>
    <row r="28" spans="1:71" ht="16.2">
      <c r="A28" s="172">
        <v>25</v>
      </c>
      <c r="B28" s="1200"/>
      <c r="C28" s="1200"/>
      <c r="D28" s="2242" t="str">
        <f t="shared" si="0"/>
        <v xml:space="preserve"> </v>
      </c>
      <c r="E28" s="1201"/>
      <c r="F28" s="696" t="str">
        <f t="shared" si="1"/>
        <v/>
      </c>
      <c r="G28" s="170"/>
      <c r="Q28" s="170"/>
      <c r="AA28" s="170"/>
      <c r="AB28" s="170"/>
      <c r="AC28" s="170"/>
      <c r="AD28" s="173"/>
      <c r="AE28" s="173"/>
      <c r="AF28" s="173"/>
      <c r="AG28" s="173"/>
      <c r="AH28" s="173"/>
      <c r="AI28" s="173"/>
      <c r="AJ28" s="170"/>
      <c r="AK28" s="170"/>
      <c r="AL28" s="170"/>
      <c r="AM28" s="170"/>
      <c r="AN28" s="170"/>
      <c r="AO28" s="170"/>
      <c r="AP28" s="170"/>
      <c r="AQ28" s="170"/>
      <c r="AR28" s="170"/>
      <c r="AS28" s="170"/>
      <c r="AT28" s="170"/>
      <c r="AU28" s="170"/>
      <c r="AV28" s="170"/>
      <c r="AW28" s="170"/>
      <c r="AX28" s="170"/>
      <c r="AY28" s="170"/>
      <c r="AZ28" s="170"/>
      <c r="BA28" s="170"/>
      <c r="BB28" s="170"/>
      <c r="BC28" s="170"/>
      <c r="BD28" s="170"/>
      <c r="BE28" s="170"/>
      <c r="BF28" s="170"/>
      <c r="BG28" s="170"/>
      <c r="BH28" s="170"/>
      <c r="BI28" s="170"/>
      <c r="BJ28" s="170"/>
      <c r="BK28" s="170"/>
      <c r="BL28" s="170"/>
      <c r="BM28" s="170"/>
      <c r="BN28" s="170"/>
      <c r="BO28" s="170"/>
      <c r="BP28" s="170"/>
      <c r="BQ28" s="170"/>
      <c r="BR28" s="170"/>
      <c r="BS28" s="170"/>
    </row>
    <row r="29" spans="1:71" ht="16.2">
      <c r="A29" s="172">
        <v>26</v>
      </c>
      <c r="B29" s="1200"/>
      <c r="C29" s="1200"/>
      <c r="D29" s="2242" t="str">
        <f t="shared" si="0"/>
        <v xml:space="preserve"> </v>
      </c>
      <c r="E29" s="1201"/>
      <c r="F29" s="696" t="str">
        <f t="shared" si="1"/>
        <v/>
      </c>
      <c r="G29" s="170"/>
      <c r="Q29" s="170"/>
      <c r="AA29" s="170"/>
      <c r="AB29" s="170"/>
      <c r="AC29" s="170"/>
      <c r="AD29" s="173"/>
      <c r="AE29" s="173"/>
      <c r="AF29" s="173"/>
      <c r="AG29" s="173"/>
      <c r="AH29" s="173"/>
      <c r="AI29" s="173"/>
      <c r="AJ29" s="170"/>
      <c r="AK29" s="170"/>
      <c r="AL29" s="170"/>
      <c r="AM29" s="170"/>
      <c r="AN29" s="170"/>
      <c r="AO29" s="170"/>
      <c r="AP29" s="170"/>
      <c r="AQ29" s="170"/>
      <c r="AR29" s="170"/>
      <c r="AS29" s="170"/>
      <c r="AT29" s="170"/>
      <c r="AU29" s="170"/>
      <c r="AV29" s="170"/>
      <c r="AW29" s="170"/>
      <c r="AX29" s="170"/>
      <c r="AY29" s="170"/>
      <c r="AZ29" s="170"/>
      <c r="BA29" s="170"/>
      <c r="BB29" s="170"/>
      <c r="BC29" s="170"/>
      <c r="BD29" s="170"/>
      <c r="BE29" s="170"/>
      <c r="BF29" s="170"/>
      <c r="BG29" s="170"/>
      <c r="BH29" s="170"/>
      <c r="BI29" s="170"/>
      <c r="BJ29" s="170"/>
      <c r="BK29" s="170"/>
      <c r="BL29" s="170"/>
      <c r="BM29" s="170"/>
      <c r="BN29" s="170"/>
      <c r="BO29" s="170"/>
      <c r="BP29" s="170"/>
      <c r="BQ29" s="170"/>
      <c r="BR29" s="170"/>
      <c r="BS29" s="170"/>
    </row>
    <row r="30" spans="1:71" ht="16.2">
      <c r="A30" s="172">
        <v>27</v>
      </c>
      <c r="B30" s="1200"/>
      <c r="C30" s="1200"/>
      <c r="D30" s="2242" t="str">
        <f t="shared" si="0"/>
        <v xml:space="preserve"> </v>
      </c>
      <c r="E30" s="1201"/>
      <c r="F30" s="696" t="str">
        <f t="shared" si="1"/>
        <v/>
      </c>
      <c r="G30" s="170"/>
      <c r="Q30" s="170"/>
      <c r="AA30" s="170"/>
      <c r="AB30" s="170"/>
      <c r="AC30" s="170"/>
      <c r="AD30" s="173"/>
      <c r="AE30" s="173"/>
      <c r="AF30" s="173"/>
      <c r="AG30" s="173"/>
      <c r="AH30" s="173"/>
      <c r="AI30" s="173"/>
      <c r="AJ30" s="170"/>
      <c r="AK30" s="170"/>
      <c r="AL30" s="170"/>
      <c r="AM30" s="170"/>
      <c r="AN30" s="170"/>
      <c r="AO30" s="170"/>
      <c r="AP30" s="170"/>
      <c r="AQ30" s="170"/>
      <c r="AR30" s="170"/>
      <c r="AS30" s="170"/>
      <c r="AT30" s="170"/>
      <c r="AU30" s="170"/>
      <c r="AV30" s="170"/>
      <c r="AW30" s="170"/>
      <c r="AX30" s="170"/>
      <c r="AY30" s="170"/>
      <c r="AZ30" s="170"/>
      <c r="BA30" s="170"/>
      <c r="BB30" s="170"/>
      <c r="BC30" s="170"/>
      <c r="BD30" s="170"/>
      <c r="BE30" s="170"/>
      <c r="BF30" s="170"/>
      <c r="BG30" s="170"/>
      <c r="BH30" s="170"/>
      <c r="BI30" s="170"/>
      <c r="BJ30" s="170"/>
      <c r="BK30" s="170"/>
      <c r="BL30" s="170"/>
      <c r="BM30" s="170"/>
      <c r="BN30" s="170"/>
      <c r="BO30" s="170"/>
      <c r="BP30" s="170"/>
      <c r="BQ30" s="170"/>
      <c r="BR30" s="170"/>
      <c r="BS30" s="170"/>
    </row>
    <row r="31" spans="1:71" ht="16.2">
      <c r="A31" s="172">
        <v>28</v>
      </c>
      <c r="B31" s="1200"/>
      <c r="C31" s="1200"/>
      <c r="D31" s="2242" t="str">
        <f t="shared" si="0"/>
        <v xml:space="preserve"> </v>
      </c>
      <c r="E31" s="1201"/>
      <c r="F31" s="696" t="str">
        <f t="shared" si="1"/>
        <v/>
      </c>
      <c r="G31" s="170"/>
      <c r="Q31" s="170"/>
      <c r="AA31" s="170"/>
      <c r="AB31" s="170"/>
      <c r="AC31" s="170"/>
      <c r="AD31" s="173"/>
      <c r="AE31" s="173"/>
      <c r="AF31" s="173"/>
      <c r="AG31" s="173"/>
      <c r="AH31" s="173"/>
      <c r="AI31" s="173"/>
      <c r="AJ31" s="170"/>
      <c r="AK31" s="170"/>
      <c r="AL31" s="170"/>
      <c r="AM31" s="170"/>
      <c r="AN31" s="170"/>
      <c r="AO31" s="170"/>
      <c r="AP31" s="170"/>
      <c r="AQ31" s="170"/>
      <c r="AR31" s="170"/>
      <c r="AS31" s="170"/>
      <c r="AT31" s="170"/>
      <c r="AU31" s="170"/>
      <c r="AV31" s="170"/>
      <c r="AW31" s="170"/>
      <c r="AX31" s="170"/>
      <c r="AY31" s="170"/>
      <c r="AZ31" s="170"/>
      <c r="BA31" s="170"/>
      <c r="BB31" s="170"/>
      <c r="BC31" s="170"/>
      <c r="BD31" s="170"/>
      <c r="BE31" s="170"/>
      <c r="BF31" s="170"/>
      <c r="BG31" s="170"/>
      <c r="BH31" s="170"/>
      <c r="BI31" s="170"/>
      <c r="BJ31" s="170"/>
      <c r="BK31" s="170"/>
      <c r="BL31" s="170"/>
      <c r="BM31" s="170"/>
      <c r="BN31" s="170"/>
      <c r="BO31" s="170"/>
      <c r="BP31" s="170"/>
      <c r="BQ31" s="170"/>
      <c r="BR31" s="170"/>
      <c r="BS31" s="170"/>
    </row>
    <row r="32" spans="1:71" ht="16.2">
      <c r="A32" s="172">
        <v>29</v>
      </c>
      <c r="B32" s="1200"/>
      <c r="C32" s="1200"/>
      <c r="D32" s="2242" t="str">
        <f t="shared" si="0"/>
        <v xml:space="preserve"> </v>
      </c>
      <c r="E32" s="1201"/>
      <c r="F32" s="696" t="str">
        <f t="shared" si="1"/>
        <v/>
      </c>
      <c r="G32" s="170"/>
      <c r="Q32" s="170"/>
      <c r="AA32" s="171"/>
      <c r="AB32" s="171"/>
      <c r="AC32" s="171"/>
      <c r="AD32" s="173"/>
      <c r="AE32" s="173"/>
      <c r="AF32" s="173"/>
      <c r="AG32" s="173"/>
      <c r="AH32" s="173"/>
      <c r="AI32" s="173"/>
      <c r="AJ32" s="170"/>
      <c r="AK32" s="170"/>
      <c r="AL32" s="170"/>
      <c r="AM32" s="170"/>
      <c r="AN32" s="170"/>
      <c r="AO32" s="170"/>
      <c r="AP32" s="170"/>
      <c r="AQ32" s="170"/>
      <c r="AR32" s="170"/>
      <c r="AS32" s="170"/>
      <c r="AT32" s="170"/>
      <c r="AU32" s="170"/>
      <c r="AV32" s="170"/>
      <c r="AW32" s="170"/>
      <c r="AX32" s="170"/>
      <c r="AY32" s="170"/>
      <c r="AZ32" s="170"/>
      <c r="BA32" s="170"/>
      <c r="BB32" s="170"/>
      <c r="BC32" s="170"/>
      <c r="BD32" s="170"/>
      <c r="BE32" s="170"/>
      <c r="BF32" s="170"/>
      <c r="BG32" s="170"/>
      <c r="BH32" s="170"/>
      <c r="BI32" s="170"/>
      <c r="BJ32" s="170"/>
      <c r="BK32" s="170"/>
      <c r="BL32" s="170"/>
      <c r="BM32" s="170"/>
      <c r="BN32" s="170"/>
      <c r="BO32" s="170"/>
      <c r="BP32" s="170"/>
      <c r="BQ32" s="170"/>
      <c r="BR32" s="170"/>
      <c r="BS32" s="170"/>
    </row>
    <row r="33" spans="1:71" ht="16.8" thickBot="1">
      <c r="A33" s="172">
        <v>30</v>
      </c>
      <c r="B33" s="1200"/>
      <c r="C33" s="1200"/>
      <c r="D33" s="2242" t="str">
        <f t="shared" si="0"/>
        <v xml:space="preserve"> </v>
      </c>
      <c r="E33" s="1201"/>
      <c r="F33" s="696" t="str">
        <f t="shared" si="1"/>
        <v/>
      </c>
      <c r="G33" s="170"/>
      <c r="Q33" s="170"/>
      <c r="AA33" s="171"/>
      <c r="AB33" s="171"/>
      <c r="AC33" s="171"/>
      <c r="AD33" s="173"/>
      <c r="AE33" s="173"/>
      <c r="AF33" s="173"/>
      <c r="AG33" s="173"/>
      <c r="AH33" s="173"/>
      <c r="AI33" s="173"/>
      <c r="AJ33" s="170"/>
      <c r="AK33" s="170"/>
      <c r="AL33" s="170"/>
      <c r="AM33" s="170"/>
      <c r="AN33" s="170"/>
      <c r="AO33" s="170"/>
      <c r="AP33" s="170"/>
      <c r="AQ33" s="170"/>
      <c r="AR33" s="170"/>
      <c r="AS33" s="170"/>
      <c r="AT33" s="170"/>
      <c r="AU33" s="170"/>
      <c r="AV33" s="170"/>
      <c r="AW33" s="170"/>
      <c r="AX33" s="170"/>
      <c r="AY33" s="170"/>
      <c r="AZ33" s="170"/>
      <c r="BA33" s="170"/>
      <c r="BB33" s="170"/>
      <c r="BC33" s="170"/>
      <c r="BD33" s="170"/>
      <c r="BE33" s="170"/>
      <c r="BF33" s="170"/>
      <c r="BG33" s="170"/>
      <c r="BH33" s="170"/>
      <c r="BI33" s="170"/>
      <c r="BJ33" s="170"/>
      <c r="BK33" s="170"/>
      <c r="BL33" s="170"/>
      <c r="BM33" s="170"/>
      <c r="BN33" s="170"/>
      <c r="BO33" s="170"/>
      <c r="BP33" s="170"/>
      <c r="BQ33" s="170"/>
      <c r="BR33" s="170"/>
      <c r="BS33" s="170"/>
    </row>
    <row r="34" spans="1:71" ht="14.4">
      <c r="A34" s="3948" t="s">
        <v>540</v>
      </c>
      <c r="B34" s="3948"/>
      <c r="C34" s="3948"/>
      <c r="D34" s="3948"/>
      <c r="E34" s="3949"/>
      <c r="F34" s="3945" t="str">
        <f>IF(ISBLANK(B4),"",SUM(F4:F33))</f>
        <v/>
      </c>
      <c r="G34" s="170"/>
      <c r="H34" s="170"/>
      <c r="I34" s="170"/>
      <c r="J34" s="170"/>
      <c r="K34" s="170"/>
      <c r="L34" s="2245"/>
      <c r="M34" s="2245"/>
      <c r="N34" s="170"/>
      <c r="O34" s="170"/>
      <c r="P34" s="170"/>
      <c r="Q34" s="170"/>
      <c r="R34" s="170"/>
      <c r="S34" s="170"/>
      <c r="T34" s="170"/>
      <c r="U34" s="170"/>
      <c r="V34" s="170"/>
      <c r="W34" s="170"/>
      <c r="X34" s="170"/>
      <c r="Y34" s="170"/>
      <c r="Z34" s="170"/>
      <c r="AA34" s="170"/>
      <c r="AB34" s="170"/>
      <c r="AC34" s="170"/>
      <c r="AD34" s="170"/>
      <c r="AE34" s="170"/>
      <c r="AF34" s="170"/>
      <c r="AG34" s="170"/>
      <c r="AH34" s="170"/>
      <c r="AI34" s="170"/>
      <c r="AJ34" s="170"/>
      <c r="AK34" s="170"/>
      <c r="AL34" s="170"/>
      <c r="AM34" s="170"/>
      <c r="AN34" s="170"/>
      <c r="AO34" s="170"/>
      <c r="AP34" s="170"/>
      <c r="AQ34" s="170"/>
      <c r="AR34" s="170"/>
      <c r="AS34" s="170"/>
      <c r="AT34" s="170"/>
      <c r="AU34" s="170"/>
      <c r="AV34" s="170"/>
      <c r="AW34" s="170"/>
      <c r="AX34" s="170"/>
      <c r="AY34" s="170"/>
      <c r="AZ34" s="170"/>
      <c r="BA34" s="170"/>
      <c r="BB34" s="170"/>
      <c r="BC34" s="170"/>
      <c r="BD34" s="170"/>
      <c r="BE34" s="170"/>
      <c r="BF34" s="170"/>
      <c r="BG34" s="170"/>
      <c r="BH34" s="170"/>
      <c r="BI34" s="170"/>
      <c r="BJ34" s="170"/>
      <c r="BK34" s="170"/>
      <c r="BL34" s="170"/>
      <c r="BM34" s="170"/>
      <c r="BN34" s="170"/>
      <c r="BO34" s="170"/>
      <c r="BP34" s="170"/>
      <c r="BQ34" s="170"/>
      <c r="BR34" s="170"/>
      <c r="BS34" s="170"/>
    </row>
    <row r="35" spans="1:71" ht="14.4">
      <c r="A35" s="3941" t="s">
        <v>1980</v>
      </c>
      <c r="B35" s="3942"/>
      <c r="C35" s="3942"/>
      <c r="D35" s="3942"/>
      <c r="E35" s="3942"/>
      <c r="F35" s="3946"/>
      <c r="G35" s="170"/>
      <c r="H35" s="170"/>
      <c r="I35" s="170"/>
      <c r="J35" s="170"/>
      <c r="K35" s="170"/>
      <c r="L35" s="2245"/>
      <c r="M35" s="2245"/>
      <c r="N35" s="170"/>
      <c r="O35" s="170"/>
      <c r="P35" s="170"/>
      <c r="Q35" s="170"/>
      <c r="R35" s="170"/>
      <c r="S35" s="170"/>
      <c r="T35" s="170"/>
      <c r="U35" s="170"/>
      <c r="V35" s="170"/>
      <c r="W35" s="170"/>
      <c r="X35" s="170"/>
      <c r="Y35" s="170"/>
      <c r="Z35" s="170"/>
      <c r="AA35" s="170"/>
      <c r="AB35" s="170"/>
      <c r="AC35" s="170"/>
      <c r="AD35" s="170"/>
      <c r="AE35" s="170"/>
      <c r="AF35" s="170"/>
      <c r="AG35" s="170"/>
      <c r="AH35" s="170"/>
      <c r="AI35" s="170"/>
      <c r="AJ35" s="170"/>
      <c r="AK35" s="170"/>
      <c r="AL35" s="170"/>
      <c r="AM35" s="170"/>
      <c r="AN35" s="170"/>
      <c r="AO35" s="170"/>
      <c r="AP35" s="170"/>
      <c r="AQ35" s="170"/>
      <c r="AR35" s="170"/>
      <c r="AS35" s="170"/>
      <c r="AT35" s="170"/>
      <c r="AU35" s="170"/>
      <c r="AV35" s="170"/>
      <c r="AW35" s="170"/>
      <c r="AX35" s="170"/>
      <c r="AY35" s="170"/>
      <c r="AZ35" s="170"/>
      <c r="BA35" s="170"/>
      <c r="BB35" s="170"/>
      <c r="BC35" s="170"/>
      <c r="BD35" s="170"/>
      <c r="BE35" s="170"/>
      <c r="BF35" s="170"/>
      <c r="BG35" s="170"/>
      <c r="BH35" s="170"/>
      <c r="BI35" s="170"/>
      <c r="BJ35" s="170"/>
      <c r="BK35" s="170"/>
      <c r="BL35" s="170"/>
      <c r="BM35" s="170"/>
      <c r="BN35" s="170"/>
      <c r="BO35" s="170"/>
      <c r="BP35" s="170"/>
      <c r="BQ35" s="170"/>
      <c r="BR35" s="170"/>
      <c r="BS35" s="170"/>
    </row>
    <row r="36" spans="1:71" ht="15" thickBot="1">
      <c r="A36" s="3943"/>
      <c r="B36" s="3944"/>
      <c r="C36" s="3944"/>
      <c r="D36" s="3944"/>
      <c r="E36" s="3944"/>
      <c r="F36" s="3947"/>
      <c r="G36" s="170"/>
      <c r="H36" s="170"/>
      <c r="I36" s="170"/>
      <c r="J36" s="170"/>
      <c r="K36" s="170"/>
      <c r="L36" s="2245"/>
      <c r="M36" s="2245"/>
      <c r="N36" s="170"/>
      <c r="O36" s="170"/>
      <c r="P36" s="170"/>
      <c r="Q36" s="170"/>
      <c r="R36" s="170"/>
      <c r="S36" s="170"/>
      <c r="T36" s="170"/>
      <c r="U36" s="170"/>
      <c r="V36" s="170"/>
      <c r="W36" s="170"/>
      <c r="X36" s="170"/>
      <c r="Y36" s="170"/>
      <c r="Z36" s="170"/>
      <c r="AA36" s="170"/>
      <c r="AB36" s="170"/>
      <c r="AC36" s="170"/>
      <c r="AD36" s="170"/>
      <c r="AE36" s="170"/>
      <c r="AF36" s="170"/>
      <c r="AG36" s="170"/>
      <c r="AH36" s="170"/>
      <c r="AI36" s="170"/>
      <c r="AJ36" s="170"/>
      <c r="AK36" s="170"/>
      <c r="AL36" s="170"/>
      <c r="AM36" s="170"/>
      <c r="AN36" s="170"/>
      <c r="AO36" s="170"/>
      <c r="AP36" s="170"/>
      <c r="AQ36" s="170"/>
      <c r="AR36" s="170"/>
      <c r="AS36" s="170"/>
      <c r="AT36" s="170"/>
      <c r="AU36" s="170"/>
      <c r="AV36" s="170"/>
      <c r="AW36" s="170"/>
      <c r="AX36" s="170"/>
      <c r="AY36" s="170"/>
      <c r="AZ36" s="170"/>
      <c r="BA36" s="170"/>
      <c r="BB36" s="170"/>
      <c r="BC36" s="170"/>
      <c r="BD36" s="170"/>
      <c r="BE36" s="170"/>
      <c r="BF36" s="170"/>
      <c r="BG36" s="170"/>
      <c r="BH36" s="170"/>
      <c r="BI36" s="170"/>
      <c r="BJ36" s="170"/>
      <c r="BK36" s="170"/>
      <c r="BL36" s="170"/>
      <c r="BM36" s="170"/>
      <c r="BN36" s="170"/>
      <c r="BO36" s="170"/>
      <c r="BP36" s="170"/>
      <c r="BQ36" s="170"/>
      <c r="BR36" s="170"/>
      <c r="BS36" s="170"/>
    </row>
    <row r="37" spans="1:71" ht="15">
      <c r="A37" s="175"/>
      <c r="B37" s="175"/>
      <c r="C37" s="175"/>
      <c r="D37" s="175"/>
      <c r="E37" s="175"/>
      <c r="F37" s="175"/>
      <c r="G37" s="170"/>
      <c r="H37" s="170"/>
      <c r="I37" s="170"/>
      <c r="J37" s="170"/>
      <c r="K37" s="170"/>
      <c r="L37" s="2245"/>
      <c r="M37" s="2245"/>
      <c r="N37" s="170"/>
      <c r="O37" s="170"/>
      <c r="P37" s="170"/>
      <c r="Q37" s="170"/>
      <c r="R37" s="170"/>
      <c r="S37" s="170"/>
      <c r="T37" s="170"/>
      <c r="U37" s="170"/>
      <c r="V37" s="170"/>
      <c r="W37" s="170"/>
      <c r="X37" s="170"/>
      <c r="Y37" s="170"/>
      <c r="Z37" s="170"/>
      <c r="AA37" s="170"/>
      <c r="AB37" s="170"/>
      <c r="AC37" s="170"/>
      <c r="AD37" s="170"/>
      <c r="AE37" s="170"/>
      <c r="AF37" s="170"/>
      <c r="AG37" s="170"/>
      <c r="AH37" s="170"/>
      <c r="AI37" s="170"/>
      <c r="AJ37" s="170"/>
      <c r="AK37" s="170"/>
      <c r="AL37" s="170"/>
      <c r="AM37" s="170"/>
      <c r="AN37" s="170"/>
      <c r="AO37" s="170"/>
      <c r="AP37" s="170"/>
      <c r="AQ37" s="170"/>
      <c r="AR37" s="170"/>
      <c r="AS37" s="170"/>
      <c r="AT37" s="170"/>
      <c r="AU37" s="170"/>
      <c r="AV37" s="170"/>
      <c r="AW37" s="170"/>
      <c r="AX37" s="170"/>
      <c r="AY37" s="170"/>
      <c r="AZ37" s="170"/>
      <c r="BA37" s="170"/>
      <c r="BB37" s="170"/>
      <c r="BC37" s="170"/>
      <c r="BD37" s="170"/>
      <c r="BE37" s="170"/>
      <c r="BF37" s="170"/>
      <c r="BG37" s="170"/>
      <c r="BH37" s="170"/>
      <c r="BI37" s="170"/>
      <c r="BJ37" s="170"/>
      <c r="BK37" s="170"/>
      <c r="BL37" s="170"/>
      <c r="BM37" s="170"/>
      <c r="BN37" s="170"/>
      <c r="BO37" s="170"/>
      <c r="BP37" s="170"/>
      <c r="BQ37" s="170"/>
      <c r="BR37" s="170"/>
      <c r="BS37" s="170"/>
    </row>
    <row r="38" spans="1:71" ht="15">
      <c r="A38" s="175"/>
      <c r="B38" s="175"/>
      <c r="C38" s="175"/>
      <c r="D38" s="175"/>
      <c r="E38" s="175"/>
      <c r="F38" s="175"/>
      <c r="G38" s="170"/>
      <c r="H38" s="170"/>
      <c r="I38" s="170"/>
      <c r="J38" s="170"/>
      <c r="K38" s="170"/>
      <c r="L38" s="2245"/>
      <c r="M38" s="2245"/>
      <c r="N38" s="170"/>
      <c r="O38" s="170"/>
      <c r="P38" s="170"/>
      <c r="Q38" s="170"/>
      <c r="R38" s="170"/>
      <c r="S38" s="170"/>
      <c r="T38" s="170"/>
      <c r="U38" s="170"/>
      <c r="V38" s="170"/>
      <c r="W38" s="170"/>
      <c r="X38" s="170"/>
      <c r="Y38" s="170"/>
      <c r="Z38" s="170"/>
      <c r="AA38" s="170"/>
      <c r="AB38" s="170"/>
      <c r="AC38" s="170"/>
      <c r="AD38" s="170"/>
      <c r="AE38" s="170"/>
      <c r="AF38" s="170"/>
      <c r="AG38" s="170"/>
      <c r="AH38" s="170"/>
      <c r="AI38" s="170"/>
      <c r="AJ38" s="170"/>
      <c r="AK38" s="170"/>
      <c r="AL38" s="170"/>
      <c r="AM38" s="170"/>
      <c r="AN38" s="170"/>
      <c r="AO38" s="170"/>
      <c r="AP38" s="170"/>
      <c r="AQ38" s="170"/>
      <c r="AR38" s="170"/>
      <c r="AS38" s="170"/>
      <c r="AT38" s="170"/>
      <c r="AU38" s="170"/>
      <c r="AV38" s="170"/>
      <c r="AW38" s="170"/>
      <c r="AX38" s="170"/>
      <c r="AY38" s="170"/>
      <c r="AZ38" s="170"/>
      <c r="BA38" s="170"/>
      <c r="BB38" s="170"/>
      <c r="BC38" s="170"/>
      <c r="BD38" s="170"/>
      <c r="BE38" s="170"/>
      <c r="BF38" s="170"/>
      <c r="BG38" s="170"/>
      <c r="BH38" s="170"/>
      <c r="BI38" s="170"/>
      <c r="BJ38" s="170"/>
      <c r="BK38" s="170"/>
      <c r="BL38" s="170"/>
      <c r="BM38" s="170"/>
      <c r="BN38" s="170"/>
      <c r="BO38" s="170"/>
      <c r="BP38" s="170"/>
      <c r="BQ38" s="170"/>
      <c r="BR38" s="170"/>
      <c r="BS38" s="170"/>
    </row>
    <row r="39" spans="1:71" ht="15">
      <c r="A39" s="175"/>
      <c r="B39" s="175"/>
      <c r="C39" s="175"/>
      <c r="D39" s="175"/>
      <c r="E39" s="175"/>
      <c r="F39" s="175"/>
      <c r="G39" s="170"/>
      <c r="H39" s="170"/>
      <c r="I39" s="170"/>
      <c r="J39" s="170"/>
      <c r="K39" s="170"/>
      <c r="L39" s="2245"/>
      <c r="M39" s="2245"/>
      <c r="N39" s="170"/>
      <c r="O39" s="170"/>
      <c r="P39" s="170"/>
      <c r="Q39" s="170"/>
      <c r="R39" s="170"/>
      <c r="S39" s="170"/>
      <c r="T39" s="170"/>
      <c r="U39" s="170"/>
      <c r="V39" s="170"/>
      <c r="W39" s="170"/>
      <c r="X39" s="170"/>
      <c r="Y39" s="170"/>
      <c r="Z39" s="170"/>
      <c r="AA39" s="170"/>
      <c r="AB39" s="170"/>
      <c r="AC39" s="170"/>
      <c r="AD39" s="170"/>
      <c r="AE39" s="170"/>
      <c r="AF39" s="170"/>
      <c r="AG39" s="170"/>
      <c r="AH39" s="170"/>
      <c r="AI39" s="170"/>
      <c r="AJ39" s="170"/>
      <c r="AK39" s="170"/>
      <c r="AL39" s="170"/>
      <c r="AM39" s="170"/>
      <c r="AN39" s="170"/>
      <c r="AO39" s="170"/>
      <c r="AP39" s="170"/>
      <c r="AQ39" s="170"/>
      <c r="AR39" s="170"/>
      <c r="AS39" s="170"/>
      <c r="AT39" s="170"/>
      <c r="AU39" s="170"/>
      <c r="AV39" s="170"/>
      <c r="AW39" s="170"/>
      <c r="AX39" s="170"/>
      <c r="AY39" s="170"/>
      <c r="AZ39" s="170"/>
      <c r="BA39" s="170"/>
      <c r="BB39" s="170"/>
      <c r="BC39" s="170"/>
      <c r="BD39" s="170"/>
      <c r="BE39" s="170"/>
      <c r="BF39" s="170"/>
      <c r="BG39" s="170"/>
      <c r="BH39" s="170"/>
      <c r="BI39" s="170"/>
      <c r="BJ39" s="170"/>
      <c r="BK39" s="170"/>
      <c r="BL39" s="170"/>
      <c r="BM39" s="170"/>
      <c r="BN39" s="170"/>
      <c r="BO39" s="170"/>
      <c r="BP39" s="170"/>
      <c r="BQ39" s="170"/>
      <c r="BR39" s="170"/>
      <c r="BS39" s="170"/>
    </row>
    <row r="40" spans="1:71" ht="15">
      <c r="A40" s="175"/>
      <c r="B40" s="175"/>
      <c r="C40" s="175"/>
      <c r="D40" s="175"/>
      <c r="E40" s="175"/>
      <c r="F40" s="175"/>
      <c r="G40" s="170"/>
      <c r="H40" s="170"/>
      <c r="I40" s="170"/>
      <c r="J40" s="170"/>
      <c r="K40" s="170"/>
      <c r="L40" s="2245"/>
      <c r="M40" s="2245"/>
      <c r="N40" s="170"/>
      <c r="O40" s="170"/>
      <c r="P40" s="170"/>
      <c r="Q40" s="170"/>
      <c r="R40" s="170"/>
      <c r="S40" s="170"/>
      <c r="T40" s="170"/>
      <c r="U40" s="170"/>
      <c r="V40" s="170"/>
      <c r="W40" s="170"/>
      <c r="X40" s="170"/>
      <c r="Y40" s="170"/>
      <c r="Z40" s="170"/>
      <c r="AA40" s="170"/>
      <c r="AB40" s="170"/>
      <c r="AC40" s="170"/>
      <c r="AD40" s="170"/>
      <c r="AE40" s="170"/>
      <c r="AF40" s="170"/>
      <c r="AG40" s="170"/>
      <c r="AH40" s="170"/>
      <c r="AI40" s="170"/>
      <c r="AJ40" s="170"/>
      <c r="AK40" s="170"/>
      <c r="AL40" s="170"/>
      <c r="AM40" s="170"/>
      <c r="AN40" s="170"/>
      <c r="AO40" s="170"/>
      <c r="AP40" s="170"/>
      <c r="AQ40" s="170"/>
      <c r="AR40" s="170"/>
      <c r="AS40" s="170"/>
      <c r="AT40" s="170"/>
      <c r="AU40" s="170"/>
      <c r="AV40" s="170"/>
      <c r="AW40" s="170"/>
      <c r="AX40" s="170"/>
      <c r="AY40" s="170"/>
      <c r="AZ40" s="170"/>
      <c r="BA40" s="170"/>
      <c r="BB40" s="170"/>
      <c r="BC40" s="170"/>
      <c r="BD40" s="170"/>
      <c r="BE40" s="170"/>
      <c r="BF40" s="170"/>
      <c r="BG40" s="170"/>
      <c r="BH40" s="170"/>
      <c r="BI40" s="170"/>
      <c r="BJ40" s="170"/>
      <c r="BK40" s="170"/>
      <c r="BL40" s="170"/>
      <c r="BM40" s="170"/>
      <c r="BN40" s="170"/>
      <c r="BO40" s="170"/>
      <c r="BP40" s="170"/>
      <c r="BQ40" s="170"/>
      <c r="BR40" s="170"/>
      <c r="BS40" s="170"/>
    </row>
    <row r="41" spans="1:71" ht="15">
      <c r="A41" s="175"/>
      <c r="B41" s="175"/>
      <c r="C41" s="175"/>
      <c r="D41" s="175"/>
      <c r="E41" s="175"/>
      <c r="F41" s="175"/>
      <c r="G41" s="170"/>
      <c r="H41" s="170"/>
      <c r="I41" s="170"/>
      <c r="J41" s="170"/>
      <c r="K41" s="170"/>
      <c r="L41" s="2245"/>
      <c r="M41" s="2245"/>
      <c r="N41" s="170"/>
      <c r="O41" s="170"/>
      <c r="P41" s="170"/>
      <c r="Q41" s="170"/>
      <c r="R41" s="170"/>
      <c r="S41" s="170"/>
      <c r="T41" s="170"/>
      <c r="U41" s="170"/>
      <c r="V41" s="170"/>
      <c r="W41" s="170"/>
      <c r="X41" s="171"/>
      <c r="Y41" s="171"/>
      <c r="Z41" s="171"/>
      <c r="AA41" s="171"/>
      <c r="AB41" s="171"/>
      <c r="AC41" s="171"/>
      <c r="AD41" s="171"/>
      <c r="AE41" s="171"/>
      <c r="AF41" s="171"/>
      <c r="AG41" s="170"/>
      <c r="AH41" s="170"/>
      <c r="AI41" s="170"/>
      <c r="AJ41" s="170"/>
      <c r="AK41" s="170"/>
      <c r="AL41" s="170"/>
      <c r="AM41" s="170"/>
      <c r="AN41" s="170"/>
      <c r="AO41" s="170"/>
      <c r="AP41" s="170"/>
      <c r="AQ41" s="170"/>
      <c r="AR41" s="170"/>
      <c r="AS41" s="170"/>
      <c r="AT41" s="170"/>
      <c r="AU41" s="170"/>
      <c r="AV41" s="170"/>
      <c r="AW41" s="170"/>
      <c r="AX41" s="170"/>
      <c r="AY41" s="170"/>
      <c r="AZ41" s="170"/>
      <c r="BA41" s="170"/>
      <c r="BB41" s="170"/>
      <c r="BC41" s="170"/>
      <c r="BD41" s="170"/>
      <c r="BE41" s="170"/>
      <c r="BF41" s="170"/>
      <c r="BG41" s="170"/>
      <c r="BH41" s="170"/>
      <c r="BI41" s="170"/>
      <c r="BJ41" s="170"/>
      <c r="BK41" s="170"/>
      <c r="BL41" s="170"/>
      <c r="BM41" s="170"/>
      <c r="BN41" s="170"/>
      <c r="BO41" s="170"/>
      <c r="BP41" s="170"/>
      <c r="BQ41" s="170"/>
      <c r="BR41" s="170"/>
      <c r="BS41" s="170"/>
    </row>
    <row r="42" spans="1:71" ht="15">
      <c r="A42" s="175"/>
      <c r="B42" s="175"/>
      <c r="C42" s="175"/>
      <c r="D42" s="175"/>
      <c r="E42" s="175"/>
      <c r="F42" s="175"/>
      <c r="G42" s="170"/>
      <c r="H42" s="170"/>
      <c r="I42" s="170"/>
      <c r="J42" s="170"/>
      <c r="K42" s="170"/>
      <c r="L42" s="2245"/>
      <c r="M42" s="2245"/>
      <c r="N42" s="170"/>
      <c r="O42" s="170"/>
      <c r="P42" s="170"/>
      <c r="Q42" s="170"/>
      <c r="R42" s="170"/>
      <c r="S42" s="170"/>
      <c r="T42" s="170"/>
      <c r="U42" s="170"/>
      <c r="V42" s="170"/>
      <c r="W42" s="170"/>
      <c r="X42" s="171"/>
      <c r="Y42" s="171"/>
      <c r="Z42" s="171"/>
      <c r="AA42" s="171"/>
      <c r="AB42" s="171"/>
      <c r="AC42" s="171"/>
      <c r="AD42" s="171"/>
      <c r="AE42" s="171"/>
      <c r="AF42" s="171"/>
      <c r="AG42" s="170"/>
      <c r="AH42" s="170"/>
      <c r="AI42" s="170"/>
      <c r="AJ42" s="170"/>
      <c r="AK42" s="170"/>
      <c r="AL42" s="170"/>
      <c r="AM42" s="170"/>
      <c r="AN42" s="170"/>
      <c r="AO42" s="170"/>
      <c r="AP42" s="170"/>
      <c r="AQ42" s="170"/>
      <c r="AR42" s="170"/>
      <c r="AS42" s="170"/>
      <c r="AT42" s="170"/>
      <c r="AU42" s="170"/>
      <c r="AV42" s="170"/>
      <c r="AW42" s="170"/>
      <c r="AX42" s="170"/>
      <c r="AY42" s="170"/>
      <c r="AZ42" s="170"/>
      <c r="BA42" s="170"/>
      <c r="BB42" s="170"/>
      <c r="BC42" s="170"/>
      <c r="BD42" s="170"/>
      <c r="BE42" s="170"/>
      <c r="BF42" s="170"/>
      <c r="BG42" s="170"/>
      <c r="BH42" s="170"/>
      <c r="BI42" s="170"/>
      <c r="BJ42" s="170"/>
      <c r="BK42" s="170"/>
      <c r="BL42" s="170"/>
      <c r="BM42" s="170"/>
      <c r="BN42" s="170"/>
      <c r="BO42" s="170"/>
      <c r="BP42" s="170"/>
      <c r="BQ42" s="170"/>
      <c r="BR42" s="170"/>
      <c r="BS42" s="170"/>
    </row>
    <row r="43" spans="1:71" ht="15">
      <c r="A43" s="175"/>
      <c r="B43" s="175"/>
      <c r="C43" s="175"/>
      <c r="D43" s="175"/>
      <c r="E43" s="175"/>
      <c r="F43" s="175"/>
      <c r="G43" s="170"/>
      <c r="H43" s="170"/>
      <c r="I43" s="170"/>
      <c r="J43" s="170"/>
      <c r="K43" s="170"/>
      <c r="L43" s="2245"/>
      <c r="M43" s="2245"/>
      <c r="N43" s="170"/>
      <c r="O43" s="170"/>
      <c r="P43" s="170"/>
      <c r="Q43" s="170"/>
      <c r="R43" s="170"/>
      <c r="S43" s="170"/>
      <c r="T43" s="170"/>
      <c r="U43" s="170"/>
      <c r="V43" s="170"/>
      <c r="W43" s="170"/>
      <c r="X43" s="171"/>
      <c r="Y43" s="171"/>
      <c r="Z43" s="171"/>
      <c r="AA43" s="171"/>
      <c r="AB43" s="171"/>
      <c r="AC43" s="171"/>
      <c r="AD43" s="171"/>
      <c r="AE43" s="171"/>
      <c r="AF43" s="171"/>
      <c r="AG43" s="170"/>
      <c r="AH43" s="170"/>
      <c r="AI43" s="170"/>
      <c r="AJ43" s="170"/>
      <c r="AK43" s="170"/>
      <c r="AL43" s="170"/>
      <c r="AM43" s="170"/>
      <c r="AN43" s="170"/>
      <c r="AO43" s="170"/>
      <c r="AP43" s="170"/>
      <c r="AQ43" s="170"/>
      <c r="AR43" s="170"/>
      <c r="AS43" s="170"/>
      <c r="AT43" s="170"/>
      <c r="AU43" s="170"/>
      <c r="AV43" s="170"/>
      <c r="AW43" s="170"/>
      <c r="AX43" s="170"/>
      <c r="AY43" s="170"/>
      <c r="AZ43" s="170"/>
      <c r="BA43" s="170"/>
      <c r="BB43" s="170"/>
      <c r="BC43" s="170"/>
      <c r="BD43" s="170"/>
      <c r="BE43" s="170"/>
      <c r="BF43" s="170"/>
      <c r="BG43" s="170"/>
      <c r="BH43" s="170"/>
      <c r="BI43" s="170"/>
      <c r="BJ43" s="170"/>
      <c r="BK43" s="170"/>
      <c r="BL43" s="170"/>
      <c r="BM43" s="170"/>
      <c r="BN43" s="170"/>
      <c r="BO43" s="170"/>
      <c r="BP43" s="170"/>
      <c r="BQ43" s="170"/>
      <c r="BR43" s="170"/>
      <c r="BS43" s="170"/>
    </row>
    <row r="44" spans="1:71" ht="15">
      <c r="A44" s="175"/>
      <c r="B44" s="175"/>
      <c r="C44" s="175"/>
      <c r="D44" s="175"/>
      <c r="E44" s="175"/>
      <c r="F44" s="175"/>
      <c r="G44" s="170"/>
      <c r="H44" s="170"/>
      <c r="I44" s="170"/>
      <c r="J44" s="170"/>
      <c r="K44" s="170"/>
      <c r="L44" s="2245"/>
      <c r="M44" s="2245"/>
      <c r="N44" s="170"/>
      <c r="O44" s="170"/>
      <c r="P44" s="170"/>
      <c r="Q44" s="170"/>
      <c r="R44" s="170"/>
      <c r="S44" s="170"/>
      <c r="T44" s="170"/>
      <c r="U44" s="170"/>
      <c r="V44" s="170"/>
      <c r="W44" s="170"/>
      <c r="X44" s="171"/>
      <c r="Y44" s="171"/>
      <c r="Z44" s="171"/>
      <c r="AA44" s="171"/>
      <c r="AB44" s="171"/>
      <c r="AC44" s="171"/>
      <c r="AD44" s="171"/>
      <c r="AE44" s="171"/>
      <c r="AF44" s="171"/>
      <c r="AG44" s="170"/>
      <c r="AH44" s="170"/>
      <c r="AI44" s="170"/>
      <c r="AJ44" s="170"/>
      <c r="AK44" s="170"/>
      <c r="AL44" s="170"/>
      <c r="AM44" s="170"/>
      <c r="AN44" s="170"/>
      <c r="AO44" s="170"/>
      <c r="AP44" s="170"/>
      <c r="AQ44" s="170"/>
      <c r="AR44" s="170"/>
      <c r="AS44" s="170"/>
      <c r="AT44" s="170"/>
      <c r="AU44" s="170"/>
      <c r="AV44" s="170"/>
      <c r="AW44" s="170"/>
      <c r="AX44" s="170"/>
      <c r="AY44" s="170"/>
      <c r="AZ44" s="170"/>
      <c r="BA44" s="170"/>
      <c r="BB44" s="170"/>
      <c r="BC44" s="170"/>
      <c r="BD44" s="170"/>
      <c r="BE44" s="170"/>
      <c r="BF44" s="170"/>
      <c r="BG44" s="170"/>
      <c r="BH44" s="170"/>
      <c r="BI44" s="170"/>
      <c r="BJ44" s="170"/>
      <c r="BK44" s="170"/>
      <c r="BL44" s="170"/>
      <c r="BM44" s="170"/>
      <c r="BN44" s="170"/>
      <c r="BO44" s="170"/>
      <c r="BP44" s="170"/>
      <c r="BQ44" s="170"/>
      <c r="BR44" s="170"/>
      <c r="BS44" s="170"/>
    </row>
    <row r="45" spans="1:71" ht="15">
      <c r="A45" s="175"/>
      <c r="B45" s="175"/>
      <c r="C45" s="175"/>
      <c r="D45" s="175"/>
      <c r="E45" s="175"/>
      <c r="F45" s="175"/>
      <c r="G45" s="170"/>
      <c r="H45" s="170"/>
      <c r="I45" s="170"/>
      <c r="J45" s="170"/>
      <c r="K45" s="170"/>
      <c r="L45" s="2245"/>
      <c r="M45" s="2245"/>
      <c r="N45" s="170"/>
      <c r="O45" s="170"/>
      <c r="P45" s="170"/>
      <c r="Q45" s="170"/>
      <c r="R45" s="170"/>
      <c r="S45" s="170"/>
      <c r="T45" s="170"/>
      <c r="U45" s="170"/>
      <c r="V45" s="170"/>
      <c r="W45" s="170"/>
      <c r="X45" s="171"/>
      <c r="Y45" s="171"/>
      <c r="Z45" s="171"/>
      <c r="AA45" s="171"/>
      <c r="AB45" s="171"/>
      <c r="AC45" s="171"/>
      <c r="AD45" s="171"/>
      <c r="AE45" s="171"/>
      <c r="AF45" s="171"/>
      <c r="AG45" s="170"/>
      <c r="AH45" s="170"/>
      <c r="AI45" s="170"/>
      <c r="AJ45" s="170"/>
      <c r="AK45" s="170"/>
      <c r="AL45" s="170"/>
      <c r="AM45" s="170"/>
      <c r="AN45" s="170"/>
      <c r="AO45" s="170"/>
      <c r="AP45" s="170"/>
      <c r="AQ45" s="170"/>
      <c r="AR45" s="170"/>
      <c r="AS45" s="170"/>
      <c r="AT45" s="170"/>
      <c r="AU45" s="170"/>
      <c r="AV45" s="170"/>
      <c r="AW45" s="170"/>
      <c r="AX45" s="170"/>
      <c r="AY45" s="170"/>
      <c r="AZ45" s="170"/>
      <c r="BA45" s="170"/>
      <c r="BB45" s="170"/>
      <c r="BC45" s="170"/>
      <c r="BD45" s="170"/>
      <c r="BE45" s="170"/>
      <c r="BF45" s="170"/>
      <c r="BG45" s="170"/>
      <c r="BH45" s="170"/>
      <c r="BI45" s="170"/>
      <c r="BJ45" s="170"/>
      <c r="BK45" s="170"/>
      <c r="BL45" s="170"/>
      <c r="BM45" s="170"/>
      <c r="BN45" s="170"/>
      <c r="BO45" s="170"/>
      <c r="BP45" s="170"/>
      <c r="BQ45" s="170"/>
      <c r="BR45" s="170"/>
      <c r="BS45" s="170"/>
    </row>
    <row r="46" spans="1:71" ht="15">
      <c r="A46" s="175"/>
      <c r="B46" s="175"/>
      <c r="C46" s="175"/>
      <c r="D46" s="175"/>
      <c r="E46" s="175"/>
      <c r="F46" s="175"/>
      <c r="G46" s="170"/>
      <c r="H46" s="170"/>
      <c r="I46" s="170"/>
      <c r="J46" s="170"/>
      <c r="K46" s="170"/>
      <c r="L46" s="2245"/>
      <c r="M46" s="2245"/>
      <c r="N46" s="170"/>
      <c r="O46" s="170"/>
      <c r="P46" s="170"/>
      <c r="Q46" s="170"/>
      <c r="R46" s="170"/>
      <c r="S46" s="170"/>
      <c r="T46" s="170"/>
      <c r="U46" s="170"/>
      <c r="V46" s="170"/>
      <c r="W46" s="170"/>
      <c r="X46" s="171"/>
      <c r="Y46" s="171"/>
      <c r="Z46" s="171"/>
      <c r="AA46" s="171"/>
      <c r="AB46" s="171"/>
      <c r="AC46" s="171"/>
      <c r="AD46" s="171"/>
      <c r="AE46" s="171"/>
      <c r="AF46" s="171"/>
      <c r="AG46" s="170"/>
      <c r="AH46" s="170"/>
      <c r="AI46" s="170"/>
      <c r="AJ46" s="170"/>
      <c r="AK46" s="170"/>
      <c r="AL46" s="170"/>
      <c r="AM46" s="170"/>
      <c r="AN46" s="170"/>
      <c r="AO46" s="170"/>
      <c r="AP46" s="170"/>
      <c r="AQ46" s="170"/>
      <c r="AR46" s="170"/>
      <c r="AS46" s="170"/>
      <c r="AT46" s="170"/>
      <c r="AU46" s="170"/>
      <c r="AV46" s="170"/>
      <c r="AW46" s="170"/>
      <c r="AX46" s="170"/>
      <c r="AY46" s="170"/>
      <c r="AZ46" s="170"/>
      <c r="BA46" s="170"/>
      <c r="BB46" s="170"/>
      <c r="BC46" s="170"/>
      <c r="BD46" s="170"/>
      <c r="BE46" s="170"/>
      <c r="BF46" s="170"/>
      <c r="BG46" s="170"/>
      <c r="BH46" s="170"/>
      <c r="BI46" s="170"/>
      <c r="BJ46" s="170"/>
      <c r="BK46" s="170"/>
      <c r="BL46" s="170"/>
      <c r="BM46" s="170"/>
      <c r="BN46" s="170"/>
      <c r="BO46" s="170"/>
      <c r="BP46" s="170"/>
      <c r="BQ46" s="170"/>
      <c r="BR46" s="170"/>
      <c r="BS46" s="170"/>
    </row>
    <row r="47" spans="1:71" ht="15">
      <c r="A47" s="175"/>
      <c r="B47" s="175"/>
      <c r="C47" s="175"/>
      <c r="D47" s="175"/>
      <c r="E47" s="175"/>
      <c r="F47" s="175"/>
      <c r="G47" s="170"/>
      <c r="H47" s="170"/>
      <c r="I47" s="170"/>
      <c r="J47" s="170"/>
      <c r="K47" s="170"/>
      <c r="L47" s="2245"/>
      <c r="M47" s="2245"/>
      <c r="N47" s="170"/>
      <c r="O47" s="170"/>
      <c r="P47" s="170"/>
      <c r="Q47" s="170"/>
      <c r="R47" s="170"/>
      <c r="S47" s="170"/>
      <c r="T47" s="170"/>
      <c r="U47" s="170"/>
      <c r="V47" s="170"/>
      <c r="W47" s="170"/>
      <c r="X47" s="171"/>
      <c r="Y47" s="171"/>
      <c r="Z47" s="171"/>
      <c r="AA47" s="171"/>
      <c r="AB47" s="171"/>
      <c r="AC47" s="171"/>
      <c r="AD47" s="171"/>
      <c r="AE47" s="171"/>
      <c r="AF47" s="171"/>
      <c r="AG47" s="170"/>
      <c r="AH47" s="170"/>
      <c r="AI47" s="170"/>
      <c r="AJ47" s="170"/>
      <c r="AK47" s="170"/>
      <c r="AL47" s="170"/>
      <c r="AM47" s="170"/>
      <c r="AN47" s="170"/>
      <c r="AO47" s="170"/>
      <c r="AP47" s="170"/>
      <c r="AQ47" s="170"/>
      <c r="AR47" s="170"/>
      <c r="AS47" s="170"/>
      <c r="AT47" s="170"/>
      <c r="AU47" s="170"/>
      <c r="AV47" s="170"/>
      <c r="AW47" s="170"/>
      <c r="AX47" s="170"/>
      <c r="AY47" s="170"/>
      <c r="AZ47" s="170"/>
      <c r="BA47" s="170"/>
      <c r="BB47" s="170"/>
      <c r="BC47" s="170"/>
      <c r="BD47" s="170"/>
      <c r="BE47" s="170"/>
      <c r="BF47" s="170"/>
      <c r="BG47" s="170"/>
      <c r="BH47" s="170"/>
      <c r="BI47" s="170"/>
      <c r="BJ47" s="170"/>
      <c r="BK47" s="170"/>
      <c r="BL47" s="170"/>
      <c r="BM47" s="170"/>
      <c r="BN47" s="170"/>
      <c r="BO47" s="170"/>
      <c r="BP47" s="170"/>
      <c r="BQ47" s="170"/>
      <c r="BR47" s="170"/>
      <c r="BS47" s="170"/>
    </row>
    <row r="48" spans="1:71" ht="15">
      <c r="A48" s="175"/>
      <c r="B48" s="175"/>
      <c r="C48" s="175"/>
      <c r="D48" s="175"/>
      <c r="E48" s="175"/>
      <c r="F48" s="175"/>
      <c r="G48" s="170"/>
      <c r="H48" s="170"/>
      <c r="I48" s="170"/>
      <c r="J48" s="170"/>
      <c r="K48" s="170"/>
      <c r="L48" s="2245"/>
      <c r="M48" s="2245"/>
      <c r="N48" s="170"/>
      <c r="O48" s="170"/>
      <c r="P48" s="170"/>
      <c r="Q48" s="170"/>
      <c r="R48" s="170"/>
      <c r="S48" s="170"/>
      <c r="T48" s="170"/>
      <c r="U48" s="170"/>
      <c r="V48" s="170"/>
      <c r="W48" s="170"/>
      <c r="X48" s="171"/>
      <c r="Y48" s="171"/>
      <c r="Z48" s="171"/>
      <c r="AA48" s="171"/>
      <c r="AB48" s="171"/>
      <c r="AC48" s="171"/>
      <c r="AD48" s="171"/>
      <c r="AE48" s="171"/>
      <c r="AF48" s="171"/>
      <c r="AG48" s="170"/>
      <c r="AH48" s="170"/>
      <c r="AI48" s="170"/>
      <c r="AJ48" s="170"/>
      <c r="AK48" s="170"/>
      <c r="AL48" s="170"/>
      <c r="AM48" s="170"/>
      <c r="AN48" s="170"/>
      <c r="AO48" s="170"/>
      <c r="AP48" s="170"/>
      <c r="AQ48" s="170"/>
      <c r="AR48" s="170"/>
      <c r="AS48" s="170"/>
      <c r="AT48" s="170"/>
      <c r="AU48" s="170"/>
      <c r="AV48" s="170"/>
      <c r="AW48" s="170"/>
      <c r="AX48" s="170"/>
      <c r="AY48" s="170"/>
      <c r="AZ48" s="170"/>
      <c r="BA48" s="170"/>
      <c r="BB48" s="170"/>
      <c r="BC48" s="170"/>
      <c r="BD48" s="170"/>
      <c r="BE48" s="170"/>
      <c r="BF48" s="170"/>
      <c r="BG48" s="170"/>
      <c r="BH48" s="170"/>
      <c r="BI48" s="170"/>
      <c r="BJ48" s="170"/>
      <c r="BK48" s="170"/>
      <c r="BL48" s="170"/>
      <c r="BM48" s="170"/>
      <c r="BN48" s="170"/>
      <c r="BO48" s="170"/>
      <c r="BP48" s="170"/>
      <c r="BQ48" s="170"/>
      <c r="BR48" s="170"/>
      <c r="BS48" s="170"/>
    </row>
    <row r="49" spans="1:71" ht="15">
      <c r="A49" s="175"/>
      <c r="B49" s="175"/>
      <c r="C49" s="175"/>
      <c r="D49" s="175"/>
      <c r="E49" s="175"/>
      <c r="F49" s="175"/>
      <c r="G49" s="170"/>
      <c r="H49" s="170"/>
      <c r="I49" s="170"/>
      <c r="J49" s="170"/>
      <c r="K49" s="170"/>
      <c r="L49" s="2245"/>
      <c r="M49" s="2245"/>
      <c r="N49" s="170"/>
      <c r="O49" s="170"/>
      <c r="P49" s="170"/>
      <c r="Q49" s="170"/>
      <c r="R49" s="170"/>
      <c r="S49" s="170"/>
      <c r="T49" s="170"/>
      <c r="U49" s="170"/>
      <c r="V49" s="170"/>
      <c r="W49" s="170"/>
      <c r="X49" s="171"/>
      <c r="Y49" s="171"/>
      <c r="Z49" s="171"/>
      <c r="AA49" s="171"/>
      <c r="AB49" s="171"/>
      <c r="AC49" s="171"/>
      <c r="AD49" s="171"/>
      <c r="AE49" s="171"/>
      <c r="AF49" s="171"/>
      <c r="AG49" s="170"/>
      <c r="AH49" s="170"/>
      <c r="AI49" s="170"/>
      <c r="AJ49" s="170"/>
      <c r="AK49" s="170"/>
      <c r="AL49" s="170"/>
      <c r="AM49" s="170"/>
      <c r="AN49" s="170"/>
      <c r="AO49" s="170"/>
      <c r="AP49" s="170"/>
      <c r="AQ49" s="170"/>
      <c r="AR49" s="170"/>
      <c r="AS49" s="170"/>
      <c r="AT49" s="170"/>
      <c r="AU49" s="170"/>
      <c r="AV49" s="170"/>
      <c r="AW49" s="170"/>
      <c r="AX49" s="170"/>
      <c r="AY49" s="170"/>
      <c r="AZ49" s="170"/>
      <c r="BA49" s="170"/>
      <c r="BB49" s="170"/>
      <c r="BC49" s="170"/>
      <c r="BD49" s="170"/>
      <c r="BE49" s="170"/>
      <c r="BF49" s="170"/>
      <c r="BG49" s="170"/>
      <c r="BH49" s="170"/>
      <c r="BI49" s="170"/>
      <c r="BJ49" s="170"/>
      <c r="BK49" s="170"/>
      <c r="BL49" s="170"/>
      <c r="BM49" s="170"/>
      <c r="BN49" s="170"/>
      <c r="BO49" s="170"/>
      <c r="BP49" s="170"/>
      <c r="BQ49" s="170"/>
      <c r="BR49" s="170"/>
      <c r="BS49" s="170"/>
    </row>
    <row r="50" spans="1:71" ht="15">
      <c r="A50" s="175"/>
      <c r="B50" s="175"/>
      <c r="C50" s="175"/>
      <c r="D50" s="175"/>
      <c r="E50" s="175"/>
      <c r="F50" s="175"/>
      <c r="G50" s="170"/>
      <c r="H50" s="170"/>
      <c r="I50" s="170"/>
      <c r="J50" s="170"/>
      <c r="K50" s="170"/>
      <c r="L50" s="2245"/>
      <c r="M50" s="2245"/>
      <c r="N50" s="170"/>
      <c r="O50" s="170"/>
      <c r="P50" s="170"/>
      <c r="Q50" s="170"/>
      <c r="R50" s="170"/>
      <c r="S50" s="170"/>
      <c r="T50" s="170"/>
      <c r="U50" s="170"/>
      <c r="V50" s="170"/>
      <c r="W50" s="170"/>
      <c r="X50" s="171"/>
      <c r="Y50" s="171"/>
      <c r="Z50" s="171"/>
      <c r="AA50" s="171"/>
      <c r="AB50" s="171"/>
      <c r="AC50" s="171"/>
      <c r="AD50" s="171"/>
      <c r="AE50" s="171"/>
      <c r="AF50" s="171"/>
      <c r="AG50" s="170"/>
      <c r="AH50" s="170"/>
      <c r="AI50" s="170"/>
      <c r="AJ50" s="170"/>
      <c r="AK50" s="170"/>
      <c r="AL50" s="170"/>
      <c r="AM50" s="170"/>
      <c r="AN50" s="170"/>
      <c r="AO50" s="170"/>
      <c r="AP50" s="170"/>
      <c r="AQ50" s="170"/>
      <c r="AR50" s="170"/>
      <c r="AS50" s="170"/>
      <c r="AT50" s="170"/>
      <c r="AU50" s="170"/>
      <c r="AV50" s="170"/>
      <c r="AW50" s="170"/>
      <c r="AX50" s="170"/>
      <c r="AY50" s="170"/>
      <c r="AZ50" s="170"/>
      <c r="BA50" s="170"/>
      <c r="BB50" s="170"/>
      <c r="BC50" s="170"/>
      <c r="BD50" s="170"/>
      <c r="BE50" s="170"/>
      <c r="BF50" s="170"/>
      <c r="BG50" s="170"/>
      <c r="BH50" s="170"/>
      <c r="BI50" s="170"/>
      <c r="BJ50" s="170"/>
      <c r="BK50" s="170"/>
      <c r="BL50" s="170"/>
      <c r="BM50" s="170"/>
      <c r="BN50" s="170"/>
      <c r="BO50" s="170"/>
      <c r="BP50" s="170"/>
      <c r="BQ50" s="170"/>
      <c r="BR50" s="170"/>
      <c r="BS50" s="170"/>
    </row>
    <row r="51" spans="1:71" ht="15">
      <c r="A51" s="175"/>
      <c r="B51" s="175"/>
      <c r="C51" s="175"/>
      <c r="D51" s="175"/>
      <c r="E51" s="175"/>
      <c r="F51" s="175"/>
      <c r="G51" s="170"/>
      <c r="H51" s="170"/>
      <c r="I51" s="170"/>
      <c r="J51" s="170"/>
      <c r="K51" s="170"/>
      <c r="L51" s="2245"/>
      <c r="M51" s="2245"/>
      <c r="N51" s="170"/>
      <c r="O51" s="170"/>
      <c r="P51" s="170"/>
      <c r="Q51" s="170"/>
      <c r="R51" s="170"/>
      <c r="S51" s="170"/>
      <c r="T51" s="170"/>
      <c r="U51" s="170"/>
      <c r="V51" s="170"/>
      <c r="W51" s="170"/>
      <c r="X51" s="171"/>
      <c r="Y51" s="171"/>
      <c r="Z51" s="171"/>
      <c r="AA51" s="171"/>
      <c r="AB51" s="171"/>
      <c r="AC51" s="171"/>
      <c r="AD51" s="171"/>
      <c r="AE51" s="171"/>
      <c r="AF51" s="171"/>
      <c r="AG51" s="170"/>
      <c r="AH51" s="170"/>
      <c r="AI51" s="170"/>
      <c r="AJ51" s="170"/>
      <c r="AK51" s="170"/>
      <c r="AL51" s="170"/>
      <c r="AM51" s="170"/>
      <c r="AN51" s="170"/>
      <c r="AO51" s="170"/>
      <c r="AP51" s="170"/>
      <c r="AQ51" s="170"/>
      <c r="AR51" s="170"/>
      <c r="AS51" s="170"/>
      <c r="AT51" s="170"/>
      <c r="AU51" s="170"/>
      <c r="AV51" s="170"/>
      <c r="AW51" s="170"/>
      <c r="AX51" s="170"/>
      <c r="AY51" s="170"/>
      <c r="AZ51" s="170"/>
      <c r="BA51" s="170"/>
      <c r="BB51" s="170"/>
      <c r="BC51" s="170"/>
      <c r="BD51" s="170"/>
      <c r="BE51" s="170"/>
      <c r="BF51" s="170"/>
      <c r="BG51" s="170"/>
      <c r="BH51" s="170"/>
      <c r="BI51" s="170"/>
      <c r="BJ51" s="170"/>
      <c r="BK51" s="170"/>
      <c r="BL51" s="170"/>
      <c r="BM51" s="170"/>
      <c r="BN51" s="170"/>
      <c r="BO51" s="170"/>
      <c r="BP51" s="170"/>
      <c r="BQ51" s="170"/>
      <c r="BR51" s="170"/>
      <c r="BS51" s="170"/>
    </row>
    <row r="52" spans="1:71" ht="15">
      <c r="A52" s="175"/>
      <c r="B52" s="175"/>
      <c r="C52" s="175"/>
      <c r="D52" s="175"/>
      <c r="E52" s="175"/>
      <c r="F52" s="175"/>
      <c r="G52" s="170"/>
      <c r="H52" s="170"/>
      <c r="I52" s="170"/>
      <c r="J52" s="170"/>
      <c r="K52" s="170"/>
      <c r="L52" s="2245"/>
      <c r="M52" s="2245"/>
      <c r="N52" s="170"/>
      <c r="O52" s="170"/>
      <c r="P52" s="170"/>
      <c r="Q52" s="170"/>
      <c r="R52" s="170"/>
      <c r="S52" s="170"/>
      <c r="T52" s="170"/>
      <c r="U52" s="170"/>
      <c r="V52" s="170"/>
      <c r="W52" s="170"/>
      <c r="X52" s="171"/>
      <c r="Y52" s="171"/>
      <c r="Z52" s="171"/>
      <c r="AA52" s="171"/>
      <c r="AB52" s="171"/>
      <c r="AC52" s="171"/>
      <c r="AD52" s="171"/>
      <c r="AE52" s="171"/>
      <c r="AF52" s="171"/>
      <c r="AG52" s="170"/>
      <c r="AH52" s="170"/>
      <c r="AI52" s="170"/>
      <c r="AJ52" s="170"/>
      <c r="AK52" s="170"/>
      <c r="AL52" s="170"/>
      <c r="AM52" s="170"/>
      <c r="AN52" s="170"/>
      <c r="AO52" s="170"/>
      <c r="AP52" s="170"/>
      <c r="AQ52" s="170"/>
      <c r="AR52" s="170"/>
      <c r="AS52" s="170"/>
      <c r="AT52" s="170"/>
      <c r="AU52" s="170"/>
      <c r="AV52" s="170"/>
      <c r="AW52" s="170"/>
      <c r="AX52" s="170"/>
      <c r="AY52" s="170"/>
      <c r="AZ52" s="170"/>
      <c r="BA52" s="170"/>
      <c r="BB52" s="170"/>
      <c r="BC52" s="170"/>
      <c r="BD52" s="170"/>
      <c r="BE52" s="170"/>
      <c r="BF52" s="170"/>
      <c r="BG52" s="170"/>
      <c r="BH52" s="170"/>
      <c r="BI52" s="170"/>
      <c r="BJ52" s="170"/>
      <c r="BK52" s="170"/>
      <c r="BL52" s="170"/>
      <c r="BM52" s="170"/>
      <c r="BN52" s="170"/>
      <c r="BO52" s="170"/>
      <c r="BP52" s="170"/>
      <c r="BQ52" s="170"/>
      <c r="BR52" s="170"/>
      <c r="BS52" s="170"/>
    </row>
    <row r="53" spans="1:71" ht="15">
      <c r="A53" s="175"/>
      <c r="B53" s="175"/>
      <c r="C53" s="175"/>
      <c r="D53" s="175"/>
      <c r="E53" s="175"/>
      <c r="F53" s="175"/>
      <c r="G53" s="170"/>
      <c r="H53" s="170"/>
      <c r="I53" s="170"/>
      <c r="J53" s="170"/>
      <c r="K53" s="170"/>
      <c r="L53" s="2245"/>
      <c r="M53" s="2245"/>
      <c r="N53" s="170"/>
      <c r="O53" s="170"/>
      <c r="P53" s="170"/>
      <c r="Q53" s="170"/>
      <c r="R53" s="170"/>
      <c r="S53" s="170"/>
      <c r="T53" s="170"/>
      <c r="U53" s="170"/>
      <c r="V53" s="170"/>
      <c r="W53" s="170"/>
      <c r="X53" s="171"/>
      <c r="Y53" s="171"/>
      <c r="Z53" s="171"/>
      <c r="AA53" s="171"/>
      <c r="AB53" s="171"/>
      <c r="AC53" s="171"/>
      <c r="AD53" s="171"/>
      <c r="AE53" s="171"/>
      <c r="AF53" s="171"/>
      <c r="AG53" s="170"/>
      <c r="AH53" s="170"/>
      <c r="AI53" s="170"/>
      <c r="AJ53" s="170"/>
      <c r="AK53" s="170"/>
      <c r="AL53" s="170"/>
      <c r="AM53" s="170"/>
      <c r="AN53" s="170"/>
      <c r="AO53" s="170"/>
      <c r="AP53" s="170"/>
      <c r="AQ53" s="170"/>
      <c r="AR53" s="170"/>
      <c r="AS53" s="170"/>
      <c r="AT53" s="170"/>
      <c r="AU53" s="170"/>
      <c r="AV53" s="170"/>
      <c r="AW53" s="170"/>
      <c r="AX53" s="170"/>
      <c r="AY53" s="170"/>
      <c r="AZ53" s="170"/>
      <c r="BA53" s="170"/>
      <c r="BB53" s="170"/>
      <c r="BC53" s="170"/>
      <c r="BD53" s="170"/>
      <c r="BE53" s="170"/>
      <c r="BF53" s="170"/>
      <c r="BG53" s="170"/>
      <c r="BH53" s="170"/>
      <c r="BI53" s="170"/>
      <c r="BJ53" s="170"/>
      <c r="BK53" s="170"/>
      <c r="BL53" s="170"/>
      <c r="BM53" s="170"/>
      <c r="BN53" s="170"/>
      <c r="BO53" s="170"/>
      <c r="BP53" s="170"/>
      <c r="BQ53" s="170"/>
      <c r="BR53" s="170"/>
      <c r="BS53" s="170"/>
    </row>
    <row r="54" spans="1:71" ht="15">
      <c r="A54" s="175"/>
      <c r="B54" s="175"/>
      <c r="C54" s="175"/>
      <c r="D54" s="175"/>
      <c r="E54" s="175"/>
      <c r="F54" s="175"/>
      <c r="G54" s="170"/>
      <c r="H54" s="170"/>
      <c r="I54" s="170"/>
      <c r="J54" s="170"/>
      <c r="K54" s="170"/>
      <c r="L54" s="2245"/>
      <c r="M54" s="2245"/>
      <c r="N54" s="170"/>
      <c r="O54" s="170"/>
      <c r="P54" s="170"/>
      <c r="Q54" s="170"/>
      <c r="R54" s="170"/>
      <c r="S54" s="170"/>
      <c r="T54" s="170"/>
      <c r="U54" s="170"/>
      <c r="V54" s="170"/>
      <c r="W54" s="170"/>
      <c r="X54" s="171"/>
      <c r="Y54" s="171"/>
      <c r="Z54" s="171"/>
      <c r="AA54" s="171"/>
      <c r="AB54" s="171"/>
      <c r="AC54" s="171"/>
      <c r="AD54" s="171"/>
      <c r="AE54" s="171"/>
      <c r="AF54" s="171"/>
      <c r="AG54" s="170"/>
      <c r="AH54" s="170"/>
      <c r="AI54" s="170"/>
      <c r="AJ54" s="170"/>
      <c r="AK54" s="170"/>
      <c r="AL54" s="170"/>
      <c r="AM54" s="170"/>
      <c r="AN54" s="170"/>
      <c r="AO54" s="170"/>
      <c r="AP54" s="170"/>
      <c r="AQ54" s="170"/>
      <c r="AR54" s="170"/>
      <c r="AS54" s="170"/>
      <c r="AT54" s="170"/>
      <c r="AU54" s="170"/>
      <c r="AV54" s="170"/>
      <c r="AW54" s="170"/>
      <c r="AX54" s="170"/>
      <c r="AY54" s="170"/>
      <c r="AZ54" s="170"/>
      <c r="BA54" s="170"/>
      <c r="BB54" s="170"/>
      <c r="BC54" s="170"/>
      <c r="BD54" s="170"/>
      <c r="BE54" s="170"/>
      <c r="BF54" s="170"/>
      <c r="BG54" s="170"/>
      <c r="BH54" s="170"/>
      <c r="BI54" s="170"/>
      <c r="BJ54" s="170"/>
      <c r="BK54" s="170"/>
      <c r="BL54" s="170"/>
      <c r="BM54" s="170"/>
      <c r="BN54" s="170"/>
      <c r="BO54" s="170"/>
      <c r="BP54" s="170"/>
      <c r="BQ54" s="170"/>
      <c r="BR54" s="170"/>
      <c r="BS54" s="170"/>
    </row>
    <row r="55" spans="1:71" ht="15">
      <c r="A55" s="175"/>
      <c r="B55" s="175"/>
      <c r="C55" s="175"/>
      <c r="D55" s="175"/>
      <c r="E55" s="175"/>
      <c r="F55" s="175"/>
      <c r="G55" s="170"/>
      <c r="H55" s="170"/>
      <c r="I55" s="170"/>
      <c r="J55" s="170"/>
      <c r="K55" s="170"/>
      <c r="L55" s="2245"/>
      <c r="M55" s="2245"/>
      <c r="N55" s="170"/>
      <c r="O55" s="170"/>
      <c r="P55" s="170"/>
      <c r="Q55" s="170"/>
      <c r="R55" s="170"/>
      <c r="S55" s="170"/>
      <c r="T55" s="170"/>
      <c r="U55" s="170"/>
      <c r="V55" s="170"/>
      <c r="W55" s="170"/>
      <c r="X55" s="171"/>
      <c r="Y55" s="171"/>
      <c r="Z55" s="171"/>
      <c r="AA55" s="171"/>
      <c r="AB55" s="171"/>
      <c r="AC55" s="171"/>
      <c r="AD55" s="171"/>
      <c r="AE55" s="171"/>
      <c r="AF55" s="171"/>
      <c r="AG55" s="170"/>
      <c r="AH55" s="170"/>
      <c r="AI55" s="170"/>
      <c r="AJ55" s="170"/>
      <c r="AK55" s="170"/>
      <c r="AL55" s="170"/>
      <c r="AM55" s="170"/>
      <c r="AN55" s="170"/>
      <c r="AO55" s="170"/>
      <c r="AP55" s="170"/>
      <c r="AQ55" s="170"/>
      <c r="AR55" s="170"/>
      <c r="AS55" s="170"/>
      <c r="AT55" s="170"/>
      <c r="AU55" s="170"/>
      <c r="AV55" s="170"/>
      <c r="AW55" s="170"/>
      <c r="AX55" s="170"/>
      <c r="AY55" s="170"/>
      <c r="AZ55" s="170"/>
      <c r="BA55" s="170"/>
      <c r="BB55" s="170"/>
      <c r="BC55" s="170"/>
      <c r="BD55" s="170"/>
      <c r="BE55" s="170"/>
      <c r="BF55" s="170"/>
      <c r="BG55" s="170"/>
      <c r="BH55" s="170"/>
      <c r="BI55" s="170"/>
      <c r="BJ55" s="170"/>
      <c r="BK55" s="170"/>
      <c r="BL55" s="170"/>
      <c r="BM55" s="170"/>
      <c r="BN55" s="170"/>
      <c r="BO55" s="170"/>
      <c r="BP55" s="170"/>
      <c r="BQ55" s="170"/>
      <c r="BR55" s="170"/>
      <c r="BS55" s="170"/>
    </row>
    <row r="56" spans="1:71" ht="15">
      <c r="A56" s="175"/>
      <c r="B56" s="175"/>
      <c r="C56" s="175"/>
      <c r="D56" s="175"/>
      <c r="E56" s="175"/>
      <c r="F56" s="175"/>
      <c r="G56" s="170"/>
      <c r="H56" s="170"/>
      <c r="I56" s="170"/>
      <c r="J56" s="170"/>
      <c r="K56" s="170"/>
      <c r="L56" s="2245"/>
      <c r="M56" s="2245"/>
      <c r="N56" s="170"/>
      <c r="O56" s="170"/>
      <c r="P56" s="170"/>
      <c r="Q56" s="170"/>
      <c r="R56" s="170"/>
      <c r="S56" s="170"/>
      <c r="T56" s="170"/>
      <c r="U56" s="170"/>
      <c r="V56" s="170"/>
      <c r="W56" s="170"/>
      <c r="X56" s="171"/>
      <c r="Y56" s="171"/>
      <c r="Z56" s="171"/>
      <c r="AA56" s="171"/>
      <c r="AB56" s="171"/>
      <c r="AC56" s="171"/>
      <c r="AD56" s="171"/>
      <c r="AE56" s="171"/>
      <c r="AF56" s="171"/>
      <c r="AG56" s="170"/>
      <c r="AH56" s="170"/>
      <c r="AI56" s="170"/>
      <c r="AJ56" s="170"/>
      <c r="AK56" s="170"/>
      <c r="AL56" s="170"/>
      <c r="AM56" s="170"/>
      <c r="AN56" s="170"/>
      <c r="AO56" s="170"/>
      <c r="AP56" s="170"/>
      <c r="AQ56" s="170"/>
      <c r="AR56" s="170"/>
      <c r="AS56" s="170"/>
      <c r="AT56" s="170"/>
      <c r="AU56" s="170"/>
      <c r="AV56" s="170"/>
      <c r="AW56" s="170"/>
      <c r="AX56" s="170"/>
      <c r="AY56" s="170"/>
      <c r="AZ56" s="170"/>
      <c r="BA56" s="170"/>
      <c r="BB56" s="170"/>
      <c r="BC56" s="170"/>
      <c r="BD56" s="170"/>
      <c r="BE56" s="170"/>
      <c r="BF56" s="170"/>
      <c r="BG56" s="170"/>
      <c r="BH56" s="170"/>
      <c r="BI56" s="170"/>
      <c r="BJ56" s="170"/>
      <c r="BK56" s="170"/>
      <c r="BL56" s="170"/>
      <c r="BM56" s="170"/>
      <c r="BN56" s="170"/>
      <c r="BO56" s="170"/>
      <c r="BP56" s="170"/>
      <c r="BQ56" s="170"/>
      <c r="BR56" s="170"/>
      <c r="BS56" s="170"/>
    </row>
    <row r="57" spans="1:71" ht="15">
      <c r="A57" s="175"/>
      <c r="B57" s="175"/>
      <c r="C57" s="175"/>
      <c r="D57" s="175"/>
      <c r="E57" s="175"/>
      <c r="F57" s="175"/>
      <c r="G57" s="170"/>
      <c r="H57" s="170"/>
      <c r="I57" s="170"/>
      <c r="J57" s="170"/>
      <c r="K57" s="170"/>
      <c r="L57" s="2245"/>
      <c r="M57" s="2245"/>
      <c r="N57" s="170"/>
      <c r="O57" s="170"/>
      <c r="P57" s="170"/>
      <c r="Q57" s="170"/>
      <c r="R57" s="170"/>
      <c r="S57" s="170"/>
      <c r="T57" s="170"/>
      <c r="U57" s="170"/>
      <c r="V57" s="170"/>
      <c r="W57" s="170"/>
      <c r="X57" s="171"/>
      <c r="Y57" s="171"/>
      <c r="Z57" s="171"/>
      <c r="AA57" s="171"/>
      <c r="AB57" s="171"/>
      <c r="AC57" s="171"/>
      <c r="AD57" s="171"/>
      <c r="AE57" s="171"/>
      <c r="AF57" s="171"/>
      <c r="AG57" s="170"/>
      <c r="AH57" s="170"/>
      <c r="AI57" s="170"/>
      <c r="AJ57" s="170"/>
      <c r="AK57" s="170"/>
      <c r="AL57" s="170"/>
      <c r="AM57" s="170"/>
      <c r="AN57" s="170"/>
      <c r="AO57" s="170"/>
      <c r="AP57" s="170"/>
      <c r="AQ57" s="170"/>
      <c r="AR57" s="170"/>
      <c r="AS57" s="170"/>
      <c r="AT57" s="170"/>
      <c r="AU57" s="170"/>
      <c r="AV57" s="170"/>
      <c r="AW57" s="170"/>
      <c r="AX57" s="170"/>
      <c r="AY57" s="170"/>
      <c r="AZ57" s="170"/>
      <c r="BA57" s="170"/>
      <c r="BB57" s="170"/>
      <c r="BC57" s="170"/>
      <c r="BD57" s="170"/>
      <c r="BE57" s="170"/>
      <c r="BF57" s="170"/>
      <c r="BG57" s="170"/>
      <c r="BH57" s="170"/>
      <c r="BI57" s="170"/>
      <c r="BJ57" s="170"/>
      <c r="BK57" s="170"/>
      <c r="BL57" s="170"/>
      <c r="BM57" s="170"/>
      <c r="BN57" s="170"/>
      <c r="BO57" s="170"/>
      <c r="BP57" s="170"/>
      <c r="BQ57" s="170"/>
      <c r="BR57" s="170"/>
      <c r="BS57" s="170"/>
    </row>
    <row r="58" spans="1:71" ht="15">
      <c r="A58" s="175"/>
      <c r="B58" s="175"/>
      <c r="C58" s="175"/>
      <c r="D58" s="175"/>
      <c r="E58" s="175"/>
      <c r="F58" s="175"/>
      <c r="G58" s="170"/>
      <c r="H58" s="170"/>
      <c r="I58" s="170"/>
      <c r="J58" s="170"/>
      <c r="K58" s="170"/>
      <c r="L58" s="2245"/>
      <c r="M58" s="2245"/>
      <c r="N58" s="170"/>
      <c r="O58" s="170"/>
      <c r="P58" s="170"/>
      <c r="Q58" s="170"/>
      <c r="R58" s="170"/>
      <c r="S58" s="170"/>
      <c r="T58" s="170"/>
      <c r="U58" s="170"/>
      <c r="V58" s="170"/>
      <c r="W58" s="170"/>
      <c r="X58" s="171"/>
      <c r="Y58" s="171"/>
      <c r="Z58" s="171"/>
      <c r="AA58" s="171"/>
      <c r="AB58" s="171"/>
      <c r="AC58" s="171"/>
      <c r="AD58" s="171"/>
      <c r="AE58" s="171"/>
      <c r="AF58" s="171"/>
      <c r="AG58" s="170"/>
      <c r="AH58" s="170"/>
      <c r="AI58" s="170"/>
      <c r="AJ58" s="170"/>
      <c r="AK58" s="170"/>
      <c r="AL58" s="170"/>
      <c r="AM58" s="170"/>
      <c r="AN58" s="170"/>
      <c r="AO58" s="170"/>
      <c r="AP58" s="170"/>
      <c r="AQ58" s="170"/>
      <c r="AR58" s="170"/>
      <c r="AS58" s="170"/>
      <c r="AT58" s="170"/>
      <c r="AU58" s="170"/>
      <c r="AV58" s="170"/>
      <c r="AW58" s="170"/>
      <c r="AX58" s="170"/>
      <c r="AY58" s="170"/>
      <c r="AZ58" s="170"/>
      <c r="BA58" s="170"/>
      <c r="BB58" s="170"/>
      <c r="BC58" s="170"/>
      <c r="BD58" s="170"/>
      <c r="BE58" s="170"/>
      <c r="BF58" s="170"/>
      <c r="BG58" s="170"/>
      <c r="BH58" s="170"/>
      <c r="BI58" s="170"/>
      <c r="BJ58" s="170"/>
      <c r="BK58" s="170"/>
      <c r="BL58" s="170"/>
      <c r="BM58" s="170"/>
      <c r="BN58" s="170"/>
      <c r="BO58" s="170"/>
      <c r="BP58" s="170"/>
      <c r="BQ58" s="170"/>
      <c r="BR58" s="170"/>
      <c r="BS58" s="170"/>
    </row>
    <row r="59" spans="1:71" ht="15">
      <c r="A59" s="175"/>
      <c r="B59" s="175"/>
      <c r="C59" s="175"/>
      <c r="D59" s="175"/>
      <c r="E59" s="175"/>
      <c r="F59" s="175"/>
      <c r="G59" s="170"/>
      <c r="H59" s="170"/>
      <c r="I59" s="170"/>
      <c r="J59" s="170"/>
      <c r="K59" s="170"/>
      <c r="L59" s="2245"/>
      <c r="M59" s="2245"/>
      <c r="N59" s="170"/>
      <c r="O59" s="170"/>
      <c r="P59" s="170"/>
      <c r="Q59" s="170"/>
      <c r="R59" s="170"/>
      <c r="S59" s="170"/>
      <c r="T59" s="170"/>
      <c r="U59" s="170"/>
      <c r="V59" s="170"/>
      <c r="W59" s="170"/>
      <c r="X59" s="171"/>
      <c r="Y59" s="171"/>
      <c r="Z59" s="171"/>
      <c r="AA59" s="171"/>
      <c r="AB59" s="171"/>
      <c r="AC59" s="171"/>
      <c r="AD59" s="171"/>
      <c r="AE59" s="171"/>
      <c r="AF59" s="171"/>
      <c r="AG59" s="170"/>
      <c r="AH59" s="170"/>
      <c r="AI59" s="170"/>
      <c r="AJ59" s="170"/>
      <c r="AK59" s="170"/>
      <c r="AL59" s="170"/>
      <c r="AM59" s="170"/>
      <c r="AN59" s="170"/>
      <c r="AO59" s="170"/>
      <c r="AP59" s="170"/>
      <c r="AQ59" s="170"/>
      <c r="AR59" s="170"/>
      <c r="AS59" s="170"/>
      <c r="AT59" s="170"/>
      <c r="AU59" s="170"/>
      <c r="AV59" s="170"/>
      <c r="AW59" s="170"/>
      <c r="AX59" s="170"/>
      <c r="AY59" s="170"/>
      <c r="AZ59" s="170"/>
      <c r="BA59" s="170"/>
      <c r="BB59" s="170"/>
      <c r="BC59" s="170"/>
      <c r="BD59" s="170"/>
      <c r="BE59" s="170"/>
      <c r="BF59" s="170"/>
      <c r="BG59" s="170"/>
      <c r="BH59" s="170"/>
      <c r="BI59" s="170"/>
      <c r="BJ59" s="170"/>
      <c r="BK59" s="170"/>
      <c r="BL59" s="170"/>
      <c r="BM59" s="170"/>
      <c r="BN59" s="170"/>
      <c r="BO59" s="170"/>
      <c r="BP59" s="170"/>
      <c r="BQ59" s="170"/>
      <c r="BR59" s="170"/>
      <c r="BS59" s="170"/>
    </row>
    <row r="60" spans="1:71" ht="15">
      <c r="A60" s="175"/>
      <c r="B60" s="175"/>
      <c r="C60" s="175"/>
      <c r="D60" s="175"/>
      <c r="E60" s="175"/>
      <c r="F60" s="175"/>
      <c r="G60" s="170"/>
      <c r="H60" s="170"/>
      <c r="I60" s="170"/>
      <c r="J60" s="170"/>
      <c r="K60" s="170"/>
      <c r="L60" s="2245"/>
      <c r="M60" s="2245"/>
      <c r="N60" s="170"/>
      <c r="O60" s="170"/>
      <c r="P60" s="170"/>
      <c r="Q60" s="170"/>
      <c r="R60" s="170"/>
      <c r="S60" s="170"/>
      <c r="T60" s="170"/>
      <c r="U60" s="170"/>
      <c r="V60" s="170"/>
      <c r="W60" s="170"/>
      <c r="X60" s="171"/>
      <c r="Y60" s="171"/>
      <c r="Z60" s="171"/>
      <c r="AA60" s="171"/>
      <c r="AB60" s="171"/>
      <c r="AC60" s="171"/>
      <c r="AD60" s="171"/>
      <c r="AE60" s="171"/>
      <c r="AF60" s="171"/>
      <c r="AG60" s="170"/>
      <c r="AH60" s="170"/>
      <c r="AI60" s="170"/>
      <c r="AJ60" s="170"/>
      <c r="AK60" s="170"/>
      <c r="AL60" s="170"/>
      <c r="AM60" s="170"/>
      <c r="AN60" s="170"/>
      <c r="AO60" s="170"/>
      <c r="AP60" s="170"/>
      <c r="AQ60" s="170"/>
      <c r="AR60" s="170"/>
      <c r="AS60" s="170"/>
      <c r="AT60" s="170"/>
      <c r="AU60" s="170"/>
      <c r="AV60" s="170"/>
      <c r="AW60" s="170"/>
      <c r="AX60" s="170"/>
      <c r="AY60" s="170"/>
      <c r="AZ60" s="170"/>
      <c r="BA60" s="170"/>
      <c r="BB60" s="170"/>
      <c r="BC60" s="170"/>
      <c r="BD60" s="170"/>
      <c r="BE60" s="170"/>
      <c r="BF60" s="170"/>
      <c r="BG60" s="170"/>
      <c r="BH60" s="170"/>
      <c r="BI60" s="170"/>
      <c r="BJ60" s="170"/>
      <c r="BK60" s="170"/>
      <c r="BL60" s="170"/>
      <c r="BM60" s="170"/>
      <c r="BN60" s="170"/>
      <c r="BO60" s="170"/>
      <c r="BP60" s="170"/>
      <c r="BQ60" s="170"/>
      <c r="BR60" s="170"/>
      <c r="BS60" s="170"/>
    </row>
    <row r="61" spans="1:71" ht="15">
      <c r="A61" s="175"/>
      <c r="B61" s="175"/>
      <c r="C61" s="175"/>
      <c r="D61" s="175"/>
      <c r="E61" s="175"/>
      <c r="F61" s="175"/>
      <c r="G61" s="170"/>
      <c r="H61" s="170"/>
      <c r="I61" s="170"/>
      <c r="J61" s="170"/>
      <c r="K61" s="170"/>
      <c r="L61" s="2245"/>
      <c r="M61" s="2245"/>
      <c r="N61" s="170"/>
      <c r="O61" s="170"/>
      <c r="P61" s="170"/>
      <c r="Q61" s="170"/>
      <c r="R61" s="170"/>
      <c r="S61" s="170"/>
      <c r="T61" s="170"/>
      <c r="U61" s="170"/>
      <c r="V61" s="170"/>
      <c r="W61" s="170"/>
      <c r="X61" s="171"/>
      <c r="Y61" s="171"/>
      <c r="Z61" s="171"/>
      <c r="AA61" s="171"/>
      <c r="AB61" s="171"/>
      <c r="AC61" s="171"/>
      <c r="AD61" s="171"/>
      <c r="AE61" s="171"/>
      <c r="AF61" s="171"/>
      <c r="AG61" s="170"/>
      <c r="AH61" s="170"/>
      <c r="AI61" s="170"/>
      <c r="AJ61" s="170"/>
      <c r="AK61" s="170"/>
      <c r="AL61" s="170"/>
      <c r="AM61" s="170"/>
      <c r="AN61" s="170"/>
      <c r="AO61" s="170"/>
      <c r="AP61" s="170"/>
      <c r="AQ61" s="170"/>
      <c r="AR61" s="170"/>
      <c r="AS61" s="170"/>
      <c r="AT61" s="170"/>
      <c r="AU61" s="170"/>
      <c r="AV61" s="170"/>
      <c r="AW61" s="170"/>
      <c r="AX61" s="170"/>
      <c r="AY61" s="170"/>
      <c r="AZ61" s="170"/>
      <c r="BA61" s="170"/>
      <c r="BB61" s="170"/>
      <c r="BC61" s="170"/>
      <c r="BD61" s="170"/>
      <c r="BE61" s="170"/>
      <c r="BF61" s="170"/>
      <c r="BG61" s="170"/>
      <c r="BH61" s="170"/>
      <c r="BI61" s="170"/>
      <c r="BJ61" s="170"/>
      <c r="BK61" s="170"/>
      <c r="BL61" s="170"/>
      <c r="BM61" s="170"/>
      <c r="BN61" s="170"/>
      <c r="BO61" s="170"/>
      <c r="BP61" s="170"/>
      <c r="BQ61" s="170"/>
      <c r="BR61" s="170"/>
      <c r="BS61" s="170"/>
    </row>
    <row r="62" spans="1:71" ht="15">
      <c r="A62" s="175"/>
      <c r="B62" s="175"/>
      <c r="C62" s="175"/>
      <c r="D62" s="175"/>
      <c r="E62" s="175"/>
      <c r="F62" s="175"/>
      <c r="G62" s="170"/>
      <c r="H62" s="170"/>
      <c r="I62" s="170"/>
      <c r="J62" s="170"/>
      <c r="K62" s="170"/>
      <c r="L62" s="2245"/>
      <c r="M62" s="2245"/>
      <c r="N62" s="170"/>
      <c r="O62" s="170"/>
      <c r="P62" s="170"/>
      <c r="Q62" s="170"/>
      <c r="R62" s="170"/>
      <c r="S62" s="170"/>
      <c r="T62" s="170"/>
      <c r="U62" s="170"/>
      <c r="V62" s="170"/>
      <c r="W62" s="170"/>
      <c r="X62" s="171"/>
      <c r="Y62" s="171"/>
      <c r="Z62" s="171"/>
      <c r="AA62" s="171"/>
      <c r="AB62" s="171"/>
      <c r="AC62" s="171"/>
      <c r="AD62" s="171"/>
      <c r="AE62" s="171"/>
      <c r="AF62" s="171"/>
      <c r="AG62" s="170"/>
      <c r="AH62" s="170"/>
      <c r="AI62" s="170"/>
      <c r="AJ62" s="170"/>
      <c r="AK62" s="170"/>
      <c r="AL62" s="170"/>
      <c r="AM62" s="170"/>
      <c r="AN62" s="170"/>
      <c r="AO62" s="170"/>
      <c r="AP62" s="170"/>
      <c r="AQ62" s="170"/>
      <c r="AR62" s="170"/>
      <c r="AS62" s="170"/>
      <c r="AT62" s="170"/>
      <c r="AU62" s="170"/>
      <c r="AV62" s="170"/>
      <c r="AW62" s="170"/>
      <c r="AX62" s="170"/>
      <c r="AY62" s="170"/>
      <c r="AZ62" s="170"/>
      <c r="BA62" s="170"/>
      <c r="BB62" s="170"/>
      <c r="BC62" s="170"/>
      <c r="BD62" s="170"/>
      <c r="BE62" s="170"/>
      <c r="BF62" s="170"/>
      <c r="BG62" s="170"/>
      <c r="BH62" s="170"/>
      <c r="BI62" s="170"/>
      <c r="BJ62" s="170"/>
      <c r="BK62" s="170"/>
      <c r="BL62" s="170"/>
      <c r="BM62" s="170"/>
      <c r="BN62" s="170"/>
      <c r="BO62" s="170"/>
      <c r="BP62" s="170"/>
      <c r="BQ62" s="170"/>
      <c r="BR62" s="170"/>
      <c r="BS62" s="170"/>
    </row>
    <row r="63" spans="1:71" ht="15">
      <c r="A63" s="175"/>
      <c r="B63" s="175"/>
      <c r="C63" s="175"/>
      <c r="D63" s="175"/>
      <c r="E63" s="175"/>
      <c r="F63" s="175"/>
      <c r="G63" s="170"/>
      <c r="H63" s="170"/>
      <c r="I63" s="170"/>
      <c r="J63" s="170"/>
      <c r="K63" s="170"/>
      <c r="L63" s="2245"/>
      <c r="M63" s="2245"/>
      <c r="N63" s="170"/>
      <c r="O63" s="170"/>
      <c r="P63" s="170"/>
      <c r="Q63" s="170"/>
      <c r="R63" s="170"/>
      <c r="S63" s="170"/>
      <c r="T63" s="170"/>
      <c r="U63" s="170"/>
      <c r="V63" s="170"/>
      <c r="W63" s="170"/>
      <c r="X63" s="171"/>
      <c r="Y63" s="171"/>
      <c r="Z63" s="171"/>
      <c r="AA63" s="171"/>
      <c r="AB63" s="171"/>
      <c r="AC63" s="171"/>
      <c r="AD63" s="171"/>
      <c r="AE63" s="171"/>
      <c r="AF63" s="171"/>
      <c r="AG63" s="170"/>
      <c r="AH63" s="170"/>
      <c r="AI63" s="170"/>
      <c r="AJ63" s="170"/>
      <c r="AK63" s="170"/>
      <c r="AL63" s="170"/>
      <c r="AM63" s="170"/>
      <c r="AN63" s="170"/>
      <c r="AO63" s="170"/>
      <c r="AP63" s="170"/>
      <c r="AQ63" s="170"/>
      <c r="AR63" s="170"/>
      <c r="AS63" s="170"/>
      <c r="AT63" s="170"/>
      <c r="AU63" s="170"/>
      <c r="AV63" s="170"/>
      <c r="AW63" s="170"/>
      <c r="AX63" s="170"/>
      <c r="AY63" s="170"/>
      <c r="AZ63" s="170"/>
      <c r="BA63" s="170"/>
      <c r="BB63" s="170"/>
      <c r="BC63" s="170"/>
      <c r="BD63" s="170"/>
      <c r="BE63" s="170"/>
      <c r="BF63" s="170"/>
      <c r="BG63" s="170"/>
      <c r="BH63" s="170"/>
      <c r="BI63" s="170"/>
      <c r="BJ63" s="170"/>
      <c r="BK63" s="170"/>
      <c r="BL63" s="170"/>
      <c r="BM63" s="170"/>
      <c r="BN63" s="170"/>
      <c r="BO63" s="170"/>
      <c r="BP63" s="170"/>
      <c r="BQ63" s="170"/>
      <c r="BR63" s="170"/>
      <c r="BS63" s="170"/>
    </row>
    <row r="64" spans="1:71" ht="15">
      <c r="A64" s="175"/>
      <c r="B64" s="175"/>
      <c r="C64" s="175"/>
      <c r="D64" s="175"/>
      <c r="E64" s="175"/>
      <c r="F64" s="175"/>
      <c r="G64" s="170"/>
      <c r="H64" s="170"/>
      <c r="I64" s="170"/>
      <c r="J64" s="170"/>
      <c r="K64" s="170"/>
      <c r="L64" s="2245"/>
      <c r="M64" s="2245"/>
      <c r="N64" s="170"/>
      <c r="O64" s="170"/>
      <c r="P64" s="170"/>
      <c r="Q64" s="170"/>
      <c r="R64" s="170"/>
      <c r="S64" s="170"/>
      <c r="T64" s="170"/>
      <c r="U64" s="170"/>
      <c r="V64" s="170"/>
      <c r="W64" s="170"/>
      <c r="X64" s="171"/>
      <c r="Y64" s="171"/>
      <c r="Z64" s="171"/>
      <c r="AA64" s="171"/>
      <c r="AB64" s="171"/>
      <c r="AC64" s="171"/>
      <c r="AD64" s="171"/>
      <c r="AE64" s="171"/>
      <c r="AF64" s="171"/>
      <c r="AG64" s="170"/>
      <c r="AH64" s="170"/>
      <c r="AI64" s="170"/>
      <c r="AJ64" s="170"/>
      <c r="AK64" s="170"/>
      <c r="AL64" s="170"/>
      <c r="AM64" s="170"/>
      <c r="AN64" s="170"/>
      <c r="AO64" s="170"/>
      <c r="AP64" s="170"/>
      <c r="AQ64" s="170"/>
      <c r="AR64" s="170"/>
      <c r="AS64" s="170"/>
      <c r="AT64" s="170"/>
      <c r="AU64" s="170"/>
      <c r="AV64" s="170"/>
      <c r="AW64" s="170"/>
      <c r="AX64" s="170"/>
      <c r="AY64" s="170"/>
      <c r="AZ64" s="170"/>
      <c r="BA64" s="170"/>
      <c r="BB64" s="170"/>
      <c r="BC64" s="170"/>
      <c r="BD64" s="170"/>
      <c r="BE64" s="170"/>
      <c r="BF64" s="170"/>
      <c r="BG64" s="170"/>
      <c r="BH64" s="170"/>
      <c r="BI64" s="170"/>
      <c r="BJ64" s="170"/>
      <c r="BK64" s="170"/>
      <c r="BL64" s="170"/>
      <c r="BM64" s="170"/>
      <c r="BN64" s="170"/>
      <c r="BO64" s="170"/>
      <c r="BP64" s="170"/>
      <c r="BQ64" s="170"/>
      <c r="BR64" s="170"/>
      <c r="BS64" s="170"/>
    </row>
    <row r="65" spans="1:71" ht="15">
      <c r="A65" s="175"/>
      <c r="B65" s="175"/>
      <c r="C65" s="175"/>
      <c r="D65" s="175"/>
      <c r="E65" s="175"/>
      <c r="F65" s="175"/>
      <c r="G65" s="170"/>
      <c r="H65" s="170"/>
      <c r="I65" s="170"/>
      <c r="J65" s="170"/>
      <c r="K65" s="170"/>
      <c r="L65" s="2245"/>
      <c r="M65" s="2245"/>
      <c r="N65" s="170"/>
      <c r="O65" s="170"/>
      <c r="P65" s="170"/>
      <c r="Q65" s="170"/>
      <c r="R65" s="170"/>
      <c r="S65" s="170"/>
      <c r="T65" s="170"/>
      <c r="U65" s="170"/>
      <c r="V65" s="170"/>
      <c r="W65" s="170"/>
      <c r="X65" s="171"/>
      <c r="Y65" s="171"/>
      <c r="Z65" s="171"/>
      <c r="AA65" s="171"/>
      <c r="AB65" s="171"/>
      <c r="AC65" s="171"/>
      <c r="AD65" s="171"/>
      <c r="AE65" s="171"/>
      <c r="AF65" s="171"/>
      <c r="AG65" s="170"/>
      <c r="AH65" s="170"/>
      <c r="AI65" s="170"/>
      <c r="AJ65" s="170"/>
      <c r="AK65" s="170"/>
      <c r="AL65" s="170"/>
      <c r="AM65" s="170"/>
      <c r="AN65" s="170"/>
      <c r="AO65" s="170"/>
      <c r="AP65" s="170"/>
      <c r="AQ65" s="170"/>
      <c r="AR65" s="170"/>
      <c r="AS65" s="170"/>
      <c r="AT65" s="170"/>
      <c r="AU65" s="170"/>
      <c r="AV65" s="170"/>
      <c r="AW65" s="170"/>
      <c r="AX65" s="170"/>
      <c r="AY65" s="170"/>
      <c r="AZ65" s="170"/>
      <c r="BA65" s="170"/>
      <c r="BB65" s="170"/>
      <c r="BC65" s="170"/>
      <c r="BD65" s="170"/>
      <c r="BE65" s="170"/>
      <c r="BF65" s="170"/>
      <c r="BG65" s="170"/>
      <c r="BH65" s="170"/>
      <c r="BI65" s="170"/>
      <c r="BJ65" s="170"/>
      <c r="BK65" s="170"/>
      <c r="BL65" s="170"/>
      <c r="BM65" s="170"/>
      <c r="BN65" s="170"/>
      <c r="BO65" s="170"/>
      <c r="BP65" s="170"/>
      <c r="BQ65" s="170"/>
      <c r="BR65" s="170"/>
      <c r="BS65" s="170"/>
    </row>
    <row r="66" spans="1:71" ht="15">
      <c r="A66" s="175"/>
      <c r="B66" s="175"/>
      <c r="C66" s="175"/>
      <c r="D66" s="175"/>
      <c r="E66" s="175"/>
      <c r="F66" s="175"/>
      <c r="G66" s="170"/>
      <c r="H66" s="170"/>
      <c r="I66" s="170"/>
      <c r="J66" s="170"/>
      <c r="K66" s="170"/>
      <c r="L66" s="2245"/>
      <c r="M66" s="2245"/>
      <c r="N66" s="170"/>
      <c r="O66" s="170"/>
      <c r="P66" s="170"/>
      <c r="Q66" s="170"/>
      <c r="R66" s="170"/>
      <c r="S66" s="170"/>
      <c r="T66" s="170"/>
      <c r="U66" s="170"/>
      <c r="V66" s="170"/>
      <c r="W66" s="170"/>
      <c r="X66" s="171"/>
      <c r="Y66" s="171"/>
      <c r="Z66" s="171"/>
      <c r="AA66" s="171"/>
      <c r="AB66" s="171"/>
      <c r="AC66" s="171"/>
      <c r="AD66" s="171"/>
      <c r="AE66" s="171"/>
      <c r="AF66" s="171"/>
      <c r="AG66" s="170"/>
      <c r="AH66" s="170"/>
      <c r="AI66" s="170"/>
      <c r="AJ66" s="170"/>
      <c r="AK66" s="170"/>
      <c r="AL66" s="170"/>
      <c r="AM66" s="170"/>
      <c r="AN66" s="170"/>
      <c r="AO66" s="170"/>
      <c r="AP66" s="170"/>
      <c r="AQ66" s="170"/>
      <c r="AR66" s="170"/>
      <c r="AS66" s="170"/>
      <c r="AT66" s="170"/>
      <c r="AU66" s="170"/>
      <c r="AV66" s="170"/>
      <c r="AW66" s="170"/>
      <c r="AX66" s="170"/>
      <c r="AY66" s="170"/>
      <c r="AZ66" s="170"/>
      <c r="BA66" s="170"/>
      <c r="BB66" s="170"/>
      <c r="BC66" s="170"/>
      <c r="BD66" s="170"/>
      <c r="BE66" s="170"/>
      <c r="BF66" s="170"/>
      <c r="BG66" s="170"/>
      <c r="BH66" s="170"/>
      <c r="BI66" s="170"/>
      <c r="BJ66" s="170"/>
      <c r="BK66" s="170"/>
      <c r="BL66" s="170"/>
      <c r="BM66" s="170"/>
      <c r="BN66" s="170"/>
      <c r="BO66" s="170"/>
      <c r="BP66" s="170"/>
      <c r="BQ66" s="170"/>
      <c r="BR66" s="170"/>
      <c r="BS66" s="170"/>
    </row>
    <row r="67" spans="1:71" ht="15">
      <c r="A67" s="175"/>
      <c r="B67" s="175"/>
      <c r="C67" s="175"/>
      <c r="D67" s="175"/>
      <c r="E67" s="175"/>
      <c r="F67" s="175"/>
      <c r="G67" s="170"/>
      <c r="H67" s="170"/>
      <c r="I67" s="170"/>
      <c r="J67" s="170"/>
      <c r="K67" s="170"/>
      <c r="L67" s="2245"/>
      <c r="M67" s="2245"/>
      <c r="N67" s="170"/>
      <c r="O67" s="170"/>
      <c r="P67" s="170"/>
      <c r="Q67" s="170"/>
      <c r="R67" s="170"/>
      <c r="S67" s="170"/>
      <c r="T67" s="170"/>
      <c r="U67" s="170"/>
      <c r="V67" s="170"/>
      <c r="W67" s="170"/>
      <c r="X67" s="171"/>
      <c r="Y67" s="171"/>
      <c r="Z67" s="171"/>
      <c r="AA67" s="171"/>
      <c r="AB67" s="171"/>
      <c r="AC67" s="171"/>
      <c r="AD67" s="171"/>
      <c r="AE67" s="171"/>
      <c r="AF67" s="171"/>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c r="BI67" s="170"/>
      <c r="BJ67" s="170"/>
      <c r="BK67" s="170"/>
      <c r="BL67" s="170"/>
      <c r="BM67" s="170"/>
      <c r="BN67" s="170"/>
      <c r="BO67" s="170"/>
      <c r="BP67" s="170"/>
      <c r="BQ67" s="170"/>
      <c r="BR67" s="170"/>
      <c r="BS67" s="170"/>
    </row>
    <row r="68" spans="1:71" ht="15">
      <c r="A68" s="175"/>
      <c r="B68" s="175"/>
      <c r="C68" s="175"/>
      <c r="D68" s="175"/>
      <c r="E68" s="175"/>
      <c r="F68" s="175"/>
      <c r="G68" s="170"/>
      <c r="H68" s="170"/>
      <c r="I68" s="170"/>
      <c r="J68" s="170"/>
      <c r="K68" s="170"/>
      <c r="L68" s="2245"/>
      <c r="M68" s="2245"/>
      <c r="N68" s="170"/>
      <c r="O68" s="170"/>
      <c r="P68" s="170"/>
      <c r="Q68" s="170"/>
      <c r="R68" s="170"/>
      <c r="S68" s="170"/>
      <c r="T68" s="170"/>
      <c r="U68" s="170"/>
      <c r="V68" s="170"/>
      <c r="W68" s="170"/>
      <c r="X68" s="171"/>
      <c r="Y68" s="171"/>
      <c r="Z68" s="171"/>
      <c r="AA68" s="171"/>
      <c r="AB68" s="171"/>
      <c r="AC68" s="171"/>
      <c r="AD68" s="171"/>
      <c r="AE68" s="171"/>
      <c r="AF68" s="171"/>
      <c r="AG68" s="170"/>
      <c r="AH68" s="170"/>
      <c r="AI68" s="170"/>
      <c r="AJ68" s="170"/>
      <c r="AK68" s="170"/>
      <c r="AL68" s="170"/>
      <c r="AM68" s="170"/>
      <c r="AN68" s="170"/>
      <c r="AO68" s="170"/>
      <c r="AP68" s="170"/>
      <c r="AQ68" s="170"/>
      <c r="AR68" s="170"/>
      <c r="AS68" s="170"/>
      <c r="AT68" s="170"/>
      <c r="AU68" s="170"/>
      <c r="AV68" s="170"/>
      <c r="AW68" s="170"/>
      <c r="AX68" s="170"/>
      <c r="AY68" s="170"/>
      <c r="AZ68" s="170"/>
      <c r="BA68" s="170"/>
      <c r="BB68" s="170"/>
      <c r="BC68" s="170"/>
      <c r="BD68" s="170"/>
      <c r="BE68" s="170"/>
      <c r="BF68" s="170"/>
      <c r="BG68" s="170"/>
      <c r="BH68" s="170"/>
      <c r="BI68" s="170"/>
      <c r="BJ68" s="170"/>
      <c r="BK68" s="170"/>
      <c r="BL68" s="170"/>
      <c r="BM68" s="170"/>
      <c r="BN68" s="170"/>
      <c r="BO68" s="170"/>
      <c r="BP68" s="170"/>
      <c r="BQ68" s="170"/>
      <c r="BR68" s="170"/>
      <c r="BS68" s="170"/>
    </row>
    <row r="69" spans="1:71" ht="15">
      <c r="A69" s="175"/>
      <c r="B69" s="175"/>
      <c r="C69" s="175"/>
      <c r="D69" s="175"/>
      <c r="E69" s="175"/>
      <c r="F69" s="175"/>
      <c r="G69" s="171"/>
      <c r="H69" s="171"/>
      <c r="I69" s="171"/>
      <c r="J69" s="171"/>
      <c r="K69" s="171"/>
      <c r="L69" s="2246"/>
      <c r="M69" s="2246"/>
      <c r="N69" s="171"/>
      <c r="O69" s="171"/>
      <c r="P69" s="171"/>
      <c r="Q69" s="171"/>
      <c r="R69" s="171"/>
      <c r="S69" s="171"/>
      <c r="T69" s="171"/>
      <c r="U69" s="171"/>
      <c r="V69" s="171"/>
      <c r="W69" s="171"/>
      <c r="X69" s="171"/>
      <c r="Y69" s="171"/>
      <c r="Z69" s="171"/>
      <c r="AA69" s="171"/>
      <c r="AB69" s="171"/>
      <c r="AC69" s="171"/>
      <c r="AD69" s="171"/>
      <c r="AE69" s="171"/>
      <c r="AF69" s="171"/>
      <c r="AG69" s="171"/>
      <c r="AH69" s="171"/>
      <c r="AI69" s="171"/>
      <c r="AJ69" s="171"/>
      <c r="AK69" s="171"/>
      <c r="AL69" s="171"/>
      <c r="AM69" s="171"/>
      <c r="AN69" s="171"/>
      <c r="AO69" s="171"/>
      <c r="AP69" s="171"/>
      <c r="AQ69" s="171"/>
      <c r="AR69" s="171"/>
      <c r="AS69" s="171"/>
      <c r="AT69" s="171"/>
      <c r="AU69" s="171"/>
      <c r="AV69" s="171"/>
      <c r="AW69" s="171"/>
      <c r="AX69" s="171"/>
      <c r="AY69" s="171"/>
      <c r="AZ69" s="171"/>
      <c r="BA69" s="171"/>
      <c r="BB69" s="171"/>
      <c r="BC69" s="171"/>
      <c r="BD69" s="171"/>
      <c r="BE69" s="171"/>
      <c r="BF69" s="171"/>
      <c r="BG69" s="171"/>
      <c r="BH69" s="171"/>
      <c r="BI69" s="171"/>
      <c r="BJ69" s="171"/>
      <c r="BK69" s="171"/>
      <c r="BL69" s="171"/>
      <c r="BM69" s="171"/>
      <c r="BN69" s="171"/>
      <c r="BO69" s="171"/>
      <c r="BP69" s="171"/>
      <c r="BQ69" s="171"/>
      <c r="BR69" s="171"/>
      <c r="BS69" s="171"/>
    </row>
    <row r="70" spans="1:71" ht="15">
      <c r="A70" s="175"/>
      <c r="B70" s="175"/>
      <c r="C70" s="175"/>
      <c r="D70" s="175"/>
      <c r="E70" s="175"/>
      <c r="F70" s="175"/>
      <c r="G70" s="171"/>
      <c r="H70" s="171"/>
      <c r="I70" s="171"/>
      <c r="J70" s="171"/>
      <c r="K70" s="171"/>
      <c r="L70" s="2246"/>
      <c r="M70" s="2246"/>
      <c r="N70" s="171"/>
      <c r="O70" s="171"/>
      <c r="P70" s="171"/>
      <c r="Q70" s="171"/>
      <c r="R70" s="171"/>
      <c r="S70" s="171"/>
      <c r="T70" s="171"/>
      <c r="U70" s="171"/>
      <c r="V70" s="171"/>
      <c r="W70" s="171"/>
      <c r="X70" s="171"/>
      <c r="Y70" s="171"/>
      <c r="Z70" s="171"/>
      <c r="AA70" s="171"/>
      <c r="AB70" s="171"/>
      <c r="AC70" s="171"/>
      <c r="AD70" s="171"/>
      <c r="AE70" s="171"/>
      <c r="AF70" s="171"/>
      <c r="AG70" s="171"/>
      <c r="AH70" s="171"/>
      <c r="AI70" s="171"/>
      <c r="AJ70" s="171"/>
      <c r="AK70" s="171"/>
      <c r="AL70" s="171"/>
      <c r="AM70" s="171"/>
      <c r="AN70" s="171"/>
      <c r="AO70" s="171"/>
      <c r="AP70" s="171"/>
      <c r="AQ70" s="171"/>
      <c r="AR70" s="171"/>
      <c r="AS70" s="171"/>
      <c r="AT70" s="171"/>
      <c r="AU70" s="171"/>
      <c r="AV70" s="171"/>
      <c r="AW70" s="171"/>
      <c r="AX70" s="171"/>
      <c r="AY70" s="171"/>
      <c r="AZ70" s="171"/>
      <c r="BA70" s="171"/>
      <c r="BB70" s="171"/>
      <c r="BC70" s="171"/>
      <c r="BD70" s="171"/>
      <c r="BE70" s="171"/>
      <c r="BF70" s="171"/>
      <c r="BG70" s="171"/>
      <c r="BH70" s="171"/>
      <c r="BI70" s="171"/>
      <c r="BJ70" s="171"/>
      <c r="BK70" s="171"/>
      <c r="BL70" s="171"/>
      <c r="BM70" s="171"/>
      <c r="BN70" s="171"/>
      <c r="BO70" s="171"/>
      <c r="BP70" s="171"/>
      <c r="BQ70" s="171"/>
      <c r="BR70" s="171"/>
      <c r="BS70" s="171"/>
    </row>
    <row r="71" spans="1:71" ht="15">
      <c r="A71" s="175"/>
      <c r="B71" s="175"/>
      <c r="C71" s="175"/>
      <c r="D71" s="175"/>
      <c r="E71" s="175"/>
      <c r="F71" s="175"/>
      <c r="G71" s="171"/>
      <c r="H71" s="171"/>
      <c r="I71" s="171"/>
      <c r="J71" s="171"/>
      <c r="K71" s="171"/>
      <c r="L71" s="2246"/>
      <c r="M71" s="2246"/>
      <c r="N71" s="171"/>
      <c r="O71" s="171"/>
      <c r="P71" s="171"/>
      <c r="Q71" s="171"/>
      <c r="R71" s="171"/>
      <c r="S71" s="171"/>
      <c r="T71" s="171"/>
      <c r="U71" s="171"/>
      <c r="V71" s="171"/>
      <c r="W71" s="171"/>
      <c r="AG71" s="171"/>
      <c r="AH71" s="171"/>
      <c r="AI71" s="171"/>
      <c r="AJ71" s="171"/>
      <c r="AK71" s="171"/>
      <c r="AL71" s="171"/>
      <c r="AM71" s="171"/>
      <c r="AN71" s="171"/>
      <c r="AO71" s="171"/>
      <c r="AP71" s="171"/>
      <c r="AQ71" s="171"/>
      <c r="AR71" s="171"/>
      <c r="AS71" s="171"/>
      <c r="AT71" s="171"/>
      <c r="AU71" s="171"/>
      <c r="AV71" s="171"/>
      <c r="AW71" s="171"/>
      <c r="AX71" s="171"/>
      <c r="AY71" s="171"/>
      <c r="AZ71" s="171"/>
      <c r="BA71" s="171"/>
      <c r="BB71" s="171"/>
      <c r="BC71" s="171"/>
      <c r="BD71" s="171"/>
      <c r="BE71" s="171"/>
      <c r="BF71" s="171"/>
      <c r="BG71" s="171"/>
      <c r="BH71" s="171"/>
      <c r="BI71" s="171"/>
      <c r="BJ71" s="171"/>
      <c r="BK71" s="171"/>
      <c r="BL71" s="171"/>
      <c r="BM71" s="171"/>
      <c r="BN71" s="171"/>
      <c r="BO71" s="171"/>
      <c r="BP71" s="171"/>
      <c r="BQ71" s="171"/>
      <c r="BR71" s="171"/>
      <c r="BS71" s="171"/>
    </row>
    <row r="72" spans="1:71" ht="15">
      <c r="A72" s="175"/>
      <c r="B72" s="175"/>
      <c r="C72" s="175"/>
      <c r="D72" s="175"/>
      <c r="E72" s="175"/>
      <c r="F72" s="175"/>
      <c r="G72" s="171"/>
      <c r="H72" s="171"/>
      <c r="I72" s="171"/>
      <c r="J72" s="171"/>
      <c r="K72" s="171"/>
      <c r="L72" s="2246"/>
      <c r="M72" s="2246"/>
      <c r="N72" s="171"/>
      <c r="O72" s="171"/>
      <c r="P72" s="171"/>
      <c r="Q72" s="171"/>
      <c r="R72" s="171"/>
      <c r="S72" s="171"/>
      <c r="T72" s="171"/>
      <c r="U72" s="171"/>
      <c r="V72" s="171"/>
      <c r="W72" s="171"/>
      <c r="AG72" s="171"/>
      <c r="AH72" s="171"/>
      <c r="AI72" s="171"/>
      <c r="AJ72" s="171"/>
      <c r="AK72" s="171"/>
      <c r="AL72" s="171"/>
      <c r="AM72" s="171"/>
      <c r="AN72" s="171"/>
      <c r="AO72" s="171"/>
      <c r="AP72" s="171"/>
      <c r="AQ72" s="171"/>
      <c r="AR72" s="171"/>
      <c r="AS72" s="171"/>
      <c r="AT72" s="171"/>
      <c r="AU72" s="171"/>
      <c r="AV72" s="171"/>
      <c r="AW72" s="171"/>
      <c r="AX72" s="171"/>
      <c r="AY72" s="171"/>
      <c r="AZ72" s="171"/>
      <c r="BA72" s="171"/>
      <c r="BB72" s="171"/>
      <c r="BC72" s="171"/>
      <c r="BD72" s="171"/>
      <c r="BE72" s="171"/>
      <c r="BF72" s="171"/>
      <c r="BG72" s="171"/>
      <c r="BH72" s="171"/>
      <c r="BI72" s="171"/>
      <c r="BJ72" s="171"/>
      <c r="BK72" s="171"/>
      <c r="BL72" s="171"/>
      <c r="BM72" s="171"/>
      <c r="BN72" s="171"/>
      <c r="BO72" s="171"/>
      <c r="BP72" s="171"/>
      <c r="BQ72" s="171"/>
      <c r="BR72" s="171"/>
      <c r="BS72" s="171"/>
    </row>
    <row r="73" spans="1:71" ht="15">
      <c r="A73" s="175"/>
      <c r="B73" s="175"/>
      <c r="C73" s="175"/>
      <c r="D73" s="175"/>
      <c r="E73" s="175"/>
      <c r="F73" s="175"/>
      <c r="G73" s="171"/>
      <c r="H73" s="171"/>
      <c r="I73" s="171"/>
      <c r="J73" s="171"/>
      <c r="K73" s="171"/>
      <c r="L73" s="2246"/>
      <c r="M73" s="2246"/>
      <c r="N73" s="171"/>
      <c r="O73" s="171"/>
      <c r="P73" s="171"/>
      <c r="Q73" s="171"/>
      <c r="R73" s="171"/>
      <c r="S73" s="171"/>
      <c r="T73" s="171"/>
      <c r="U73" s="171"/>
      <c r="V73" s="171"/>
      <c r="W73" s="171"/>
      <c r="AG73" s="171"/>
      <c r="AH73" s="171"/>
      <c r="AI73" s="171"/>
      <c r="AJ73" s="171"/>
      <c r="AK73" s="171"/>
      <c r="AL73" s="171"/>
      <c r="AM73" s="171"/>
      <c r="AN73" s="171"/>
      <c r="AO73" s="171"/>
      <c r="AP73" s="171"/>
      <c r="AQ73" s="171"/>
      <c r="AR73" s="171"/>
      <c r="AS73" s="171"/>
      <c r="AT73" s="171"/>
      <c r="AU73" s="171"/>
      <c r="AV73" s="171"/>
      <c r="AW73" s="171"/>
      <c r="AX73" s="171"/>
      <c r="AY73" s="171"/>
      <c r="AZ73" s="171"/>
      <c r="BA73" s="171"/>
      <c r="BB73" s="171"/>
      <c r="BC73" s="171"/>
      <c r="BD73" s="171"/>
      <c r="BE73" s="171"/>
      <c r="BF73" s="171"/>
      <c r="BG73" s="171"/>
      <c r="BH73" s="171"/>
      <c r="BI73" s="171"/>
      <c r="BJ73" s="171"/>
      <c r="BK73" s="171"/>
      <c r="BL73" s="171"/>
      <c r="BM73" s="171"/>
      <c r="BN73" s="171"/>
      <c r="BO73" s="171"/>
      <c r="BP73" s="171"/>
      <c r="BQ73" s="171"/>
      <c r="BR73" s="171"/>
      <c r="BS73" s="171"/>
    </row>
    <row r="74" spans="1:71" ht="15">
      <c r="A74" s="175"/>
      <c r="B74" s="175"/>
      <c r="C74" s="175"/>
      <c r="D74" s="175"/>
      <c r="E74" s="175"/>
      <c r="F74" s="175"/>
      <c r="G74" s="171"/>
      <c r="H74" s="171"/>
      <c r="I74" s="171"/>
      <c r="J74" s="171"/>
      <c r="K74" s="171"/>
      <c r="L74" s="2246"/>
      <c r="M74" s="2246"/>
      <c r="N74" s="171"/>
      <c r="O74" s="171"/>
      <c r="P74" s="171"/>
      <c r="Q74" s="171"/>
      <c r="R74" s="171"/>
      <c r="S74" s="171"/>
      <c r="T74" s="171"/>
      <c r="U74" s="171"/>
      <c r="V74" s="171"/>
      <c r="W74" s="171"/>
      <c r="AG74" s="171"/>
      <c r="AH74" s="171"/>
      <c r="AI74" s="171"/>
      <c r="AJ74" s="171"/>
      <c r="AK74" s="171"/>
      <c r="AL74" s="171"/>
      <c r="AM74" s="171"/>
      <c r="AN74" s="171"/>
      <c r="AO74" s="171"/>
      <c r="AP74" s="171"/>
      <c r="AQ74" s="171"/>
      <c r="AR74" s="171"/>
      <c r="AS74" s="171"/>
      <c r="AT74" s="171"/>
      <c r="AU74" s="171"/>
      <c r="AV74" s="171"/>
      <c r="AW74" s="171"/>
      <c r="AX74" s="171"/>
      <c r="AY74" s="171"/>
      <c r="AZ74" s="171"/>
      <c r="BA74" s="171"/>
      <c r="BB74" s="171"/>
      <c r="BC74" s="171"/>
      <c r="BD74" s="171"/>
      <c r="BE74" s="171"/>
      <c r="BF74" s="171"/>
      <c r="BG74" s="171"/>
      <c r="BH74" s="171"/>
      <c r="BI74" s="171"/>
      <c r="BJ74" s="171"/>
      <c r="BK74" s="171"/>
      <c r="BL74" s="171"/>
      <c r="BM74" s="171"/>
      <c r="BN74" s="171"/>
      <c r="BO74" s="171"/>
      <c r="BP74" s="171"/>
      <c r="BQ74" s="171"/>
      <c r="BR74" s="171"/>
      <c r="BS74" s="171"/>
    </row>
    <row r="75" spans="1:71" ht="15">
      <c r="A75" s="175"/>
      <c r="B75" s="175"/>
      <c r="C75" s="175"/>
      <c r="D75" s="175"/>
      <c r="E75" s="175"/>
      <c r="F75" s="175"/>
      <c r="G75" s="171"/>
      <c r="H75" s="171"/>
      <c r="I75" s="171"/>
      <c r="J75" s="171"/>
      <c r="K75" s="171"/>
      <c r="L75" s="2246"/>
      <c r="M75" s="2246"/>
      <c r="N75" s="171"/>
      <c r="O75" s="171"/>
      <c r="P75" s="171"/>
      <c r="Q75" s="171"/>
      <c r="R75" s="171"/>
      <c r="S75" s="171"/>
      <c r="T75" s="171"/>
      <c r="U75" s="171"/>
      <c r="V75" s="171"/>
      <c r="W75" s="171"/>
      <c r="AG75" s="171"/>
      <c r="AH75" s="171"/>
      <c r="AI75" s="171"/>
      <c r="AJ75" s="171"/>
      <c r="AK75" s="171"/>
      <c r="AL75" s="171"/>
      <c r="AM75" s="171"/>
      <c r="AN75" s="171"/>
      <c r="AO75" s="171"/>
      <c r="AP75" s="171"/>
      <c r="AQ75" s="171"/>
      <c r="AR75" s="171"/>
      <c r="AS75" s="171"/>
      <c r="AT75" s="171"/>
      <c r="AU75" s="171"/>
      <c r="AV75" s="171"/>
      <c r="AW75" s="171"/>
      <c r="AX75" s="171"/>
      <c r="AY75" s="171"/>
      <c r="AZ75" s="171"/>
      <c r="BA75" s="171"/>
      <c r="BB75" s="171"/>
      <c r="BC75" s="171"/>
      <c r="BD75" s="171"/>
      <c r="BE75" s="171"/>
      <c r="BF75" s="171"/>
      <c r="BG75" s="171"/>
      <c r="BH75" s="171"/>
      <c r="BI75" s="171"/>
      <c r="BJ75" s="171"/>
      <c r="BK75" s="171"/>
      <c r="BL75" s="171"/>
      <c r="BM75" s="171"/>
      <c r="BN75" s="171"/>
      <c r="BO75" s="171"/>
      <c r="BP75" s="171"/>
      <c r="BQ75" s="171"/>
      <c r="BR75" s="171"/>
      <c r="BS75" s="171"/>
    </row>
    <row r="76" spans="1:71" ht="15">
      <c r="A76" s="175"/>
      <c r="B76" s="175"/>
      <c r="C76" s="175"/>
      <c r="D76" s="175"/>
      <c r="E76" s="175"/>
      <c r="F76" s="175"/>
      <c r="G76" s="171"/>
      <c r="H76" s="171"/>
      <c r="I76" s="171"/>
      <c r="J76" s="171"/>
      <c r="K76" s="171"/>
      <c r="L76" s="2246"/>
      <c r="M76" s="2246"/>
      <c r="N76" s="171"/>
      <c r="O76" s="171"/>
      <c r="P76" s="171"/>
      <c r="Q76" s="171"/>
      <c r="R76" s="171"/>
      <c r="S76" s="171"/>
      <c r="T76" s="171"/>
      <c r="U76" s="171"/>
      <c r="V76" s="171"/>
      <c r="W76" s="171"/>
      <c r="AG76" s="171"/>
      <c r="AH76" s="171"/>
      <c r="AI76" s="171"/>
      <c r="AJ76" s="171"/>
      <c r="AK76" s="171"/>
      <c r="AL76" s="171"/>
      <c r="AM76" s="171"/>
      <c r="AN76" s="171"/>
      <c r="AO76" s="171"/>
      <c r="AP76" s="171"/>
      <c r="AQ76" s="171"/>
      <c r="AR76" s="171"/>
      <c r="AS76" s="171"/>
      <c r="AT76" s="171"/>
      <c r="AU76" s="171"/>
      <c r="AV76" s="171"/>
      <c r="AW76" s="171"/>
      <c r="AX76" s="171"/>
      <c r="AY76" s="171"/>
      <c r="AZ76" s="171"/>
      <c r="BA76" s="171"/>
      <c r="BB76" s="171"/>
      <c r="BC76" s="171"/>
      <c r="BD76" s="171"/>
      <c r="BE76" s="171"/>
      <c r="BF76" s="171"/>
      <c r="BG76" s="171"/>
      <c r="BH76" s="171"/>
      <c r="BI76" s="171"/>
      <c r="BJ76" s="171"/>
      <c r="BK76" s="171"/>
      <c r="BL76" s="171"/>
      <c r="BM76" s="171"/>
      <c r="BN76" s="171"/>
      <c r="BO76" s="171"/>
      <c r="BP76" s="171"/>
      <c r="BQ76" s="171"/>
      <c r="BR76" s="171"/>
      <c r="BS76" s="171"/>
    </row>
    <row r="77" spans="1:71" ht="15">
      <c r="A77" s="175"/>
      <c r="B77" s="175"/>
      <c r="C77" s="175"/>
      <c r="D77" s="175"/>
      <c r="E77" s="175"/>
      <c r="F77" s="175"/>
      <c r="G77" s="171"/>
      <c r="H77" s="171"/>
      <c r="I77" s="171"/>
      <c r="J77" s="171"/>
      <c r="K77" s="171"/>
      <c r="L77" s="2246"/>
      <c r="M77" s="2246"/>
      <c r="N77" s="171"/>
      <c r="O77" s="171"/>
      <c r="P77" s="171"/>
      <c r="Q77" s="171"/>
      <c r="R77" s="171"/>
      <c r="S77" s="171"/>
      <c r="T77" s="171"/>
      <c r="U77" s="171"/>
      <c r="V77" s="171"/>
      <c r="W77" s="171"/>
      <c r="AG77" s="171"/>
      <c r="AH77" s="171"/>
      <c r="AI77" s="171"/>
      <c r="AJ77" s="171"/>
      <c r="AK77" s="171"/>
      <c r="AL77" s="171"/>
      <c r="AM77" s="171"/>
      <c r="AN77" s="171"/>
      <c r="AO77" s="171"/>
      <c r="AP77" s="171"/>
      <c r="AQ77" s="171"/>
      <c r="AR77" s="171"/>
      <c r="AS77" s="171"/>
      <c r="AT77" s="171"/>
      <c r="AU77" s="171"/>
      <c r="AV77" s="171"/>
      <c r="AW77" s="171"/>
      <c r="AX77" s="171"/>
      <c r="AY77" s="171"/>
      <c r="AZ77" s="171"/>
      <c r="BA77" s="171"/>
      <c r="BB77" s="171"/>
      <c r="BC77" s="171"/>
      <c r="BD77" s="171"/>
      <c r="BE77" s="171"/>
      <c r="BF77" s="171"/>
      <c r="BG77" s="171"/>
      <c r="BH77" s="171"/>
      <c r="BI77" s="171"/>
      <c r="BJ77" s="171"/>
      <c r="BK77" s="171"/>
      <c r="BL77" s="171"/>
      <c r="BM77" s="171"/>
      <c r="BN77" s="171"/>
      <c r="BO77" s="171"/>
      <c r="BP77" s="171"/>
      <c r="BQ77" s="171"/>
      <c r="BR77" s="171"/>
      <c r="BS77" s="171"/>
    </row>
    <row r="78" spans="1:71" ht="15">
      <c r="A78" s="175"/>
      <c r="B78" s="175"/>
      <c r="C78" s="175"/>
      <c r="D78" s="175"/>
      <c r="E78" s="175"/>
      <c r="F78" s="175"/>
      <c r="G78" s="171"/>
      <c r="H78" s="171"/>
      <c r="I78" s="171"/>
      <c r="J78" s="171"/>
      <c r="K78" s="171"/>
      <c r="L78" s="2246"/>
      <c r="M78" s="2246"/>
      <c r="N78" s="171"/>
      <c r="O78" s="171"/>
      <c r="P78" s="171"/>
      <c r="Q78" s="171"/>
      <c r="R78" s="171"/>
      <c r="S78" s="171"/>
      <c r="T78" s="171"/>
      <c r="U78" s="171"/>
      <c r="V78" s="171"/>
      <c r="W78" s="171"/>
      <c r="AG78" s="171"/>
      <c r="AH78" s="171"/>
      <c r="AI78" s="171"/>
      <c r="AJ78" s="171"/>
      <c r="AK78" s="171"/>
      <c r="AL78" s="171"/>
      <c r="AM78" s="171"/>
      <c r="AN78" s="171"/>
      <c r="AO78" s="171"/>
      <c r="AP78" s="171"/>
      <c r="AQ78" s="171"/>
      <c r="AR78" s="171"/>
      <c r="AS78" s="171"/>
      <c r="AT78" s="171"/>
      <c r="AU78" s="171"/>
      <c r="AV78" s="171"/>
      <c r="AW78" s="171"/>
      <c r="AX78" s="171"/>
      <c r="AY78" s="171"/>
      <c r="AZ78" s="171"/>
      <c r="BA78" s="171"/>
      <c r="BB78" s="171"/>
      <c r="BC78" s="171"/>
      <c r="BD78" s="171"/>
      <c r="BE78" s="171"/>
      <c r="BF78" s="171"/>
      <c r="BG78" s="171"/>
      <c r="BH78" s="171"/>
      <c r="BI78" s="171"/>
      <c r="BJ78" s="171"/>
      <c r="BK78" s="171"/>
      <c r="BL78" s="171"/>
      <c r="BM78" s="171"/>
      <c r="BN78" s="171"/>
      <c r="BO78" s="171"/>
      <c r="BP78" s="171"/>
      <c r="BQ78" s="171"/>
      <c r="BR78" s="171"/>
      <c r="BS78" s="171"/>
    </row>
    <row r="79" spans="1:71" ht="15">
      <c r="A79" s="175"/>
      <c r="B79" s="175"/>
      <c r="C79" s="175"/>
      <c r="D79" s="175"/>
      <c r="E79" s="175"/>
      <c r="F79" s="175"/>
      <c r="G79" s="171"/>
      <c r="H79" s="171"/>
      <c r="I79" s="171"/>
      <c r="J79" s="171"/>
      <c r="K79" s="171"/>
      <c r="L79" s="2246"/>
      <c r="M79" s="2246"/>
      <c r="N79" s="171"/>
      <c r="O79" s="171"/>
      <c r="P79" s="171"/>
      <c r="Q79" s="171"/>
      <c r="R79" s="171"/>
      <c r="S79" s="171"/>
      <c r="T79" s="171"/>
      <c r="U79" s="171"/>
      <c r="V79" s="171"/>
      <c r="W79" s="171"/>
      <c r="AG79" s="171"/>
      <c r="AH79" s="171"/>
      <c r="AI79" s="171"/>
      <c r="AJ79" s="171"/>
      <c r="AK79" s="171"/>
      <c r="AL79" s="171"/>
      <c r="AM79" s="171"/>
      <c r="AN79" s="171"/>
      <c r="AO79" s="171"/>
      <c r="AP79" s="171"/>
      <c r="AQ79" s="171"/>
      <c r="AR79" s="171"/>
      <c r="AS79" s="171"/>
      <c r="AT79" s="171"/>
      <c r="AU79" s="171"/>
      <c r="AV79" s="171"/>
      <c r="AW79" s="171"/>
      <c r="AX79" s="171"/>
      <c r="AY79" s="171"/>
      <c r="AZ79" s="171"/>
      <c r="BA79" s="171"/>
      <c r="BB79" s="171"/>
      <c r="BC79" s="171"/>
      <c r="BD79" s="171"/>
      <c r="BE79" s="171"/>
      <c r="BF79" s="171"/>
      <c r="BG79" s="171"/>
      <c r="BH79" s="171"/>
      <c r="BI79" s="171"/>
      <c r="BJ79" s="171"/>
      <c r="BK79" s="171"/>
      <c r="BL79" s="171"/>
      <c r="BM79" s="171"/>
      <c r="BN79" s="171"/>
      <c r="BO79" s="171"/>
      <c r="BP79" s="171"/>
      <c r="BQ79" s="171"/>
      <c r="BR79" s="171"/>
      <c r="BS79" s="171"/>
    </row>
    <row r="80" spans="1:71" ht="15">
      <c r="A80" s="175"/>
      <c r="B80" s="175"/>
      <c r="C80" s="175"/>
      <c r="D80" s="175"/>
      <c r="E80" s="175"/>
      <c r="F80" s="175"/>
      <c r="G80" s="171"/>
      <c r="H80" s="171"/>
      <c r="I80" s="171"/>
      <c r="J80" s="171"/>
      <c r="K80" s="171"/>
      <c r="L80" s="2246"/>
      <c r="M80" s="2246"/>
      <c r="N80" s="171"/>
      <c r="O80" s="171"/>
      <c r="P80" s="171"/>
      <c r="Q80" s="171"/>
      <c r="R80" s="171"/>
      <c r="S80" s="171"/>
      <c r="T80" s="171"/>
      <c r="U80" s="171"/>
      <c r="V80" s="171"/>
      <c r="W80" s="171"/>
      <c r="AG80" s="171"/>
      <c r="AH80" s="171"/>
      <c r="AI80" s="171"/>
      <c r="AJ80" s="171"/>
      <c r="AK80" s="171"/>
      <c r="AL80" s="171"/>
      <c r="AM80" s="171"/>
      <c r="AN80" s="171"/>
      <c r="AO80" s="171"/>
      <c r="AP80" s="171"/>
      <c r="AQ80" s="171"/>
      <c r="AR80" s="171"/>
      <c r="AS80" s="171"/>
      <c r="AT80" s="171"/>
      <c r="AU80" s="171"/>
      <c r="AV80" s="171"/>
      <c r="AW80" s="171"/>
      <c r="AX80" s="171"/>
      <c r="AY80" s="171"/>
      <c r="AZ80" s="171"/>
      <c r="BA80" s="171"/>
      <c r="BB80" s="171"/>
      <c r="BC80" s="171"/>
      <c r="BD80" s="171"/>
      <c r="BE80" s="171"/>
      <c r="BF80" s="171"/>
      <c r="BG80" s="171"/>
      <c r="BH80" s="171"/>
      <c r="BI80" s="171"/>
      <c r="BJ80" s="171"/>
      <c r="BK80" s="171"/>
      <c r="BL80" s="171"/>
      <c r="BM80" s="171"/>
      <c r="BN80" s="171"/>
      <c r="BO80" s="171"/>
      <c r="BP80" s="171"/>
      <c r="BQ80" s="171"/>
      <c r="BR80" s="171"/>
      <c r="BS80" s="171"/>
    </row>
    <row r="81" spans="1:71" ht="15">
      <c r="A81" s="175"/>
      <c r="B81" s="175"/>
      <c r="C81" s="175"/>
      <c r="D81" s="175"/>
      <c r="E81" s="175"/>
      <c r="F81" s="175"/>
      <c r="G81" s="171"/>
      <c r="H81" s="171"/>
      <c r="I81" s="171"/>
      <c r="J81" s="171"/>
      <c r="K81" s="171"/>
      <c r="L81" s="2246"/>
      <c r="M81" s="2246"/>
      <c r="N81" s="171"/>
      <c r="O81" s="171"/>
      <c r="P81" s="171"/>
      <c r="Q81" s="171"/>
      <c r="R81" s="171"/>
      <c r="S81" s="171"/>
      <c r="T81" s="171"/>
      <c r="U81" s="171"/>
      <c r="V81" s="171"/>
      <c r="W81" s="171"/>
      <c r="AG81" s="171"/>
      <c r="AH81" s="171"/>
      <c r="AI81" s="171"/>
      <c r="AJ81" s="171"/>
      <c r="AK81" s="171"/>
      <c r="AL81" s="171"/>
      <c r="AM81" s="171"/>
      <c r="AN81" s="171"/>
      <c r="AO81" s="171"/>
      <c r="AP81" s="171"/>
      <c r="AQ81" s="171"/>
      <c r="AR81" s="171"/>
      <c r="AS81" s="171"/>
      <c r="AT81" s="171"/>
      <c r="AU81" s="171"/>
      <c r="AV81" s="171"/>
      <c r="AW81" s="171"/>
      <c r="AX81" s="171"/>
      <c r="AY81" s="171"/>
      <c r="AZ81" s="171"/>
      <c r="BA81" s="171"/>
      <c r="BB81" s="171"/>
      <c r="BC81" s="171"/>
      <c r="BD81" s="171"/>
      <c r="BE81" s="171"/>
      <c r="BF81" s="171"/>
      <c r="BG81" s="171"/>
      <c r="BH81" s="171"/>
      <c r="BI81" s="171"/>
      <c r="BJ81" s="171"/>
      <c r="BK81" s="171"/>
      <c r="BL81" s="171"/>
      <c r="BM81" s="171"/>
      <c r="BN81" s="171"/>
      <c r="BO81" s="171"/>
      <c r="BP81" s="171"/>
      <c r="BQ81" s="171"/>
      <c r="BR81" s="171"/>
      <c r="BS81" s="171"/>
    </row>
    <row r="82" spans="1:71" ht="15">
      <c r="A82" s="175"/>
      <c r="B82" s="175"/>
      <c r="C82" s="175"/>
      <c r="D82" s="175"/>
      <c r="E82" s="175"/>
      <c r="F82" s="175"/>
      <c r="G82" s="171"/>
      <c r="H82" s="171"/>
      <c r="I82" s="171"/>
      <c r="J82" s="171"/>
      <c r="K82" s="171"/>
      <c r="L82" s="2246"/>
      <c r="M82" s="2246"/>
      <c r="N82" s="171"/>
      <c r="O82" s="171"/>
      <c r="P82" s="171"/>
      <c r="Q82" s="171"/>
      <c r="R82" s="171"/>
      <c r="S82" s="171"/>
      <c r="T82" s="171"/>
      <c r="U82" s="171"/>
      <c r="V82" s="171"/>
      <c r="W82" s="171"/>
      <c r="AG82" s="171"/>
      <c r="AH82" s="171"/>
      <c r="AI82" s="171"/>
      <c r="AJ82" s="171"/>
      <c r="AK82" s="171"/>
      <c r="AL82" s="171"/>
      <c r="AM82" s="171"/>
      <c r="AN82" s="171"/>
      <c r="AO82" s="171"/>
      <c r="AP82" s="171"/>
      <c r="AQ82" s="171"/>
      <c r="AR82" s="171"/>
      <c r="AS82" s="171"/>
      <c r="AT82" s="171"/>
      <c r="AU82" s="171"/>
      <c r="AV82" s="171"/>
      <c r="AW82" s="171"/>
      <c r="AX82" s="171"/>
      <c r="AY82" s="171"/>
      <c r="AZ82" s="171"/>
      <c r="BA82" s="171"/>
      <c r="BB82" s="171"/>
      <c r="BC82" s="171"/>
      <c r="BD82" s="171"/>
      <c r="BE82" s="171"/>
      <c r="BF82" s="171"/>
      <c r="BG82" s="171"/>
      <c r="BH82" s="171"/>
      <c r="BI82" s="171"/>
      <c r="BJ82" s="171"/>
      <c r="BK82" s="171"/>
      <c r="BL82" s="171"/>
      <c r="BM82" s="171"/>
      <c r="BN82" s="171"/>
      <c r="BO82" s="171"/>
      <c r="BP82" s="171"/>
      <c r="BQ82" s="171"/>
      <c r="BR82" s="171"/>
      <c r="BS82" s="171"/>
    </row>
    <row r="83" spans="1:71" ht="15">
      <c r="A83" s="175"/>
      <c r="B83" s="175"/>
      <c r="C83" s="175"/>
      <c r="D83" s="175"/>
      <c r="E83" s="175"/>
      <c r="F83" s="175"/>
      <c r="G83" s="171"/>
      <c r="H83" s="171"/>
      <c r="I83" s="171"/>
      <c r="J83" s="171"/>
      <c r="K83" s="171"/>
      <c r="L83" s="2246"/>
      <c r="M83" s="2246"/>
      <c r="N83" s="171"/>
      <c r="O83" s="171"/>
      <c r="P83" s="171"/>
      <c r="Q83" s="171"/>
      <c r="R83" s="171"/>
      <c r="S83" s="171"/>
      <c r="T83" s="171"/>
      <c r="U83" s="171"/>
      <c r="V83" s="171"/>
      <c r="W83" s="171"/>
      <c r="AG83" s="171"/>
      <c r="AH83" s="171"/>
      <c r="AI83" s="171"/>
      <c r="AJ83" s="171"/>
      <c r="AK83" s="171"/>
      <c r="AL83" s="171"/>
      <c r="AM83" s="171"/>
      <c r="AN83" s="171"/>
      <c r="AO83" s="171"/>
      <c r="AP83" s="171"/>
      <c r="AQ83" s="171"/>
      <c r="AR83" s="171"/>
      <c r="AS83" s="171"/>
      <c r="AT83" s="171"/>
      <c r="AU83" s="171"/>
      <c r="AV83" s="171"/>
      <c r="AW83" s="171"/>
      <c r="AX83" s="171"/>
      <c r="AY83" s="171"/>
      <c r="AZ83" s="171"/>
      <c r="BA83" s="171"/>
      <c r="BB83" s="171"/>
      <c r="BC83" s="171"/>
      <c r="BD83" s="171"/>
      <c r="BE83" s="171"/>
      <c r="BF83" s="171"/>
      <c r="BG83" s="171"/>
      <c r="BH83" s="171"/>
      <c r="BI83" s="171"/>
      <c r="BJ83" s="171"/>
      <c r="BK83" s="171"/>
      <c r="BL83" s="171"/>
      <c r="BM83" s="171"/>
      <c r="BN83" s="171"/>
      <c r="BO83" s="171"/>
      <c r="BP83" s="171"/>
      <c r="BQ83" s="171"/>
      <c r="BR83" s="171"/>
      <c r="BS83" s="171"/>
    </row>
    <row r="84" spans="1:71" ht="15">
      <c r="A84" s="175"/>
      <c r="B84" s="175"/>
      <c r="C84" s="175"/>
      <c r="D84" s="175"/>
      <c r="E84" s="175"/>
      <c r="F84" s="175"/>
      <c r="G84" s="171"/>
      <c r="H84" s="171"/>
      <c r="I84" s="171"/>
      <c r="J84" s="171"/>
      <c r="K84" s="171"/>
      <c r="L84" s="2246"/>
      <c r="M84" s="2246"/>
      <c r="N84" s="171"/>
      <c r="O84" s="171"/>
      <c r="P84" s="171"/>
      <c r="Q84" s="171"/>
      <c r="R84" s="171"/>
      <c r="S84" s="171"/>
      <c r="T84" s="171"/>
      <c r="U84" s="171"/>
      <c r="V84" s="171"/>
      <c r="W84" s="171"/>
      <c r="AG84" s="171"/>
      <c r="AH84" s="171"/>
      <c r="AI84" s="171"/>
      <c r="AJ84" s="171"/>
      <c r="AK84" s="171"/>
      <c r="AL84" s="171"/>
      <c r="AM84" s="171"/>
      <c r="AN84" s="171"/>
      <c r="AO84" s="171"/>
      <c r="AP84" s="171"/>
      <c r="AQ84" s="171"/>
      <c r="AR84" s="171"/>
      <c r="AS84" s="171"/>
      <c r="AT84" s="171"/>
      <c r="AU84" s="171"/>
      <c r="AV84" s="171"/>
      <c r="AW84" s="171"/>
      <c r="AX84" s="171"/>
      <c r="AY84" s="171"/>
      <c r="AZ84" s="171"/>
      <c r="BA84" s="171"/>
      <c r="BB84" s="171"/>
      <c r="BC84" s="171"/>
      <c r="BD84" s="171"/>
      <c r="BE84" s="171"/>
      <c r="BF84" s="171"/>
      <c r="BG84" s="171"/>
      <c r="BH84" s="171"/>
      <c r="BI84" s="171"/>
      <c r="BJ84" s="171"/>
      <c r="BK84" s="171"/>
      <c r="BL84" s="171"/>
      <c r="BM84" s="171"/>
      <c r="BN84" s="171"/>
      <c r="BO84" s="171"/>
      <c r="BP84" s="171"/>
      <c r="BQ84" s="171"/>
      <c r="BR84" s="171"/>
      <c r="BS84" s="171"/>
    </row>
    <row r="85" spans="1:71" ht="15">
      <c r="A85" s="175"/>
      <c r="B85" s="175"/>
      <c r="C85" s="175"/>
      <c r="D85" s="175"/>
      <c r="E85" s="175"/>
      <c r="F85" s="175"/>
      <c r="G85" s="171"/>
      <c r="H85" s="171"/>
      <c r="I85" s="171"/>
      <c r="J85" s="171"/>
      <c r="K85" s="171"/>
      <c r="L85" s="2246"/>
      <c r="M85" s="2246"/>
      <c r="N85" s="171"/>
      <c r="O85" s="171"/>
      <c r="P85" s="171"/>
      <c r="Q85" s="171"/>
      <c r="R85" s="171"/>
      <c r="S85" s="171"/>
      <c r="T85" s="171"/>
      <c r="U85" s="171"/>
      <c r="V85" s="171"/>
      <c r="W85" s="171"/>
      <c r="AG85" s="171"/>
      <c r="AH85" s="171"/>
      <c r="AI85" s="171"/>
      <c r="AJ85" s="171"/>
      <c r="AK85" s="171"/>
      <c r="AL85" s="171"/>
      <c r="AM85" s="171"/>
      <c r="AN85" s="171"/>
      <c r="AO85" s="171"/>
      <c r="AP85" s="171"/>
      <c r="AQ85" s="171"/>
      <c r="AR85" s="171"/>
      <c r="AS85" s="171"/>
      <c r="AT85" s="171"/>
      <c r="AU85" s="171"/>
      <c r="AV85" s="171"/>
      <c r="AW85" s="171"/>
      <c r="AX85" s="171"/>
      <c r="AY85" s="171"/>
      <c r="AZ85" s="171"/>
      <c r="BA85" s="171"/>
      <c r="BB85" s="171"/>
      <c r="BC85" s="171"/>
      <c r="BD85" s="171"/>
      <c r="BE85" s="171"/>
      <c r="BF85" s="171"/>
      <c r="BG85" s="171"/>
      <c r="BH85" s="171"/>
      <c r="BI85" s="171"/>
      <c r="BJ85" s="171"/>
      <c r="BK85" s="171"/>
      <c r="BL85" s="171"/>
      <c r="BM85" s="171"/>
      <c r="BN85" s="171"/>
      <c r="BO85" s="171"/>
      <c r="BP85" s="171"/>
      <c r="BQ85" s="171"/>
      <c r="BR85" s="171"/>
      <c r="BS85" s="171"/>
    </row>
    <row r="86" spans="1:71" ht="15">
      <c r="A86" s="175"/>
      <c r="B86" s="175"/>
      <c r="C86" s="175"/>
      <c r="D86" s="175"/>
      <c r="E86" s="175"/>
      <c r="F86" s="175"/>
      <c r="G86" s="171"/>
      <c r="H86" s="171"/>
      <c r="I86" s="171"/>
      <c r="J86" s="171"/>
      <c r="K86" s="171"/>
      <c r="L86" s="2246"/>
      <c r="M86" s="2246"/>
      <c r="N86" s="171"/>
      <c r="O86" s="171"/>
      <c r="P86" s="171"/>
      <c r="Q86" s="171"/>
      <c r="R86" s="171"/>
      <c r="S86" s="171"/>
      <c r="T86" s="171"/>
      <c r="U86" s="171"/>
      <c r="V86" s="171"/>
      <c r="W86" s="171"/>
      <c r="AG86" s="171"/>
      <c r="AH86" s="171"/>
      <c r="AI86" s="171"/>
      <c r="AJ86" s="171"/>
      <c r="AK86" s="171"/>
      <c r="AL86" s="171"/>
      <c r="AM86" s="171"/>
      <c r="AN86" s="171"/>
      <c r="AO86" s="171"/>
      <c r="AP86" s="171"/>
      <c r="AQ86" s="171"/>
      <c r="AR86" s="171"/>
      <c r="AS86" s="171"/>
      <c r="AT86" s="171"/>
      <c r="AU86" s="171"/>
      <c r="AV86" s="171"/>
      <c r="AW86" s="171"/>
      <c r="AX86" s="171"/>
      <c r="AY86" s="171"/>
      <c r="AZ86" s="171"/>
      <c r="BA86" s="171"/>
      <c r="BB86" s="171"/>
      <c r="BC86" s="171"/>
      <c r="BD86" s="171"/>
      <c r="BE86" s="171"/>
      <c r="BF86" s="171"/>
      <c r="BG86" s="171"/>
      <c r="BH86" s="171"/>
      <c r="BI86" s="171"/>
      <c r="BJ86" s="171"/>
      <c r="BK86" s="171"/>
      <c r="BL86" s="171"/>
      <c r="BM86" s="171"/>
      <c r="BN86" s="171"/>
      <c r="BO86" s="171"/>
      <c r="BP86" s="171"/>
      <c r="BQ86" s="171"/>
      <c r="BR86" s="171"/>
      <c r="BS86" s="171"/>
    </row>
    <row r="87" spans="1:71" ht="15">
      <c r="A87" s="175"/>
      <c r="B87" s="175"/>
      <c r="C87" s="175"/>
      <c r="D87" s="175"/>
      <c r="E87" s="175"/>
      <c r="F87" s="175"/>
      <c r="G87" s="171"/>
      <c r="H87" s="171"/>
      <c r="I87" s="171"/>
      <c r="J87" s="171"/>
      <c r="K87" s="171"/>
      <c r="L87" s="2246"/>
      <c r="M87" s="2246"/>
      <c r="N87" s="171"/>
      <c r="O87" s="171"/>
      <c r="P87" s="171"/>
      <c r="Q87" s="171"/>
      <c r="R87" s="171"/>
      <c r="S87" s="171"/>
      <c r="T87" s="171"/>
      <c r="U87" s="171"/>
      <c r="V87" s="171"/>
      <c r="W87" s="171"/>
      <c r="AG87" s="171"/>
      <c r="AH87" s="171"/>
      <c r="AI87" s="171"/>
      <c r="AJ87" s="171"/>
      <c r="AK87" s="171"/>
      <c r="AL87" s="171"/>
      <c r="AM87" s="171"/>
      <c r="AN87" s="171"/>
      <c r="AO87" s="171"/>
      <c r="AP87" s="171"/>
      <c r="AQ87" s="171"/>
      <c r="AR87" s="171"/>
      <c r="AS87" s="171"/>
      <c r="AT87" s="171"/>
      <c r="AU87" s="171"/>
      <c r="AV87" s="171"/>
      <c r="AW87" s="171"/>
      <c r="AX87" s="171"/>
      <c r="AY87" s="171"/>
      <c r="AZ87" s="171"/>
      <c r="BA87" s="171"/>
      <c r="BB87" s="171"/>
      <c r="BC87" s="171"/>
      <c r="BD87" s="171"/>
      <c r="BE87" s="171"/>
      <c r="BF87" s="171"/>
      <c r="BG87" s="171"/>
      <c r="BH87" s="171"/>
      <c r="BI87" s="171"/>
      <c r="BJ87" s="171"/>
      <c r="BK87" s="171"/>
      <c r="BL87" s="171"/>
      <c r="BM87" s="171"/>
      <c r="BN87" s="171"/>
      <c r="BO87" s="171"/>
      <c r="BP87" s="171"/>
      <c r="BQ87" s="171"/>
      <c r="BR87" s="171"/>
      <c r="BS87" s="171"/>
    </row>
    <row r="88" spans="1:71" ht="15">
      <c r="A88" s="175"/>
      <c r="B88" s="175"/>
      <c r="C88" s="175"/>
      <c r="D88" s="175"/>
      <c r="E88" s="175"/>
      <c r="F88" s="175"/>
      <c r="G88" s="171"/>
      <c r="H88" s="171"/>
      <c r="I88" s="171"/>
      <c r="J88" s="171"/>
      <c r="K88" s="171"/>
      <c r="L88" s="2246"/>
      <c r="M88" s="2246"/>
      <c r="N88" s="171"/>
      <c r="O88" s="171"/>
      <c r="P88" s="171"/>
      <c r="Q88" s="171"/>
      <c r="R88" s="171"/>
      <c r="S88" s="171"/>
      <c r="T88" s="171"/>
      <c r="U88" s="171"/>
      <c r="V88" s="171"/>
      <c r="W88" s="171"/>
      <c r="AG88" s="171"/>
      <c r="AH88" s="171"/>
      <c r="AI88" s="171"/>
      <c r="AJ88" s="171"/>
      <c r="AK88" s="171"/>
      <c r="AL88" s="171"/>
      <c r="AM88" s="171"/>
      <c r="AN88" s="171"/>
      <c r="AO88" s="171"/>
      <c r="AP88" s="171"/>
      <c r="AQ88" s="171"/>
      <c r="AR88" s="171"/>
      <c r="AS88" s="171"/>
      <c r="AT88" s="171"/>
      <c r="AU88" s="171"/>
      <c r="AV88" s="171"/>
      <c r="AW88" s="171"/>
      <c r="AX88" s="171"/>
      <c r="AY88" s="171"/>
      <c r="AZ88" s="171"/>
      <c r="BA88" s="171"/>
      <c r="BB88" s="171"/>
      <c r="BC88" s="171"/>
      <c r="BD88" s="171"/>
      <c r="BE88" s="171"/>
      <c r="BF88" s="171"/>
      <c r="BG88" s="171"/>
      <c r="BH88" s="171"/>
      <c r="BI88" s="171"/>
      <c r="BJ88" s="171"/>
      <c r="BK88" s="171"/>
      <c r="BL88" s="171"/>
      <c r="BM88" s="171"/>
      <c r="BN88" s="171"/>
      <c r="BO88" s="171"/>
      <c r="BP88" s="171"/>
      <c r="BQ88" s="171"/>
      <c r="BR88" s="171"/>
      <c r="BS88" s="171"/>
    </row>
    <row r="89" spans="1:71" ht="15">
      <c r="A89" s="177"/>
      <c r="B89" s="177"/>
      <c r="C89" s="177"/>
      <c r="D89" s="177"/>
      <c r="E89" s="177"/>
      <c r="F89" s="177"/>
      <c r="G89" s="171"/>
      <c r="H89" s="171"/>
      <c r="I89" s="171"/>
      <c r="J89" s="171"/>
      <c r="K89" s="171"/>
      <c r="L89" s="2246"/>
      <c r="M89" s="2246"/>
      <c r="N89" s="171"/>
      <c r="O89" s="171"/>
      <c r="P89" s="171"/>
      <c r="Q89" s="171"/>
      <c r="R89" s="171"/>
      <c r="S89" s="171"/>
      <c r="T89" s="171"/>
      <c r="U89" s="171"/>
      <c r="V89" s="171"/>
      <c r="W89" s="171"/>
      <c r="AG89" s="171"/>
      <c r="AH89" s="171"/>
      <c r="AI89" s="171"/>
      <c r="AJ89" s="171"/>
      <c r="AK89" s="171"/>
      <c r="AL89" s="171"/>
      <c r="AM89" s="171"/>
      <c r="AN89" s="171"/>
      <c r="AO89" s="171"/>
      <c r="AP89" s="171"/>
      <c r="AQ89" s="171"/>
      <c r="AR89" s="171"/>
      <c r="AS89" s="171"/>
      <c r="AT89" s="171"/>
      <c r="AU89" s="171"/>
      <c r="AV89" s="171"/>
      <c r="AW89" s="171"/>
      <c r="AX89" s="171"/>
      <c r="AY89" s="171"/>
      <c r="AZ89" s="171"/>
      <c r="BA89" s="171"/>
      <c r="BB89" s="171"/>
      <c r="BC89" s="171"/>
      <c r="BD89" s="171"/>
      <c r="BE89" s="171"/>
      <c r="BF89" s="171"/>
      <c r="BG89" s="171"/>
      <c r="BH89" s="171"/>
      <c r="BI89" s="171"/>
      <c r="BJ89" s="171"/>
      <c r="BK89" s="171"/>
      <c r="BL89" s="171"/>
      <c r="BM89" s="171"/>
      <c r="BN89" s="171"/>
      <c r="BO89" s="171"/>
      <c r="BP89" s="171"/>
      <c r="BQ89" s="171"/>
      <c r="BR89" s="171"/>
      <c r="BS89" s="171"/>
    </row>
    <row r="90" spans="1:71" ht="15">
      <c r="A90" s="177"/>
      <c r="B90" s="177"/>
      <c r="C90" s="177"/>
      <c r="D90" s="177"/>
      <c r="E90" s="177"/>
      <c r="F90" s="177"/>
      <c r="G90" s="171"/>
      <c r="H90" s="171"/>
      <c r="I90" s="171"/>
      <c r="J90" s="171"/>
      <c r="K90" s="171"/>
      <c r="L90" s="2246"/>
      <c r="M90" s="2246"/>
      <c r="N90" s="171"/>
      <c r="O90" s="171"/>
      <c r="P90" s="171"/>
      <c r="Q90" s="171"/>
      <c r="R90" s="171"/>
      <c r="S90" s="171"/>
      <c r="T90" s="171"/>
      <c r="U90" s="171"/>
      <c r="V90" s="171"/>
      <c r="W90" s="171"/>
      <c r="AG90" s="171"/>
      <c r="AH90" s="171"/>
      <c r="AI90" s="171"/>
      <c r="AJ90" s="171"/>
      <c r="AK90" s="171"/>
      <c r="AL90" s="171"/>
      <c r="AM90" s="171"/>
      <c r="AN90" s="171"/>
      <c r="AO90" s="171"/>
      <c r="AP90" s="171"/>
      <c r="AQ90" s="171"/>
      <c r="AR90" s="171"/>
      <c r="AS90" s="171"/>
      <c r="AT90" s="171"/>
      <c r="AU90" s="171"/>
      <c r="AV90" s="171"/>
      <c r="AW90" s="171"/>
      <c r="AX90" s="171"/>
      <c r="AY90" s="171"/>
      <c r="AZ90" s="171"/>
      <c r="BA90" s="171"/>
      <c r="BB90" s="171"/>
      <c r="BC90" s="171"/>
      <c r="BD90" s="171"/>
      <c r="BE90" s="171"/>
      <c r="BF90" s="171"/>
      <c r="BG90" s="171"/>
      <c r="BH90" s="171"/>
      <c r="BI90" s="171"/>
      <c r="BJ90" s="171"/>
      <c r="BK90" s="171"/>
      <c r="BL90" s="171"/>
      <c r="BM90" s="171"/>
      <c r="BN90" s="171"/>
      <c r="BO90" s="171"/>
      <c r="BP90" s="171"/>
      <c r="BQ90" s="171"/>
      <c r="BR90" s="171"/>
      <c r="BS90" s="171"/>
    </row>
    <row r="91" spans="1:71" ht="15">
      <c r="A91" s="177"/>
      <c r="B91" s="177"/>
      <c r="C91" s="177"/>
      <c r="D91" s="177"/>
      <c r="E91" s="177"/>
      <c r="F91" s="177"/>
      <c r="G91" s="171"/>
      <c r="H91" s="171"/>
      <c r="I91" s="171"/>
      <c r="J91" s="171"/>
      <c r="K91" s="171"/>
      <c r="L91" s="2246"/>
      <c r="M91" s="2246"/>
      <c r="N91" s="171"/>
      <c r="O91" s="171"/>
      <c r="P91" s="171"/>
      <c r="Q91" s="171"/>
      <c r="R91" s="171"/>
      <c r="S91" s="171"/>
      <c r="T91" s="171"/>
      <c r="U91" s="171"/>
      <c r="V91" s="171"/>
      <c r="W91" s="171"/>
      <c r="AG91" s="171"/>
      <c r="AH91" s="171"/>
      <c r="AI91" s="171"/>
      <c r="AJ91" s="171"/>
      <c r="AK91" s="171"/>
      <c r="AL91" s="171"/>
      <c r="AM91" s="171"/>
      <c r="AN91" s="171"/>
      <c r="AO91" s="171"/>
      <c r="AP91" s="171"/>
      <c r="AQ91" s="171"/>
      <c r="AR91" s="171"/>
      <c r="AS91" s="171"/>
      <c r="AT91" s="171"/>
      <c r="AU91" s="171"/>
      <c r="AV91" s="171"/>
      <c r="AW91" s="171"/>
      <c r="AX91" s="171"/>
      <c r="AY91" s="171"/>
      <c r="AZ91" s="171"/>
      <c r="BA91" s="171"/>
      <c r="BB91" s="171"/>
      <c r="BC91" s="171"/>
      <c r="BD91" s="171"/>
      <c r="BE91" s="171"/>
      <c r="BF91" s="171"/>
      <c r="BG91" s="171"/>
      <c r="BH91" s="171"/>
      <c r="BI91" s="171"/>
      <c r="BJ91" s="171"/>
      <c r="BK91" s="171"/>
      <c r="BL91" s="171"/>
      <c r="BM91" s="171"/>
      <c r="BN91" s="171"/>
      <c r="BO91" s="171"/>
      <c r="BP91" s="171"/>
      <c r="BQ91" s="171"/>
      <c r="BR91" s="171"/>
      <c r="BS91" s="171"/>
    </row>
    <row r="92" spans="1:71" ht="15">
      <c r="A92" s="177"/>
      <c r="B92" s="177"/>
      <c r="C92" s="177"/>
      <c r="D92" s="177"/>
      <c r="E92" s="177"/>
      <c r="F92" s="177"/>
      <c r="G92" s="171"/>
      <c r="H92" s="171"/>
      <c r="I92" s="171"/>
      <c r="J92" s="171"/>
      <c r="K92" s="171"/>
      <c r="L92" s="2246"/>
      <c r="M92" s="2246"/>
      <c r="N92" s="171"/>
      <c r="O92" s="171"/>
      <c r="P92" s="171"/>
      <c r="Q92" s="171"/>
      <c r="R92" s="171"/>
      <c r="S92" s="171"/>
      <c r="T92" s="171"/>
      <c r="U92" s="171"/>
      <c r="V92" s="171"/>
      <c r="W92" s="171"/>
      <c r="AG92" s="171"/>
      <c r="AH92" s="171"/>
      <c r="AI92" s="171"/>
      <c r="AJ92" s="171"/>
      <c r="AK92" s="171"/>
      <c r="AL92" s="171"/>
      <c r="AM92" s="171"/>
      <c r="AN92" s="171"/>
      <c r="AO92" s="171"/>
      <c r="AP92" s="171"/>
      <c r="AQ92" s="171"/>
      <c r="AR92" s="171"/>
      <c r="AS92" s="171"/>
      <c r="AT92" s="171"/>
      <c r="AU92" s="171"/>
      <c r="AV92" s="171"/>
      <c r="AW92" s="171"/>
      <c r="AX92" s="171"/>
      <c r="AY92" s="171"/>
      <c r="AZ92" s="171"/>
      <c r="BA92" s="171"/>
      <c r="BB92" s="171"/>
      <c r="BC92" s="171"/>
      <c r="BD92" s="171"/>
      <c r="BE92" s="171"/>
      <c r="BF92" s="171"/>
      <c r="BG92" s="171"/>
      <c r="BH92" s="171"/>
      <c r="BI92" s="171"/>
      <c r="BJ92" s="171"/>
      <c r="BK92" s="171"/>
      <c r="BL92" s="171"/>
      <c r="BM92" s="171"/>
      <c r="BN92" s="171"/>
      <c r="BO92" s="171"/>
      <c r="BP92" s="171"/>
      <c r="BQ92" s="171"/>
      <c r="BR92" s="171"/>
      <c r="BS92" s="171"/>
    </row>
    <row r="93" spans="1:71" ht="15">
      <c r="A93" s="177"/>
      <c r="B93" s="177"/>
      <c r="C93" s="177"/>
      <c r="D93" s="177"/>
      <c r="E93" s="177"/>
      <c r="F93" s="177"/>
      <c r="G93" s="171"/>
      <c r="H93" s="171"/>
      <c r="I93" s="171"/>
      <c r="J93" s="171"/>
      <c r="K93" s="171"/>
      <c r="L93" s="2246"/>
      <c r="M93" s="2246"/>
      <c r="N93" s="171"/>
      <c r="O93" s="171"/>
      <c r="P93" s="171"/>
      <c r="Q93" s="171"/>
      <c r="R93" s="171"/>
      <c r="S93" s="171"/>
      <c r="T93" s="171"/>
      <c r="U93" s="171"/>
      <c r="V93" s="171"/>
      <c r="W93" s="171"/>
      <c r="AG93" s="171"/>
      <c r="AH93" s="171"/>
      <c r="AI93" s="171"/>
      <c r="AJ93" s="171"/>
      <c r="AK93" s="171"/>
      <c r="AL93" s="171"/>
      <c r="AM93" s="171"/>
      <c r="AN93" s="171"/>
      <c r="AO93" s="171"/>
      <c r="AP93" s="171"/>
      <c r="AQ93" s="171"/>
      <c r="AR93" s="171"/>
      <c r="AS93" s="171"/>
      <c r="AT93" s="171"/>
      <c r="AU93" s="171"/>
      <c r="AV93" s="171"/>
      <c r="AW93" s="171"/>
      <c r="AX93" s="171"/>
      <c r="AY93" s="171"/>
      <c r="AZ93" s="171"/>
      <c r="BA93" s="171"/>
      <c r="BB93" s="171"/>
      <c r="BC93" s="171"/>
      <c r="BD93" s="171"/>
      <c r="BE93" s="171"/>
      <c r="BF93" s="171"/>
      <c r="BG93" s="171"/>
      <c r="BH93" s="171"/>
      <c r="BI93" s="171"/>
      <c r="BJ93" s="171"/>
      <c r="BK93" s="171"/>
      <c r="BL93" s="171"/>
      <c r="BM93" s="171"/>
      <c r="BN93" s="171"/>
      <c r="BO93" s="171"/>
      <c r="BP93" s="171"/>
      <c r="BQ93" s="171"/>
      <c r="BR93" s="171"/>
      <c r="BS93" s="171"/>
    </row>
    <row r="94" spans="1:71" ht="15">
      <c r="A94" s="177"/>
      <c r="B94" s="177"/>
      <c r="C94" s="177"/>
      <c r="D94" s="177"/>
      <c r="E94" s="177"/>
      <c r="F94" s="177"/>
      <c r="G94" s="171"/>
      <c r="H94" s="171"/>
      <c r="I94" s="171"/>
      <c r="J94" s="171"/>
      <c r="K94" s="171"/>
      <c r="L94" s="2246"/>
      <c r="M94" s="2246"/>
      <c r="N94" s="171"/>
      <c r="O94" s="171"/>
      <c r="P94" s="171"/>
      <c r="Q94" s="171"/>
      <c r="R94" s="171"/>
      <c r="S94" s="171"/>
      <c r="T94" s="171"/>
      <c r="U94" s="171"/>
      <c r="V94" s="171"/>
      <c r="W94" s="171"/>
      <c r="AG94" s="171"/>
      <c r="AH94" s="171"/>
      <c r="AI94" s="171"/>
      <c r="AJ94" s="171"/>
      <c r="AK94" s="171"/>
      <c r="AL94" s="171"/>
      <c r="AM94" s="171"/>
      <c r="AN94" s="171"/>
      <c r="AO94" s="171"/>
      <c r="AP94" s="171"/>
      <c r="AQ94" s="171"/>
      <c r="AR94" s="171"/>
      <c r="AS94" s="171"/>
      <c r="AT94" s="171"/>
      <c r="AU94" s="171"/>
      <c r="AV94" s="171"/>
      <c r="AW94" s="171"/>
      <c r="AX94" s="171"/>
      <c r="AY94" s="171"/>
      <c r="AZ94" s="171"/>
      <c r="BA94" s="171"/>
      <c r="BB94" s="171"/>
      <c r="BC94" s="171"/>
      <c r="BD94" s="171"/>
      <c r="BE94" s="171"/>
      <c r="BF94" s="171"/>
      <c r="BG94" s="171"/>
      <c r="BH94" s="171"/>
      <c r="BI94" s="171"/>
      <c r="BJ94" s="171"/>
      <c r="BK94" s="171"/>
      <c r="BL94" s="171"/>
      <c r="BM94" s="171"/>
      <c r="BN94" s="171"/>
      <c r="BO94" s="171"/>
      <c r="BP94" s="171"/>
      <c r="BQ94" s="171"/>
      <c r="BR94" s="171"/>
      <c r="BS94" s="171"/>
    </row>
    <row r="95" spans="1:71" ht="14.4">
      <c r="A95" s="171"/>
      <c r="B95" s="171"/>
      <c r="C95" s="171"/>
      <c r="D95" s="171"/>
      <c r="E95" s="171"/>
      <c r="F95" s="171"/>
      <c r="G95" s="171"/>
      <c r="H95" s="171"/>
      <c r="I95" s="171"/>
      <c r="J95" s="171"/>
      <c r="K95" s="171"/>
      <c r="L95" s="2246"/>
      <c r="M95" s="2246"/>
      <c r="N95" s="171"/>
      <c r="O95" s="171"/>
      <c r="P95" s="171"/>
      <c r="Q95" s="171"/>
      <c r="R95" s="171"/>
      <c r="S95" s="171"/>
      <c r="T95" s="171"/>
      <c r="U95" s="171"/>
      <c r="V95" s="171"/>
      <c r="W95" s="171"/>
      <c r="AG95" s="171"/>
      <c r="AH95" s="171"/>
      <c r="AI95" s="171"/>
      <c r="AJ95" s="171"/>
      <c r="AK95" s="171"/>
      <c r="AL95" s="171"/>
      <c r="AM95" s="171"/>
      <c r="AN95" s="171"/>
      <c r="AO95" s="171"/>
      <c r="AP95" s="171"/>
      <c r="AQ95" s="171"/>
      <c r="AR95" s="171"/>
      <c r="AS95" s="171"/>
      <c r="AT95" s="171"/>
      <c r="AU95" s="171"/>
      <c r="AV95" s="171"/>
      <c r="AW95" s="171"/>
      <c r="AX95" s="171"/>
      <c r="AY95" s="171"/>
      <c r="AZ95" s="171"/>
      <c r="BA95" s="171"/>
      <c r="BB95" s="171"/>
      <c r="BC95" s="171"/>
      <c r="BD95" s="171"/>
      <c r="BE95" s="171"/>
      <c r="BF95" s="171"/>
      <c r="BG95" s="171"/>
      <c r="BH95" s="171"/>
      <c r="BI95" s="171"/>
      <c r="BJ95" s="171"/>
      <c r="BK95" s="171"/>
      <c r="BL95" s="171"/>
      <c r="BM95" s="171"/>
      <c r="BN95" s="171"/>
      <c r="BO95" s="171"/>
      <c r="BP95" s="171"/>
      <c r="BQ95" s="171"/>
      <c r="BR95" s="171"/>
      <c r="BS95" s="171"/>
    </row>
    <row r="96" spans="1:71" ht="14.4">
      <c r="A96" s="171"/>
      <c r="B96" s="171"/>
      <c r="C96" s="171"/>
      <c r="D96" s="171"/>
      <c r="E96" s="171"/>
      <c r="F96" s="171"/>
      <c r="G96" s="171"/>
      <c r="H96" s="171"/>
      <c r="I96" s="171"/>
      <c r="J96" s="171"/>
      <c r="K96" s="171"/>
      <c r="L96" s="2246"/>
      <c r="M96" s="2246"/>
      <c r="N96" s="171"/>
      <c r="O96" s="171"/>
      <c r="P96" s="171"/>
      <c r="Q96" s="171"/>
      <c r="R96" s="171"/>
      <c r="S96" s="171"/>
      <c r="T96" s="171"/>
      <c r="U96" s="171"/>
      <c r="V96" s="171"/>
      <c r="W96" s="171"/>
      <c r="AG96" s="171"/>
      <c r="AH96" s="171"/>
      <c r="AI96" s="171"/>
      <c r="AJ96" s="171"/>
      <c r="AK96" s="171"/>
      <c r="AL96" s="171"/>
      <c r="AM96" s="171"/>
      <c r="AN96" s="171"/>
      <c r="AO96" s="171"/>
      <c r="AP96" s="171"/>
      <c r="AQ96" s="171"/>
      <c r="AR96" s="171"/>
      <c r="AS96" s="171"/>
      <c r="AT96" s="171"/>
      <c r="AU96" s="171"/>
      <c r="AV96" s="171"/>
      <c r="AW96" s="171"/>
      <c r="AX96" s="171"/>
      <c r="AY96" s="171"/>
      <c r="AZ96" s="171"/>
      <c r="BA96" s="171"/>
      <c r="BB96" s="171"/>
      <c r="BC96" s="171"/>
      <c r="BD96" s="171"/>
      <c r="BE96" s="171"/>
      <c r="BF96" s="171"/>
      <c r="BG96" s="171"/>
      <c r="BH96" s="171"/>
      <c r="BI96" s="171"/>
      <c r="BJ96" s="171"/>
      <c r="BK96" s="171"/>
      <c r="BL96" s="171"/>
      <c r="BM96" s="171"/>
      <c r="BN96" s="171"/>
      <c r="BO96" s="171"/>
      <c r="BP96" s="171"/>
      <c r="BQ96" s="171"/>
      <c r="BR96" s="171"/>
      <c r="BS96" s="171"/>
    </row>
    <row r="97" spans="1:71" ht="14.4">
      <c r="A97" s="171"/>
      <c r="B97" s="171"/>
      <c r="C97" s="171"/>
      <c r="D97" s="171"/>
      <c r="E97" s="171"/>
      <c r="F97" s="171"/>
      <c r="G97" s="171"/>
      <c r="H97" s="171"/>
      <c r="I97" s="171"/>
      <c r="J97" s="171"/>
      <c r="K97" s="171"/>
      <c r="L97" s="2246"/>
      <c r="M97" s="2246"/>
      <c r="N97" s="171"/>
      <c r="O97" s="171"/>
      <c r="P97" s="171"/>
      <c r="Q97" s="171"/>
      <c r="R97" s="171"/>
      <c r="S97" s="171"/>
      <c r="T97" s="171"/>
      <c r="U97" s="171"/>
      <c r="V97" s="171"/>
      <c r="W97" s="171"/>
      <c r="AG97" s="171"/>
      <c r="AH97" s="171"/>
      <c r="AI97" s="171"/>
      <c r="AJ97" s="171"/>
      <c r="AK97" s="171"/>
      <c r="AL97" s="171"/>
      <c r="AM97" s="171"/>
      <c r="AN97" s="171"/>
      <c r="AO97" s="171"/>
      <c r="AP97" s="171"/>
      <c r="AQ97" s="171"/>
      <c r="AR97" s="171"/>
      <c r="AS97" s="171"/>
      <c r="AT97" s="171"/>
      <c r="AU97" s="171"/>
      <c r="AV97" s="171"/>
      <c r="AW97" s="171"/>
      <c r="AX97" s="171"/>
      <c r="AY97" s="171"/>
      <c r="AZ97" s="171"/>
      <c r="BA97" s="171"/>
      <c r="BB97" s="171"/>
      <c r="BC97" s="171"/>
      <c r="BD97" s="171"/>
      <c r="BE97" s="171"/>
      <c r="BF97" s="171"/>
      <c r="BG97" s="171"/>
      <c r="BH97" s="171"/>
      <c r="BI97" s="171"/>
      <c r="BJ97" s="171"/>
      <c r="BK97" s="171"/>
      <c r="BL97" s="171"/>
      <c r="BM97" s="171"/>
      <c r="BN97" s="171"/>
      <c r="BO97" s="171"/>
      <c r="BP97" s="171"/>
      <c r="BQ97" s="171"/>
      <c r="BR97" s="171"/>
      <c r="BS97" s="171"/>
    </row>
    <row r="98" spans="1:71" ht="14.4">
      <c r="A98" s="171"/>
      <c r="B98" s="171"/>
      <c r="C98" s="171"/>
      <c r="D98" s="171"/>
      <c r="E98" s="171"/>
      <c r="F98" s="171"/>
      <c r="G98" s="171"/>
      <c r="H98" s="171"/>
      <c r="I98" s="171"/>
      <c r="J98" s="171"/>
      <c r="K98" s="171"/>
      <c r="L98" s="2246"/>
      <c r="M98" s="2246"/>
      <c r="N98" s="171"/>
      <c r="O98" s="171"/>
      <c r="P98" s="171"/>
      <c r="Q98" s="171"/>
      <c r="R98" s="171"/>
      <c r="S98" s="171"/>
      <c r="T98" s="171"/>
      <c r="U98" s="171"/>
      <c r="V98" s="171"/>
      <c r="W98" s="171"/>
      <c r="AG98" s="171"/>
      <c r="AH98" s="171"/>
      <c r="AI98" s="171"/>
      <c r="AJ98" s="171"/>
      <c r="AK98" s="171"/>
      <c r="AL98" s="171"/>
      <c r="AM98" s="171"/>
      <c r="AN98" s="171"/>
      <c r="AO98" s="171"/>
      <c r="AP98" s="171"/>
      <c r="AQ98" s="171"/>
      <c r="AR98" s="171"/>
      <c r="AS98" s="171"/>
      <c r="AT98" s="171"/>
      <c r="AU98" s="171"/>
      <c r="AV98" s="171"/>
      <c r="AW98" s="171"/>
      <c r="AX98" s="171"/>
      <c r="AY98" s="171"/>
      <c r="AZ98" s="171"/>
      <c r="BA98" s="171"/>
      <c r="BB98" s="171"/>
      <c r="BC98" s="171"/>
      <c r="BD98" s="171"/>
      <c r="BE98" s="171"/>
      <c r="BF98" s="171"/>
      <c r="BG98" s="171"/>
      <c r="BH98" s="171"/>
      <c r="BI98" s="171"/>
      <c r="BJ98" s="171"/>
      <c r="BK98" s="171"/>
      <c r="BL98" s="171"/>
      <c r="BM98" s="171"/>
      <c r="BN98" s="171"/>
      <c r="BO98" s="171"/>
      <c r="BP98" s="171"/>
      <c r="BQ98" s="171"/>
      <c r="BR98" s="171"/>
      <c r="BS98" s="171"/>
    </row>
    <row r="99" spans="1:71" ht="14.4">
      <c r="A99" s="171"/>
      <c r="B99" s="171"/>
      <c r="C99" s="171"/>
      <c r="D99" s="171"/>
      <c r="E99" s="171"/>
      <c r="F99" s="171"/>
      <c r="G99" s="171"/>
      <c r="H99" s="171"/>
      <c r="I99" s="171"/>
      <c r="J99" s="171"/>
      <c r="K99" s="171"/>
      <c r="L99" s="2246"/>
      <c r="M99" s="2246"/>
      <c r="N99" s="171"/>
      <c r="O99" s="171"/>
      <c r="P99" s="171"/>
      <c r="Q99" s="171"/>
      <c r="R99" s="171"/>
      <c r="S99" s="171"/>
      <c r="T99" s="171"/>
      <c r="U99" s="171"/>
      <c r="V99" s="171"/>
      <c r="W99" s="171"/>
      <c r="AG99" s="171"/>
      <c r="AH99" s="171"/>
      <c r="AI99" s="171"/>
      <c r="AJ99" s="171"/>
      <c r="AK99" s="171"/>
      <c r="AL99" s="171"/>
      <c r="AM99" s="171"/>
      <c r="AN99" s="171"/>
      <c r="AO99" s="171"/>
      <c r="AP99" s="171"/>
      <c r="AQ99" s="171"/>
      <c r="AR99" s="171"/>
      <c r="AS99" s="171"/>
      <c r="AT99" s="171"/>
      <c r="AU99" s="171"/>
      <c r="AV99" s="171"/>
      <c r="AW99" s="171"/>
      <c r="AX99" s="171"/>
      <c r="AY99" s="171"/>
      <c r="AZ99" s="171"/>
      <c r="BA99" s="171"/>
      <c r="BB99" s="171"/>
      <c r="BC99" s="171"/>
      <c r="BD99" s="171"/>
      <c r="BE99" s="171"/>
      <c r="BF99" s="171"/>
      <c r="BG99" s="171"/>
      <c r="BH99" s="171"/>
      <c r="BI99" s="171"/>
      <c r="BJ99" s="171"/>
      <c r="BK99" s="171"/>
      <c r="BL99" s="171"/>
      <c r="BM99" s="171"/>
      <c r="BN99" s="171"/>
      <c r="BO99" s="171"/>
      <c r="BP99" s="171"/>
      <c r="BQ99" s="171"/>
      <c r="BR99" s="171"/>
      <c r="BS99" s="171"/>
    </row>
    <row r="100" spans="1:71" ht="14.4">
      <c r="A100" s="171"/>
      <c r="B100" s="171"/>
      <c r="C100" s="171"/>
      <c r="D100" s="171"/>
      <c r="E100" s="171"/>
      <c r="F100" s="171"/>
      <c r="G100" s="171"/>
      <c r="H100" s="171"/>
      <c r="I100" s="171"/>
      <c r="J100" s="171"/>
      <c r="K100" s="171"/>
      <c r="L100" s="2246"/>
      <c r="M100" s="2246"/>
      <c r="N100" s="171"/>
      <c r="O100" s="171"/>
      <c r="P100" s="171"/>
      <c r="Q100" s="171"/>
      <c r="R100" s="171"/>
      <c r="S100" s="171"/>
      <c r="T100" s="171"/>
      <c r="U100" s="171"/>
      <c r="V100" s="171"/>
      <c r="W100" s="171"/>
      <c r="AG100" s="171"/>
      <c r="AH100" s="171"/>
      <c r="AI100" s="171"/>
      <c r="AJ100" s="171"/>
      <c r="AK100" s="171"/>
      <c r="AL100" s="171"/>
      <c r="AM100" s="171"/>
      <c r="AN100" s="171"/>
      <c r="AO100" s="171"/>
      <c r="AP100" s="171"/>
      <c r="AQ100" s="171"/>
      <c r="AR100" s="171"/>
      <c r="AS100" s="171"/>
      <c r="AT100" s="171"/>
      <c r="AU100" s="171"/>
      <c r="AV100" s="171"/>
      <c r="AW100" s="171"/>
      <c r="AX100" s="171"/>
      <c r="AY100" s="171"/>
      <c r="AZ100" s="171"/>
      <c r="BA100" s="171"/>
      <c r="BB100" s="171"/>
      <c r="BC100" s="171"/>
      <c r="BD100" s="171"/>
      <c r="BE100" s="171"/>
      <c r="BF100" s="171"/>
      <c r="BG100" s="171"/>
      <c r="BH100" s="171"/>
      <c r="BI100" s="171"/>
      <c r="BJ100" s="171"/>
      <c r="BK100" s="171"/>
      <c r="BL100" s="171"/>
      <c r="BM100" s="171"/>
      <c r="BN100" s="171"/>
      <c r="BO100" s="171"/>
      <c r="BP100" s="171"/>
      <c r="BQ100" s="171"/>
      <c r="BR100" s="171"/>
      <c r="BS100" s="171"/>
    </row>
  </sheetData>
  <sheetProtection sheet="1" objects="1" scenarios="1"/>
  <customSheetViews>
    <customSheetView guid="{D1431318-1DB8-4C45-813B-5A8065DFC797}" showPageBreaks="1" printArea="1" view="pageBreakPreview">
      <selection activeCell="E17" sqref="E17"/>
      <pageMargins left="0.75" right="0.75" top="0.5" bottom="0.76" header="0.5" footer="0.5"/>
      <pageSetup scale="99" orientation="portrait" blackAndWhite="1" r:id="rId1"/>
      <headerFooter alignWithMargins="0"/>
    </customSheetView>
  </customSheetViews>
  <mergeCells count="7">
    <mergeCell ref="E1:F1"/>
    <mergeCell ref="C1:D1"/>
    <mergeCell ref="M4:M5"/>
    <mergeCell ref="L4:L5"/>
    <mergeCell ref="A35:E36"/>
    <mergeCell ref="F34:F36"/>
    <mergeCell ref="A34:E34"/>
  </mergeCells>
  <phoneticPr fontId="22" type="noConversion"/>
  <dataValidations count="1">
    <dataValidation type="list" allowBlank="1" showInputMessage="1" showErrorMessage="1" sqref="E4:E33">
      <formula1>Reduction</formula1>
    </dataValidation>
  </dataValidations>
  <pageMargins left="0.75" right="0.75" top="0.5" bottom="0.76" header="0.5" footer="0.5"/>
  <pageSetup scale="96" orientation="portrait" blackAndWhite="1" r:id="rId2"/>
  <headerFooter alignWithMargins="0"/>
  <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'Drop-Down Lists'!$J$6:$J$8</xm:f>
          </x14:formula1>
          <xm:sqref>C4:C33</xm:sqref>
        </x14:dataValidation>
        <x14:dataValidation type="list" allowBlank="1" showInputMessage="1" showErrorMessage="1">
          <x14:formula1>
            <xm:f>'Drop-Down Lists'!$A$35:$A$45</xm:f>
          </x14:formula1>
          <xm:sqref>B4:B33</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A1:IV76"/>
  <sheetViews>
    <sheetView showGridLines="0" view="pageLayout" zoomScaleNormal="100" zoomScaleSheetLayoutView="100" workbookViewId="0">
      <selection activeCell="B4" sqref="B4"/>
    </sheetView>
  </sheetViews>
  <sheetFormatPr defaultColWidth="8.88671875" defaultRowHeight="13.8"/>
  <cols>
    <col min="1" max="1" width="7.88671875" style="2459" customWidth="1"/>
    <col min="2" max="2" width="8.109375" style="2459" customWidth="1"/>
    <col min="3" max="3" width="7.88671875" style="2459" customWidth="1"/>
    <col min="4" max="5" width="4.6640625" style="2459" customWidth="1"/>
    <col min="6" max="6" width="7" style="2459" customWidth="1"/>
    <col min="7" max="7" width="8.44140625" style="2459" customWidth="1"/>
    <col min="8" max="8" width="8.6640625" style="2459" customWidth="1"/>
    <col min="9" max="9" width="5.109375" style="2459" customWidth="1"/>
    <col min="10" max="10" width="4.6640625" style="2459" customWidth="1"/>
    <col min="11" max="11" width="6.6640625" style="2459" customWidth="1"/>
    <col min="12" max="12" width="9.88671875" style="2459" customWidth="1"/>
    <col min="13" max="13" width="8.44140625" style="2459" customWidth="1"/>
    <col min="14" max="14" width="6" style="2459" customWidth="1"/>
    <col min="15" max="15" width="5.33203125" style="2459" customWidth="1"/>
    <col min="16" max="17" width="9.44140625" style="2459" customWidth="1"/>
    <col min="18" max="18" width="8.109375" style="2459" customWidth="1"/>
    <col min="19" max="19" width="7.33203125" style="2459" customWidth="1"/>
    <col min="20" max="20" width="6.109375" style="2459" customWidth="1"/>
    <col min="21" max="21" width="9.33203125" style="2459" customWidth="1"/>
    <col min="22" max="22" width="8.88671875" style="2459" customWidth="1"/>
    <col min="23" max="23" width="8.109375" style="2459" customWidth="1"/>
    <col min="24" max="24" width="8.44140625" style="2459" customWidth="1"/>
    <col min="25" max="25" width="6.6640625" style="2459" customWidth="1"/>
    <col min="26" max="27" width="10.44140625" style="2459" customWidth="1"/>
    <col min="28" max="28" width="8.44140625" style="2459" customWidth="1"/>
    <col min="29" max="29" width="7.6640625" style="2459" customWidth="1"/>
    <col min="30" max="30" width="5.44140625" style="2459" customWidth="1"/>
    <col min="31" max="256" width="9.109375" style="2459"/>
    <col min="257" max="257" width="7.88671875" style="2459" customWidth="1"/>
    <col min="258" max="258" width="8.109375" style="2459" customWidth="1"/>
    <col min="259" max="259" width="7.88671875" style="2459" customWidth="1"/>
    <col min="260" max="261" width="4.6640625" style="2459" customWidth="1"/>
    <col min="262" max="262" width="7" style="2459" customWidth="1"/>
    <col min="263" max="263" width="8.44140625" style="2459" customWidth="1"/>
    <col min="264" max="264" width="8.6640625" style="2459" customWidth="1"/>
    <col min="265" max="265" width="5.109375" style="2459" customWidth="1"/>
    <col min="266" max="266" width="4.6640625" style="2459" customWidth="1"/>
    <col min="267" max="267" width="6.6640625" style="2459" customWidth="1"/>
    <col min="268" max="268" width="9.88671875" style="2459" customWidth="1"/>
    <col min="269" max="269" width="8.44140625" style="2459" customWidth="1"/>
    <col min="270" max="270" width="6" style="2459" customWidth="1"/>
    <col min="271" max="271" width="5.33203125" style="2459" customWidth="1"/>
    <col min="272" max="273" width="9.44140625" style="2459" customWidth="1"/>
    <col min="274" max="274" width="8.109375" style="2459" customWidth="1"/>
    <col min="275" max="275" width="7.33203125" style="2459" customWidth="1"/>
    <col min="276" max="276" width="6.109375" style="2459" customWidth="1"/>
    <col min="277" max="277" width="9.33203125" style="2459" customWidth="1"/>
    <col min="278" max="278" width="8.88671875" style="2459" customWidth="1"/>
    <col min="279" max="279" width="8.109375" style="2459" customWidth="1"/>
    <col min="280" max="280" width="8.44140625" style="2459" customWidth="1"/>
    <col min="281" max="281" width="6.6640625" style="2459" customWidth="1"/>
    <col min="282" max="283" width="10.44140625" style="2459" customWidth="1"/>
    <col min="284" max="284" width="8.44140625" style="2459" customWidth="1"/>
    <col min="285" max="285" width="7.6640625" style="2459" customWidth="1"/>
    <col min="286" max="286" width="5.44140625" style="2459" customWidth="1"/>
    <col min="287" max="512" width="9.109375" style="2459"/>
    <col min="513" max="513" width="7.88671875" style="2459" customWidth="1"/>
    <col min="514" max="514" width="8.109375" style="2459" customWidth="1"/>
    <col min="515" max="515" width="7.88671875" style="2459" customWidth="1"/>
    <col min="516" max="517" width="4.6640625" style="2459" customWidth="1"/>
    <col min="518" max="518" width="7" style="2459" customWidth="1"/>
    <col min="519" max="519" width="8.44140625" style="2459" customWidth="1"/>
    <col min="520" max="520" width="8.6640625" style="2459" customWidth="1"/>
    <col min="521" max="521" width="5.109375" style="2459" customWidth="1"/>
    <col min="522" max="522" width="4.6640625" style="2459" customWidth="1"/>
    <col min="523" max="523" width="6.6640625" style="2459" customWidth="1"/>
    <col min="524" max="524" width="9.88671875" style="2459" customWidth="1"/>
    <col min="525" max="525" width="8.44140625" style="2459" customWidth="1"/>
    <col min="526" max="526" width="6" style="2459" customWidth="1"/>
    <col min="527" max="527" width="5.33203125" style="2459" customWidth="1"/>
    <col min="528" max="529" width="9.44140625" style="2459" customWidth="1"/>
    <col min="530" max="530" width="8.109375" style="2459" customWidth="1"/>
    <col min="531" max="531" width="7.33203125" style="2459" customWidth="1"/>
    <col min="532" max="532" width="6.109375" style="2459" customWidth="1"/>
    <col min="533" max="533" width="9.33203125" style="2459" customWidth="1"/>
    <col min="534" max="534" width="8.88671875" style="2459" customWidth="1"/>
    <col min="535" max="535" width="8.109375" style="2459" customWidth="1"/>
    <col min="536" max="536" width="8.44140625" style="2459" customWidth="1"/>
    <col min="537" max="537" width="6.6640625" style="2459" customWidth="1"/>
    <col min="538" max="539" width="10.44140625" style="2459" customWidth="1"/>
    <col min="540" max="540" width="8.44140625" style="2459" customWidth="1"/>
    <col min="541" max="541" width="7.6640625" style="2459" customWidth="1"/>
    <col min="542" max="542" width="5.44140625" style="2459" customWidth="1"/>
    <col min="543" max="768" width="9.109375" style="2459"/>
    <col min="769" max="769" width="7.88671875" style="2459" customWidth="1"/>
    <col min="770" max="770" width="8.109375" style="2459" customWidth="1"/>
    <col min="771" max="771" width="7.88671875" style="2459" customWidth="1"/>
    <col min="772" max="773" width="4.6640625" style="2459" customWidth="1"/>
    <col min="774" max="774" width="7" style="2459" customWidth="1"/>
    <col min="775" max="775" width="8.44140625" style="2459" customWidth="1"/>
    <col min="776" max="776" width="8.6640625" style="2459" customWidth="1"/>
    <col min="777" max="777" width="5.109375" style="2459" customWidth="1"/>
    <col min="778" max="778" width="4.6640625" style="2459" customWidth="1"/>
    <col min="779" max="779" width="6.6640625" style="2459" customWidth="1"/>
    <col min="780" max="780" width="9.88671875" style="2459" customWidth="1"/>
    <col min="781" max="781" width="8.44140625" style="2459" customWidth="1"/>
    <col min="782" max="782" width="6" style="2459" customWidth="1"/>
    <col min="783" max="783" width="5.33203125" style="2459" customWidth="1"/>
    <col min="784" max="785" width="9.44140625" style="2459" customWidth="1"/>
    <col min="786" max="786" width="8.109375" style="2459" customWidth="1"/>
    <col min="787" max="787" width="7.33203125" style="2459" customWidth="1"/>
    <col min="788" max="788" width="6.109375" style="2459" customWidth="1"/>
    <col min="789" max="789" width="9.33203125" style="2459" customWidth="1"/>
    <col min="790" max="790" width="8.88671875" style="2459" customWidth="1"/>
    <col min="791" max="791" width="8.109375" style="2459" customWidth="1"/>
    <col min="792" max="792" width="8.44140625" style="2459" customWidth="1"/>
    <col min="793" max="793" width="6.6640625" style="2459" customWidth="1"/>
    <col min="794" max="795" width="10.44140625" style="2459" customWidth="1"/>
    <col min="796" max="796" width="8.44140625" style="2459" customWidth="1"/>
    <col min="797" max="797" width="7.6640625" style="2459" customWidth="1"/>
    <col min="798" max="798" width="5.44140625" style="2459" customWidth="1"/>
    <col min="799" max="1024" width="9.109375" style="2459"/>
    <col min="1025" max="1025" width="7.88671875" style="2459" customWidth="1"/>
    <col min="1026" max="1026" width="8.109375" style="2459" customWidth="1"/>
    <col min="1027" max="1027" width="7.88671875" style="2459" customWidth="1"/>
    <col min="1028" max="1029" width="4.6640625" style="2459" customWidth="1"/>
    <col min="1030" max="1030" width="7" style="2459" customWidth="1"/>
    <col min="1031" max="1031" width="8.44140625" style="2459" customWidth="1"/>
    <col min="1032" max="1032" width="8.6640625" style="2459" customWidth="1"/>
    <col min="1033" max="1033" width="5.109375" style="2459" customWidth="1"/>
    <col min="1034" max="1034" width="4.6640625" style="2459" customWidth="1"/>
    <col min="1035" max="1035" width="6.6640625" style="2459" customWidth="1"/>
    <col min="1036" max="1036" width="9.88671875" style="2459" customWidth="1"/>
    <col min="1037" max="1037" width="8.44140625" style="2459" customWidth="1"/>
    <col min="1038" max="1038" width="6" style="2459" customWidth="1"/>
    <col min="1039" max="1039" width="5.33203125" style="2459" customWidth="1"/>
    <col min="1040" max="1041" width="9.44140625" style="2459" customWidth="1"/>
    <col min="1042" max="1042" width="8.109375" style="2459" customWidth="1"/>
    <col min="1043" max="1043" width="7.33203125" style="2459" customWidth="1"/>
    <col min="1044" max="1044" width="6.109375" style="2459" customWidth="1"/>
    <col min="1045" max="1045" width="9.33203125" style="2459" customWidth="1"/>
    <col min="1046" max="1046" width="8.88671875" style="2459" customWidth="1"/>
    <col min="1047" max="1047" width="8.109375" style="2459" customWidth="1"/>
    <col min="1048" max="1048" width="8.44140625" style="2459" customWidth="1"/>
    <col min="1049" max="1049" width="6.6640625" style="2459" customWidth="1"/>
    <col min="1050" max="1051" width="10.44140625" style="2459" customWidth="1"/>
    <col min="1052" max="1052" width="8.44140625" style="2459" customWidth="1"/>
    <col min="1053" max="1053" width="7.6640625" style="2459" customWidth="1"/>
    <col min="1054" max="1054" width="5.44140625" style="2459" customWidth="1"/>
    <col min="1055" max="1280" width="9.109375" style="2459"/>
    <col min="1281" max="1281" width="7.88671875" style="2459" customWidth="1"/>
    <col min="1282" max="1282" width="8.109375" style="2459" customWidth="1"/>
    <col min="1283" max="1283" width="7.88671875" style="2459" customWidth="1"/>
    <col min="1284" max="1285" width="4.6640625" style="2459" customWidth="1"/>
    <col min="1286" max="1286" width="7" style="2459" customWidth="1"/>
    <col min="1287" max="1287" width="8.44140625" style="2459" customWidth="1"/>
    <col min="1288" max="1288" width="8.6640625" style="2459" customWidth="1"/>
    <col min="1289" max="1289" width="5.109375" style="2459" customWidth="1"/>
    <col min="1290" max="1290" width="4.6640625" style="2459" customWidth="1"/>
    <col min="1291" max="1291" width="6.6640625" style="2459" customWidth="1"/>
    <col min="1292" max="1292" width="9.88671875" style="2459" customWidth="1"/>
    <col min="1293" max="1293" width="8.44140625" style="2459" customWidth="1"/>
    <col min="1294" max="1294" width="6" style="2459" customWidth="1"/>
    <col min="1295" max="1295" width="5.33203125" style="2459" customWidth="1"/>
    <col min="1296" max="1297" width="9.44140625" style="2459" customWidth="1"/>
    <col min="1298" max="1298" width="8.109375" style="2459" customWidth="1"/>
    <col min="1299" max="1299" width="7.33203125" style="2459" customWidth="1"/>
    <col min="1300" max="1300" width="6.109375" style="2459" customWidth="1"/>
    <col min="1301" max="1301" width="9.33203125" style="2459" customWidth="1"/>
    <col min="1302" max="1302" width="8.88671875" style="2459" customWidth="1"/>
    <col min="1303" max="1303" width="8.109375" style="2459" customWidth="1"/>
    <col min="1304" max="1304" width="8.44140625" style="2459" customWidth="1"/>
    <col min="1305" max="1305" width="6.6640625" style="2459" customWidth="1"/>
    <col min="1306" max="1307" width="10.44140625" style="2459" customWidth="1"/>
    <col min="1308" max="1308" width="8.44140625" style="2459" customWidth="1"/>
    <col min="1309" max="1309" width="7.6640625" style="2459" customWidth="1"/>
    <col min="1310" max="1310" width="5.44140625" style="2459" customWidth="1"/>
    <col min="1311" max="1536" width="9.109375" style="2459"/>
    <col min="1537" max="1537" width="7.88671875" style="2459" customWidth="1"/>
    <col min="1538" max="1538" width="8.109375" style="2459" customWidth="1"/>
    <col min="1539" max="1539" width="7.88671875" style="2459" customWidth="1"/>
    <col min="1540" max="1541" width="4.6640625" style="2459" customWidth="1"/>
    <col min="1542" max="1542" width="7" style="2459" customWidth="1"/>
    <col min="1543" max="1543" width="8.44140625" style="2459" customWidth="1"/>
    <col min="1544" max="1544" width="8.6640625" style="2459" customWidth="1"/>
    <col min="1545" max="1545" width="5.109375" style="2459" customWidth="1"/>
    <col min="1546" max="1546" width="4.6640625" style="2459" customWidth="1"/>
    <col min="1547" max="1547" width="6.6640625" style="2459" customWidth="1"/>
    <col min="1548" max="1548" width="9.88671875" style="2459" customWidth="1"/>
    <col min="1549" max="1549" width="8.44140625" style="2459" customWidth="1"/>
    <col min="1550" max="1550" width="6" style="2459" customWidth="1"/>
    <col min="1551" max="1551" width="5.33203125" style="2459" customWidth="1"/>
    <col min="1552" max="1553" width="9.44140625" style="2459" customWidth="1"/>
    <col min="1554" max="1554" width="8.109375" style="2459" customWidth="1"/>
    <col min="1555" max="1555" width="7.33203125" style="2459" customWidth="1"/>
    <col min="1556" max="1556" width="6.109375" style="2459" customWidth="1"/>
    <col min="1557" max="1557" width="9.33203125" style="2459" customWidth="1"/>
    <col min="1558" max="1558" width="8.88671875" style="2459" customWidth="1"/>
    <col min="1559" max="1559" width="8.109375" style="2459" customWidth="1"/>
    <col min="1560" max="1560" width="8.44140625" style="2459" customWidth="1"/>
    <col min="1561" max="1561" width="6.6640625" style="2459" customWidth="1"/>
    <col min="1562" max="1563" width="10.44140625" style="2459" customWidth="1"/>
    <col min="1564" max="1564" width="8.44140625" style="2459" customWidth="1"/>
    <col min="1565" max="1565" width="7.6640625" style="2459" customWidth="1"/>
    <col min="1566" max="1566" width="5.44140625" style="2459" customWidth="1"/>
    <col min="1567" max="1792" width="9.109375" style="2459"/>
    <col min="1793" max="1793" width="7.88671875" style="2459" customWidth="1"/>
    <col min="1794" max="1794" width="8.109375" style="2459" customWidth="1"/>
    <col min="1795" max="1795" width="7.88671875" style="2459" customWidth="1"/>
    <col min="1796" max="1797" width="4.6640625" style="2459" customWidth="1"/>
    <col min="1798" max="1798" width="7" style="2459" customWidth="1"/>
    <col min="1799" max="1799" width="8.44140625" style="2459" customWidth="1"/>
    <col min="1800" max="1800" width="8.6640625" style="2459" customWidth="1"/>
    <col min="1801" max="1801" width="5.109375" style="2459" customWidth="1"/>
    <col min="1802" max="1802" width="4.6640625" style="2459" customWidth="1"/>
    <col min="1803" max="1803" width="6.6640625" style="2459" customWidth="1"/>
    <col min="1804" max="1804" width="9.88671875" style="2459" customWidth="1"/>
    <col min="1805" max="1805" width="8.44140625" style="2459" customWidth="1"/>
    <col min="1806" max="1806" width="6" style="2459" customWidth="1"/>
    <col min="1807" max="1807" width="5.33203125" style="2459" customWidth="1"/>
    <col min="1808" max="1809" width="9.44140625" style="2459" customWidth="1"/>
    <col min="1810" max="1810" width="8.109375" style="2459" customWidth="1"/>
    <col min="1811" max="1811" width="7.33203125" style="2459" customWidth="1"/>
    <col min="1812" max="1812" width="6.109375" style="2459" customWidth="1"/>
    <col min="1813" max="1813" width="9.33203125" style="2459" customWidth="1"/>
    <col min="1814" max="1814" width="8.88671875" style="2459" customWidth="1"/>
    <col min="1815" max="1815" width="8.109375" style="2459" customWidth="1"/>
    <col min="1816" max="1816" width="8.44140625" style="2459" customWidth="1"/>
    <col min="1817" max="1817" width="6.6640625" style="2459" customWidth="1"/>
    <col min="1818" max="1819" width="10.44140625" style="2459" customWidth="1"/>
    <col min="1820" max="1820" width="8.44140625" style="2459" customWidth="1"/>
    <col min="1821" max="1821" width="7.6640625" style="2459" customWidth="1"/>
    <col min="1822" max="1822" width="5.44140625" style="2459" customWidth="1"/>
    <col min="1823" max="2048" width="9.109375" style="2459"/>
    <col min="2049" max="2049" width="7.88671875" style="2459" customWidth="1"/>
    <col min="2050" max="2050" width="8.109375" style="2459" customWidth="1"/>
    <col min="2051" max="2051" width="7.88671875" style="2459" customWidth="1"/>
    <col min="2052" max="2053" width="4.6640625" style="2459" customWidth="1"/>
    <col min="2054" max="2054" width="7" style="2459" customWidth="1"/>
    <col min="2055" max="2055" width="8.44140625" style="2459" customWidth="1"/>
    <col min="2056" max="2056" width="8.6640625" style="2459" customWidth="1"/>
    <col min="2057" max="2057" width="5.109375" style="2459" customWidth="1"/>
    <col min="2058" max="2058" width="4.6640625" style="2459" customWidth="1"/>
    <col min="2059" max="2059" width="6.6640625" style="2459" customWidth="1"/>
    <col min="2060" max="2060" width="9.88671875" style="2459" customWidth="1"/>
    <col min="2061" max="2061" width="8.44140625" style="2459" customWidth="1"/>
    <col min="2062" max="2062" width="6" style="2459" customWidth="1"/>
    <col min="2063" max="2063" width="5.33203125" style="2459" customWidth="1"/>
    <col min="2064" max="2065" width="9.44140625" style="2459" customWidth="1"/>
    <col min="2066" max="2066" width="8.109375" style="2459" customWidth="1"/>
    <col min="2067" max="2067" width="7.33203125" style="2459" customWidth="1"/>
    <col min="2068" max="2068" width="6.109375" style="2459" customWidth="1"/>
    <col min="2069" max="2069" width="9.33203125" style="2459" customWidth="1"/>
    <col min="2070" max="2070" width="8.88671875" style="2459" customWidth="1"/>
    <col min="2071" max="2071" width="8.109375" style="2459" customWidth="1"/>
    <col min="2072" max="2072" width="8.44140625" style="2459" customWidth="1"/>
    <col min="2073" max="2073" width="6.6640625" style="2459" customWidth="1"/>
    <col min="2074" max="2075" width="10.44140625" style="2459" customWidth="1"/>
    <col min="2076" max="2076" width="8.44140625" style="2459" customWidth="1"/>
    <col min="2077" max="2077" width="7.6640625" style="2459" customWidth="1"/>
    <col min="2078" max="2078" width="5.44140625" style="2459" customWidth="1"/>
    <col min="2079" max="2304" width="9.109375" style="2459"/>
    <col min="2305" max="2305" width="7.88671875" style="2459" customWidth="1"/>
    <col min="2306" max="2306" width="8.109375" style="2459" customWidth="1"/>
    <col min="2307" max="2307" width="7.88671875" style="2459" customWidth="1"/>
    <col min="2308" max="2309" width="4.6640625" style="2459" customWidth="1"/>
    <col min="2310" max="2310" width="7" style="2459" customWidth="1"/>
    <col min="2311" max="2311" width="8.44140625" style="2459" customWidth="1"/>
    <col min="2312" max="2312" width="8.6640625" style="2459" customWidth="1"/>
    <col min="2313" max="2313" width="5.109375" style="2459" customWidth="1"/>
    <col min="2314" max="2314" width="4.6640625" style="2459" customWidth="1"/>
    <col min="2315" max="2315" width="6.6640625" style="2459" customWidth="1"/>
    <col min="2316" max="2316" width="9.88671875" style="2459" customWidth="1"/>
    <col min="2317" max="2317" width="8.44140625" style="2459" customWidth="1"/>
    <col min="2318" max="2318" width="6" style="2459" customWidth="1"/>
    <col min="2319" max="2319" width="5.33203125" style="2459" customWidth="1"/>
    <col min="2320" max="2321" width="9.44140625" style="2459" customWidth="1"/>
    <col min="2322" max="2322" width="8.109375" style="2459" customWidth="1"/>
    <col min="2323" max="2323" width="7.33203125" style="2459" customWidth="1"/>
    <col min="2324" max="2324" width="6.109375" style="2459" customWidth="1"/>
    <col min="2325" max="2325" width="9.33203125" style="2459" customWidth="1"/>
    <col min="2326" max="2326" width="8.88671875" style="2459" customWidth="1"/>
    <col min="2327" max="2327" width="8.109375" style="2459" customWidth="1"/>
    <col min="2328" max="2328" width="8.44140625" style="2459" customWidth="1"/>
    <col min="2329" max="2329" width="6.6640625" style="2459" customWidth="1"/>
    <col min="2330" max="2331" width="10.44140625" style="2459" customWidth="1"/>
    <col min="2332" max="2332" width="8.44140625" style="2459" customWidth="1"/>
    <col min="2333" max="2333" width="7.6640625" style="2459" customWidth="1"/>
    <col min="2334" max="2334" width="5.44140625" style="2459" customWidth="1"/>
    <col min="2335" max="2560" width="9.109375" style="2459"/>
    <col min="2561" max="2561" width="7.88671875" style="2459" customWidth="1"/>
    <col min="2562" max="2562" width="8.109375" style="2459" customWidth="1"/>
    <col min="2563" max="2563" width="7.88671875" style="2459" customWidth="1"/>
    <col min="2564" max="2565" width="4.6640625" style="2459" customWidth="1"/>
    <col min="2566" max="2566" width="7" style="2459" customWidth="1"/>
    <col min="2567" max="2567" width="8.44140625" style="2459" customWidth="1"/>
    <col min="2568" max="2568" width="8.6640625" style="2459" customWidth="1"/>
    <col min="2569" max="2569" width="5.109375" style="2459" customWidth="1"/>
    <col min="2570" max="2570" width="4.6640625" style="2459" customWidth="1"/>
    <col min="2571" max="2571" width="6.6640625" style="2459" customWidth="1"/>
    <col min="2572" max="2572" width="9.88671875" style="2459" customWidth="1"/>
    <col min="2573" max="2573" width="8.44140625" style="2459" customWidth="1"/>
    <col min="2574" max="2574" width="6" style="2459" customWidth="1"/>
    <col min="2575" max="2575" width="5.33203125" style="2459" customWidth="1"/>
    <col min="2576" max="2577" width="9.44140625" style="2459" customWidth="1"/>
    <col min="2578" max="2578" width="8.109375" style="2459" customWidth="1"/>
    <col min="2579" max="2579" width="7.33203125" style="2459" customWidth="1"/>
    <col min="2580" max="2580" width="6.109375" style="2459" customWidth="1"/>
    <col min="2581" max="2581" width="9.33203125" style="2459" customWidth="1"/>
    <col min="2582" max="2582" width="8.88671875" style="2459" customWidth="1"/>
    <col min="2583" max="2583" width="8.109375" style="2459" customWidth="1"/>
    <col min="2584" max="2584" width="8.44140625" style="2459" customWidth="1"/>
    <col min="2585" max="2585" width="6.6640625" style="2459" customWidth="1"/>
    <col min="2586" max="2587" width="10.44140625" style="2459" customWidth="1"/>
    <col min="2588" max="2588" width="8.44140625" style="2459" customWidth="1"/>
    <col min="2589" max="2589" width="7.6640625" style="2459" customWidth="1"/>
    <col min="2590" max="2590" width="5.44140625" style="2459" customWidth="1"/>
    <col min="2591" max="2816" width="9.109375" style="2459"/>
    <col min="2817" max="2817" width="7.88671875" style="2459" customWidth="1"/>
    <col min="2818" max="2818" width="8.109375" style="2459" customWidth="1"/>
    <col min="2819" max="2819" width="7.88671875" style="2459" customWidth="1"/>
    <col min="2820" max="2821" width="4.6640625" style="2459" customWidth="1"/>
    <col min="2822" max="2822" width="7" style="2459" customWidth="1"/>
    <col min="2823" max="2823" width="8.44140625" style="2459" customWidth="1"/>
    <col min="2824" max="2824" width="8.6640625" style="2459" customWidth="1"/>
    <col min="2825" max="2825" width="5.109375" style="2459" customWidth="1"/>
    <col min="2826" max="2826" width="4.6640625" style="2459" customWidth="1"/>
    <col min="2827" max="2827" width="6.6640625" style="2459" customWidth="1"/>
    <col min="2828" max="2828" width="9.88671875" style="2459" customWidth="1"/>
    <col min="2829" max="2829" width="8.44140625" style="2459" customWidth="1"/>
    <col min="2830" max="2830" width="6" style="2459" customWidth="1"/>
    <col min="2831" max="2831" width="5.33203125" style="2459" customWidth="1"/>
    <col min="2832" max="2833" width="9.44140625" style="2459" customWidth="1"/>
    <col min="2834" max="2834" width="8.109375" style="2459" customWidth="1"/>
    <col min="2835" max="2835" width="7.33203125" style="2459" customWidth="1"/>
    <col min="2836" max="2836" width="6.109375" style="2459" customWidth="1"/>
    <col min="2837" max="2837" width="9.33203125" style="2459" customWidth="1"/>
    <col min="2838" max="2838" width="8.88671875" style="2459" customWidth="1"/>
    <col min="2839" max="2839" width="8.109375" style="2459" customWidth="1"/>
    <col min="2840" max="2840" width="8.44140625" style="2459" customWidth="1"/>
    <col min="2841" max="2841" width="6.6640625" style="2459" customWidth="1"/>
    <col min="2842" max="2843" width="10.44140625" style="2459" customWidth="1"/>
    <col min="2844" max="2844" width="8.44140625" style="2459" customWidth="1"/>
    <col min="2845" max="2845" width="7.6640625" style="2459" customWidth="1"/>
    <col min="2846" max="2846" width="5.44140625" style="2459" customWidth="1"/>
    <col min="2847" max="3072" width="9.109375" style="2459"/>
    <col min="3073" max="3073" width="7.88671875" style="2459" customWidth="1"/>
    <col min="3074" max="3074" width="8.109375" style="2459" customWidth="1"/>
    <col min="3075" max="3075" width="7.88671875" style="2459" customWidth="1"/>
    <col min="3076" max="3077" width="4.6640625" style="2459" customWidth="1"/>
    <col min="3078" max="3078" width="7" style="2459" customWidth="1"/>
    <col min="3079" max="3079" width="8.44140625" style="2459" customWidth="1"/>
    <col min="3080" max="3080" width="8.6640625" style="2459" customWidth="1"/>
    <col min="3081" max="3081" width="5.109375" style="2459" customWidth="1"/>
    <col min="3082" max="3082" width="4.6640625" style="2459" customWidth="1"/>
    <col min="3083" max="3083" width="6.6640625" style="2459" customWidth="1"/>
    <col min="3084" max="3084" width="9.88671875" style="2459" customWidth="1"/>
    <col min="3085" max="3085" width="8.44140625" style="2459" customWidth="1"/>
    <col min="3086" max="3086" width="6" style="2459" customWidth="1"/>
    <col min="3087" max="3087" width="5.33203125" style="2459" customWidth="1"/>
    <col min="3088" max="3089" width="9.44140625" style="2459" customWidth="1"/>
    <col min="3090" max="3090" width="8.109375" style="2459" customWidth="1"/>
    <col min="3091" max="3091" width="7.33203125" style="2459" customWidth="1"/>
    <col min="3092" max="3092" width="6.109375" style="2459" customWidth="1"/>
    <col min="3093" max="3093" width="9.33203125" style="2459" customWidth="1"/>
    <col min="3094" max="3094" width="8.88671875" style="2459" customWidth="1"/>
    <col min="3095" max="3095" width="8.109375" style="2459" customWidth="1"/>
    <col min="3096" max="3096" width="8.44140625" style="2459" customWidth="1"/>
    <col min="3097" max="3097" width="6.6640625" style="2459" customWidth="1"/>
    <col min="3098" max="3099" width="10.44140625" style="2459" customWidth="1"/>
    <col min="3100" max="3100" width="8.44140625" style="2459" customWidth="1"/>
    <col min="3101" max="3101" width="7.6640625" style="2459" customWidth="1"/>
    <col min="3102" max="3102" width="5.44140625" style="2459" customWidth="1"/>
    <col min="3103" max="3328" width="9.109375" style="2459"/>
    <col min="3329" max="3329" width="7.88671875" style="2459" customWidth="1"/>
    <col min="3330" max="3330" width="8.109375" style="2459" customWidth="1"/>
    <col min="3331" max="3331" width="7.88671875" style="2459" customWidth="1"/>
    <col min="3332" max="3333" width="4.6640625" style="2459" customWidth="1"/>
    <col min="3334" max="3334" width="7" style="2459" customWidth="1"/>
    <col min="3335" max="3335" width="8.44140625" style="2459" customWidth="1"/>
    <col min="3336" max="3336" width="8.6640625" style="2459" customWidth="1"/>
    <col min="3337" max="3337" width="5.109375" style="2459" customWidth="1"/>
    <col min="3338" max="3338" width="4.6640625" style="2459" customWidth="1"/>
    <col min="3339" max="3339" width="6.6640625" style="2459" customWidth="1"/>
    <col min="3340" max="3340" width="9.88671875" style="2459" customWidth="1"/>
    <col min="3341" max="3341" width="8.44140625" style="2459" customWidth="1"/>
    <col min="3342" max="3342" width="6" style="2459" customWidth="1"/>
    <col min="3343" max="3343" width="5.33203125" style="2459" customWidth="1"/>
    <col min="3344" max="3345" width="9.44140625" style="2459" customWidth="1"/>
    <col min="3346" max="3346" width="8.109375" style="2459" customWidth="1"/>
    <col min="3347" max="3347" width="7.33203125" style="2459" customWidth="1"/>
    <col min="3348" max="3348" width="6.109375" style="2459" customWidth="1"/>
    <col min="3349" max="3349" width="9.33203125" style="2459" customWidth="1"/>
    <col min="3350" max="3350" width="8.88671875" style="2459" customWidth="1"/>
    <col min="3351" max="3351" width="8.109375" style="2459" customWidth="1"/>
    <col min="3352" max="3352" width="8.44140625" style="2459" customWidth="1"/>
    <col min="3353" max="3353" width="6.6640625" style="2459" customWidth="1"/>
    <col min="3354" max="3355" width="10.44140625" style="2459" customWidth="1"/>
    <col min="3356" max="3356" width="8.44140625" style="2459" customWidth="1"/>
    <col min="3357" max="3357" width="7.6640625" style="2459" customWidth="1"/>
    <col min="3358" max="3358" width="5.44140625" style="2459" customWidth="1"/>
    <col min="3359" max="3584" width="9.109375" style="2459"/>
    <col min="3585" max="3585" width="7.88671875" style="2459" customWidth="1"/>
    <col min="3586" max="3586" width="8.109375" style="2459" customWidth="1"/>
    <col min="3587" max="3587" width="7.88671875" style="2459" customWidth="1"/>
    <col min="3588" max="3589" width="4.6640625" style="2459" customWidth="1"/>
    <col min="3590" max="3590" width="7" style="2459" customWidth="1"/>
    <col min="3591" max="3591" width="8.44140625" style="2459" customWidth="1"/>
    <col min="3592" max="3592" width="8.6640625" style="2459" customWidth="1"/>
    <col min="3593" max="3593" width="5.109375" style="2459" customWidth="1"/>
    <col min="3594" max="3594" width="4.6640625" style="2459" customWidth="1"/>
    <col min="3595" max="3595" width="6.6640625" style="2459" customWidth="1"/>
    <col min="3596" max="3596" width="9.88671875" style="2459" customWidth="1"/>
    <col min="3597" max="3597" width="8.44140625" style="2459" customWidth="1"/>
    <col min="3598" max="3598" width="6" style="2459" customWidth="1"/>
    <col min="3599" max="3599" width="5.33203125" style="2459" customWidth="1"/>
    <col min="3600" max="3601" width="9.44140625" style="2459" customWidth="1"/>
    <col min="3602" max="3602" width="8.109375" style="2459" customWidth="1"/>
    <col min="3603" max="3603" width="7.33203125" style="2459" customWidth="1"/>
    <col min="3604" max="3604" width="6.109375" style="2459" customWidth="1"/>
    <col min="3605" max="3605" width="9.33203125" style="2459" customWidth="1"/>
    <col min="3606" max="3606" width="8.88671875" style="2459" customWidth="1"/>
    <col min="3607" max="3607" width="8.109375" style="2459" customWidth="1"/>
    <col min="3608" max="3608" width="8.44140625" style="2459" customWidth="1"/>
    <col min="3609" max="3609" width="6.6640625" style="2459" customWidth="1"/>
    <col min="3610" max="3611" width="10.44140625" style="2459" customWidth="1"/>
    <col min="3612" max="3612" width="8.44140625" style="2459" customWidth="1"/>
    <col min="3613" max="3613" width="7.6640625" style="2459" customWidth="1"/>
    <col min="3614" max="3614" width="5.44140625" style="2459" customWidth="1"/>
    <col min="3615" max="3840" width="9.109375" style="2459"/>
    <col min="3841" max="3841" width="7.88671875" style="2459" customWidth="1"/>
    <col min="3842" max="3842" width="8.109375" style="2459" customWidth="1"/>
    <col min="3843" max="3843" width="7.88671875" style="2459" customWidth="1"/>
    <col min="3844" max="3845" width="4.6640625" style="2459" customWidth="1"/>
    <col min="3846" max="3846" width="7" style="2459" customWidth="1"/>
    <col min="3847" max="3847" width="8.44140625" style="2459" customWidth="1"/>
    <col min="3848" max="3848" width="8.6640625" style="2459" customWidth="1"/>
    <col min="3849" max="3849" width="5.109375" style="2459" customWidth="1"/>
    <col min="3850" max="3850" width="4.6640625" style="2459" customWidth="1"/>
    <col min="3851" max="3851" width="6.6640625" style="2459" customWidth="1"/>
    <col min="3852" max="3852" width="9.88671875" style="2459" customWidth="1"/>
    <col min="3853" max="3853" width="8.44140625" style="2459" customWidth="1"/>
    <col min="3854" max="3854" width="6" style="2459" customWidth="1"/>
    <col min="3855" max="3855" width="5.33203125" style="2459" customWidth="1"/>
    <col min="3856" max="3857" width="9.44140625" style="2459" customWidth="1"/>
    <col min="3858" max="3858" width="8.109375" style="2459" customWidth="1"/>
    <col min="3859" max="3859" width="7.33203125" style="2459" customWidth="1"/>
    <col min="3860" max="3860" width="6.109375" style="2459" customWidth="1"/>
    <col min="3861" max="3861" width="9.33203125" style="2459" customWidth="1"/>
    <col min="3862" max="3862" width="8.88671875" style="2459" customWidth="1"/>
    <col min="3863" max="3863" width="8.109375" style="2459" customWidth="1"/>
    <col min="3864" max="3864" width="8.44140625" style="2459" customWidth="1"/>
    <col min="3865" max="3865" width="6.6640625" style="2459" customWidth="1"/>
    <col min="3866" max="3867" width="10.44140625" style="2459" customWidth="1"/>
    <col min="3868" max="3868" width="8.44140625" style="2459" customWidth="1"/>
    <col min="3869" max="3869" width="7.6640625" style="2459" customWidth="1"/>
    <col min="3870" max="3870" width="5.44140625" style="2459" customWidth="1"/>
    <col min="3871" max="4096" width="9.109375" style="2459"/>
    <col min="4097" max="4097" width="7.88671875" style="2459" customWidth="1"/>
    <col min="4098" max="4098" width="8.109375" style="2459" customWidth="1"/>
    <col min="4099" max="4099" width="7.88671875" style="2459" customWidth="1"/>
    <col min="4100" max="4101" width="4.6640625" style="2459" customWidth="1"/>
    <col min="4102" max="4102" width="7" style="2459" customWidth="1"/>
    <col min="4103" max="4103" width="8.44140625" style="2459" customWidth="1"/>
    <col min="4104" max="4104" width="8.6640625" style="2459" customWidth="1"/>
    <col min="4105" max="4105" width="5.109375" style="2459" customWidth="1"/>
    <col min="4106" max="4106" width="4.6640625" style="2459" customWidth="1"/>
    <col min="4107" max="4107" width="6.6640625" style="2459" customWidth="1"/>
    <col min="4108" max="4108" width="9.88671875" style="2459" customWidth="1"/>
    <col min="4109" max="4109" width="8.44140625" style="2459" customWidth="1"/>
    <col min="4110" max="4110" width="6" style="2459" customWidth="1"/>
    <col min="4111" max="4111" width="5.33203125" style="2459" customWidth="1"/>
    <col min="4112" max="4113" width="9.44140625" style="2459" customWidth="1"/>
    <col min="4114" max="4114" width="8.109375" style="2459" customWidth="1"/>
    <col min="4115" max="4115" width="7.33203125" style="2459" customWidth="1"/>
    <col min="4116" max="4116" width="6.109375" style="2459" customWidth="1"/>
    <col min="4117" max="4117" width="9.33203125" style="2459" customWidth="1"/>
    <col min="4118" max="4118" width="8.88671875" style="2459" customWidth="1"/>
    <col min="4119" max="4119" width="8.109375" style="2459" customWidth="1"/>
    <col min="4120" max="4120" width="8.44140625" style="2459" customWidth="1"/>
    <col min="4121" max="4121" width="6.6640625" style="2459" customWidth="1"/>
    <col min="4122" max="4123" width="10.44140625" style="2459" customWidth="1"/>
    <col min="4124" max="4124" width="8.44140625" style="2459" customWidth="1"/>
    <col min="4125" max="4125" width="7.6640625" style="2459" customWidth="1"/>
    <col min="4126" max="4126" width="5.44140625" style="2459" customWidth="1"/>
    <col min="4127" max="4352" width="9.109375" style="2459"/>
    <col min="4353" max="4353" width="7.88671875" style="2459" customWidth="1"/>
    <col min="4354" max="4354" width="8.109375" style="2459" customWidth="1"/>
    <col min="4355" max="4355" width="7.88671875" style="2459" customWidth="1"/>
    <col min="4356" max="4357" width="4.6640625" style="2459" customWidth="1"/>
    <col min="4358" max="4358" width="7" style="2459" customWidth="1"/>
    <col min="4359" max="4359" width="8.44140625" style="2459" customWidth="1"/>
    <col min="4360" max="4360" width="8.6640625" style="2459" customWidth="1"/>
    <col min="4361" max="4361" width="5.109375" style="2459" customWidth="1"/>
    <col min="4362" max="4362" width="4.6640625" style="2459" customWidth="1"/>
    <col min="4363" max="4363" width="6.6640625" style="2459" customWidth="1"/>
    <col min="4364" max="4364" width="9.88671875" style="2459" customWidth="1"/>
    <col min="4365" max="4365" width="8.44140625" style="2459" customWidth="1"/>
    <col min="4366" max="4366" width="6" style="2459" customWidth="1"/>
    <col min="4367" max="4367" width="5.33203125" style="2459" customWidth="1"/>
    <col min="4368" max="4369" width="9.44140625" style="2459" customWidth="1"/>
    <col min="4370" max="4370" width="8.109375" style="2459" customWidth="1"/>
    <col min="4371" max="4371" width="7.33203125" style="2459" customWidth="1"/>
    <col min="4372" max="4372" width="6.109375" style="2459" customWidth="1"/>
    <col min="4373" max="4373" width="9.33203125" style="2459" customWidth="1"/>
    <col min="4374" max="4374" width="8.88671875" style="2459" customWidth="1"/>
    <col min="4375" max="4375" width="8.109375" style="2459" customWidth="1"/>
    <col min="4376" max="4376" width="8.44140625" style="2459" customWidth="1"/>
    <col min="4377" max="4377" width="6.6640625" style="2459" customWidth="1"/>
    <col min="4378" max="4379" width="10.44140625" style="2459" customWidth="1"/>
    <col min="4380" max="4380" width="8.44140625" style="2459" customWidth="1"/>
    <col min="4381" max="4381" width="7.6640625" style="2459" customWidth="1"/>
    <col min="4382" max="4382" width="5.44140625" style="2459" customWidth="1"/>
    <col min="4383" max="4608" width="9.109375" style="2459"/>
    <col min="4609" max="4609" width="7.88671875" style="2459" customWidth="1"/>
    <col min="4610" max="4610" width="8.109375" style="2459" customWidth="1"/>
    <col min="4611" max="4611" width="7.88671875" style="2459" customWidth="1"/>
    <col min="4612" max="4613" width="4.6640625" style="2459" customWidth="1"/>
    <col min="4614" max="4614" width="7" style="2459" customWidth="1"/>
    <col min="4615" max="4615" width="8.44140625" style="2459" customWidth="1"/>
    <col min="4616" max="4616" width="8.6640625" style="2459" customWidth="1"/>
    <col min="4617" max="4617" width="5.109375" style="2459" customWidth="1"/>
    <col min="4618" max="4618" width="4.6640625" style="2459" customWidth="1"/>
    <col min="4619" max="4619" width="6.6640625" style="2459" customWidth="1"/>
    <col min="4620" max="4620" width="9.88671875" style="2459" customWidth="1"/>
    <col min="4621" max="4621" width="8.44140625" style="2459" customWidth="1"/>
    <col min="4622" max="4622" width="6" style="2459" customWidth="1"/>
    <col min="4623" max="4623" width="5.33203125" style="2459" customWidth="1"/>
    <col min="4624" max="4625" width="9.44140625" style="2459" customWidth="1"/>
    <col min="4626" max="4626" width="8.109375" style="2459" customWidth="1"/>
    <col min="4627" max="4627" width="7.33203125" style="2459" customWidth="1"/>
    <col min="4628" max="4628" width="6.109375" style="2459" customWidth="1"/>
    <col min="4629" max="4629" width="9.33203125" style="2459" customWidth="1"/>
    <col min="4630" max="4630" width="8.88671875" style="2459" customWidth="1"/>
    <col min="4631" max="4631" width="8.109375" style="2459" customWidth="1"/>
    <col min="4632" max="4632" width="8.44140625" style="2459" customWidth="1"/>
    <col min="4633" max="4633" width="6.6640625" style="2459" customWidth="1"/>
    <col min="4634" max="4635" width="10.44140625" style="2459" customWidth="1"/>
    <col min="4636" max="4636" width="8.44140625" style="2459" customWidth="1"/>
    <col min="4637" max="4637" width="7.6640625" style="2459" customWidth="1"/>
    <col min="4638" max="4638" width="5.44140625" style="2459" customWidth="1"/>
    <col min="4639" max="4864" width="9.109375" style="2459"/>
    <col min="4865" max="4865" width="7.88671875" style="2459" customWidth="1"/>
    <col min="4866" max="4866" width="8.109375" style="2459" customWidth="1"/>
    <col min="4867" max="4867" width="7.88671875" style="2459" customWidth="1"/>
    <col min="4868" max="4869" width="4.6640625" style="2459" customWidth="1"/>
    <col min="4870" max="4870" width="7" style="2459" customWidth="1"/>
    <col min="4871" max="4871" width="8.44140625" style="2459" customWidth="1"/>
    <col min="4872" max="4872" width="8.6640625" style="2459" customWidth="1"/>
    <col min="4873" max="4873" width="5.109375" style="2459" customWidth="1"/>
    <col min="4874" max="4874" width="4.6640625" style="2459" customWidth="1"/>
    <col min="4875" max="4875" width="6.6640625" style="2459" customWidth="1"/>
    <col min="4876" max="4876" width="9.88671875" style="2459" customWidth="1"/>
    <col min="4877" max="4877" width="8.44140625" style="2459" customWidth="1"/>
    <col min="4878" max="4878" width="6" style="2459" customWidth="1"/>
    <col min="4879" max="4879" width="5.33203125" style="2459" customWidth="1"/>
    <col min="4880" max="4881" width="9.44140625" style="2459" customWidth="1"/>
    <col min="4882" max="4882" width="8.109375" style="2459" customWidth="1"/>
    <col min="4883" max="4883" width="7.33203125" style="2459" customWidth="1"/>
    <col min="4884" max="4884" width="6.109375" style="2459" customWidth="1"/>
    <col min="4885" max="4885" width="9.33203125" style="2459" customWidth="1"/>
    <col min="4886" max="4886" width="8.88671875" style="2459" customWidth="1"/>
    <col min="4887" max="4887" width="8.109375" style="2459" customWidth="1"/>
    <col min="4888" max="4888" width="8.44140625" style="2459" customWidth="1"/>
    <col min="4889" max="4889" width="6.6640625" style="2459" customWidth="1"/>
    <col min="4890" max="4891" width="10.44140625" style="2459" customWidth="1"/>
    <col min="4892" max="4892" width="8.44140625" style="2459" customWidth="1"/>
    <col min="4893" max="4893" width="7.6640625" style="2459" customWidth="1"/>
    <col min="4894" max="4894" width="5.44140625" style="2459" customWidth="1"/>
    <col min="4895" max="5120" width="9.109375" style="2459"/>
    <col min="5121" max="5121" width="7.88671875" style="2459" customWidth="1"/>
    <col min="5122" max="5122" width="8.109375" style="2459" customWidth="1"/>
    <col min="5123" max="5123" width="7.88671875" style="2459" customWidth="1"/>
    <col min="5124" max="5125" width="4.6640625" style="2459" customWidth="1"/>
    <col min="5126" max="5126" width="7" style="2459" customWidth="1"/>
    <col min="5127" max="5127" width="8.44140625" style="2459" customWidth="1"/>
    <col min="5128" max="5128" width="8.6640625" style="2459" customWidth="1"/>
    <col min="5129" max="5129" width="5.109375" style="2459" customWidth="1"/>
    <col min="5130" max="5130" width="4.6640625" style="2459" customWidth="1"/>
    <col min="5131" max="5131" width="6.6640625" style="2459" customWidth="1"/>
    <col min="5132" max="5132" width="9.88671875" style="2459" customWidth="1"/>
    <col min="5133" max="5133" width="8.44140625" style="2459" customWidth="1"/>
    <col min="5134" max="5134" width="6" style="2459" customWidth="1"/>
    <col min="5135" max="5135" width="5.33203125" style="2459" customWidth="1"/>
    <col min="5136" max="5137" width="9.44140625" style="2459" customWidth="1"/>
    <col min="5138" max="5138" width="8.109375" style="2459" customWidth="1"/>
    <col min="5139" max="5139" width="7.33203125" style="2459" customWidth="1"/>
    <col min="5140" max="5140" width="6.109375" style="2459" customWidth="1"/>
    <col min="5141" max="5141" width="9.33203125" style="2459" customWidth="1"/>
    <col min="5142" max="5142" width="8.88671875" style="2459" customWidth="1"/>
    <col min="5143" max="5143" width="8.109375" style="2459" customWidth="1"/>
    <col min="5144" max="5144" width="8.44140625" style="2459" customWidth="1"/>
    <col min="5145" max="5145" width="6.6640625" style="2459" customWidth="1"/>
    <col min="5146" max="5147" width="10.44140625" style="2459" customWidth="1"/>
    <col min="5148" max="5148" width="8.44140625" style="2459" customWidth="1"/>
    <col min="5149" max="5149" width="7.6640625" style="2459" customWidth="1"/>
    <col min="5150" max="5150" width="5.44140625" style="2459" customWidth="1"/>
    <col min="5151" max="5376" width="9.109375" style="2459"/>
    <col min="5377" max="5377" width="7.88671875" style="2459" customWidth="1"/>
    <col min="5378" max="5378" width="8.109375" style="2459" customWidth="1"/>
    <col min="5379" max="5379" width="7.88671875" style="2459" customWidth="1"/>
    <col min="5380" max="5381" width="4.6640625" style="2459" customWidth="1"/>
    <col min="5382" max="5382" width="7" style="2459" customWidth="1"/>
    <col min="5383" max="5383" width="8.44140625" style="2459" customWidth="1"/>
    <col min="5384" max="5384" width="8.6640625" style="2459" customWidth="1"/>
    <col min="5385" max="5385" width="5.109375" style="2459" customWidth="1"/>
    <col min="5386" max="5386" width="4.6640625" style="2459" customWidth="1"/>
    <col min="5387" max="5387" width="6.6640625" style="2459" customWidth="1"/>
    <col min="5388" max="5388" width="9.88671875" style="2459" customWidth="1"/>
    <col min="5389" max="5389" width="8.44140625" style="2459" customWidth="1"/>
    <col min="5390" max="5390" width="6" style="2459" customWidth="1"/>
    <col min="5391" max="5391" width="5.33203125" style="2459" customWidth="1"/>
    <col min="5392" max="5393" width="9.44140625" style="2459" customWidth="1"/>
    <col min="5394" max="5394" width="8.109375" style="2459" customWidth="1"/>
    <col min="5395" max="5395" width="7.33203125" style="2459" customWidth="1"/>
    <col min="5396" max="5396" width="6.109375" style="2459" customWidth="1"/>
    <col min="5397" max="5397" width="9.33203125" style="2459" customWidth="1"/>
    <col min="5398" max="5398" width="8.88671875" style="2459" customWidth="1"/>
    <col min="5399" max="5399" width="8.109375" style="2459" customWidth="1"/>
    <col min="5400" max="5400" width="8.44140625" style="2459" customWidth="1"/>
    <col min="5401" max="5401" width="6.6640625" style="2459" customWidth="1"/>
    <col min="5402" max="5403" width="10.44140625" style="2459" customWidth="1"/>
    <col min="5404" max="5404" width="8.44140625" style="2459" customWidth="1"/>
    <col min="5405" max="5405" width="7.6640625" style="2459" customWidth="1"/>
    <col min="5406" max="5406" width="5.44140625" style="2459" customWidth="1"/>
    <col min="5407" max="5632" width="9.109375" style="2459"/>
    <col min="5633" max="5633" width="7.88671875" style="2459" customWidth="1"/>
    <col min="5634" max="5634" width="8.109375" style="2459" customWidth="1"/>
    <col min="5635" max="5635" width="7.88671875" style="2459" customWidth="1"/>
    <col min="5636" max="5637" width="4.6640625" style="2459" customWidth="1"/>
    <col min="5638" max="5638" width="7" style="2459" customWidth="1"/>
    <col min="5639" max="5639" width="8.44140625" style="2459" customWidth="1"/>
    <col min="5640" max="5640" width="8.6640625" style="2459" customWidth="1"/>
    <col min="5641" max="5641" width="5.109375" style="2459" customWidth="1"/>
    <col min="5642" max="5642" width="4.6640625" style="2459" customWidth="1"/>
    <col min="5643" max="5643" width="6.6640625" style="2459" customWidth="1"/>
    <col min="5644" max="5644" width="9.88671875" style="2459" customWidth="1"/>
    <col min="5645" max="5645" width="8.44140625" style="2459" customWidth="1"/>
    <col min="5646" max="5646" width="6" style="2459" customWidth="1"/>
    <col min="5647" max="5647" width="5.33203125" style="2459" customWidth="1"/>
    <col min="5648" max="5649" width="9.44140625" style="2459" customWidth="1"/>
    <col min="5650" max="5650" width="8.109375" style="2459" customWidth="1"/>
    <col min="5651" max="5651" width="7.33203125" style="2459" customWidth="1"/>
    <col min="5652" max="5652" width="6.109375" style="2459" customWidth="1"/>
    <col min="5653" max="5653" width="9.33203125" style="2459" customWidth="1"/>
    <col min="5654" max="5654" width="8.88671875" style="2459" customWidth="1"/>
    <col min="5655" max="5655" width="8.109375" style="2459" customWidth="1"/>
    <col min="5656" max="5656" width="8.44140625" style="2459" customWidth="1"/>
    <col min="5657" max="5657" width="6.6640625" style="2459" customWidth="1"/>
    <col min="5658" max="5659" width="10.44140625" style="2459" customWidth="1"/>
    <col min="5660" max="5660" width="8.44140625" style="2459" customWidth="1"/>
    <col min="5661" max="5661" width="7.6640625" style="2459" customWidth="1"/>
    <col min="5662" max="5662" width="5.44140625" style="2459" customWidth="1"/>
    <col min="5663" max="5888" width="9.109375" style="2459"/>
    <col min="5889" max="5889" width="7.88671875" style="2459" customWidth="1"/>
    <col min="5890" max="5890" width="8.109375" style="2459" customWidth="1"/>
    <col min="5891" max="5891" width="7.88671875" style="2459" customWidth="1"/>
    <col min="5892" max="5893" width="4.6640625" style="2459" customWidth="1"/>
    <col min="5894" max="5894" width="7" style="2459" customWidth="1"/>
    <col min="5895" max="5895" width="8.44140625" style="2459" customWidth="1"/>
    <col min="5896" max="5896" width="8.6640625" style="2459" customWidth="1"/>
    <col min="5897" max="5897" width="5.109375" style="2459" customWidth="1"/>
    <col min="5898" max="5898" width="4.6640625" style="2459" customWidth="1"/>
    <col min="5899" max="5899" width="6.6640625" style="2459" customWidth="1"/>
    <col min="5900" max="5900" width="9.88671875" style="2459" customWidth="1"/>
    <col min="5901" max="5901" width="8.44140625" style="2459" customWidth="1"/>
    <col min="5902" max="5902" width="6" style="2459" customWidth="1"/>
    <col min="5903" max="5903" width="5.33203125" style="2459" customWidth="1"/>
    <col min="5904" max="5905" width="9.44140625" style="2459" customWidth="1"/>
    <col min="5906" max="5906" width="8.109375" style="2459" customWidth="1"/>
    <col min="5907" max="5907" width="7.33203125" style="2459" customWidth="1"/>
    <col min="5908" max="5908" width="6.109375" style="2459" customWidth="1"/>
    <col min="5909" max="5909" width="9.33203125" style="2459" customWidth="1"/>
    <col min="5910" max="5910" width="8.88671875" style="2459" customWidth="1"/>
    <col min="5911" max="5911" width="8.109375" style="2459" customWidth="1"/>
    <col min="5912" max="5912" width="8.44140625" style="2459" customWidth="1"/>
    <col min="5913" max="5913" width="6.6640625" style="2459" customWidth="1"/>
    <col min="5914" max="5915" width="10.44140625" style="2459" customWidth="1"/>
    <col min="5916" max="5916" width="8.44140625" style="2459" customWidth="1"/>
    <col min="5917" max="5917" width="7.6640625" style="2459" customWidth="1"/>
    <col min="5918" max="5918" width="5.44140625" style="2459" customWidth="1"/>
    <col min="5919" max="6144" width="9.109375" style="2459"/>
    <col min="6145" max="6145" width="7.88671875" style="2459" customWidth="1"/>
    <col min="6146" max="6146" width="8.109375" style="2459" customWidth="1"/>
    <col min="6147" max="6147" width="7.88671875" style="2459" customWidth="1"/>
    <col min="6148" max="6149" width="4.6640625" style="2459" customWidth="1"/>
    <col min="6150" max="6150" width="7" style="2459" customWidth="1"/>
    <col min="6151" max="6151" width="8.44140625" style="2459" customWidth="1"/>
    <col min="6152" max="6152" width="8.6640625" style="2459" customWidth="1"/>
    <col min="6153" max="6153" width="5.109375" style="2459" customWidth="1"/>
    <col min="6154" max="6154" width="4.6640625" style="2459" customWidth="1"/>
    <col min="6155" max="6155" width="6.6640625" style="2459" customWidth="1"/>
    <col min="6156" max="6156" width="9.88671875" style="2459" customWidth="1"/>
    <col min="6157" max="6157" width="8.44140625" style="2459" customWidth="1"/>
    <col min="6158" max="6158" width="6" style="2459" customWidth="1"/>
    <col min="6159" max="6159" width="5.33203125" style="2459" customWidth="1"/>
    <col min="6160" max="6161" width="9.44140625" style="2459" customWidth="1"/>
    <col min="6162" max="6162" width="8.109375" style="2459" customWidth="1"/>
    <col min="6163" max="6163" width="7.33203125" style="2459" customWidth="1"/>
    <col min="6164" max="6164" width="6.109375" style="2459" customWidth="1"/>
    <col min="6165" max="6165" width="9.33203125" style="2459" customWidth="1"/>
    <col min="6166" max="6166" width="8.88671875" style="2459" customWidth="1"/>
    <col min="6167" max="6167" width="8.109375" style="2459" customWidth="1"/>
    <col min="6168" max="6168" width="8.44140625" style="2459" customWidth="1"/>
    <col min="6169" max="6169" width="6.6640625" style="2459" customWidth="1"/>
    <col min="6170" max="6171" width="10.44140625" style="2459" customWidth="1"/>
    <col min="6172" max="6172" width="8.44140625" style="2459" customWidth="1"/>
    <col min="6173" max="6173" width="7.6640625" style="2459" customWidth="1"/>
    <col min="6174" max="6174" width="5.44140625" style="2459" customWidth="1"/>
    <col min="6175" max="6400" width="9.109375" style="2459"/>
    <col min="6401" max="6401" width="7.88671875" style="2459" customWidth="1"/>
    <col min="6402" max="6402" width="8.109375" style="2459" customWidth="1"/>
    <col min="6403" max="6403" width="7.88671875" style="2459" customWidth="1"/>
    <col min="6404" max="6405" width="4.6640625" style="2459" customWidth="1"/>
    <col min="6406" max="6406" width="7" style="2459" customWidth="1"/>
    <col min="6407" max="6407" width="8.44140625" style="2459" customWidth="1"/>
    <col min="6408" max="6408" width="8.6640625" style="2459" customWidth="1"/>
    <col min="6409" max="6409" width="5.109375" style="2459" customWidth="1"/>
    <col min="6410" max="6410" width="4.6640625" style="2459" customWidth="1"/>
    <col min="6411" max="6411" width="6.6640625" style="2459" customWidth="1"/>
    <col min="6412" max="6412" width="9.88671875" style="2459" customWidth="1"/>
    <col min="6413" max="6413" width="8.44140625" style="2459" customWidth="1"/>
    <col min="6414" max="6414" width="6" style="2459" customWidth="1"/>
    <col min="6415" max="6415" width="5.33203125" style="2459" customWidth="1"/>
    <col min="6416" max="6417" width="9.44140625" style="2459" customWidth="1"/>
    <col min="6418" max="6418" width="8.109375" style="2459" customWidth="1"/>
    <col min="6419" max="6419" width="7.33203125" style="2459" customWidth="1"/>
    <col min="6420" max="6420" width="6.109375" style="2459" customWidth="1"/>
    <col min="6421" max="6421" width="9.33203125" style="2459" customWidth="1"/>
    <col min="6422" max="6422" width="8.88671875" style="2459" customWidth="1"/>
    <col min="6423" max="6423" width="8.109375" style="2459" customWidth="1"/>
    <col min="6424" max="6424" width="8.44140625" style="2459" customWidth="1"/>
    <col min="6425" max="6425" width="6.6640625" style="2459" customWidth="1"/>
    <col min="6426" max="6427" width="10.44140625" style="2459" customWidth="1"/>
    <col min="6428" max="6428" width="8.44140625" style="2459" customWidth="1"/>
    <col min="6429" max="6429" width="7.6640625" style="2459" customWidth="1"/>
    <col min="6430" max="6430" width="5.44140625" style="2459" customWidth="1"/>
    <col min="6431" max="6656" width="9.109375" style="2459"/>
    <col min="6657" max="6657" width="7.88671875" style="2459" customWidth="1"/>
    <col min="6658" max="6658" width="8.109375" style="2459" customWidth="1"/>
    <col min="6659" max="6659" width="7.88671875" style="2459" customWidth="1"/>
    <col min="6660" max="6661" width="4.6640625" style="2459" customWidth="1"/>
    <col min="6662" max="6662" width="7" style="2459" customWidth="1"/>
    <col min="6663" max="6663" width="8.44140625" style="2459" customWidth="1"/>
    <col min="6664" max="6664" width="8.6640625" style="2459" customWidth="1"/>
    <col min="6665" max="6665" width="5.109375" style="2459" customWidth="1"/>
    <col min="6666" max="6666" width="4.6640625" style="2459" customWidth="1"/>
    <col min="6667" max="6667" width="6.6640625" style="2459" customWidth="1"/>
    <col min="6668" max="6668" width="9.88671875" style="2459" customWidth="1"/>
    <col min="6669" max="6669" width="8.44140625" style="2459" customWidth="1"/>
    <col min="6670" max="6670" width="6" style="2459" customWidth="1"/>
    <col min="6671" max="6671" width="5.33203125" style="2459" customWidth="1"/>
    <col min="6672" max="6673" width="9.44140625" style="2459" customWidth="1"/>
    <col min="6674" max="6674" width="8.109375" style="2459" customWidth="1"/>
    <col min="6675" max="6675" width="7.33203125" style="2459" customWidth="1"/>
    <col min="6676" max="6676" width="6.109375" style="2459" customWidth="1"/>
    <col min="6677" max="6677" width="9.33203125" style="2459" customWidth="1"/>
    <col min="6678" max="6678" width="8.88671875" style="2459" customWidth="1"/>
    <col min="6679" max="6679" width="8.109375" style="2459" customWidth="1"/>
    <col min="6680" max="6680" width="8.44140625" style="2459" customWidth="1"/>
    <col min="6681" max="6681" width="6.6640625" style="2459" customWidth="1"/>
    <col min="6682" max="6683" width="10.44140625" style="2459" customWidth="1"/>
    <col min="6684" max="6684" width="8.44140625" style="2459" customWidth="1"/>
    <col min="6685" max="6685" width="7.6640625" style="2459" customWidth="1"/>
    <col min="6686" max="6686" width="5.44140625" style="2459" customWidth="1"/>
    <col min="6687" max="6912" width="9.109375" style="2459"/>
    <col min="6913" max="6913" width="7.88671875" style="2459" customWidth="1"/>
    <col min="6914" max="6914" width="8.109375" style="2459" customWidth="1"/>
    <col min="6915" max="6915" width="7.88671875" style="2459" customWidth="1"/>
    <col min="6916" max="6917" width="4.6640625" style="2459" customWidth="1"/>
    <col min="6918" max="6918" width="7" style="2459" customWidth="1"/>
    <col min="6919" max="6919" width="8.44140625" style="2459" customWidth="1"/>
    <col min="6920" max="6920" width="8.6640625" style="2459" customWidth="1"/>
    <col min="6921" max="6921" width="5.109375" style="2459" customWidth="1"/>
    <col min="6922" max="6922" width="4.6640625" style="2459" customWidth="1"/>
    <col min="6923" max="6923" width="6.6640625" style="2459" customWidth="1"/>
    <col min="6924" max="6924" width="9.88671875" style="2459" customWidth="1"/>
    <col min="6925" max="6925" width="8.44140625" style="2459" customWidth="1"/>
    <col min="6926" max="6926" width="6" style="2459" customWidth="1"/>
    <col min="6927" max="6927" width="5.33203125" style="2459" customWidth="1"/>
    <col min="6928" max="6929" width="9.44140625" style="2459" customWidth="1"/>
    <col min="6930" max="6930" width="8.109375" style="2459" customWidth="1"/>
    <col min="6931" max="6931" width="7.33203125" style="2459" customWidth="1"/>
    <col min="6932" max="6932" width="6.109375" style="2459" customWidth="1"/>
    <col min="6933" max="6933" width="9.33203125" style="2459" customWidth="1"/>
    <col min="6934" max="6934" width="8.88671875" style="2459" customWidth="1"/>
    <col min="6935" max="6935" width="8.109375" style="2459" customWidth="1"/>
    <col min="6936" max="6936" width="8.44140625" style="2459" customWidth="1"/>
    <col min="6937" max="6937" width="6.6640625" style="2459" customWidth="1"/>
    <col min="6938" max="6939" width="10.44140625" style="2459" customWidth="1"/>
    <col min="6940" max="6940" width="8.44140625" style="2459" customWidth="1"/>
    <col min="6941" max="6941" width="7.6640625" style="2459" customWidth="1"/>
    <col min="6942" max="6942" width="5.44140625" style="2459" customWidth="1"/>
    <col min="6943" max="7168" width="9.109375" style="2459"/>
    <col min="7169" max="7169" width="7.88671875" style="2459" customWidth="1"/>
    <col min="7170" max="7170" width="8.109375" style="2459" customWidth="1"/>
    <col min="7171" max="7171" width="7.88671875" style="2459" customWidth="1"/>
    <col min="7172" max="7173" width="4.6640625" style="2459" customWidth="1"/>
    <col min="7174" max="7174" width="7" style="2459" customWidth="1"/>
    <col min="7175" max="7175" width="8.44140625" style="2459" customWidth="1"/>
    <col min="7176" max="7176" width="8.6640625" style="2459" customWidth="1"/>
    <col min="7177" max="7177" width="5.109375" style="2459" customWidth="1"/>
    <col min="7178" max="7178" width="4.6640625" style="2459" customWidth="1"/>
    <col min="7179" max="7179" width="6.6640625" style="2459" customWidth="1"/>
    <col min="7180" max="7180" width="9.88671875" style="2459" customWidth="1"/>
    <col min="7181" max="7181" width="8.44140625" style="2459" customWidth="1"/>
    <col min="7182" max="7182" width="6" style="2459" customWidth="1"/>
    <col min="7183" max="7183" width="5.33203125" style="2459" customWidth="1"/>
    <col min="7184" max="7185" width="9.44140625" style="2459" customWidth="1"/>
    <col min="7186" max="7186" width="8.109375" style="2459" customWidth="1"/>
    <col min="7187" max="7187" width="7.33203125" style="2459" customWidth="1"/>
    <col min="7188" max="7188" width="6.109375" style="2459" customWidth="1"/>
    <col min="7189" max="7189" width="9.33203125" style="2459" customWidth="1"/>
    <col min="7190" max="7190" width="8.88671875" style="2459" customWidth="1"/>
    <col min="7191" max="7191" width="8.109375" style="2459" customWidth="1"/>
    <col min="7192" max="7192" width="8.44140625" style="2459" customWidth="1"/>
    <col min="7193" max="7193" width="6.6640625" style="2459" customWidth="1"/>
    <col min="7194" max="7195" width="10.44140625" style="2459" customWidth="1"/>
    <col min="7196" max="7196" width="8.44140625" style="2459" customWidth="1"/>
    <col min="7197" max="7197" width="7.6640625" style="2459" customWidth="1"/>
    <col min="7198" max="7198" width="5.44140625" style="2459" customWidth="1"/>
    <col min="7199" max="7424" width="9.109375" style="2459"/>
    <col min="7425" max="7425" width="7.88671875" style="2459" customWidth="1"/>
    <col min="7426" max="7426" width="8.109375" style="2459" customWidth="1"/>
    <col min="7427" max="7427" width="7.88671875" style="2459" customWidth="1"/>
    <col min="7428" max="7429" width="4.6640625" style="2459" customWidth="1"/>
    <col min="7430" max="7430" width="7" style="2459" customWidth="1"/>
    <col min="7431" max="7431" width="8.44140625" style="2459" customWidth="1"/>
    <col min="7432" max="7432" width="8.6640625" style="2459" customWidth="1"/>
    <col min="7433" max="7433" width="5.109375" style="2459" customWidth="1"/>
    <col min="7434" max="7434" width="4.6640625" style="2459" customWidth="1"/>
    <col min="7435" max="7435" width="6.6640625" style="2459" customWidth="1"/>
    <col min="7436" max="7436" width="9.88671875" style="2459" customWidth="1"/>
    <col min="7437" max="7437" width="8.44140625" style="2459" customWidth="1"/>
    <col min="7438" max="7438" width="6" style="2459" customWidth="1"/>
    <col min="7439" max="7439" width="5.33203125" style="2459" customWidth="1"/>
    <col min="7440" max="7441" width="9.44140625" style="2459" customWidth="1"/>
    <col min="7442" max="7442" width="8.109375" style="2459" customWidth="1"/>
    <col min="7443" max="7443" width="7.33203125" style="2459" customWidth="1"/>
    <col min="7444" max="7444" width="6.109375" style="2459" customWidth="1"/>
    <col min="7445" max="7445" width="9.33203125" style="2459" customWidth="1"/>
    <col min="7446" max="7446" width="8.88671875" style="2459" customWidth="1"/>
    <col min="7447" max="7447" width="8.109375" style="2459" customWidth="1"/>
    <col min="7448" max="7448" width="8.44140625" style="2459" customWidth="1"/>
    <col min="7449" max="7449" width="6.6640625" style="2459" customWidth="1"/>
    <col min="7450" max="7451" width="10.44140625" style="2459" customWidth="1"/>
    <col min="7452" max="7452" width="8.44140625" style="2459" customWidth="1"/>
    <col min="7453" max="7453" width="7.6640625" style="2459" customWidth="1"/>
    <col min="7454" max="7454" width="5.44140625" style="2459" customWidth="1"/>
    <col min="7455" max="7680" width="9.109375" style="2459"/>
    <col min="7681" max="7681" width="7.88671875" style="2459" customWidth="1"/>
    <col min="7682" max="7682" width="8.109375" style="2459" customWidth="1"/>
    <col min="7683" max="7683" width="7.88671875" style="2459" customWidth="1"/>
    <col min="7684" max="7685" width="4.6640625" style="2459" customWidth="1"/>
    <col min="7686" max="7686" width="7" style="2459" customWidth="1"/>
    <col min="7687" max="7687" width="8.44140625" style="2459" customWidth="1"/>
    <col min="7688" max="7688" width="8.6640625" style="2459" customWidth="1"/>
    <col min="7689" max="7689" width="5.109375" style="2459" customWidth="1"/>
    <col min="7690" max="7690" width="4.6640625" style="2459" customWidth="1"/>
    <col min="7691" max="7691" width="6.6640625" style="2459" customWidth="1"/>
    <col min="7692" max="7692" width="9.88671875" style="2459" customWidth="1"/>
    <col min="7693" max="7693" width="8.44140625" style="2459" customWidth="1"/>
    <col min="7694" max="7694" width="6" style="2459" customWidth="1"/>
    <col min="7695" max="7695" width="5.33203125" style="2459" customWidth="1"/>
    <col min="7696" max="7697" width="9.44140625" style="2459" customWidth="1"/>
    <col min="7698" max="7698" width="8.109375" style="2459" customWidth="1"/>
    <col min="7699" max="7699" width="7.33203125" style="2459" customWidth="1"/>
    <col min="7700" max="7700" width="6.109375" style="2459" customWidth="1"/>
    <col min="7701" max="7701" width="9.33203125" style="2459" customWidth="1"/>
    <col min="7702" max="7702" width="8.88671875" style="2459" customWidth="1"/>
    <col min="7703" max="7703" width="8.109375" style="2459" customWidth="1"/>
    <col min="7704" max="7704" width="8.44140625" style="2459" customWidth="1"/>
    <col min="7705" max="7705" width="6.6640625" style="2459" customWidth="1"/>
    <col min="7706" max="7707" width="10.44140625" style="2459" customWidth="1"/>
    <col min="7708" max="7708" width="8.44140625" style="2459" customWidth="1"/>
    <col min="7709" max="7709" width="7.6640625" style="2459" customWidth="1"/>
    <col min="7710" max="7710" width="5.44140625" style="2459" customWidth="1"/>
    <col min="7711" max="7936" width="9.109375" style="2459"/>
    <col min="7937" max="7937" width="7.88671875" style="2459" customWidth="1"/>
    <col min="7938" max="7938" width="8.109375" style="2459" customWidth="1"/>
    <col min="7939" max="7939" width="7.88671875" style="2459" customWidth="1"/>
    <col min="7940" max="7941" width="4.6640625" style="2459" customWidth="1"/>
    <col min="7942" max="7942" width="7" style="2459" customWidth="1"/>
    <col min="7943" max="7943" width="8.44140625" style="2459" customWidth="1"/>
    <col min="7944" max="7944" width="8.6640625" style="2459" customWidth="1"/>
    <col min="7945" max="7945" width="5.109375" style="2459" customWidth="1"/>
    <col min="7946" max="7946" width="4.6640625" style="2459" customWidth="1"/>
    <col min="7947" max="7947" width="6.6640625" style="2459" customWidth="1"/>
    <col min="7948" max="7948" width="9.88671875" style="2459" customWidth="1"/>
    <col min="7949" max="7949" width="8.44140625" style="2459" customWidth="1"/>
    <col min="7950" max="7950" width="6" style="2459" customWidth="1"/>
    <col min="7951" max="7951" width="5.33203125" style="2459" customWidth="1"/>
    <col min="7952" max="7953" width="9.44140625" style="2459" customWidth="1"/>
    <col min="7954" max="7954" width="8.109375" style="2459" customWidth="1"/>
    <col min="7955" max="7955" width="7.33203125" style="2459" customWidth="1"/>
    <col min="7956" max="7956" width="6.109375" style="2459" customWidth="1"/>
    <col min="7957" max="7957" width="9.33203125" style="2459" customWidth="1"/>
    <col min="7958" max="7958" width="8.88671875" style="2459" customWidth="1"/>
    <col min="7959" max="7959" width="8.109375" style="2459" customWidth="1"/>
    <col min="7960" max="7960" width="8.44140625" style="2459" customWidth="1"/>
    <col min="7961" max="7961" width="6.6640625" style="2459" customWidth="1"/>
    <col min="7962" max="7963" width="10.44140625" style="2459" customWidth="1"/>
    <col min="7964" max="7964" width="8.44140625" style="2459" customWidth="1"/>
    <col min="7965" max="7965" width="7.6640625" style="2459" customWidth="1"/>
    <col min="7966" max="7966" width="5.44140625" style="2459" customWidth="1"/>
    <col min="7967" max="8192" width="9.109375" style="2459"/>
    <col min="8193" max="8193" width="7.88671875" style="2459" customWidth="1"/>
    <col min="8194" max="8194" width="8.109375" style="2459" customWidth="1"/>
    <col min="8195" max="8195" width="7.88671875" style="2459" customWidth="1"/>
    <col min="8196" max="8197" width="4.6640625" style="2459" customWidth="1"/>
    <col min="8198" max="8198" width="7" style="2459" customWidth="1"/>
    <col min="8199" max="8199" width="8.44140625" style="2459" customWidth="1"/>
    <col min="8200" max="8200" width="8.6640625" style="2459" customWidth="1"/>
    <col min="8201" max="8201" width="5.109375" style="2459" customWidth="1"/>
    <col min="8202" max="8202" width="4.6640625" style="2459" customWidth="1"/>
    <col min="8203" max="8203" width="6.6640625" style="2459" customWidth="1"/>
    <col min="8204" max="8204" width="9.88671875" style="2459" customWidth="1"/>
    <col min="8205" max="8205" width="8.44140625" style="2459" customWidth="1"/>
    <col min="8206" max="8206" width="6" style="2459" customWidth="1"/>
    <col min="8207" max="8207" width="5.33203125" style="2459" customWidth="1"/>
    <col min="8208" max="8209" width="9.44140625" style="2459" customWidth="1"/>
    <col min="8210" max="8210" width="8.109375" style="2459" customWidth="1"/>
    <col min="8211" max="8211" width="7.33203125" style="2459" customWidth="1"/>
    <col min="8212" max="8212" width="6.109375" style="2459" customWidth="1"/>
    <col min="8213" max="8213" width="9.33203125" style="2459" customWidth="1"/>
    <col min="8214" max="8214" width="8.88671875" style="2459" customWidth="1"/>
    <col min="8215" max="8215" width="8.109375" style="2459" customWidth="1"/>
    <col min="8216" max="8216" width="8.44140625" style="2459" customWidth="1"/>
    <col min="8217" max="8217" width="6.6640625" style="2459" customWidth="1"/>
    <col min="8218" max="8219" width="10.44140625" style="2459" customWidth="1"/>
    <col min="8220" max="8220" width="8.44140625" style="2459" customWidth="1"/>
    <col min="8221" max="8221" width="7.6640625" style="2459" customWidth="1"/>
    <col min="8222" max="8222" width="5.44140625" style="2459" customWidth="1"/>
    <col min="8223" max="8448" width="9.109375" style="2459"/>
    <col min="8449" max="8449" width="7.88671875" style="2459" customWidth="1"/>
    <col min="8450" max="8450" width="8.109375" style="2459" customWidth="1"/>
    <col min="8451" max="8451" width="7.88671875" style="2459" customWidth="1"/>
    <col min="8452" max="8453" width="4.6640625" style="2459" customWidth="1"/>
    <col min="8454" max="8454" width="7" style="2459" customWidth="1"/>
    <col min="8455" max="8455" width="8.44140625" style="2459" customWidth="1"/>
    <col min="8456" max="8456" width="8.6640625" style="2459" customWidth="1"/>
    <col min="8457" max="8457" width="5.109375" style="2459" customWidth="1"/>
    <col min="8458" max="8458" width="4.6640625" style="2459" customWidth="1"/>
    <col min="8459" max="8459" width="6.6640625" style="2459" customWidth="1"/>
    <col min="8460" max="8460" width="9.88671875" style="2459" customWidth="1"/>
    <col min="8461" max="8461" width="8.44140625" style="2459" customWidth="1"/>
    <col min="8462" max="8462" width="6" style="2459" customWidth="1"/>
    <col min="8463" max="8463" width="5.33203125" style="2459" customWidth="1"/>
    <col min="8464" max="8465" width="9.44140625" style="2459" customWidth="1"/>
    <col min="8466" max="8466" width="8.109375" style="2459" customWidth="1"/>
    <col min="8467" max="8467" width="7.33203125" style="2459" customWidth="1"/>
    <col min="8468" max="8468" width="6.109375" style="2459" customWidth="1"/>
    <col min="8469" max="8469" width="9.33203125" style="2459" customWidth="1"/>
    <col min="8470" max="8470" width="8.88671875" style="2459" customWidth="1"/>
    <col min="8471" max="8471" width="8.109375" style="2459" customWidth="1"/>
    <col min="8472" max="8472" width="8.44140625" style="2459" customWidth="1"/>
    <col min="8473" max="8473" width="6.6640625" style="2459" customWidth="1"/>
    <col min="8474" max="8475" width="10.44140625" style="2459" customWidth="1"/>
    <col min="8476" max="8476" width="8.44140625" style="2459" customWidth="1"/>
    <col min="8477" max="8477" width="7.6640625" style="2459" customWidth="1"/>
    <col min="8478" max="8478" width="5.44140625" style="2459" customWidth="1"/>
    <col min="8479" max="8704" width="9.109375" style="2459"/>
    <col min="8705" max="8705" width="7.88671875" style="2459" customWidth="1"/>
    <col min="8706" max="8706" width="8.109375" style="2459" customWidth="1"/>
    <col min="8707" max="8707" width="7.88671875" style="2459" customWidth="1"/>
    <col min="8708" max="8709" width="4.6640625" style="2459" customWidth="1"/>
    <col min="8710" max="8710" width="7" style="2459" customWidth="1"/>
    <col min="8711" max="8711" width="8.44140625" style="2459" customWidth="1"/>
    <col min="8712" max="8712" width="8.6640625" style="2459" customWidth="1"/>
    <col min="8713" max="8713" width="5.109375" style="2459" customWidth="1"/>
    <col min="8714" max="8714" width="4.6640625" style="2459" customWidth="1"/>
    <col min="8715" max="8715" width="6.6640625" style="2459" customWidth="1"/>
    <col min="8716" max="8716" width="9.88671875" style="2459" customWidth="1"/>
    <col min="8717" max="8717" width="8.44140625" style="2459" customWidth="1"/>
    <col min="8718" max="8718" width="6" style="2459" customWidth="1"/>
    <col min="8719" max="8719" width="5.33203125" style="2459" customWidth="1"/>
    <col min="8720" max="8721" width="9.44140625" style="2459" customWidth="1"/>
    <col min="8722" max="8722" width="8.109375" style="2459" customWidth="1"/>
    <col min="8723" max="8723" width="7.33203125" style="2459" customWidth="1"/>
    <col min="8724" max="8724" width="6.109375" style="2459" customWidth="1"/>
    <col min="8725" max="8725" width="9.33203125" style="2459" customWidth="1"/>
    <col min="8726" max="8726" width="8.88671875" style="2459" customWidth="1"/>
    <col min="8727" max="8727" width="8.109375" style="2459" customWidth="1"/>
    <col min="8728" max="8728" width="8.44140625" style="2459" customWidth="1"/>
    <col min="8729" max="8729" width="6.6640625" style="2459" customWidth="1"/>
    <col min="8730" max="8731" width="10.44140625" style="2459" customWidth="1"/>
    <col min="8732" max="8732" width="8.44140625" style="2459" customWidth="1"/>
    <col min="8733" max="8733" width="7.6640625" style="2459" customWidth="1"/>
    <col min="8734" max="8734" width="5.44140625" style="2459" customWidth="1"/>
    <col min="8735" max="8960" width="9.109375" style="2459"/>
    <col min="8961" max="8961" width="7.88671875" style="2459" customWidth="1"/>
    <col min="8962" max="8962" width="8.109375" style="2459" customWidth="1"/>
    <col min="8963" max="8963" width="7.88671875" style="2459" customWidth="1"/>
    <col min="8964" max="8965" width="4.6640625" style="2459" customWidth="1"/>
    <col min="8966" max="8966" width="7" style="2459" customWidth="1"/>
    <col min="8967" max="8967" width="8.44140625" style="2459" customWidth="1"/>
    <col min="8968" max="8968" width="8.6640625" style="2459" customWidth="1"/>
    <col min="8969" max="8969" width="5.109375" style="2459" customWidth="1"/>
    <col min="8970" max="8970" width="4.6640625" style="2459" customWidth="1"/>
    <col min="8971" max="8971" width="6.6640625" style="2459" customWidth="1"/>
    <col min="8972" max="8972" width="9.88671875" style="2459" customWidth="1"/>
    <col min="8973" max="8973" width="8.44140625" style="2459" customWidth="1"/>
    <col min="8974" max="8974" width="6" style="2459" customWidth="1"/>
    <col min="8975" max="8975" width="5.33203125" style="2459" customWidth="1"/>
    <col min="8976" max="8977" width="9.44140625" style="2459" customWidth="1"/>
    <col min="8978" max="8978" width="8.109375" style="2459" customWidth="1"/>
    <col min="8979" max="8979" width="7.33203125" style="2459" customWidth="1"/>
    <col min="8980" max="8980" width="6.109375" style="2459" customWidth="1"/>
    <col min="8981" max="8981" width="9.33203125" style="2459" customWidth="1"/>
    <col min="8982" max="8982" width="8.88671875" style="2459" customWidth="1"/>
    <col min="8983" max="8983" width="8.109375" style="2459" customWidth="1"/>
    <col min="8984" max="8984" width="8.44140625" style="2459" customWidth="1"/>
    <col min="8985" max="8985" width="6.6640625" style="2459" customWidth="1"/>
    <col min="8986" max="8987" width="10.44140625" style="2459" customWidth="1"/>
    <col min="8988" max="8988" width="8.44140625" style="2459" customWidth="1"/>
    <col min="8989" max="8989" width="7.6640625" style="2459" customWidth="1"/>
    <col min="8990" max="8990" width="5.44140625" style="2459" customWidth="1"/>
    <col min="8991" max="9216" width="9.109375" style="2459"/>
    <col min="9217" max="9217" width="7.88671875" style="2459" customWidth="1"/>
    <col min="9218" max="9218" width="8.109375" style="2459" customWidth="1"/>
    <col min="9219" max="9219" width="7.88671875" style="2459" customWidth="1"/>
    <col min="9220" max="9221" width="4.6640625" style="2459" customWidth="1"/>
    <col min="9222" max="9222" width="7" style="2459" customWidth="1"/>
    <col min="9223" max="9223" width="8.44140625" style="2459" customWidth="1"/>
    <col min="9224" max="9224" width="8.6640625" style="2459" customWidth="1"/>
    <col min="9225" max="9225" width="5.109375" style="2459" customWidth="1"/>
    <col min="9226" max="9226" width="4.6640625" style="2459" customWidth="1"/>
    <col min="9227" max="9227" width="6.6640625" style="2459" customWidth="1"/>
    <col min="9228" max="9228" width="9.88671875" style="2459" customWidth="1"/>
    <col min="9229" max="9229" width="8.44140625" style="2459" customWidth="1"/>
    <col min="9230" max="9230" width="6" style="2459" customWidth="1"/>
    <col min="9231" max="9231" width="5.33203125" style="2459" customWidth="1"/>
    <col min="9232" max="9233" width="9.44140625" style="2459" customWidth="1"/>
    <col min="9234" max="9234" width="8.109375" style="2459" customWidth="1"/>
    <col min="9235" max="9235" width="7.33203125" style="2459" customWidth="1"/>
    <col min="9236" max="9236" width="6.109375" style="2459" customWidth="1"/>
    <col min="9237" max="9237" width="9.33203125" style="2459" customWidth="1"/>
    <col min="9238" max="9238" width="8.88671875" style="2459" customWidth="1"/>
    <col min="9239" max="9239" width="8.109375" style="2459" customWidth="1"/>
    <col min="9240" max="9240" width="8.44140625" style="2459" customWidth="1"/>
    <col min="9241" max="9241" width="6.6640625" style="2459" customWidth="1"/>
    <col min="9242" max="9243" width="10.44140625" style="2459" customWidth="1"/>
    <col min="9244" max="9244" width="8.44140625" style="2459" customWidth="1"/>
    <col min="9245" max="9245" width="7.6640625" style="2459" customWidth="1"/>
    <col min="9246" max="9246" width="5.44140625" style="2459" customWidth="1"/>
    <col min="9247" max="9472" width="9.109375" style="2459"/>
    <col min="9473" max="9473" width="7.88671875" style="2459" customWidth="1"/>
    <col min="9474" max="9474" width="8.109375" style="2459" customWidth="1"/>
    <col min="9475" max="9475" width="7.88671875" style="2459" customWidth="1"/>
    <col min="9476" max="9477" width="4.6640625" style="2459" customWidth="1"/>
    <col min="9478" max="9478" width="7" style="2459" customWidth="1"/>
    <col min="9479" max="9479" width="8.44140625" style="2459" customWidth="1"/>
    <col min="9480" max="9480" width="8.6640625" style="2459" customWidth="1"/>
    <col min="9481" max="9481" width="5.109375" style="2459" customWidth="1"/>
    <col min="9482" max="9482" width="4.6640625" style="2459" customWidth="1"/>
    <col min="9483" max="9483" width="6.6640625" style="2459" customWidth="1"/>
    <col min="9484" max="9484" width="9.88671875" style="2459" customWidth="1"/>
    <col min="9485" max="9485" width="8.44140625" style="2459" customWidth="1"/>
    <col min="9486" max="9486" width="6" style="2459" customWidth="1"/>
    <col min="9487" max="9487" width="5.33203125" style="2459" customWidth="1"/>
    <col min="9488" max="9489" width="9.44140625" style="2459" customWidth="1"/>
    <col min="9490" max="9490" width="8.109375" style="2459" customWidth="1"/>
    <col min="9491" max="9491" width="7.33203125" style="2459" customWidth="1"/>
    <col min="9492" max="9492" width="6.109375" style="2459" customWidth="1"/>
    <col min="9493" max="9493" width="9.33203125" style="2459" customWidth="1"/>
    <col min="9494" max="9494" width="8.88671875" style="2459" customWidth="1"/>
    <col min="9495" max="9495" width="8.109375" style="2459" customWidth="1"/>
    <col min="9496" max="9496" width="8.44140625" style="2459" customWidth="1"/>
    <col min="9497" max="9497" width="6.6640625" style="2459" customWidth="1"/>
    <col min="9498" max="9499" width="10.44140625" style="2459" customWidth="1"/>
    <col min="9500" max="9500" width="8.44140625" style="2459" customWidth="1"/>
    <col min="9501" max="9501" width="7.6640625" style="2459" customWidth="1"/>
    <col min="9502" max="9502" width="5.44140625" style="2459" customWidth="1"/>
    <col min="9503" max="9728" width="9.109375" style="2459"/>
    <col min="9729" max="9729" width="7.88671875" style="2459" customWidth="1"/>
    <col min="9730" max="9730" width="8.109375" style="2459" customWidth="1"/>
    <col min="9731" max="9731" width="7.88671875" style="2459" customWidth="1"/>
    <col min="9732" max="9733" width="4.6640625" style="2459" customWidth="1"/>
    <col min="9734" max="9734" width="7" style="2459" customWidth="1"/>
    <col min="9735" max="9735" width="8.44140625" style="2459" customWidth="1"/>
    <col min="9736" max="9736" width="8.6640625" style="2459" customWidth="1"/>
    <col min="9737" max="9737" width="5.109375" style="2459" customWidth="1"/>
    <col min="9738" max="9738" width="4.6640625" style="2459" customWidth="1"/>
    <col min="9739" max="9739" width="6.6640625" style="2459" customWidth="1"/>
    <col min="9740" max="9740" width="9.88671875" style="2459" customWidth="1"/>
    <col min="9741" max="9741" width="8.44140625" style="2459" customWidth="1"/>
    <col min="9742" max="9742" width="6" style="2459" customWidth="1"/>
    <col min="9743" max="9743" width="5.33203125" style="2459" customWidth="1"/>
    <col min="9744" max="9745" width="9.44140625" style="2459" customWidth="1"/>
    <col min="9746" max="9746" width="8.109375" style="2459" customWidth="1"/>
    <col min="9747" max="9747" width="7.33203125" style="2459" customWidth="1"/>
    <col min="9748" max="9748" width="6.109375" style="2459" customWidth="1"/>
    <col min="9749" max="9749" width="9.33203125" style="2459" customWidth="1"/>
    <col min="9750" max="9750" width="8.88671875" style="2459" customWidth="1"/>
    <col min="9751" max="9751" width="8.109375" style="2459" customWidth="1"/>
    <col min="9752" max="9752" width="8.44140625" style="2459" customWidth="1"/>
    <col min="9753" max="9753" width="6.6640625" style="2459" customWidth="1"/>
    <col min="9754" max="9755" width="10.44140625" style="2459" customWidth="1"/>
    <col min="9756" max="9756" width="8.44140625" style="2459" customWidth="1"/>
    <col min="9757" max="9757" width="7.6640625" style="2459" customWidth="1"/>
    <col min="9758" max="9758" width="5.44140625" style="2459" customWidth="1"/>
    <col min="9759" max="9984" width="9.109375" style="2459"/>
    <col min="9985" max="9985" width="7.88671875" style="2459" customWidth="1"/>
    <col min="9986" max="9986" width="8.109375" style="2459" customWidth="1"/>
    <col min="9987" max="9987" width="7.88671875" style="2459" customWidth="1"/>
    <col min="9988" max="9989" width="4.6640625" style="2459" customWidth="1"/>
    <col min="9990" max="9990" width="7" style="2459" customWidth="1"/>
    <col min="9991" max="9991" width="8.44140625" style="2459" customWidth="1"/>
    <col min="9992" max="9992" width="8.6640625" style="2459" customWidth="1"/>
    <col min="9993" max="9993" width="5.109375" style="2459" customWidth="1"/>
    <col min="9994" max="9994" width="4.6640625" style="2459" customWidth="1"/>
    <col min="9995" max="9995" width="6.6640625" style="2459" customWidth="1"/>
    <col min="9996" max="9996" width="9.88671875" style="2459" customWidth="1"/>
    <col min="9997" max="9997" width="8.44140625" style="2459" customWidth="1"/>
    <col min="9998" max="9998" width="6" style="2459" customWidth="1"/>
    <col min="9999" max="9999" width="5.33203125" style="2459" customWidth="1"/>
    <col min="10000" max="10001" width="9.44140625" style="2459" customWidth="1"/>
    <col min="10002" max="10002" width="8.109375" style="2459" customWidth="1"/>
    <col min="10003" max="10003" width="7.33203125" style="2459" customWidth="1"/>
    <col min="10004" max="10004" width="6.109375" style="2459" customWidth="1"/>
    <col min="10005" max="10005" width="9.33203125" style="2459" customWidth="1"/>
    <col min="10006" max="10006" width="8.88671875" style="2459" customWidth="1"/>
    <col min="10007" max="10007" width="8.109375" style="2459" customWidth="1"/>
    <col min="10008" max="10008" width="8.44140625" style="2459" customWidth="1"/>
    <col min="10009" max="10009" width="6.6640625" style="2459" customWidth="1"/>
    <col min="10010" max="10011" width="10.44140625" style="2459" customWidth="1"/>
    <col min="10012" max="10012" width="8.44140625" style="2459" customWidth="1"/>
    <col min="10013" max="10013" width="7.6640625" style="2459" customWidth="1"/>
    <col min="10014" max="10014" width="5.44140625" style="2459" customWidth="1"/>
    <col min="10015" max="10240" width="9.109375" style="2459"/>
    <col min="10241" max="10241" width="7.88671875" style="2459" customWidth="1"/>
    <col min="10242" max="10242" width="8.109375" style="2459" customWidth="1"/>
    <col min="10243" max="10243" width="7.88671875" style="2459" customWidth="1"/>
    <col min="10244" max="10245" width="4.6640625" style="2459" customWidth="1"/>
    <col min="10246" max="10246" width="7" style="2459" customWidth="1"/>
    <col min="10247" max="10247" width="8.44140625" style="2459" customWidth="1"/>
    <col min="10248" max="10248" width="8.6640625" style="2459" customWidth="1"/>
    <col min="10249" max="10249" width="5.109375" style="2459" customWidth="1"/>
    <col min="10250" max="10250" width="4.6640625" style="2459" customWidth="1"/>
    <col min="10251" max="10251" width="6.6640625" style="2459" customWidth="1"/>
    <col min="10252" max="10252" width="9.88671875" style="2459" customWidth="1"/>
    <col min="10253" max="10253" width="8.44140625" style="2459" customWidth="1"/>
    <col min="10254" max="10254" width="6" style="2459" customWidth="1"/>
    <col min="10255" max="10255" width="5.33203125" style="2459" customWidth="1"/>
    <col min="10256" max="10257" width="9.44140625" style="2459" customWidth="1"/>
    <col min="10258" max="10258" width="8.109375" style="2459" customWidth="1"/>
    <col min="10259" max="10259" width="7.33203125" style="2459" customWidth="1"/>
    <col min="10260" max="10260" width="6.109375" style="2459" customWidth="1"/>
    <col min="10261" max="10261" width="9.33203125" style="2459" customWidth="1"/>
    <col min="10262" max="10262" width="8.88671875" style="2459" customWidth="1"/>
    <col min="10263" max="10263" width="8.109375" style="2459" customWidth="1"/>
    <col min="10264" max="10264" width="8.44140625" style="2459" customWidth="1"/>
    <col min="10265" max="10265" width="6.6640625" style="2459" customWidth="1"/>
    <col min="10266" max="10267" width="10.44140625" style="2459" customWidth="1"/>
    <col min="10268" max="10268" width="8.44140625" style="2459" customWidth="1"/>
    <col min="10269" max="10269" width="7.6640625" style="2459" customWidth="1"/>
    <col min="10270" max="10270" width="5.44140625" style="2459" customWidth="1"/>
    <col min="10271" max="10496" width="9.109375" style="2459"/>
    <col min="10497" max="10497" width="7.88671875" style="2459" customWidth="1"/>
    <col min="10498" max="10498" width="8.109375" style="2459" customWidth="1"/>
    <col min="10499" max="10499" width="7.88671875" style="2459" customWidth="1"/>
    <col min="10500" max="10501" width="4.6640625" style="2459" customWidth="1"/>
    <col min="10502" max="10502" width="7" style="2459" customWidth="1"/>
    <col min="10503" max="10503" width="8.44140625" style="2459" customWidth="1"/>
    <col min="10504" max="10504" width="8.6640625" style="2459" customWidth="1"/>
    <col min="10505" max="10505" width="5.109375" style="2459" customWidth="1"/>
    <col min="10506" max="10506" width="4.6640625" style="2459" customWidth="1"/>
    <col min="10507" max="10507" width="6.6640625" style="2459" customWidth="1"/>
    <col min="10508" max="10508" width="9.88671875" style="2459" customWidth="1"/>
    <col min="10509" max="10509" width="8.44140625" style="2459" customWidth="1"/>
    <col min="10510" max="10510" width="6" style="2459" customWidth="1"/>
    <col min="10511" max="10511" width="5.33203125" style="2459" customWidth="1"/>
    <col min="10512" max="10513" width="9.44140625" style="2459" customWidth="1"/>
    <col min="10514" max="10514" width="8.109375" style="2459" customWidth="1"/>
    <col min="10515" max="10515" width="7.33203125" style="2459" customWidth="1"/>
    <col min="10516" max="10516" width="6.109375" style="2459" customWidth="1"/>
    <col min="10517" max="10517" width="9.33203125" style="2459" customWidth="1"/>
    <col min="10518" max="10518" width="8.88671875" style="2459" customWidth="1"/>
    <col min="10519" max="10519" width="8.109375" style="2459" customWidth="1"/>
    <col min="10520" max="10520" width="8.44140625" style="2459" customWidth="1"/>
    <col min="10521" max="10521" width="6.6640625" style="2459" customWidth="1"/>
    <col min="10522" max="10523" width="10.44140625" style="2459" customWidth="1"/>
    <col min="10524" max="10524" width="8.44140625" style="2459" customWidth="1"/>
    <col min="10525" max="10525" width="7.6640625" style="2459" customWidth="1"/>
    <col min="10526" max="10526" width="5.44140625" style="2459" customWidth="1"/>
    <col min="10527" max="10752" width="9.109375" style="2459"/>
    <col min="10753" max="10753" width="7.88671875" style="2459" customWidth="1"/>
    <col min="10754" max="10754" width="8.109375" style="2459" customWidth="1"/>
    <col min="10755" max="10755" width="7.88671875" style="2459" customWidth="1"/>
    <col min="10756" max="10757" width="4.6640625" style="2459" customWidth="1"/>
    <col min="10758" max="10758" width="7" style="2459" customWidth="1"/>
    <col min="10759" max="10759" width="8.44140625" style="2459" customWidth="1"/>
    <col min="10760" max="10760" width="8.6640625" style="2459" customWidth="1"/>
    <col min="10761" max="10761" width="5.109375" style="2459" customWidth="1"/>
    <col min="10762" max="10762" width="4.6640625" style="2459" customWidth="1"/>
    <col min="10763" max="10763" width="6.6640625" style="2459" customWidth="1"/>
    <col min="10764" max="10764" width="9.88671875" style="2459" customWidth="1"/>
    <col min="10765" max="10765" width="8.44140625" style="2459" customWidth="1"/>
    <col min="10766" max="10766" width="6" style="2459" customWidth="1"/>
    <col min="10767" max="10767" width="5.33203125" style="2459" customWidth="1"/>
    <col min="10768" max="10769" width="9.44140625" style="2459" customWidth="1"/>
    <col min="10770" max="10770" width="8.109375" style="2459" customWidth="1"/>
    <col min="10771" max="10771" width="7.33203125" style="2459" customWidth="1"/>
    <col min="10772" max="10772" width="6.109375" style="2459" customWidth="1"/>
    <col min="10773" max="10773" width="9.33203125" style="2459" customWidth="1"/>
    <col min="10774" max="10774" width="8.88671875" style="2459" customWidth="1"/>
    <col min="10775" max="10775" width="8.109375" style="2459" customWidth="1"/>
    <col min="10776" max="10776" width="8.44140625" style="2459" customWidth="1"/>
    <col min="10777" max="10777" width="6.6640625" style="2459" customWidth="1"/>
    <col min="10778" max="10779" width="10.44140625" style="2459" customWidth="1"/>
    <col min="10780" max="10780" width="8.44140625" style="2459" customWidth="1"/>
    <col min="10781" max="10781" width="7.6640625" style="2459" customWidth="1"/>
    <col min="10782" max="10782" width="5.44140625" style="2459" customWidth="1"/>
    <col min="10783" max="11008" width="9.109375" style="2459"/>
    <col min="11009" max="11009" width="7.88671875" style="2459" customWidth="1"/>
    <col min="11010" max="11010" width="8.109375" style="2459" customWidth="1"/>
    <col min="11011" max="11011" width="7.88671875" style="2459" customWidth="1"/>
    <col min="11012" max="11013" width="4.6640625" style="2459" customWidth="1"/>
    <col min="11014" max="11014" width="7" style="2459" customWidth="1"/>
    <col min="11015" max="11015" width="8.44140625" style="2459" customWidth="1"/>
    <col min="11016" max="11016" width="8.6640625" style="2459" customWidth="1"/>
    <col min="11017" max="11017" width="5.109375" style="2459" customWidth="1"/>
    <col min="11018" max="11018" width="4.6640625" style="2459" customWidth="1"/>
    <col min="11019" max="11019" width="6.6640625" style="2459" customWidth="1"/>
    <col min="11020" max="11020" width="9.88671875" style="2459" customWidth="1"/>
    <col min="11021" max="11021" width="8.44140625" style="2459" customWidth="1"/>
    <col min="11022" max="11022" width="6" style="2459" customWidth="1"/>
    <col min="11023" max="11023" width="5.33203125" style="2459" customWidth="1"/>
    <col min="11024" max="11025" width="9.44140625" style="2459" customWidth="1"/>
    <col min="11026" max="11026" width="8.109375" style="2459" customWidth="1"/>
    <col min="11027" max="11027" width="7.33203125" style="2459" customWidth="1"/>
    <col min="11028" max="11028" width="6.109375" style="2459" customWidth="1"/>
    <col min="11029" max="11029" width="9.33203125" style="2459" customWidth="1"/>
    <col min="11030" max="11030" width="8.88671875" style="2459" customWidth="1"/>
    <col min="11031" max="11031" width="8.109375" style="2459" customWidth="1"/>
    <col min="11032" max="11032" width="8.44140625" style="2459" customWidth="1"/>
    <col min="11033" max="11033" width="6.6640625" style="2459" customWidth="1"/>
    <col min="11034" max="11035" width="10.44140625" style="2459" customWidth="1"/>
    <col min="11036" max="11036" width="8.44140625" style="2459" customWidth="1"/>
    <col min="11037" max="11037" width="7.6640625" style="2459" customWidth="1"/>
    <col min="11038" max="11038" width="5.44140625" style="2459" customWidth="1"/>
    <col min="11039" max="11264" width="9.109375" style="2459"/>
    <col min="11265" max="11265" width="7.88671875" style="2459" customWidth="1"/>
    <col min="11266" max="11266" width="8.109375" style="2459" customWidth="1"/>
    <col min="11267" max="11267" width="7.88671875" style="2459" customWidth="1"/>
    <col min="11268" max="11269" width="4.6640625" style="2459" customWidth="1"/>
    <col min="11270" max="11270" width="7" style="2459" customWidth="1"/>
    <col min="11271" max="11271" width="8.44140625" style="2459" customWidth="1"/>
    <col min="11272" max="11272" width="8.6640625" style="2459" customWidth="1"/>
    <col min="11273" max="11273" width="5.109375" style="2459" customWidth="1"/>
    <col min="11274" max="11274" width="4.6640625" style="2459" customWidth="1"/>
    <col min="11275" max="11275" width="6.6640625" style="2459" customWidth="1"/>
    <col min="11276" max="11276" width="9.88671875" style="2459" customWidth="1"/>
    <col min="11277" max="11277" width="8.44140625" style="2459" customWidth="1"/>
    <col min="11278" max="11278" width="6" style="2459" customWidth="1"/>
    <col min="11279" max="11279" width="5.33203125" style="2459" customWidth="1"/>
    <col min="11280" max="11281" width="9.44140625" style="2459" customWidth="1"/>
    <col min="11282" max="11282" width="8.109375" style="2459" customWidth="1"/>
    <col min="11283" max="11283" width="7.33203125" style="2459" customWidth="1"/>
    <col min="11284" max="11284" width="6.109375" style="2459" customWidth="1"/>
    <col min="11285" max="11285" width="9.33203125" style="2459" customWidth="1"/>
    <col min="11286" max="11286" width="8.88671875" style="2459" customWidth="1"/>
    <col min="11287" max="11287" width="8.109375" style="2459" customWidth="1"/>
    <col min="11288" max="11288" width="8.44140625" style="2459" customWidth="1"/>
    <col min="11289" max="11289" width="6.6640625" style="2459" customWidth="1"/>
    <col min="11290" max="11291" width="10.44140625" style="2459" customWidth="1"/>
    <col min="11292" max="11292" width="8.44140625" style="2459" customWidth="1"/>
    <col min="11293" max="11293" width="7.6640625" style="2459" customWidth="1"/>
    <col min="11294" max="11294" width="5.44140625" style="2459" customWidth="1"/>
    <col min="11295" max="11520" width="9.109375" style="2459"/>
    <col min="11521" max="11521" width="7.88671875" style="2459" customWidth="1"/>
    <col min="11522" max="11522" width="8.109375" style="2459" customWidth="1"/>
    <col min="11523" max="11523" width="7.88671875" style="2459" customWidth="1"/>
    <col min="11524" max="11525" width="4.6640625" style="2459" customWidth="1"/>
    <col min="11526" max="11526" width="7" style="2459" customWidth="1"/>
    <col min="11527" max="11527" width="8.44140625" style="2459" customWidth="1"/>
    <col min="11528" max="11528" width="8.6640625" style="2459" customWidth="1"/>
    <col min="11529" max="11529" width="5.109375" style="2459" customWidth="1"/>
    <col min="11530" max="11530" width="4.6640625" style="2459" customWidth="1"/>
    <col min="11531" max="11531" width="6.6640625" style="2459" customWidth="1"/>
    <col min="11532" max="11532" width="9.88671875" style="2459" customWidth="1"/>
    <col min="11533" max="11533" width="8.44140625" style="2459" customWidth="1"/>
    <col min="11534" max="11534" width="6" style="2459" customWidth="1"/>
    <col min="11535" max="11535" width="5.33203125" style="2459" customWidth="1"/>
    <col min="11536" max="11537" width="9.44140625" style="2459" customWidth="1"/>
    <col min="11538" max="11538" width="8.109375" style="2459" customWidth="1"/>
    <col min="11539" max="11539" width="7.33203125" style="2459" customWidth="1"/>
    <col min="11540" max="11540" width="6.109375" style="2459" customWidth="1"/>
    <col min="11541" max="11541" width="9.33203125" style="2459" customWidth="1"/>
    <col min="11542" max="11542" width="8.88671875" style="2459" customWidth="1"/>
    <col min="11543" max="11543" width="8.109375" style="2459" customWidth="1"/>
    <col min="11544" max="11544" width="8.44140625" style="2459" customWidth="1"/>
    <col min="11545" max="11545" width="6.6640625" style="2459" customWidth="1"/>
    <col min="11546" max="11547" width="10.44140625" style="2459" customWidth="1"/>
    <col min="11548" max="11548" width="8.44140625" style="2459" customWidth="1"/>
    <col min="11549" max="11549" width="7.6640625" style="2459" customWidth="1"/>
    <col min="11550" max="11550" width="5.44140625" style="2459" customWidth="1"/>
    <col min="11551" max="11776" width="9.109375" style="2459"/>
    <col min="11777" max="11777" width="7.88671875" style="2459" customWidth="1"/>
    <col min="11778" max="11778" width="8.109375" style="2459" customWidth="1"/>
    <col min="11779" max="11779" width="7.88671875" style="2459" customWidth="1"/>
    <col min="11780" max="11781" width="4.6640625" style="2459" customWidth="1"/>
    <col min="11782" max="11782" width="7" style="2459" customWidth="1"/>
    <col min="11783" max="11783" width="8.44140625" style="2459" customWidth="1"/>
    <col min="11784" max="11784" width="8.6640625" style="2459" customWidth="1"/>
    <col min="11785" max="11785" width="5.109375" style="2459" customWidth="1"/>
    <col min="11786" max="11786" width="4.6640625" style="2459" customWidth="1"/>
    <col min="11787" max="11787" width="6.6640625" style="2459" customWidth="1"/>
    <col min="11788" max="11788" width="9.88671875" style="2459" customWidth="1"/>
    <col min="11789" max="11789" width="8.44140625" style="2459" customWidth="1"/>
    <col min="11790" max="11790" width="6" style="2459" customWidth="1"/>
    <col min="11791" max="11791" width="5.33203125" style="2459" customWidth="1"/>
    <col min="11792" max="11793" width="9.44140625" style="2459" customWidth="1"/>
    <col min="11794" max="11794" width="8.109375" style="2459" customWidth="1"/>
    <col min="11795" max="11795" width="7.33203125" style="2459" customWidth="1"/>
    <col min="11796" max="11796" width="6.109375" style="2459" customWidth="1"/>
    <col min="11797" max="11797" width="9.33203125" style="2459" customWidth="1"/>
    <col min="11798" max="11798" width="8.88671875" style="2459" customWidth="1"/>
    <col min="11799" max="11799" width="8.109375" style="2459" customWidth="1"/>
    <col min="11800" max="11800" width="8.44140625" style="2459" customWidth="1"/>
    <col min="11801" max="11801" width="6.6640625" style="2459" customWidth="1"/>
    <col min="11802" max="11803" width="10.44140625" style="2459" customWidth="1"/>
    <col min="11804" max="11804" width="8.44140625" style="2459" customWidth="1"/>
    <col min="11805" max="11805" width="7.6640625" style="2459" customWidth="1"/>
    <col min="11806" max="11806" width="5.44140625" style="2459" customWidth="1"/>
    <col min="11807" max="12032" width="9.109375" style="2459"/>
    <col min="12033" max="12033" width="7.88671875" style="2459" customWidth="1"/>
    <col min="12034" max="12034" width="8.109375" style="2459" customWidth="1"/>
    <col min="12035" max="12035" width="7.88671875" style="2459" customWidth="1"/>
    <col min="12036" max="12037" width="4.6640625" style="2459" customWidth="1"/>
    <col min="12038" max="12038" width="7" style="2459" customWidth="1"/>
    <col min="12039" max="12039" width="8.44140625" style="2459" customWidth="1"/>
    <col min="12040" max="12040" width="8.6640625" style="2459" customWidth="1"/>
    <col min="12041" max="12041" width="5.109375" style="2459" customWidth="1"/>
    <col min="12042" max="12042" width="4.6640625" style="2459" customWidth="1"/>
    <col min="12043" max="12043" width="6.6640625" style="2459" customWidth="1"/>
    <col min="12044" max="12044" width="9.88671875" style="2459" customWidth="1"/>
    <col min="12045" max="12045" width="8.44140625" style="2459" customWidth="1"/>
    <col min="12046" max="12046" width="6" style="2459" customWidth="1"/>
    <col min="12047" max="12047" width="5.33203125" style="2459" customWidth="1"/>
    <col min="12048" max="12049" width="9.44140625" style="2459" customWidth="1"/>
    <col min="12050" max="12050" width="8.109375" style="2459" customWidth="1"/>
    <col min="12051" max="12051" width="7.33203125" style="2459" customWidth="1"/>
    <col min="12052" max="12052" width="6.109375" style="2459" customWidth="1"/>
    <col min="12053" max="12053" width="9.33203125" style="2459" customWidth="1"/>
    <col min="12054" max="12054" width="8.88671875" style="2459" customWidth="1"/>
    <col min="12055" max="12055" width="8.109375" style="2459" customWidth="1"/>
    <col min="12056" max="12056" width="8.44140625" style="2459" customWidth="1"/>
    <col min="12057" max="12057" width="6.6640625" style="2459" customWidth="1"/>
    <col min="12058" max="12059" width="10.44140625" style="2459" customWidth="1"/>
    <col min="12060" max="12060" width="8.44140625" style="2459" customWidth="1"/>
    <col min="12061" max="12061" width="7.6640625" style="2459" customWidth="1"/>
    <col min="12062" max="12062" width="5.44140625" style="2459" customWidth="1"/>
    <col min="12063" max="12288" width="9.109375" style="2459"/>
    <col min="12289" max="12289" width="7.88671875" style="2459" customWidth="1"/>
    <col min="12290" max="12290" width="8.109375" style="2459" customWidth="1"/>
    <col min="12291" max="12291" width="7.88671875" style="2459" customWidth="1"/>
    <col min="12292" max="12293" width="4.6640625" style="2459" customWidth="1"/>
    <col min="12294" max="12294" width="7" style="2459" customWidth="1"/>
    <col min="12295" max="12295" width="8.44140625" style="2459" customWidth="1"/>
    <col min="12296" max="12296" width="8.6640625" style="2459" customWidth="1"/>
    <col min="12297" max="12297" width="5.109375" style="2459" customWidth="1"/>
    <col min="12298" max="12298" width="4.6640625" style="2459" customWidth="1"/>
    <col min="12299" max="12299" width="6.6640625" style="2459" customWidth="1"/>
    <col min="12300" max="12300" width="9.88671875" style="2459" customWidth="1"/>
    <col min="12301" max="12301" width="8.44140625" style="2459" customWidth="1"/>
    <col min="12302" max="12302" width="6" style="2459" customWidth="1"/>
    <col min="12303" max="12303" width="5.33203125" style="2459" customWidth="1"/>
    <col min="12304" max="12305" width="9.44140625" style="2459" customWidth="1"/>
    <col min="12306" max="12306" width="8.109375" style="2459" customWidth="1"/>
    <col min="12307" max="12307" width="7.33203125" style="2459" customWidth="1"/>
    <col min="12308" max="12308" width="6.109375" style="2459" customWidth="1"/>
    <col min="12309" max="12309" width="9.33203125" style="2459" customWidth="1"/>
    <col min="12310" max="12310" width="8.88671875" style="2459" customWidth="1"/>
    <col min="12311" max="12311" width="8.109375" style="2459" customWidth="1"/>
    <col min="12312" max="12312" width="8.44140625" style="2459" customWidth="1"/>
    <col min="12313" max="12313" width="6.6640625" style="2459" customWidth="1"/>
    <col min="12314" max="12315" width="10.44140625" style="2459" customWidth="1"/>
    <col min="12316" max="12316" width="8.44140625" style="2459" customWidth="1"/>
    <col min="12317" max="12317" width="7.6640625" style="2459" customWidth="1"/>
    <col min="12318" max="12318" width="5.44140625" style="2459" customWidth="1"/>
    <col min="12319" max="12544" width="9.109375" style="2459"/>
    <col min="12545" max="12545" width="7.88671875" style="2459" customWidth="1"/>
    <col min="12546" max="12546" width="8.109375" style="2459" customWidth="1"/>
    <col min="12547" max="12547" width="7.88671875" style="2459" customWidth="1"/>
    <col min="12548" max="12549" width="4.6640625" style="2459" customWidth="1"/>
    <col min="12550" max="12550" width="7" style="2459" customWidth="1"/>
    <col min="12551" max="12551" width="8.44140625" style="2459" customWidth="1"/>
    <col min="12552" max="12552" width="8.6640625" style="2459" customWidth="1"/>
    <col min="12553" max="12553" width="5.109375" style="2459" customWidth="1"/>
    <col min="12554" max="12554" width="4.6640625" style="2459" customWidth="1"/>
    <col min="12555" max="12555" width="6.6640625" style="2459" customWidth="1"/>
    <col min="12556" max="12556" width="9.88671875" style="2459" customWidth="1"/>
    <col min="12557" max="12557" width="8.44140625" style="2459" customWidth="1"/>
    <col min="12558" max="12558" width="6" style="2459" customWidth="1"/>
    <col min="12559" max="12559" width="5.33203125" style="2459" customWidth="1"/>
    <col min="12560" max="12561" width="9.44140625" style="2459" customWidth="1"/>
    <col min="12562" max="12562" width="8.109375" style="2459" customWidth="1"/>
    <col min="12563" max="12563" width="7.33203125" style="2459" customWidth="1"/>
    <col min="12564" max="12564" width="6.109375" style="2459" customWidth="1"/>
    <col min="12565" max="12565" width="9.33203125" style="2459" customWidth="1"/>
    <col min="12566" max="12566" width="8.88671875" style="2459" customWidth="1"/>
    <col min="12567" max="12567" width="8.109375" style="2459" customWidth="1"/>
    <col min="12568" max="12568" width="8.44140625" style="2459" customWidth="1"/>
    <col min="12569" max="12569" width="6.6640625" style="2459" customWidth="1"/>
    <col min="12570" max="12571" width="10.44140625" style="2459" customWidth="1"/>
    <col min="12572" max="12572" width="8.44140625" style="2459" customWidth="1"/>
    <col min="12573" max="12573" width="7.6640625" style="2459" customWidth="1"/>
    <col min="12574" max="12574" width="5.44140625" style="2459" customWidth="1"/>
    <col min="12575" max="12800" width="9.109375" style="2459"/>
    <col min="12801" max="12801" width="7.88671875" style="2459" customWidth="1"/>
    <col min="12802" max="12802" width="8.109375" style="2459" customWidth="1"/>
    <col min="12803" max="12803" width="7.88671875" style="2459" customWidth="1"/>
    <col min="12804" max="12805" width="4.6640625" style="2459" customWidth="1"/>
    <col min="12806" max="12806" width="7" style="2459" customWidth="1"/>
    <col min="12807" max="12807" width="8.44140625" style="2459" customWidth="1"/>
    <col min="12808" max="12808" width="8.6640625" style="2459" customWidth="1"/>
    <col min="12809" max="12809" width="5.109375" style="2459" customWidth="1"/>
    <col min="12810" max="12810" width="4.6640625" style="2459" customWidth="1"/>
    <col min="12811" max="12811" width="6.6640625" style="2459" customWidth="1"/>
    <col min="12812" max="12812" width="9.88671875" style="2459" customWidth="1"/>
    <col min="12813" max="12813" width="8.44140625" style="2459" customWidth="1"/>
    <col min="12814" max="12814" width="6" style="2459" customWidth="1"/>
    <col min="12815" max="12815" width="5.33203125" style="2459" customWidth="1"/>
    <col min="12816" max="12817" width="9.44140625" style="2459" customWidth="1"/>
    <col min="12818" max="12818" width="8.109375" style="2459" customWidth="1"/>
    <col min="12819" max="12819" width="7.33203125" style="2459" customWidth="1"/>
    <col min="12820" max="12820" width="6.109375" style="2459" customWidth="1"/>
    <col min="12821" max="12821" width="9.33203125" style="2459" customWidth="1"/>
    <col min="12822" max="12822" width="8.88671875" style="2459" customWidth="1"/>
    <col min="12823" max="12823" width="8.109375" style="2459" customWidth="1"/>
    <col min="12824" max="12824" width="8.44140625" style="2459" customWidth="1"/>
    <col min="12825" max="12825" width="6.6640625" style="2459" customWidth="1"/>
    <col min="12826" max="12827" width="10.44140625" style="2459" customWidth="1"/>
    <col min="12828" max="12828" width="8.44140625" style="2459" customWidth="1"/>
    <col min="12829" max="12829" width="7.6640625" style="2459" customWidth="1"/>
    <col min="12830" max="12830" width="5.44140625" style="2459" customWidth="1"/>
    <col min="12831" max="13056" width="9.109375" style="2459"/>
    <col min="13057" max="13057" width="7.88671875" style="2459" customWidth="1"/>
    <col min="13058" max="13058" width="8.109375" style="2459" customWidth="1"/>
    <col min="13059" max="13059" width="7.88671875" style="2459" customWidth="1"/>
    <col min="13060" max="13061" width="4.6640625" style="2459" customWidth="1"/>
    <col min="13062" max="13062" width="7" style="2459" customWidth="1"/>
    <col min="13063" max="13063" width="8.44140625" style="2459" customWidth="1"/>
    <col min="13064" max="13064" width="8.6640625" style="2459" customWidth="1"/>
    <col min="13065" max="13065" width="5.109375" style="2459" customWidth="1"/>
    <col min="13066" max="13066" width="4.6640625" style="2459" customWidth="1"/>
    <col min="13067" max="13067" width="6.6640625" style="2459" customWidth="1"/>
    <col min="13068" max="13068" width="9.88671875" style="2459" customWidth="1"/>
    <col min="13069" max="13069" width="8.44140625" style="2459" customWidth="1"/>
    <col min="13070" max="13070" width="6" style="2459" customWidth="1"/>
    <col min="13071" max="13071" width="5.33203125" style="2459" customWidth="1"/>
    <col min="13072" max="13073" width="9.44140625" style="2459" customWidth="1"/>
    <col min="13074" max="13074" width="8.109375" style="2459" customWidth="1"/>
    <col min="13075" max="13075" width="7.33203125" style="2459" customWidth="1"/>
    <col min="13076" max="13076" width="6.109375" style="2459" customWidth="1"/>
    <col min="13077" max="13077" width="9.33203125" style="2459" customWidth="1"/>
    <col min="13078" max="13078" width="8.88671875" style="2459" customWidth="1"/>
    <col min="13079" max="13079" width="8.109375" style="2459" customWidth="1"/>
    <col min="13080" max="13080" width="8.44140625" style="2459" customWidth="1"/>
    <col min="13081" max="13081" width="6.6640625" style="2459" customWidth="1"/>
    <col min="13082" max="13083" width="10.44140625" style="2459" customWidth="1"/>
    <col min="13084" max="13084" width="8.44140625" style="2459" customWidth="1"/>
    <col min="13085" max="13085" width="7.6640625" style="2459" customWidth="1"/>
    <col min="13086" max="13086" width="5.44140625" style="2459" customWidth="1"/>
    <col min="13087" max="13312" width="9.109375" style="2459"/>
    <col min="13313" max="13313" width="7.88671875" style="2459" customWidth="1"/>
    <col min="13314" max="13314" width="8.109375" style="2459" customWidth="1"/>
    <col min="13315" max="13315" width="7.88671875" style="2459" customWidth="1"/>
    <col min="13316" max="13317" width="4.6640625" style="2459" customWidth="1"/>
    <col min="13318" max="13318" width="7" style="2459" customWidth="1"/>
    <col min="13319" max="13319" width="8.44140625" style="2459" customWidth="1"/>
    <col min="13320" max="13320" width="8.6640625" style="2459" customWidth="1"/>
    <col min="13321" max="13321" width="5.109375" style="2459" customWidth="1"/>
    <col min="13322" max="13322" width="4.6640625" style="2459" customWidth="1"/>
    <col min="13323" max="13323" width="6.6640625" style="2459" customWidth="1"/>
    <col min="13324" max="13324" width="9.88671875" style="2459" customWidth="1"/>
    <col min="13325" max="13325" width="8.44140625" style="2459" customWidth="1"/>
    <col min="13326" max="13326" width="6" style="2459" customWidth="1"/>
    <col min="13327" max="13327" width="5.33203125" style="2459" customWidth="1"/>
    <col min="13328" max="13329" width="9.44140625" style="2459" customWidth="1"/>
    <col min="13330" max="13330" width="8.109375" style="2459" customWidth="1"/>
    <col min="13331" max="13331" width="7.33203125" style="2459" customWidth="1"/>
    <col min="13332" max="13332" width="6.109375" style="2459" customWidth="1"/>
    <col min="13333" max="13333" width="9.33203125" style="2459" customWidth="1"/>
    <col min="13334" max="13334" width="8.88671875" style="2459" customWidth="1"/>
    <col min="13335" max="13335" width="8.109375" style="2459" customWidth="1"/>
    <col min="13336" max="13336" width="8.44140625" style="2459" customWidth="1"/>
    <col min="13337" max="13337" width="6.6640625" style="2459" customWidth="1"/>
    <col min="13338" max="13339" width="10.44140625" style="2459" customWidth="1"/>
    <col min="13340" max="13340" width="8.44140625" style="2459" customWidth="1"/>
    <col min="13341" max="13341" width="7.6640625" style="2459" customWidth="1"/>
    <col min="13342" max="13342" width="5.44140625" style="2459" customWidth="1"/>
    <col min="13343" max="13568" width="9.109375" style="2459"/>
    <col min="13569" max="13569" width="7.88671875" style="2459" customWidth="1"/>
    <col min="13570" max="13570" width="8.109375" style="2459" customWidth="1"/>
    <col min="13571" max="13571" width="7.88671875" style="2459" customWidth="1"/>
    <col min="13572" max="13573" width="4.6640625" style="2459" customWidth="1"/>
    <col min="13574" max="13574" width="7" style="2459" customWidth="1"/>
    <col min="13575" max="13575" width="8.44140625" style="2459" customWidth="1"/>
    <col min="13576" max="13576" width="8.6640625" style="2459" customWidth="1"/>
    <col min="13577" max="13577" width="5.109375" style="2459" customWidth="1"/>
    <col min="13578" max="13578" width="4.6640625" style="2459" customWidth="1"/>
    <col min="13579" max="13579" width="6.6640625" style="2459" customWidth="1"/>
    <col min="13580" max="13580" width="9.88671875" style="2459" customWidth="1"/>
    <col min="13581" max="13581" width="8.44140625" style="2459" customWidth="1"/>
    <col min="13582" max="13582" width="6" style="2459" customWidth="1"/>
    <col min="13583" max="13583" width="5.33203125" style="2459" customWidth="1"/>
    <col min="13584" max="13585" width="9.44140625" style="2459" customWidth="1"/>
    <col min="13586" max="13586" width="8.109375" style="2459" customWidth="1"/>
    <col min="13587" max="13587" width="7.33203125" style="2459" customWidth="1"/>
    <col min="13588" max="13588" width="6.109375" style="2459" customWidth="1"/>
    <col min="13589" max="13589" width="9.33203125" style="2459" customWidth="1"/>
    <col min="13590" max="13590" width="8.88671875" style="2459" customWidth="1"/>
    <col min="13591" max="13591" width="8.109375" style="2459" customWidth="1"/>
    <col min="13592" max="13592" width="8.44140625" style="2459" customWidth="1"/>
    <col min="13593" max="13593" width="6.6640625" style="2459" customWidth="1"/>
    <col min="13594" max="13595" width="10.44140625" style="2459" customWidth="1"/>
    <col min="13596" max="13596" width="8.44140625" style="2459" customWidth="1"/>
    <col min="13597" max="13597" width="7.6640625" style="2459" customWidth="1"/>
    <col min="13598" max="13598" width="5.44140625" style="2459" customWidth="1"/>
    <col min="13599" max="13824" width="9.109375" style="2459"/>
    <col min="13825" max="13825" width="7.88671875" style="2459" customWidth="1"/>
    <col min="13826" max="13826" width="8.109375" style="2459" customWidth="1"/>
    <col min="13827" max="13827" width="7.88671875" style="2459" customWidth="1"/>
    <col min="13828" max="13829" width="4.6640625" style="2459" customWidth="1"/>
    <col min="13830" max="13830" width="7" style="2459" customWidth="1"/>
    <col min="13831" max="13831" width="8.44140625" style="2459" customWidth="1"/>
    <col min="13832" max="13832" width="8.6640625" style="2459" customWidth="1"/>
    <col min="13833" max="13833" width="5.109375" style="2459" customWidth="1"/>
    <col min="13834" max="13834" width="4.6640625" style="2459" customWidth="1"/>
    <col min="13835" max="13835" width="6.6640625" style="2459" customWidth="1"/>
    <col min="13836" max="13836" width="9.88671875" style="2459" customWidth="1"/>
    <col min="13837" max="13837" width="8.44140625" style="2459" customWidth="1"/>
    <col min="13838" max="13838" width="6" style="2459" customWidth="1"/>
    <col min="13839" max="13839" width="5.33203125" style="2459" customWidth="1"/>
    <col min="13840" max="13841" width="9.44140625" style="2459" customWidth="1"/>
    <col min="13842" max="13842" width="8.109375" style="2459" customWidth="1"/>
    <col min="13843" max="13843" width="7.33203125" style="2459" customWidth="1"/>
    <col min="13844" max="13844" width="6.109375" style="2459" customWidth="1"/>
    <col min="13845" max="13845" width="9.33203125" style="2459" customWidth="1"/>
    <col min="13846" max="13846" width="8.88671875" style="2459" customWidth="1"/>
    <col min="13847" max="13847" width="8.109375" style="2459" customWidth="1"/>
    <col min="13848" max="13848" width="8.44140625" style="2459" customWidth="1"/>
    <col min="13849" max="13849" width="6.6640625" style="2459" customWidth="1"/>
    <col min="13850" max="13851" width="10.44140625" style="2459" customWidth="1"/>
    <col min="13852" max="13852" width="8.44140625" style="2459" customWidth="1"/>
    <col min="13853" max="13853" width="7.6640625" style="2459" customWidth="1"/>
    <col min="13854" max="13854" width="5.44140625" style="2459" customWidth="1"/>
    <col min="13855" max="14080" width="9.109375" style="2459"/>
    <col min="14081" max="14081" width="7.88671875" style="2459" customWidth="1"/>
    <col min="14082" max="14082" width="8.109375" style="2459" customWidth="1"/>
    <col min="14083" max="14083" width="7.88671875" style="2459" customWidth="1"/>
    <col min="14084" max="14085" width="4.6640625" style="2459" customWidth="1"/>
    <col min="14086" max="14086" width="7" style="2459" customWidth="1"/>
    <col min="14087" max="14087" width="8.44140625" style="2459" customWidth="1"/>
    <col min="14088" max="14088" width="8.6640625" style="2459" customWidth="1"/>
    <col min="14089" max="14089" width="5.109375" style="2459" customWidth="1"/>
    <col min="14090" max="14090" width="4.6640625" style="2459" customWidth="1"/>
    <col min="14091" max="14091" width="6.6640625" style="2459" customWidth="1"/>
    <col min="14092" max="14092" width="9.88671875" style="2459" customWidth="1"/>
    <col min="14093" max="14093" width="8.44140625" style="2459" customWidth="1"/>
    <col min="14094" max="14094" width="6" style="2459" customWidth="1"/>
    <col min="14095" max="14095" width="5.33203125" style="2459" customWidth="1"/>
    <col min="14096" max="14097" width="9.44140625" style="2459" customWidth="1"/>
    <col min="14098" max="14098" width="8.109375" style="2459" customWidth="1"/>
    <col min="14099" max="14099" width="7.33203125" style="2459" customWidth="1"/>
    <col min="14100" max="14100" width="6.109375" style="2459" customWidth="1"/>
    <col min="14101" max="14101" width="9.33203125" style="2459" customWidth="1"/>
    <col min="14102" max="14102" width="8.88671875" style="2459" customWidth="1"/>
    <col min="14103" max="14103" width="8.109375" style="2459" customWidth="1"/>
    <col min="14104" max="14104" width="8.44140625" style="2459" customWidth="1"/>
    <col min="14105" max="14105" width="6.6640625" style="2459" customWidth="1"/>
    <col min="14106" max="14107" width="10.44140625" style="2459" customWidth="1"/>
    <col min="14108" max="14108" width="8.44140625" style="2459" customWidth="1"/>
    <col min="14109" max="14109" width="7.6640625" style="2459" customWidth="1"/>
    <col min="14110" max="14110" width="5.44140625" style="2459" customWidth="1"/>
    <col min="14111" max="14336" width="9.109375" style="2459"/>
    <col min="14337" max="14337" width="7.88671875" style="2459" customWidth="1"/>
    <col min="14338" max="14338" width="8.109375" style="2459" customWidth="1"/>
    <col min="14339" max="14339" width="7.88671875" style="2459" customWidth="1"/>
    <col min="14340" max="14341" width="4.6640625" style="2459" customWidth="1"/>
    <col min="14342" max="14342" width="7" style="2459" customWidth="1"/>
    <col min="14343" max="14343" width="8.44140625" style="2459" customWidth="1"/>
    <col min="14344" max="14344" width="8.6640625" style="2459" customWidth="1"/>
    <col min="14345" max="14345" width="5.109375" style="2459" customWidth="1"/>
    <col min="14346" max="14346" width="4.6640625" style="2459" customWidth="1"/>
    <col min="14347" max="14347" width="6.6640625" style="2459" customWidth="1"/>
    <col min="14348" max="14348" width="9.88671875" style="2459" customWidth="1"/>
    <col min="14349" max="14349" width="8.44140625" style="2459" customWidth="1"/>
    <col min="14350" max="14350" width="6" style="2459" customWidth="1"/>
    <col min="14351" max="14351" width="5.33203125" style="2459" customWidth="1"/>
    <col min="14352" max="14353" width="9.44140625" style="2459" customWidth="1"/>
    <col min="14354" max="14354" width="8.109375" style="2459" customWidth="1"/>
    <col min="14355" max="14355" width="7.33203125" style="2459" customWidth="1"/>
    <col min="14356" max="14356" width="6.109375" style="2459" customWidth="1"/>
    <col min="14357" max="14357" width="9.33203125" style="2459" customWidth="1"/>
    <col min="14358" max="14358" width="8.88671875" style="2459" customWidth="1"/>
    <col min="14359" max="14359" width="8.109375" style="2459" customWidth="1"/>
    <col min="14360" max="14360" width="8.44140625" style="2459" customWidth="1"/>
    <col min="14361" max="14361" width="6.6640625" style="2459" customWidth="1"/>
    <col min="14362" max="14363" width="10.44140625" style="2459" customWidth="1"/>
    <col min="14364" max="14364" width="8.44140625" style="2459" customWidth="1"/>
    <col min="14365" max="14365" width="7.6640625" style="2459" customWidth="1"/>
    <col min="14366" max="14366" width="5.44140625" style="2459" customWidth="1"/>
    <col min="14367" max="14592" width="9.109375" style="2459"/>
    <col min="14593" max="14593" width="7.88671875" style="2459" customWidth="1"/>
    <col min="14594" max="14594" width="8.109375" style="2459" customWidth="1"/>
    <col min="14595" max="14595" width="7.88671875" style="2459" customWidth="1"/>
    <col min="14596" max="14597" width="4.6640625" style="2459" customWidth="1"/>
    <col min="14598" max="14598" width="7" style="2459" customWidth="1"/>
    <col min="14599" max="14599" width="8.44140625" style="2459" customWidth="1"/>
    <col min="14600" max="14600" width="8.6640625" style="2459" customWidth="1"/>
    <col min="14601" max="14601" width="5.109375" style="2459" customWidth="1"/>
    <col min="14602" max="14602" width="4.6640625" style="2459" customWidth="1"/>
    <col min="14603" max="14603" width="6.6640625" style="2459" customWidth="1"/>
    <col min="14604" max="14604" width="9.88671875" style="2459" customWidth="1"/>
    <col min="14605" max="14605" width="8.44140625" style="2459" customWidth="1"/>
    <col min="14606" max="14606" width="6" style="2459" customWidth="1"/>
    <col min="14607" max="14607" width="5.33203125" style="2459" customWidth="1"/>
    <col min="14608" max="14609" width="9.44140625" style="2459" customWidth="1"/>
    <col min="14610" max="14610" width="8.109375" style="2459" customWidth="1"/>
    <col min="14611" max="14611" width="7.33203125" style="2459" customWidth="1"/>
    <col min="14612" max="14612" width="6.109375" style="2459" customWidth="1"/>
    <col min="14613" max="14613" width="9.33203125" style="2459" customWidth="1"/>
    <col min="14614" max="14614" width="8.88671875" style="2459" customWidth="1"/>
    <col min="14615" max="14615" width="8.109375" style="2459" customWidth="1"/>
    <col min="14616" max="14616" width="8.44140625" style="2459" customWidth="1"/>
    <col min="14617" max="14617" width="6.6640625" style="2459" customWidth="1"/>
    <col min="14618" max="14619" width="10.44140625" style="2459" customWidth="1"/>
    <col min="14620" max="14620" width="8.44140625" style="2459" customWidth="1"/>
    <col min="14621" max="14621" width="7.6640625" style="2459" customWidth="1"/>
    <col min="14622" max="14622" width="5.44140625" style="2459" customWidth="1"/>
    <col min="14623" max="14848" width="9.109375" style="2459"/>
    <col min="14849" max="14849" width="7.88671875" style="2459" customWidth="1"/>
    <col min="14850" max="14850" width="8.109375" style="2459" customWidth="1"/>
    <col min="14851" max="14851" width="7.88671875" style="2459" customWidth="1"/>
    <col min="14852" max="14853" width="4.6640625" style="2459" customWidth="1"/>
    <col min="14854" max="14854" width="7" style="2459" customWidth="1"/>
    <col min="14855" max="14855" width="8.44140625" style="2459" customWidth="1"/>
    <col min="14856" max="14856" width="8.6640625" style="2459" customWidth="1"/>
    <col min="14857" max="14857" width="5.109375" style="2459" customWidth="1"/>
    <col min="14858" max="14858" width="4.6640625" style="2459" customWidth="1"/>
    <col min="14859" max="14859" width="6.6640625" style="2459" customWidth="1"/>
    <col min="14860" max="14860" width="9.88671875" style="2459" customWidth="1"/>
    <col min="14861" max="14861" width="8.44140625" style="2459" customWidth="1"/>
    <col min="14862" max="14862" width="6" style="2459" customWidth="1"/>
    <col min="14863" max="14863" width="5.33203125" style="2459" customWidth="1"/>
    <col min="14864" max="14865" width="9.44140625" style="2459" customWidth="1"/>
    <col min="14866" max="14866" width="8.109375" style="2459" customWidth="1"/>
    <col min="14867" max="14867" width="7.33203125" style="2459" customWidth="1"/>
    <col min="14868" max="14868" width="6.109375" style="2459" customWidth="1"/>
    <col min="14869" max="14869" width="9.33203125" style="2459" customWidth="1"/>
    <col min="14870" max="14870" width="8.88671875" style="2459" customWidth="1"/>
    <col min="14871" max="14871" width="8.109375" style="2459" customWidth="1"/>
    <col min="14872" max="14872" width="8.44140625" style="2459" customWidth="1"/>
    <col min="14873" max="14873" width="6.6640625" style="2459" customWidth="1"/>
    <col min="14874" max="14875" width="10.44140625" style="2459" customWidth="1"/>
    <col min="14876" max="14876" width="8.44140625" style="2459" customWidth="1"/>
    <col min="14877" max="14877" width="7.6640625" style="2459" customWidth="1"/>
    <col min="14878" max="14878" width="5.44140625" style="2459" customWidth="1"/>
    <col min="14879" max="15104" width="9.109375" style="2459"/>
    <col min="15105" max="15105" width="7.88671875" style="2459" customWidth="1"/>
    <col min="15106" max="15106" width="8.109375" style="2459" customWidth="1"/>
    <col min="15107" max="15107" width="7.88671875" style="2459" customWidth="1"/>
    <col min="15108" max="15109" width="4.6640625" style="2459" customWidth="1"/>
    <col min="15110" max="15110" width="7" style="2459" customWidth="1"/>
    <col min="15111" max="15111" width="8.44140625" style="2459" customWidth="1"/>
    <col min="15112" max="15112" width="8.6640625" style="2459" customWidth="1"/>
    <col min="15113" max="15113" width="5.109375" style="2459" customWidth="1"/>
    <col min="15114" max="15114" width="4.6640625" style="2459" customWidth="1"/>
    <col min="15115" max="15115" width="6.6640625" style="2459" customWidth="1"/>
    <col min="15116" max="15116" width="9.88671875" style="2459" customWidth="1"/>
    <col min="15117" max="15117" width="8.44140625" style="2459" customWidth="1"/>
    <col min="15118" max="15118" width="6" style="2459" customWidth="1"/>
    <col min="15119" max="15119" width="5.33203125" style="2459" customWidth="1"/>
    <col min="15120" max="15121" width="9.44140625" style="2459" customWidth="1"/>
    <col min="15122" max="15122" width="8.109375" style="2459" customWidth="1"/>
    <col min="15123" max="15123" width="7.33203125" style="2459" customWidth="1"/>
    <col min="15124" max="15124" width="6.109375" style="2459" customWidth="1"/>
    <col min="15125" max="15125" width="9.33203125" style="2459" customWidth="1"/>
    <col min="15126" max="15126" width="8.88671875" style="2459" customWidth="1"/>
    <col min="15127" max="15127" width="8.109375" style="2459" customWidth="1"/>
    <col min="15128" max="15128" width="8.44140625" style="2459" customWidth="1"/>
    <col min="15129" max="15129" width="6.6640625" style="2459" customWidth="1"/>
    <col min="15130" max="15131" width="10.44140625" style="2459" customWidth="1"/>
    <col min="15132" max="15132" width="8.44140625" style="2459" customWidth="1"/>
    <col min="15133" max="15133" width="7.6640625" style="2459" customWidth="1"/>
    <col min="15134" max="15134" width="5.44140625" style="2459" customWidth="1"/>
    <col min="15135" max="15360" width="9.109375" style="2459"/>
    <col min="15361" max="15361" width="7.88671875" style="2459" customWidth="1"/>
    <col min="15362" max="15362" width="8.109375" style="2459" customWidth="1"/>
    <col min="15363" max="15363" width="7.88671875" style="2459" customWidth="1"/>
    <col min="15364" max="15365" width="4.6640625" style="2459" customWidth="1"/>
    <col min="15366" max="15366" width="7" style="2459" customWidth="1"/>
    <col min="15367" max="15367" width="8.44140625" style="2459" customWidth="1"/>
    <col min="15368" max="15368" width="8.6640625" style="2459" customWidth="1"/>
    <col min="15369" max="15369" width="5.109375" style="2459" customWidth="1"/>
    <col min="15370" max="15370" width="4.6640625" style="2459" customWidth="1"/>
    <col min="15371" max="15371" width="6.6640625" style="2459" customWidth="1"/>
    <col min="15372" max="15372" width="9.88671875" style="2459" customWidth="1"/>
    <col min="15373" max="15373" width="8.44140625" style="2459" customWidth="1"/>
    <col min="15374" max="15374" width="6" style="2459" customWidth="1"/>
    <col min="15375" max="15375" width="5.33203125" style="2459" customWidth="1"/>
    <col min="15376" max="15377" width="9.44140625" style="2459" customWidth="1"/>
    <col min="15378" max="15378" width="8.109375" style="2459" customWidth="1"/>
    <col min="15379" max="15379" width="7.33203125" style="2459" customWidth="1"/>
    <col min="15380" max="15380" width="6.109375" style="2459" customWidth="1"/>
    <col min="15381" max="15381" width="9.33203125" style="2459" customWidth="1"/>
    <col min="15382" max="15382" width="8.88671875" style="2459" customWidth="1"/>
    <col min="15383" max="15383" width="8.109375" style="2459" customWidth="1"/>
    <col min="15384" max="15384" width="8.44140625" style="2459" customWidth="1"/>
    <col min="15385" max="15385" width="6.6640625" style="2459" customWidth="1"/>
    <col min="15386" max="15387" width="10.44140625" style="2459" customWidth="1"/>
    <col min="15388" max="15388" width="8.44140625" style="2459" customWidth="1"/>
    <col min="15389" max="15389" width="7.6640625" style="2459" customWidth="1"/>
    <col min="15390" max="15390" width="5.44140625" style="2459" customWidth="1"/>
    <col min="15391" max="15616" width="9.109375" style="2459"/>
    <col min="15617" max="15617" width="7.88671875" style="2459" customWidth="1"/>
    <col min="15618" max="15618" width="8.109375" style="2459" customWidth="1"/>
    <col min="15619" max="15619" width="7.88671875" style="2459" customWidth="1"/>
    <col min="15620" max="15621" width="4.6640625" style="2459" customWidth="1"/>
    <col min="15622" max="15622" width="7" style="2459" customWidth="1"/>
    <col min="15623" max="15623" width="8.44140625" style="2459" customWidth="1"/>
    <col min="15624" max="15624" width="8.6640625" style="2459" customWidth="1"/>
    <col min="15625" max="15625" width="5.109375" style="2459" customWidth="1"/>
    <col min="15626" max="15626" width="4.6640625" style="2459" customWidth="1"/>
    <col min="15627" max="15627" width="6.6640625" style="2459" customWidth="1"/>
    <col min="15628" max="15628" width="9.88671875" style="2459" customWidth="1"/>
    <col min="15629" max="15629" width="8.44140625" style="2459" customWidth="1"/>
    <col min="15630" max="15630" width="6" style="2459" customWidth="1"/>
    <col min="15631" max="15631" width="5.33203125" style="2459" customWidth="1"/>
    <col min="15632" max="15633" width="9.44140625" style="2459" customWidth="1"/>
    <col min="15634" max="15634" width="8.109375" style="2459" customWidth="1"/>
    <col min="15635" max="15635" width="7.33203125" style="2459" customWidth="1"/>
    <col min="15636" max="15636" width="6.109375" style="2459" customWidth="1"/>
    <col min="15637" max="15637" width="9.33203125" style="2459" customWidth="1"/>
    <col min="15638" max="15638" width="8.88671875" style="2459" customWidth="1"/>
    <col min="15639" max="15639" width="8.109375" style="2459" customWidth="1"/>
    <col min="15640" max="15640" width="8.44140625" style="2459" customWidth="1"/>
    <col min="15641" max="15641" width="6.6640625" style="2459" customWidth="1"/>
    <col min="15642" max="15643" width="10.44140625" style="2459" customWidth="1"/>
    <col min="15644" max="15644" width="8.44140625" style="2459" customWidth="1"/>
    <col min="15645" max="15645" width="7.6640625" style="2459" customWidth="1"/>
    <col min="15646" max="15646" width="5.44140625" style="2459" customWidth="1"/>
    <col min="15647" max="15872" width="9.109375" style="2459"/>
    <col min="15873" max="15873" width="7.88671875" style="2459" customWidth="1"/>
    <col min="15874" max="15874" width="8.109375" style="2459" customWidth="1"/>
    <col min="15875" max="15875" width="7.88671875" style="2459" customWidth="1"/>
    <col min="15876" max="15877" width="4.6640625" style="2459" customWidth="1"/>
    <col min="15878" max="15878" width="7" style="2459" customWidth="1"/>
    <col min="15879" max="15879" width="8.44140625" style="2459" customWidth="1"/>
    <col min="15880" max="15880" width="8.6640625" style="2459" customWidth="1"/>
    <col min="15881" max="15881" width="5.109375" style="2459" customWidth="1"/>
    <col min="15882" max="15882" width="4.6640625" style="2459" customWidth="1"/>
    <col min="15883" max="15883" width="6.6640625" style="2459" customWidth="1"/>
    <col min="15884" max="15884" width="9.88671875" style="2459" customWidth="1"/>
    <col min="15885" max="15885" width="8.44140625" style="2459" customWidth="1"/>
    <col min="15886" max="15886" width="6" style="2459" customWidth="1"/>
    <col min="15887" max="15887" width="5.33203125" style="2459" customWidth="1"/>
    <col min="15888" max="15889" width="9.44140625" style="2459" customWidth="1"/>
    <col min="15890" max="15890" width="8.109375" style="2459" customWidth="1"/>
    <col min="15891" max="15891" width="7.33203125" style="2459" customWidth="1"/>
    <col min="15892" max="15892" width="6.109375" style="2459" customWidth="1"/>
    <col min="15893" max="15893" width="9.33203125" style="2459" customWidth="1"/>
    <col min="15894" max="15894" width="8.88671875" style="2459" customWidth="1"/>
    <col min="15895" max="15895" width="8.109375" style="2459" customWidth="1"/>
    <col min="15896" max="15896" width="8.44140625" style="2459" customWidth="1"/>
    <col min="15897" max="15897" width="6.6640625" style="2459" customWidth="1"/>
    <col min="15898" max="15899" width="10.44140625" style="2459" customWidth="1"/>
    <col min="15900" max="15900" width="8.44140625" style="2459" customWidth="1"/>
    <col min="15901" max="15901" width="7.6640625" style="2459" customWidth="1"/>
    <col min="15902" max="15902" width="5.44140625" style="2459" customWidth="1"/>
    <col min="15903" max="16128" width="9.109375" style="2459"/>
    <col min="16129" max="16129" width="7.88671875" style="2459" customWidth="1"/>
    <col min="16130" max="16130" width="8.109375" style="2459" customWidth="1"/>
    <col min="16131" max="16131" width="7.88671875" style="2459" customWidth="1"/>
    <col min="16132" max="16133" width="4.6640625" style="2459" customWidth="1"/>
    <col min="16134" max="16134" width="7" style="2459" customWidth="1"/>
    <col min="16135" max="16135" width="8.44140625" style="2459" customWidth="1"/>
    <col min="16136" max="16136" width="8.6640625" style="2459" customWidth="1"/>
    <col min="16137" max="16137" width="5.109375" style="2459" customWidth="1"/>
    <col min="16138" max="16138" width="4.6640625" style="2459" customWidth="1"/>
    <col min="16139" max="16139" width="6.6640625" style="2459" customWidth="1"/>
    <col min="16140" max="16140" width="9.88671875" style="2459" customWidth="1"/>
    <col min="16141" max="16141" width="8.44140625" style="2459" customWidth="1"/>
    <col min="16142" max="16142" width="6" style="2459" customWidth="1"/>
    <col min="16143" max="16143" width="5.33203125" style="2459" customWidth="1"/>
    <col min="16144" max="16145" width="9.44140625" style="2459" customWidth="1"/>
    <col min="16146" max="16146" width="8.109375" style="2459" customWidth="1"/>
    <col min="16147" max="16147" width="7.33203125" style="2459" customWidth="1"/>
    <col min="16148" max="16148" width="6.109375" style="2459" customWidth="1"/>
    <col min="16149" max="16149" width="9.33203125" style="2459" customWidth="1"/>
    <col min="16150" max="16150" width="8.88671875" style="2459" customWidth="1"/>
    <col min="16151" max="16151" width="8.109375" style="2459" customWidth="1"/>
    <col min="16152" max="16152" width="8.44140625" style="2459" customWidth="1"/>
    <col min="16153" max="16153" width="6.6640625" style="2459" customWidth="1"/>
    <col min="16154" max="16155" width="10.44140625" style="2459" customWidth="1"/>
    <col min="16156" max="16156" width="8.44140625" style="2459" customWidth="1"/>
    <col min="16157" max="16157" width="7.6640625" style="2459" customWidth="1"/>
    <col min="16158" max="16158" width="5.44140625" style="2459" customWidth="1"/>
    <col min="16159" max="16384" width="9.109375" style="2459"/>
  </cols>
  <sheetData>
    <row r="1" spans="1:256" s="101" customFormat="1" ht="66.75" customHeight="1" thickBot="1">
      <c r="A1" s="2482"/>
      <c r="B1" s="2483"/>
      <c r="C1" s="2482"/>
      <c r="D1" s="3952" t="s">
        <v>1764</v>
      </c>
      <c r="E1" s="3952"/>
      <c r="F1" s="3952"/>
      <c r="G1" s="3952"/>
      <c r="H1" s="3952"/>
      <c r="I1" s="3952"/>
      <c r="J1" s="3952"/>
      <c r="K1" s="3952"/>
      <c r="L1" s="2484"/>
      <c r="M1" s="2485"/>
      <c r="N1" s="2485"/>
      <c r="O1" s="2485"/>
      <c r="P1" s="178"/>
      <c r="Q1" s="178"/>
      <c r="R1" s="178"/>
      <c r="S1" s="178"/>
      <c r="T1" s="178"/>
      <c r="U1" s="178"/>
      <c r="V1" s="178"/>
      <c r="W1" s="178"/>
      <c r="X1" s="178"/>
      <c r="Y1" s="178"/>
      <c r="Z1" s="178"/>
      <c r="AA1" s="178"/>
      <c r="AB1" s="178"/>
      <c r="AC1" s="178"/>
      <c r="AD1" s="178"/>
      <c r="AE1" s="178"/>
      <c r="AF1" s="178"/>
      <c r="AG1" s="178"/>
      <c r="AH1" s="178"/>
      <c r="AI1" s="178"/>
      <c r="AJ1" s="178"/>
      <c r="AK1" s="178"/>
      <c r="AL1" s="178"/>
      <c r="AM1" s="178"/>
      <c r="AN1" s="178"/>
      <c r="AO1" s="178"/>
      <c r="AP1" s="178"/>
      <c r="AQ1" s="178"/>
      <c r="AR1" s="178"/>
      <c r="AS1" s="178"/>
      <c r="AT1" s="178"/>
      <c r="AU1" s="178"/>
      <c r="AV1" s="178"/>
      <c r="AW1" s="178"/>
      <c r="AX1" s="178"/>
      <c r="AY1" s="178"/>
      <c r="AZ1" s="178"/>
      <c r="BA1" s="178"/>
      <c r="BB1" s="178"/>
      <c r="BC1" s="178"/>
      <c r="BD1" s="178"/>
      <c r="BE1" s="178"/>
      <c r="BF1" s="178"/>
      <c r="BG1" s="179"/>
      <c r="BH1" s="179"/>
      <c r="BI1" s="179"/>
      <c r="BJ1" s="179"/>
      <c r="BK1" s="179"/>
      <c r="BL1" s="179"/>
      <c r="BM1" s="179"/>
      <c r="BN1" s="179"/>
      <c r="BO1" s="179"/>
      <c r="BP1" s="179"/>
      <c r="BQ1" s="179"/>
      <c r="BR1" s="179"/>
      <c r="BS1" s="179"/>
      <c r="BT1" s="179"/>
      <c r="BU1" s="179"/>
      <c r="BV1" s="179"/>
      <c r="BW1" s="179"/>
      <c r="BX1" s="179"/>
      <c r="BY1" s="179"/>
      <c r="BZ1" s="179"/>
      <c r="CA1" s="179"/>
      <c r="CB1" s="179"/>
      <c r="CC1" s="179"/>
      <c r="CD1" s="179"/>
      <c r="CE1" s="179"/>
      <c r="CF1" s="179"/>
      <c r="CG1" s="179"/>
      <c r="CH1" s="179"/>
      <c r="CI1" s="179"/>
      <c r="CJ1" s="179"/>
      <c r="CK1" s="179"/>
      <c r="CL1" s="179"/>
      <c r="CM1" s="179"/>
      <c r="CN1" s="179"/>
      <c r="CO1" s="179"/>
      <c r="CP1" s="179"/>
      <c r="CQ1" s="179"/>
      <c r="CR1" s="179"/>
      <c r="CS1" s="179"/>
      <c r="CT1" s="179"/>
      <c r="CU1" s="179"/>
      <c r="CV1" s="179"/>
      <c r="CW1" s="179"/>
      <c r="CX1" s="179"/>
      <c r="CY1" s="179"/>
      <c r="CZ1" s="179"/>
      <c r="DA1" s="179"/>
      <c r="DB1" s="179"/>
      <c r="DC1" s="179"/>
      <c r="DD1" s="179"/>
      <c r="DE1" s="179"/>
      <c r="DF1" s="179"/>
      <c r="DG1" s="179"/>
      <c r="DH1" s="179"/>
      <c r="DI1" s="179"/>
      <c r="DJ1" s="179"/>
      <c r="DK1" s="179"/>
      <c r="DL1" s="179"/>
      <c r="DM1" s="179"/>
      <c r="DN1" s="179"/>
      <c r="DO1" s="179"/>
      <c r="DP1" s="179"/>
      <c r="DQ1" s="179"/>
      <c r="DR1" s="179"/>
      <c r="DS1" s="179"/>
      <c r="DT1" s="179"/>
      <c r="DU1" s="179"/>
      <c r="DV1" s="179"/>
      <c r="DW1" s="179"/>
      <c r="DX1" s="179"/>
      <c r="DY1" s="179"/>
      <c r="DZ1" s="179"/>
      <c r="EA1" s="179"/>
      <c r="EB1" s="179"/>
      <c r="EC1" s="179"/>
      <c r="ED1" s="179"/>
      <c r="EE1" s="179"/>
      <c r="EF1" s="179"/>
      <c r="EG1" s="179"/>
      <c r="EH1" s="179"/>
      <c r="EI1" s="179"/>
      <c r="EJ1" s="179"/>
      <c r="EK1" s="179"/>
      <c r="EL1" s="179"/>
      <c r="EM1" s="179"/>
      <c r="EN1" s="179"/>
      <c r="EO1" s="179"/>
      <c r="EP1" s="179"/>
      <c r="EQ1" s="179"/>
      <c r="ER1" s="179"/>
      <c r="ES1" s="179"/>
      <c r="ET1" s="179"/>
      <c r="EU1" s="179"/>
      <c r="EV1" s="179"/>
      <c r="EW1" s="179"/>
      <c r="EX1" s="179"/>
      <c r="EY1" s="179"/>
      <c r="EZ1" s="179"/>
      <c r="FA1" s="179"/>
      <c r="FB1" s="179"/>
      <c r="FC1" s="179"/>
      <c r="FD1" s="179"/>
      <c r="FE1" s="179"/>
      <c r="FF1" s="179"/>
      <c r="FG1" s="179"/>
      <c r="FH1" s="179"/>
      <c r="FI1" s="179"/>
      <c r="FJ1" s="179"/>
      <c r="FK1" s="179"/>
      <c r="FL1" s="179"/>
      <c r="FM1" s="179"/>
      <c r="FN1" s="179"/>
      <c r="FO1" s="179"/>
      <c r="FP1" s="179"/>
      <c r="FQ1" s="179"/>
      <c r="FR1" s="179"/>
      <c r="FS1" s="179"/>
      <c r="FT1" s="179"/>
      <c r="FU1" s="179"/>
      <c r="FV1" s="179"/>
      <c r="FW1" s="179"/>
      <c r="FX1" s="179"/>
      <c r="FY1" s="179"/>
      <c r="FZ1" s="179"/>
      <c r="GA1" s="179"/>
      <c r="GB1" s="179"/>
      <c r="GC1" s="179"/>
      <c r="GD1" s="179"/>
      <c r="GE1" s="179"/>
      <c r="GF1" s="179"/>
      <c r="GG1" s="179"/>
      <c r="GH1" s="179"/>
      <c r="GI1" s="179"/>
      <c r="GJ1" s="179"/>
      <c r="GK1" s="179"/>
      <c r="GL1" s="179"/>
      <c r="GM1" s="179"/>
      <c r="GN1" s="179"/>
      <c r="GO1" s="179"/>
      <c r="GP1" s="179"/>
      <c r="GQ1" s="179"/>
      <c r="GR1" s="179"/>
      <c r="GS1" s="179"/>
      <c r="GT1" s="179"/>
      <c r="GU1" s="179"/>
      <c r="GV1" s="179"/>
      <c r="GW1" s="179"/>
      <c r="GX1" s="179"/>
      <c r="GY1" s="179"/>
      <c r="GZ1" s="179"/>
      <c r="HA1" s="179"/>
      <c r="HB1" s="179"/>
      <c r="HC1" s="179"/>
      <c r="HD1" s="179"/>
      <c r="HE1" s="179"/>
      <c r="HF1" s="179"/>
      <c r="HG1" s="179"/>
      <c r="HH1" s="179"/>
      <c r="HI1" s="179"/>
      <c r="HJ1" s="179"/>
      <c r="HK1" s="179"/>
      <c r="HL1" s="179"/>
      <c r="HM1" s="179"/>
      <c r="HN1" s="179"/>
      <c r="HO1" s="179"/>
      <c r="HP1" s="179"/>
      <c r="HQ1" s="179"/>
      <c r="HR1" s="179"/>
      <c r="HS1" s="179"/>
      <c r="HT1" s="179"/>
      <c r="HU1" s="179"/>
      <c r="HV1" s="179"/>
      <c r="HW1" s="179"/>
      <c r="HX1" s="179"/>
      <c r="HY1" s="179"/>
      <c r="HZ1" s="179"/>
      <c r="IA1" s="179"/>
      <c r="IB1" s="179"/>
      <c r="IC1" s="179"/>
      <c r="ID1" s="179"/>
      <c r="IE1" s="179"/>
      <c r="IF1" s="179"/>
      <c r="IG1" s="179"/>
      <c r="IH1" s="179"/>
      <c r="II1" s="179"/>
      <c r="IJ1" s="179"/>
      <c r="IK1" s="179"/>
      <c r="IL1" s="179"/>
      <c r="IM1" s="179"/>
      <c r="IN1" s="179"/>
      <c r="IO1" s="179"/>
      <c r="IP1" s="179"/>
      <c r="IQ1" s="179"/>
      <c r="IR1" s="179"/>
      <c r="IS1" s="179"/>
      <c r="IT1" s="179"/>
    </row>
    <row r="2" spans="1:256" s="101" customFormat="1" ht="12.75" customHeight="1">
      <c r="B2" s="475"/>
      <c r="D2" s="2481"/>
      <c r="E2" s="2481"/>
      <c r="F2" s="2481"/>
      <c r="G2" s="2481"/>
      <c r="H2" s="2481"/>
      <c r="I2" s="2481"/>
      <c r="J2" s="2481"/>
      <c r="K2" s="2481"/>
      <c r="L2" s="474"/>
      <c r="M2" s="3953" t="str">
        <f>'Drop-Down Lists'!J40</f>
        <v>v 04.01.2021</v>
      </c>
      <c r="N2" s="3953"/>
      <c r="O2" s="3953"/>
      <c r="P2" s="178"/>
      <c r="Q2" s="178"/>
      <c r="R2" s="178"/>
      <c r="S2" s="178"/>
      <c r="T2" s="178"/>
      <c r="U2" s="178"/>
      <c r="V2" s="178"/>
      <c r="W2" s="178"/>
      <c r="X2" s="178"/>
      <c r="Y2" s="178"/>
      <c r="Z2" s="178"/>
      <c r="AA2" s="178"/>
      <c r="AB2" s="178"/>
      <c r="AC2" s="178"/>
      <c r="AD2" s="178"/>
      <c r="AE2" s="178"/>
      <c r="AF2" s="178"/>
      <c r="AG2" s="178"/>
      <c r="AH2" s="178"/>
      <c r="AI2" s="178"/>
      <c r="AJ2" s="178"/>
      <c r="AK2" s="178"/>
      <c r="AL2" s="178"/>
      <c r="AM2" s="178"/>
      <c r="AN2" s="178"/>
      <c r="AO2" s="178"/>
      <c r="AP2" s="178"/>
      <c r="AQ2" s="178"/>
      <c r="AR2" s="178"/>
      <c r="AS2" s="178"/>
      <c r="AT2" s="178"/>
      <c r="AU2" s="178"/>
      <c r="AV2" s="178"/>
      <c r="AW2" s="178"/>
      <c r="AX2" s="178"/>
      <c r="AY2" s="178"/>
      <c r="AZ2" s="178"/>
      <c r="BA2" s="178"/>
      <c r="BB2" s="178"/>
      <c r="BC2" s="178"/>
      <c r="BD2" s="178"/>
      <c r="BE2" s="178"/>
      <c r="BF2" s="178"/>
      <c r="BG2" s="179"/>
      <c r="BH2" s="179"/>
      <c r="BI2" s="179"/>
      <c r="BJ2" s="179"/>
      <c r="BK2" s="179"/>
      <c r="BL2" s="179"/>
      <c r="BM2" s="179"/>
      <c r="BN2" s="179"/>
      <c r="BO2" s="179"/>
      <c r="BP2" s="179"/>
      <c r="BQ2" s="179"/>
      <c r="BR2" s="179"/>
      <c r="BS2" s="179"/>
      <c r="BT2" s="179"/>
      <c r="BU2" s="179"/>
      <c r="BV2" s="179"/>
      <c r="BW2" s="179"/>
      <c r="BX2" s="179"/>
      <c r="BY2" s="179"/>
      <c r="BZ2" s="179"/>
      <c r="CA2" s="179"/>
      <c r="CB2" s="179"/>
      <c r="CC2" s="179"/>
      <c r="CD2" s="179"/>
      <c r="CE2" s="179"/>
      <c r="CF2" s="179"/>
      <c r="CG2" s="179"/>
      <c r="CH2" s="179"/>
      <c r="CI2" s="179"/>
      <c r="CJ2" s="179"/>
      <c r="CK2" s="179"/>
      <c r="CL2" s="179"/>
      <c r="CM2" s="179"/>
      <c r="CN2" s="179"/>
      <c r="CO2" s="179"/>
      <c r="CP2" s="179"/>
      <c r="CQ2" s="179"/>
      <c r="CR2" s="179"/>
      <c r="CS2" s="179"/>
      <c r="CT2" s="179"/>
      <c r="CU2" s="179"/>
      <c r="CV2" s="179"/>
      <c r="CW2" s="179"/>
      <c r="CX2" s="179"/>
      <c r="CY2" s="179"/>
      <c r="CZ2" s="179"/>
      <c r="DA2" s="179"/>
      <c r="DB2" s="179"/>
      <c r="DC2" s="179"/>
      <c r="DD2" s="179"/>
      <c r="DE2" s="179"/>
      <c r="DF2" s="179"/>
      <c r="DG2" s="179"/>
      <c r="DH2" s="179"/>
      <c r="DI2" s="179"/>
      <c r="DJ2" s="179"/>
      <c r="DK2" s="179"/>
      <c r="DL2" s="179"/>
      <c r="DM2" s="179"/>
      <c r="DN2" s="179"/>
      <c r="DO2" s="179"/>
      <c r="DP2" s="179"/>
      <c r="DQ2" s="179"/>
      <c r="DR2" s="179"/>
      <c r="DS2" s="179"/>
      <c r="DT2" s="179"/>
      <c r="DU2" s="179"/>
      <c r="DV2" s="179"/>
      <c r="DW2" s="179"/>
      <c r="DX2" s="179"/>
      <c r="DY2" s="179"/>
      <c r="DZ2" s="179"/>
      <c r="EA2" s="179"/>
      <c r="EB2" s="179"/>
      <c r="EC2" s="179"/>
      <c r="ED2" s="179"/>
      <c r="EE2" s="179"/>
      <c r="EF2" s="179"/>
      <c r="EG2" s="179"/>
      <c r="EH2" s="179"/>
      <c r="EI2" s="179"/>
      <c r="EJ2" s="179"/>
      <c r="EK2" s="179"/>
      <c r="EL2" s="179"/>
      <c r="EM2" s="179"/>
      <c r="EN2" s="179"/>
      <c r="EO2" s="179"/>
      <c r="EP2" s="179"/>
      <c r="EQ2" s="179"/>
      <c r="ER2" s="179"/>
      <c r="ES2" s="179"/>
      <c r="ET2" s="179"/>
      <c r="EU2" s="179"/>
      <c r="EV2" s="179"/>
      <c r="EW2" s="179"/>
      <c r="EX2" s="179"/>
      <c r="EY2" s="179"/>
      <c r="EZ2" s="179"/>
      <c r="FA2" s="179"/>
      <c r="FB2" s="179"/>
      <c r="FC2" s="179"/>
      <c r="FD2" s="179"/>
      <c r="FE2" s="179"/>
      <c r="FF2" s="179"/>
      <c r="FG2" s="179"/>
      <c r="FH2" s="179"/>
      <c r="FI2" s="179"/>
      <c r="FJ2" s="179"/>
      <c r="FK2" s="179"/>
      <c r="FL2" s="179"/>
      <c r="FM2" s="179"/>
      <c r="FN2" s="179"/>
      <c r="FO2" s="179"/>
      <c r="FP2" s="179"/>
      <c r="FQ2" s="179"/>
      <c r="FR2" s="179"/>
      <c r="FS2" s="179"/>
      <c r="FT2" s="179"/>
      <c r="FU2" s="179"/>
      <c r="FV2" s="179"/>
      <c r="FW2" s="179"/>
      <c r="FX2" s="179"/>
      <c r="FY2" s="179"/>
      <c r="FZ2" s="179"/>
      <c r="GA2" s="179"/>
      <c r="GB2" s="179"/>
      <c r="GC2" s="179"/>
      <c r="GD2" s="179"/>
      <c r="GE2" s="179"/>
      <c r="GF2" s="179"/>
      <c r="GG2" s="179"/>
      <c r="GH2" s="179"/>
      <c r="GI2" s="179"/>
      <c r="GJ2" s="179"/>
      <c r="GK2" s="179"/>
      <c r="GL2" s="179"/>
      <c r="GM2" s="179"/>
      <c r="GN2" s="179"/>
      <c r="GO2" s="179"/>
      <c r="GP2" s="179"/>
      <c r="GQ2" s="179"/>
      <c r="GR2" s="179"/>
      <c r="GS2" s="179"/>
      <c r="GT2" s="179"/>
      <c r="GU2" s="179"/>
      <c r="GV2" s="179"/>
      <c r="GW2" s="179"/>
      <c r="GX2" s="179"/>
      <c r="GY2" s="179"/>
      <c r="GZ2" s="179"/>
      <c r="HA2" s="179"/>
      <c r="HB2" s="179"/>
      <c r="HC2" s="179"/>
      <c r="HD2" s="179"/>
      <c r="HE2" s="179"/>
      <c r="HF2" s="179"/>
      <c r="HG2" s="179"/>
      <c r="HH2" s="179"/>
      <c r="HI2" s="179"/>
      <c r="HJ2" s="179"/>
      <c r="HK2" s="179"/>
      <c r="HL2" s="179"/>
      <c r="HM2" s="179"/>
      <c r="HN2" s="179"/>
      <c r="HO2" s="179"/>
      <c r="HP2" s="179"/>
      <c r="HQ2" s="179"/>
      <c r="HR2" s="179"/>
      <c r="HS2" s="179"/>
      <c r="HT2" s="179"/>
      <c r="HU2" s="179"/>
      <c r="HV2" s="179"/>
      <c r="HW2" s="179"/>
      <c r="HX2" s="179"/>
      <c r="HY2" s="179"/>
      <c r="HZ2" s="179"/>
      <c r="IA2" s="179"/>
      <c r="IB2" s="179"/>
      <c r="IC2" s="179"/>
      <c r="ID2" s="179"/>
      <c r="IE2" s="179"/>
      <c r="IF2" s="179"/>
      <c r="IG2" s="179"/>
      <c r="IH2" s="179"/>
      <c r="II2" s="179"/>
      <c r="IJ2" s="179"/>
      <c r="IK2" s="179"/>
      <c r="IL2" s="179"/>
      <c r="IM2" s="179"/>
      <c r="IN2" s="179"/>
      <c r="IO2" s="179"/>
      <c r="IP2" s="179"/>
      <c r="IQ2" s="179"/>
      <c r="IR2" s="179"/>
      <c r="IS2" s="179"/>
      <c r="IT2" s="179"/>
    </row>
    <row r="3" spans="1:256" s="2451" customFormat="1" ht="41.4">
      <c r="A3" s="2449" t="s">
        <v>548</v>
      </c>
      <c r="B3" s="2449" t="s">
        <v>551</v>
      </c>
      <c r="C3" s="2449" t="s">
        <v>2066</v>
      </c>
      <c r="D3" s="2449" t="s">
        <v>313</v>
      </c>
      <c r="E3" s="2449" t="s">
        <v>2067</v>
      </c>
      <c r="F3" s="2449" t="s">
        <v>549</v>
      </c>
      <c r="G3" s="2449" t="s">
        <v>551</v>
      </c>
      <c r="H3" s="2449" t="s">
        <v>2068</v>
      </c>
      <c r="I3" s="2449" t="s">
        <v>313</v>
      </c>
      <c r="J3" s="2449" t="s">
        <v>2067</v>
      </c>
      <c r="K3" s="2449" t="s">
        <v>550</v>
      </c>
      <c r="L3" s="2449" t="s">
        <v>551</v>
      </c>
      <c r="M3" s="2449" t="s">
        <v>2066</v>
      </c>
      <c r="N3" s="2449" t="s">
        <v>313</v>
      </c>
      <c r="O3" s="2449" t="s">
        <v>2067</v>
      </c>
      <c r="P3" s="2449" t="s">
        <v>2069</v>
      </c>
      <c r="Q3" s="2449" t="s">
        <v>551</v>
      </c>
      <c r="R3" s="2449" t="s">
        <v>2066</v>
      </c>
      <c r="S3" s="2449" t="s">
        <v>313</v>
      </c>
      <c r="T3" s="2449" t="s">
        <v>2067</v>
      </c>
      <c r="U3" s="2449" t="s">
        <v>2070</v>
      </c>
      <c r="V3" s="2449" t="s">
        <v>551</v>
      </c>
      <c r="W3" s="2449" t="s">
        <v>2068</v>
      </c>
      <c r="X3" s="2449" t="s">
        <v>313</v>
      </c>
      <c r="Y3" s="2449" t="s">
        <v>2067</v>
      </c>
      <c r="Z3" s="2449" t="s">
        <v>2071</v>
      </c>
      <c r="AA3" s="2449" t="s">
        <v>551</v>
      </c>
      <c r="AB3" s="2449" t="s">
        <v>2072</v>
      </c>
      <c r="AC3" s="2449" t="s">
        <v>313</v>
      </c>
      <c r="AD3" s="2449" t="s">
        <v>2067</v>
      </c>
      <c r="AE3" s="2450"/>
      <c r="AF3" s="2450"/>
      <c r="AG3" s="2450"/>
      <c r="AH3" s="2450"/>
      <c r="AI3" s="2450"/>
      <c r="AJ3" s="2450"/>
      <c r="AK3" s="2450"/>
      <c r="AL3" s="2450"/>
      <c r="AM3" s="2450"/>
      <c r="AN3" s="2450"/>
      <c r="AO3" s="2450"/>
      <c r="AP3" s="2450"/>
      <c r="AQ3" s="2450"/>
      <c r="AR3" s="2450"/>
      <c r="AS3" s="2450"/>
      <c r="AT3" s="2450"/>
      <c r="AU3" s="2450"/>
      <c r="AV3" s="2450"/>
      <c r="AW3" s="2450"/>
      <c r="AX3" s="2450"/>
      <c r="AY3" s="2450"/>
      <c r="AZ3" s="2450"/>
      <c r="BA3" s="2450"/>
      <c r="BB3" s="2450"/>
      <c r="BC3" s="2450"/>
      <c r="BD3" s="2450"/>
      <c r="BE3" s="2450"/>
      <c r="BF3" s="2450"/>
      <c r="BG3" s="2450"/>
      <c r="BH3" s="2450"/>
      <c r="BI3" s="2446"/>
      <c r="BJ3" s="2446"/>
      <c r="BK3" s="2446"/>
      <c r="BL3" s="2446"/>
      <c r="BM3" s="2446"/>
      <c r="BN3" s="2446"/>
      <c r="BO3" s="2446"/>
      <c r="BP3" s="2446"/>
      <c r="BQ3" s="2446"/>
      <c r="BR3" s="2446"/>
      <c r="BS3" s="2446"/>
      <c r="BT3" s="2446"/>
      <c r="BU3" s="2446"/>
      <c r="BV3" s="2446"/>
      <c r="BW3" s="2446"/>
      <c r="BX3" s="2446"/>
      <c r="BY3" s="2446"/>
      <c r="BZ3" s="2446"/>
      <c r="CA3" s="2446"/>
      <c r="CB3" s="2446"/>
      <c r="CC3" s="2446"/>
      <c r="CD3" s="2446"/>
      <c r="CE3" s="2446"/>
      <c r="CF3" s="2446"/>
      <c r="CG3" s="2446"/>
      <c r="CH3" s="2446"/>
      <c r="CI3" s="2446"/>
      <c r="CJ3" s="2446"/>
      <c r="CK3" s="2446"/>
      <c r="CL3" s="2446"/>
      <c r="CM3" s="2446"/>
      <c r="CN3" s="2446"/>
      <c r="CO3" s="2446"/>
      <c r="CP3" s="2446"/>
      <c r="CQ3" s="2446"/>
      <c r="CR3" s="2446"/>
      <c r="CS3" s="2446"/>
      <c r="CT3" s="2446"/>
      <c r="CU3" s="2446"/>
      <c r="CV3" s="2446"/>
      <c r="CW3" s="2446"/>
      <c r="CX3" s="2446"/>
      <c r="CY3" s="2446"/>
      <c r="CZ3" s="2446"/>
      <c r="DA3" s="2446"/>
      <c r="DB3" s="2446"/>
      <c r="DC3" s="2446"/>
      <c r="DD3" s="2446"/>
      <c r="DE3" s="2446"/>
      <c r="DF3" s="2446"/>
      <c r="DG3" s="2446"/>
      <c r="DH3" s="2446"/>
      <c r="DI3" s="2446"/>
      <c r="DJ3" s="2446"/>
      <c r="DK3" s="2446"/>
      <c r="DL3" s="2446"/>
      <c r="DM3" s="2446"/>
      <c r="DN3" s="2446"/>
      <c r="DO3" s="2446"/>
      <c r="DP3" s="2446"/>
      <c r="DQ3" s="2446"/>
      <c r="DR3" s="2446"/>
      <c r="DS3" s="2446"/>
      <c r="DT3" s="2446"/>
      <c r="DU3" s="2446"/>
      <c r="DV3" s="2446"/>
      <c r="DW3" s="2446"/>
      <c r="DX3" s="2446"/>
      <c r="DY3" s="2446"/>
      <c r="DZ3" s="2446"/>
      <c r="EA3" s="2446"/>
      <c r="EB3" s="2446"/>
      <c r="EC3" s="2446"/>
      <c r="ED3" s="2446"/>
      <c r="EE3" s="2446"/>
      <c r="EF3" s="2446"/>
      <c r="EG3" s="2446"/>
      <c r="EH3" s="2446"/>
      <c r="EI3" s="2446"/>
      <c r="EJ3" s="2446"/>
      <c r="EK3" s="2446"/>
      <c r="EL3" s="2446"/>
      <c r="EM3" s="2446"/>
      <c r="EN3" s="2446"/>
      <c r="EO3" s="2446"/>
      <c r="EP3" s="2446"/>
      <c r="EQ3" s="2446"/>
      <c r="ER3" s="2446"/>
      <c r="ES3" s="2446"/>
      <c r="ET3" s="2446"/>
      <c r="EU3" s="2446"/>
      <c r="EV3" s="2446"/>
      <c r="EW3" s="2446"/>
      <c r="EX3" s="2446"/>
      <c r="EY3" s="2446"/>
      <c r="EZ3" s="2446"/>
      <c r="FA3" s="2446"/>
      <c r="FB3" s="2446"/>
      <c r="FC3" s="2446"/>
      <c r="FD3" s="2446"/>
      <c r="FE3" s="2446"/>
      <c r="FF3" s="2446"/>
      <c r="FG3" s="2446"/>
      <c r="FH3" s="2446"/>
      <c r="FI3" s="2446"/>
      <c r="FJ3" s="2446"/>
      <c r="FK3" s="2446"/>
      <c r="FL3" s="2446"/>
      <c r="FM3" s="2446"/>
      <c r="FN3" s="2446"/>
      <c r="FO3" s="2446"/>
      <c r="FP3" s="2446"/>
      <c r="FQ3" s="2446"/>
      <c r="FR3" s="2446"/>
      <c r="FS3" s="2446"/>
      <c r="FT3" s="2446"/>
      <c r="FU3" s="2446"/>
      <c r="FV3" s="2446"/>
      <c r="FW3" s="2446"/>
      <c r="FX3" s="2446"/>
      <c r="FY3" s="2446"/>
      <c r="FZ3" s="2446"/>
      <c r="GA3" s="2446"/>
      <c r="GB3" s="2446"/>
      <c r="GC3" s="2446"/>
      <c r="GD3" s="2446"/>
      <c r="GE3" s="2446"/>
      <c r="GF3" s="2446"/>
      <c r="GG3" s="2446"/>
      <c r="GH3" s="2446"/>
      <c r="GI3" s="2446"/>
      <c r="GJ3" s="2446"/>
      <c r="GK3" s="2446"/>
      <c r="GL3" s="2446"/>
      <c r="GM3" s="2446"/>
      <c r="GN3" s="2446"/>
      <c r="GO3" s="2446"/>
      <c r="GP3" s="2446"/>
      <c r="GQ3" s="2446"/>
      <c r="GR3" s="2446"/>
      <c r="GS3" s="2446"/>
      <c r="GT3" s="2446"/>
      <c r="GU3" s="2446"/>
      <c r="GV3" s="2446"/>
      <c r="GW3" s="2446"/>
      <c r="GX3" s="2446"/>
      <c r="GY3" s="2446"/>
      <c r="GZ3" s="2446"/>
      <c r="HA3" s="2446"/>
      <c r="HB3" s="2446"/>
      <c r="HC3" s="2446"/>
      <c r="HD3" s="2446"/>
      <c r="HE3" s="2446"/>
      <c r="HF3" s="2446"/>
      <c r="HG3" s="2446"/>
      <c r="HH3" s="2446"/>
      <c r="HI3" s="2446"/>
      <c r="HJ3" s="2446"/>
      <c r="HK3" s="2446"/>
      <c r="HL3" s="2446"/>
      <c r="HM3" s="2446"/>
      <c r="HN3" s="2446"/>
      <c r="HO3" s="2446"/>
      <c r="HP3" s="2446"/>
      <c r="HQ3" s="2446"/>
      <c r="HR3" s="2446"/>
      <c r="HS3" s="2446"/>
      <c r="HT3" s="2446"/>
      <c r="HU3" s="2446"/>
      <c r="HV3" s="2446"/>
      <c r="HW3" s="2446"/>
      <c r="HX3" s="2446"/>
      <c r="HY3" s="2446"/>
      <c r="HZ3" s="2446"/>
      <c r="IA3" s="2446"/>
      <c r="IB3" s="2446"/>
      <c r="IC3" s="2446"/>
      <c r="ID3" s="2446"/>
      <c r="IE3" s="2446"/>
      <c r="IF3" s="2446"/>
      <c r="IG3" s="2446"/>
      <c r="IH3" s="2446"/>
      <c r="II3" s="2446"/>
      <c r="IJ3" s="2446"/>
      <c r="IK3" s="2446"/>
      <c r="IL3" s="2446"/>
      <c r="IM3" s="2446"/>
      <c r="IN3" s="2446"/>
      <c r="IO3" s="2446"/>
      <c r="IP3" s="2446"/>
      <c r="IQ3" s="2446"/>
      <c r="IR3" s="2446"/>
      <c r="IS3" s="2446"/>
      <c r="IT3" s="2446"/>
      <c r="IU3" s="2446"/>
      <c r="IV3" s="2446"/>
    </row>
    <row r="4" spans="1:256">
      <c r="A4" s="2452">
        <v>1</v>
      </c>
      <c r="B4" s="2453"/>
      <c r="C4" s="2453"/>
      <c r="D4" s="2454" t="s">
        <v>30</v>
      </c>
      <c r="E4" s="2454"/>
      <c r="F4" s="2455">
        <v>31</v>
      </c>
      <c r="G4" s="2453"/>
      <c r="H4" s="2453"/>
      <c r="I4" s="2456" t="str">
        <f>IF(ISBLANK(G4)," ",((G4-B33)/(H4/100)))</f>
        <v xml:space="preserve"> </v>
      </c>
      <c r="J4" s="2456" t="str">
        <f>IF(ISBLANK(G4), "", (I4+D28+D29+D30+D31+D32+D33)/7)</f>
        <v/>
      </c>
      <c r="K4" s="2452">
        <v>61</v>
      </c>
      <c r="L4" s="2453"/>
      <c r="M4" s="2453"/>
      <c r="N4" s="2456" t="str">
        <f>IF(ISBLANK(L4)," ",((L4-G33)/(M4/100)))</f>
        <v xml:space="preserve"> </v>
      </c>
      <c r="O4" s="2456" t="str">
        <f>IF(ISBLANK(L4), "", (N4+I28+I29+I30+I31+I32+I33)/7)</f>
        <v/>
      </c>
      <c r="P4" s="2452">
        <v>91</v>
      </c>
      <c r="Q4" s="2453"/>
      <c r="R4" s="2453"/>
      <c r="S4" s="2454" t="str">
        <f>IF(ISBLANK(Q4)," ",((Q4-L33)/(R4/100)))</f>
        <v xml:space="preserve"> </v>
      </c>
      <c r="T4" s="2456" t="str">
        <f>IF(ISBLANK(Q4), "",AVERAGE(S4,N28:N33))</f>
        <v/>
      </c>
      <c r="U4" s="2455">
        <v>121</v>
      </c>
      <c r="V4" s="2453"/>
      <c r="W4" s="2453"/>
      <c r="X4" s="2456" t="str">
        <f>IF(ISBLANK(V4)," ",((V4-Q33)/(W4/100)))</f>
        <v xml:space="preserve"> </v>
      </c>
      <c r="Y4" s="2456" t="str">
        <f>IF(ISBLANK(V4), "",AVERAGE(X4,S28:S33))</f>
        <v/>
      </c>
      <c r="Z4" s="2452">
        <v>151</v>
      </c>
      <c r="AA4" s="2453"/>
      <c r="AB4" s="2453"/>
      <c r="AC4" s="2456" t="str">
        <f>IF(ISBLANK(AA4)," ",((AA4-V33)/(AB4/100)))</f>
        <v xml:space="preserve"> </v>
      </c>
      <c r="AD4" s="2456" t="str">
        <f>IF(ISBLANK(AA4), "",AVERAGE(AC4,X28:X33))</f>
        <v/>
      </c>
      <c r="AE4" s="2457"/>
      <c r="AF4" s="2457"/>
      <c r="AG4" s="2457"/>
      <c r="AH4" s="2457"/>
      <c r="AI4" s="2457"/>
      <c r="AJ4" s="2457"/>
      <c r="AK4" s="2457"/>
      <c r="AL4" s="2457"/>
      <c r="AM4" s="2457"/>
      <c r="AN4" s="2457"/>
      <c r="AO4" s="2457"/>
      <c r="AP4" s="2457"/>
      <c r="AQ4" s="2457"/>
      <c r="AR4" s="2457"/>
      <c r="AS4" s="2457"/>
      <c r="AT4" s="2457"/>
      <c r="AU4" s="2457"/>
      <c r="AV4" s="2457"/>
      <c r="AW4" s="2457"/>
      <c r="AX4" s="2457"/>
      <c r="AY4" s="2457"/>
      <c r="AZ4" s="2457"/>
      <c r="BA4" s="2457"/>
      <c r="BB4" s="2457"/>
      <c r="BC4" s="2457"/>
      <c r="BD4" s="2457"/>
      <c r="BE4" s="2457"/>
      <c r="BF4" s="2457"/>
      <c r="BG4" s="2457"/>
      <c r="BH4" s="2457"/>
      <c r="BI4" s="2458"/>
      <c r="BJ4" s="2458"/>
      <c r="BK4" s="2458"/>
      <c r="BL4" s="2458"/>
      <c r="BM4" s="2458"/>
      <c r="BN4" s="2458"/>
      <c r="BO4" s="2458"/>
      <c r="BP4" s="2458"/>
      <c r="BQ4" s="2458"/>
      <c r="BR4" s="2458"/>
      <c r="BS4" s="2458"/>
      <c r="BT4" s="2458"/>
      <c r="BU4" s="2458"/>
      <c r="BV4" s="2458"/>
      <c r="BW4" s="2458"/>
      <c r="BX4" s="2458"/>
      <c r="BY4" s="2458"/>
      <c r="BZ4" s="2458"/>
      <c r="CA4" s="2458"/>
      <c r="CB4" s="2458"/>
      <c r="CC4" s="2458"/>
      <c r="CD4" s="2458"/>
      <c r="CE4" s="2458"/>
      <c r="CF4" s="2458"/>
      <c r="CG4" s="2458"/>
      <c r="CH4" s="2458"/>
      <c r="CI4" s="2458"/>
      <c r="CJ4" s="2458"/>
      <c r="CK4" s="2458"/>
      <c r="CL4" s="2458"/>
      <c r="CM4" s="2458"/>
      <c r="CN4" s="2458"/>
      <c r="CO4" s="2458"/>
      <c r="CP4" s="2458"/>
      <c r="CQ4" s="2458"/>
      <c r="CR4" s="2458"/>
      <c r="CS4" s="2458"/>
      <c r="CT4" s="2458"/>
      <c r="CU4" s="2458"/>
      <c r="CV4" s="2458"/>
      <c r="CW4" s="2458"/>
      <c r="CX4" s="2458"/>
      <c r="CY4" s="2458"/>
      <c r="CZ4" s="2458"/>
      <c r="DA4" s="2458"/>
      <c r="DB4" s="2458"/>
      <c r="DC4" s="2458"/>
      <c r="DD4" s="2458"/>
      <c r="DE4" s="2458"/>
      <c r="DF4" s="2458"/>
      <c r="DG4" s="2458"/>
      <c r="DH4" s="2458"/>
      <c r="DI4" s="2458"/>
      <c r="DJ4" s="2458"/>
      <c r="DK4" s="2458"/>
      <c r="DL4" s="2458"/>
      <c r="DM4" s="2458"/>
      <c r="DN4" s="2458"/>
      <c r="DO4" s="2458"/>
      <c r="DP4" s="2458"/>
      <c r="DQ4" s="2458"/>
      <c r="DR4" s="2458"/>
      <c r="DS4" s="2458"/>
      <c r="DT4" s="2458"/>
      <c r="DU4" s="2458"/>
      <c r="DV4" s="2458"/>
      <c r="DW4" s="2458"/>
      <c r="DX4" s="2458"/>
      <c r="DY4" s="2458"/>
      <c r="DZ4" s="2458"/>
      <c r="EA4" s="2458"/>
      <c r="EB4" s="2458"/>
      <c r="EC4" s="2458"/>
      <c r="ED4" s="2458"/>
      <c r="EE4" s="2458"/>
      <c r="EF4" s="2458"/>
      <c r="EG4" s="2458"/>
      <c r="EH4" s="2458"/>
      <c r="EI4" s="2458"/>
      <c r="EJ4" s="2458"/>
      <c r="EK4" s="2458"/>
      <c r="EL4" s="2458"/>
      <c r="EM4" s="2458"/>
      <c r="EN4" s="2458"/>
      <c r="EO4" s="2458"/>
      <c r="EP4" s="2458"/>
      <c r="EQ4" s="2458"/>
      <c r="ER4" s="2458"/>
      <c r="ES4" s="2458"/>
      <c r="ET4" s="2458"/>
      <c r="EU4" s="2458"/>
      <c r="EV4" s="2458"/>
      <c r="EW4" s="2458"/>
      <c r="EX4" s="2458"/>
      <c r="EY4" s="2458"/>
      <c r="EZ4" s="2458"/>
      <c r="FA4" s="2458"/>
      <c r="FB4" s="2458"/>
      <c r="FC4" s="2458"/>
      <c r="FD4" s="2458"/>
      <c r="FE4" s="2458"/>
      <c r="FF4" s="2458"/>
      <c r="FG4" s="2458"/>
      <c r="FH4" s="2458"/>
      <c r="FI4" s="2458"/>
      <c r="FJ4" s="2458"/>
      <c r="FK4" s="2458"/>
      <c r="FL4" s="2458"/>
      <c r="FM4" s="2458"/>
      <c r="FN4" s="2458"/>
      <c r="FO4" s="2458"/>
      <c r="FP4" s="2458"/>
      <c r="FQ4" s="2458"/>
      <c r="FR4" s="2458"/>
      <c r="FS4" s="2458"/>
      <c r="FT4" s="2458"/>
      <c r="FU4" s="2458"/>
      <c r="FV4" s="2458"/>
      <c r="FW4" s="2458"/>
      <c r="FX4" s="2458"/>
      <c r="FY4" s="2458"/>
      <c r="FZ4" s="2458"/>
      <c r="GA4" s="2458"/>
      <c r="GB4" s="2458"/>
      <c r="GC4" s="2458"/>
      <c r="GD4" s="2458"/>
      <c r="GE4" s="2458"/>
      <c r="GF4" s="2458"/>
      <c r="GG4" s="2458"/>
      <c r="GH4" s="2458"/>
      <c r="GI4" s="2458"/>
      <c r="GJ4" s="2458"/>
      <c r="GK4" s="2458"/>
      <c r="GL4" s="2458"/>
      <c r="GM4" s="2458"/>
      <c r="GN4" s="2458"/>
      <c r="GO4" s="2458"/>
      <c r="GP4" s="2458"/>
      <c r="GQ4" s="2458"/>
      <c r="GR4" s="2458"/>
      <c r="GS4" s="2458"/>
      <c r="GT4" s="2458"/>
      <c r="GU4" s="2458"/>
      <c r="GV4" s="2458"/>
      <c r="GW4" s="2458"/>
      <c r="GX4" s="2458"/>
      <c r="GY4" s="2458"/>
      <c r="GZ4" s="2458"/>
      <c r="HA4" s="2458"/>
      <c r="HB4" s="2458"/>
      <c r="HC4" s="2458"/>
      <c r="HD4" s="2458"/>
      <c r="HE4" s="2458"/>
      <c r="HF4" s="2458"/>
      <c r="HG4" s="2458"/>
      <c r="HH4" s="2458"/>
      <c r="HI4" s="2458"/>
      <c r="HJ4" s="2458"/>
      <c r="HK4" s="2458"/>
      <c r="HL4" s="2458"/>
      <c r="HM4" s="2458"/>
      <c r="HN4" s="2458"/>
      <c r="HO4" s="2458"/>
      <c r="HP4" s="2458"/>
      <c r="HQ4" s="2458"/>
      <c r="HR4" s="2458"/>
      <c r="HS4" s="2458"/>
      <c r="HT4" s="2458"/>
      <c r="HU4" s="2458"/>
      <c r="HV4" s="2458"/>
      <c r="HW4" s="2458"/>
      <c r="HX4" s="2458"/>
      <c r="HY4" s="2458"/>
      <c r="HZ4" s="2458"/>
      <c r="IA4" s="2458"/>
      <c r="IB4" s="2458"/>
      <c r="IC4" s="2458"/>
      <c r="ID4" s="2458"/>
      <c r="IE4" s="2458"/>
      <c r="IF4" s="2458"/>
      <c r="IG4" s="2458"/>
      <c r="IH4" s="2458"/>
      <c r="II4" s="2458"/>
      <c r="IJ4" s="2458"/>
      <c r="IK4" s="2458"/>
      <c r="IL4" s="2458"/>
      <c r="IM4" s="2458"/>
      <c r="IN4" s="2458"/>
      <c r="IO4" s="2458"/>
      <c r="IP4" s="2458"/>
      <c r="IQ4" s="2458"/>
      <c r="IR4" s="2458"/>
      <c r="IS4" s="2458"/>
      <c r="IT4" s="2458"/>
      <c r="IU4" s="2458"/>
      <c r="IV4" s="2458"/>
    </row>
    <row r="5" spans="1:256">
      <c r="A5" s="2452">
        <f>A4+1</f>
        <v>2</v>
      </c>
      <c r="B5" s="2453"/>
      <c r="C5" s="2453"/>
      <c r="D5" s="2456" t="str">
        <f>IF(ISBLANK(B5)," ",(B5-B4)/(C5/100))</f>
        <v xml:space="preserve"> </v>
      </c>
      <c r="E5" s="2456"/>
      <c r="F5" s="2455">
        <f>F4+1</f>
        <v>32</v>
      </c>
      <c r="G5" s="2453"/>
      <c r="H5" s="2453"/>
      <c r="I5" s="2456" t="str">
        <f>IF(ISBLANK(G5)," ",((G5-G4)/(H5/100)))</f>
        <v xml:space="preserve"> </v>
      </c>
      <c r="J5" s="2456" t="str">
        <f>IF(ISBLANK(G5), " ", (I4+I5+D29+D30+D31+D32+D33)/7)</f>
        <v xml:space="preserve"> </v>
      </c>
      <c r="K5" s="2452">
        <f>K4+1</f>
        <v>62</v>
      </c>
      <c r="L5" s="2453"/>
      <c r="M5" s="2453"/>
      <c r="N5" s="2456" t="str">
        <f>IF(ISBLANK(L5)," ",((L5-L4)/(M5/100)))</f>
        <v xml:space="preserve"> </v>
      </c>
      <c r="O5" s="2456" t="str">
        <f>IF(ISBLANK(L5), " ", (N4+N5+I29+I30+I31+I32+I33)/7)</f>
        <v xml:space="preserve"> </v>
      </c>
      <c r="P5" s="2452">
        <f>P4+1</f>
        <v>92</v>
      </c>
      <c r="Q5" s="2453"/>
      <c r="R5" s="2453"/>
      <c r="S5" s="2456" t="str">
        <f>IF(ISBLANK(Q5)," ",(Q5-Q4)/(R5/100))</f>
        <v xml:space="preserve"> </v>
      </c>
      <c r="T5" s="2456" t="str">
        <f>IF(ISBLANK(Q5), "",AVERAGE(S4:S5,N29:N33))</f>
        <v/>
      </c>
      <c r="U5" s="2455">
        <f>U4+1</f>
        <v>122</v>
      </c>
      <c r="V5" s="2453"/>
      <c r="W5" s="2453"/>
      <c r="X5" s="2456" t="str">
        <f>IF(ISBLANK(V5)," ",((V5-V4)/(W5/100)))</f>
        <v xml:space="preserve"> </v>
      </c>
      <c r="Y5" s="2456" t="str">
        <f>IF(ISBLANK(V5), "",AVERAGE(X4:X5,S29:S33))</f>
        <v/>
      </c>
      <c r="Z5" s="2452">
        <f>Z4+1</f>
        <v>152</v>
      </c>
      <c r="AA5" s="2453"/>
      <c r="AB5" s="2453"/>
      <c r="AC5" s="2456" t="str">
        <f>IF(ISBLANK(AA5)," ",((AA5-AA4)/(AB5/100)))</f>
        <v xml:space="preserve"> </v>
      </c>
      <c r="AD5" s="2456" t="str">
        <f>IF(ISBLANK(AA5), "",AVERAGE(AC4:AC5,X29:X33))</f>
        <v/>
      </c>
      <c r="AE5" s="2457"/>
      <c r="AF5" s="2457"/>
      <c r="AG5" s="2457"/>
      <c r="AH5" s="2457"/>
      <c r="AI5" s="2457"/>
      <c r="AJ5" s="2457"/>
      <c r="AK5" s="2457"/>
      <c r="AL5" s="2457"/>
      <c r="AM5" s="2457"/>
      <c r="AN5" s="2457"/>
      <c r="AO5" s="2457"/>
      <c r="AP5" s="2457"/>
      <c r="AQ5" s="2457"/>
      <c r="AR5" s="2457"/>
      <c r="AS5" s="2457"/>
      <c r="AT5" s="2457"/>
      <c r="AU5" s="2457"/>
      <c r="AV5" s="2457"/>
      <c r="AW5" s="2457"/>
      <c r="AX5" s="2457"/>
      <c r="AY5" s="2457"/>
      <c r="AZ5" s="2457"/>
      <c r="BA5" s="2457"/>
      <c r="BB5" s="2457"/>
      <c r="BC5" s="2457"/>
      <c r="BD5" s="2457"/>
      <c r="BE5" s="2457"/>
      <c r="BF5" s="2457"/>
      <c r="BG5" s="2457"/>
      <c r="BH5" s="2457"/>
      <c r="BI5" s="2458"/>
      <c r="BJ5" s="2458"/>
      <c r="BK5" s="2458"/>
      <c r="BL5" s="2458"/>
      <c r="BM5" s="2458"/>
      <c r="BN5" s="2458"/>
      <c r="BO5" s="2458"/>
      <c r="BP5" s="2458"/>
      <c r="BQ5" s="2458"/>
      <c r="BR5" s="2458"/>
      <c r="BS5" s="2458"/>
      <c r="BT5" s="2458"/>
      <c r="BU5" s="2458"/>
      <c r="BV5" s="2458"/>
      <c r="BW5" s="2458"/>
      <c r="BX5" s="2458"/>
      <c r="BY5" s="2458"/>
      <c r="BZ5" s="2458"/>
      <c r="CA5" s="2458"/>
      <c r="CB5" s="2458"/>
      <c r="CC5" s="2458"/>
      <c r="CD5" s="2458"/>
      <c r="CE5" s="2458"/>
      <c r="CF5" s="2458"/>
      <c r="CG5" s="2458"/>
      <c r="CH5" s="2458"/>
      <c r="CI5" s="2458"/>
      <c r="CJ5" s="2458"/>
      <c r="CK5" s="2458"/>
      <c r="CL5" s="2458"/>
      <c r="CM5" s="2458"/>
      <c r="CN5" s="2458"/>
      <c r="CO5" s="2458"/>
      <c r="CP5" s="2458"/>
      <c r="CQ5" s="2458"/>
      <c r="CR5" s="2458"/>
      <c r="CS5" s="2458"/>
      <c r="CT5" s="2458"/>
      <c r="CU5" s="2458"/>
      <c r="CV5" s="2458"/>
      <c r="CW5" s="2458"/>
      <c r="CX5" s="2458"/>
      <c r="CY5" s="2458"/>
      <c r="CZ5" s="2458"/>
      <c r="DA5" s="2458"/>
      <c r="DB5" s="2458"/>
      <c r="DC5" s="2458"/>
      <c r="DD5" s="2458"/>
      <c r="DE5" s="2458"/>
      <c r="DF5" s="2458"/>
      <c r="DG5" s="2458"/>
      <c r="DH5" s="2458"/>
      <c r="DI5" s="2458"/>
      <c r="DJ5" s="2458"/>
      <c r="DK5" s="2458"/>
      <c r="DL5" s="2458"/>
      <c r="DM5" s="2458"/>
      <c r="DN5" s="2458"/>
      <c r="DO5" s="2458"/>
      <c r="DP5" s="2458"/>
      <c r="DQ5" s="2458"/>
      <c r="DR5" s="2458"/>
      <c r="DS5" s="2458"/>
      <c r="DT5" s="2458"/>
      <c r="DU5" s="2458"/>
      <c r="DV5" s="2458"/>
      <c r="DW5" s="2458"/>
      <c r="DX5" s="2458"/>
      <c r="DY5" s="2458"/>
      <c r="DZ5" s="2458"/>
      <c r="EA5" s="2458"/>
      <c r="EB5" s="2458"/>
      <c r="EC5" s="2458"/>
      <c r="ED5" s="2458"/>
      <c r="EE5" s="2458"/>
      <c r="EF5" s="2458"/>
      <c r="EG5" s="2458"/>
      <c r="EH5" s="2458"/>
      <c r="EI5" s="2458"/>
      <c r="EJ5" s="2458"/>
      <c r="EK5" s="2458"/>
      <c r="EL5" s="2458"/>
      <c r="EM5" s="2458"/>
      <c r="EN5" s="2458"/>
      <c r="EO5" s="2458"/>
      <c r="EP5" s="2458"/>
      <c r="EQ5" s="2458"/>
      <c r="ER5" s="2458"/>
      <c r="ES5" s="2458"/>
      <c r="ET5" s="2458"/>
      <c r="EU5" s="2458"/>
      <c r="EV5" s="2458"/>
      <c r="EW5" s="2458"/>
      <c r="EX5" s="2458"/>
      <c r="EY5" s="2458"/>
      <c r="EZ5" s="2458"/>
      <c r="FA5" s="2458"/>
      <c r="FB5" s="2458"/>
      <c r="FC5" s="2458"/>
      <c r="FD5" s="2458"/>
      <c r="FE5" s="2458"/>
      <c r="FF5" s="2458"/>
      <c r="FG5" s="2458"/>
      <c r="FH5" s="2458"/>
      <c r="FI5" s="2458"/>
      <c r="FJ5" s="2458"/>
      <c r="FK5" s="2458"/>
      <c r="FL5" s="2458"/>
      <c r="FM5" s="2458"/>
      <c r="FN5" s="2458"/>
      <c r="FO5" s="2458"/>
      <c r="FP5" s="2458"/>
      <c r="FQ5" s="2458"/>
      <c r="FR5" s="2458"/>
      <c r="FS5" s="2458"/>
      <c r="FT5" s="2458"/>
      <c r="FU5" s="2458"/>
      <c r="FV5" s="2458"/>
      <c r="FW5" s="2458"/>
      <c r="FX5" s="2458"/>
      <c r="FY5" s="2458"/>
      <c r="FZ5" s="2458"/>
      <c r="GA5" s="2458"/>
      <c r="GB5" s="2458"/>
      <c r="GC5" s="2458"/>
      <c r="GD5" s="2458"/>
      <c r="GE5" s="2458"/>
      <c r="GF5" s="2458"/>
      <c r="GG5" s="2458"/>
      <c r="GH5" s="2458"/>
      <c r="GI5" s="2458"/>
      <c r="GJ5" s="2458"/>
      <c r="GK5" s="2458"/>
      <c r="GL5" s="2458"/>
      <c r="GM5" s="2458"/>
      <c r="GN5" s="2458"/>
      <c r="GO5" s="2458"/>
      <c r="GP5" s="2458"/>
      <c r="GQ5" s="2458"/>
      <c r="GR5" s="2458"/>
      <c r="GS5" s="2458"/>
      <c r="GT5" s="2458"/>
      <c r="GU5" s="2458"/>
      <c r="GV5" s="2458"/>
      <c r="GW5" s="2458"/>
      <c r="GX5" s="2458"/>
      <c r="GY5" s="2458"/>
      <c r="GZ5" s="2458"/>
      <c r="HA5" s="2458"/>
      <c r="HB5" s="2458"/>
      <c r="HC5" s="2458"/>
      <c r="HD5" s="2458"/>
      <c r="HE5" s="2458"/>
      <c r="HF5" s="2458"/>
      <c r="HG5" s="2458"/>
      <c r="HH5" s="2458"/>
      <c r="HI5" s="2458"/>
      <c r="HJ5" s="2458"/>
      <c r="HK5" s="2458"/>
      <c r="HL5" s="2458"/>
      <c r="HM5" s="2458"/>
      <c r="HN5" s="2458"/>
      <c r="HO5" s="2458"/>
      <c r="HP5" s="2458"/>
      <c r="HQ5" s="2458"/>
      <c r="HR5" s="2458"/>
      <c r="HS5" s="2458"/>
      <c r="HT5" s="2458"/>
      <c r="HU5" s="2458"/>
      <c r="HV5" s="2458"/>
      <c r="HW5" s="2458"/>
      <c r="HX5" s="2458"/>
      <c r="HY5" s="2458"/>
      <c r="HZ5" s="2458"/>
      <c r="IA5" s="2458"/>
      <c r="IB5" s="2458"/>
      <c r="IC5" s="2458"/>
      <c r="ID5" s="2458"/>
      <c r="IE5" s="2458"/>
      <c r="IF5" s="2458"/>
      <c r="IG5" s="2458"/>
      <c r="IH5" s="2458"/>
      <c r="II5" s="2458"/>
      <c r="IJ5" s="2458"/>
      <c r="IK5" s="2458"/>
      <c r="IL5" s="2458"/>
      <c r="IM5" s="2458"/>
      <c r="IN5" s="2458"/>
      <c r="IO5" s="2458"/>
      <c r="IP5" s="2458"/>
      <c r="IQ5" s="2458"/>
      <c r="IR5" s="2458"/>
      <c r="IS5" s="2458"/>
      <c r="IT5" s="2458"/>
      <c r="IU5" s="2458"/>
      <c r="IV5" s="2458"/>
    </row>
    <row r="6" spans="1:256">
      <c r="A6" s="2452">
        <f t="shared" ref="A6:A33" si="0">A5+1</f>
        <v>3</v>
      </c>
      <c r="B6" s="2453"/>
      <c r="C6" s="2453"/>
      <c r="D6" s="2456" t="str">
        <f t="shared" ref="D6:D33" si="1">IF(ISBLANK(B6)," ",(B6-B5)/(C6/100))</f>
        <v xml:space="preserve"> </v>
      </c>
      <c r="E6" s="2456"/>
      <c r="F6" s="2455">
        <f t="shared" ref="F6:F33" si="2">F5+1</f>
        <v>33</v>
      </c>
      <c r="G6" s="2453"/>
      <c r="H6" s="2453"/>
      <c r="I6" s="2456" t="str">
        <f t="shared" ref="I6:I33" si="3">IF(ISBLANK(G6)," ",((G6-G5)/(H6/100)))</f>
        <v xml:space="preserve"> </v>
      </c>
      <c r="J6" s="2456" t="str">
        <f>IF(ISBLANK(G6), "", (I4+I5+I6+D30+D31+D32+D33)/7)</f>
        <v/>
      </c>
      <c r="K6" s="2452">
        <f t="shared" ref="K6:K33" si="4">K5+1</f>
        <v>63</v>
      </c>
      <c r="L6" s="2453"/>
      <c r="M6" s="2453"/>
      <c r="N6" s="2456" t="str">
        <f t="shared" ref="N6:N27" si="5">IF(ISBLANK(L6)," ",((L6-L5)/(M6/100)))</f>
        <v xml:space="preserve"> </v>
      </c>
      <c r="O6" s="2456" t="str">
        <f>IF(ISBLANK(L6), "", (N4+N5+N6+I30+I31+I32+I33)/7)</f>
        <v/>
      </c>
      <c r="P6" s="2452">
        <f t="shared" ref="P6:P33" si="6">P5+1</f>
        <v>93</v>
      </c>
      <c r="Q6" s="2453"/>
      <c r="R6" s="2453"/>
      <c r="S6" s="2456" t="str">
        <f t="shared" ref="S6:S33" si="7">IF(ISBLANK(Q6)," ",(Q6-Q5)/(R6/100))</f>
        <v xml:space="preserve"> </v>
      </c>
      <c r="T6" s="2456" t="str">
        <f>IF(ISBLANK(Q6), "",AVERAGE(S4:S6:N30:N33))</f>
        <v/>
      </c>
      <c r="U6" s="2455">
        <f t="shared" ref="U6:U33" si="8">U5+1</f>
        <v>123</v>
      </c>
      <c r="V6" s="2453"/>
      <c r="W6" s="2453"/>
      <c r="X6" s="2456" t="str">
        <f t="shared" ref="X6:X33" si="9">IF(ISBLANK(V6)," ",((V6-V5)/(W6/100)))</f>
        <v xml:space="preserve"> </v>
      </c>
      <c r="Y6" s="2456" t="str">
        <f>IF(ISBLANK(V6), "",AVERAGE(X4:X6:S30:S33))</f>
        <v/>
      </c>
      <c r="Z6" s="2452">
        <f t="shared" ref="Z6:Z33" si="10">Z5+1</f>
        <v>153</v>
      </c>
      <c r="AA6" s="2453"/>
      <c r="AB6" s="2453"/>
      <c r="AC6" s="2456" t="str">
        <f t="shared" ref="AC6:AC33" si="11">IF(ISBLANK(AA6)," ",((AA6-AA5)/(AB6/100)))</f>
        <v xml:space="preserve"> </v>
      </c>
      <c r="AD6" s="2456" t="str">
        <f>IF(ISBLANK(AA6), "",AVERAGE(AC4:AC6:X30:X33))</f>
        <v/>
      </c>
      <c r="AE6" s="2457"/>
      <c r="AF6" s="2457"/>
      <c r="AG6" s="2457"/>
      <c r="AH6" s="2457"/>
      <c r="AI6" s="2457"/>
      <c r="AJ6" s="2457"/>
      <c r="AK6" s="2457"/>
      <c r="AL6" s="2457"/>
      <c r="AM6" s="2457"/>
      <c r="AN6" s="2457"/>
      <c r="AO6" s="2457"/>
      <c r="AP6" s="2457"/>
      <c r="AQ6" s="2457"/>
      <c r="AR6" s="2457"/>
      <c r="AS6" s="2457"/>
      <c r="AT6" s="2457"/>
      <c r="AU6" s="2457"/>
      <c r="AV6" s="2457"/>
      <c r="AW6" s="2457"/>
      <c r="AX6" s="2457"/>
      <c r="AY6" s="2457"/>
      <c r="AZ6" s="2457"/>
      <c r="BA6" s="2457"/>
      <c r="BB6" s="2457"/>
      <c r="BC6" s="2457"/>
      <c r="BD6" s="2457"/>
      <c r="BE6" s="2457"/>
      <c r="BF6" s="2457"/>
      <c r="BG6" s="2457"/>
      <c r="BH6" s="2457"/>
      <c r="BI6" s="2458"/>
      <c r="BJ6" s="2458"/>
      <c r="BK6" s="2458"/>
      <c r="BL6" s="2458"/>
      <c r="BM6" s="2458"/>
      <c r="BN6" s="2458"/>
      <c r="BO6" s="2458"/>
      <c r="BP6" s="2458"/>
      <c r="BQ6" s="2458"/>
      <c r="BR6" s="2458"/>
      <c r="BS6" s="2458"/>
      <c r="BT6" s="2458"/>
      <c r="BU6" s="2458"/>
      <c r="BV6" s="2458"/>
      <c r="BW6" s="2458"/>
      <c r="BX6" s="2458"/>
      <c r="BY6" s="2458"/>
      <c r="BZ6" s="2458"/>
      <c r="CA6" s="2458"/>
      <c r="CB6" s="2458"/>
      <c r="CC6" s="2458"/>
      <c r="CD6" s="2458"/>
      <c r="CE6" s="2458"/>
      <c r="CF6" s="2458"/>
      <c r="CG6" s="2458"/>
      <c r="CH6" s="2458"/>
      <c r="CI6" s="2458"/>
      <c r="CJ6" s="2458"/>
      <c r="CK6" s="2458"/>
      <c r="CL6" s="2458"/>
      <c r="CM6" s="2458"/>
      <c r="CN6" s="2458"/>
      <c r="CO6" s="2458"/>
      <c r="CP6" s="2458"/>
      <c r="CQ6" s="2458"/>
      <c r="CR6" s="2458"/>
      <c r="CS6" s="2458"/>
      <c r="CT6" s="2458"/>
      <c r="CU6" s="2458"/>
      <c r="CV6" s="2458"/>
      <c r="CW6" s="2458"/>
      <c r="CX6" s="2458"/>
      <c r="CY6" s="2458"/>
      <c r="CZ6" s="2458"/>
      <c r="DA6" s="2458"/>
      <c r="DB6" s="2458"/>
      <c r="DC6" s="2458"/>
      <c r="DD6" s="2458"/>
      <c r="DE6" s="2458"/>
      <c r="DF6" s="2458"/>
      <c r="DG6" s="2458"/>
      <c r="DH6" s="2458"/>
      <c r="DI6" s="2458"/>
      <c r="DJ6" s="2458"/>
      <c r="DK6" s="2458"/>
      <c r="DL6" s="2458"/>
      <c r="DM6" s="2458"/>
      <c r="DN6" s="2458"/>
      <c r="DO6" s="2458"/>
      <c r="DP6" s="2458"/>
      <c r="DQ6" s="2458"/>
      <c r="DR6" s="2458"/>
      <c r="DS6" s="2458"/>
      <c r="DT6" s="2458"/>
      <c r="DU6" s="2458"/>
      <c r="DV6" s="2458"/>
      <c r="DW6" s="2458"/>
      <c r="DX6" s="2458"/>
      <c r="DY6" s="2458"/>
      <c r="DZ6" s="2458"/>
      <c r="EA6" s="2458"/>
      <c r="EB6" s="2458"/>
      <c r="EC6" s="2458"/>
      <c r="ED6" s="2458"/>
      <c r="EE6" s="2458"/>
      <c r="EF6" s="2458"/>
      <c r="EG6" s="2458"/>
      <c r="EH6" s="2458"/>
      <c r="EI6" s="2458"/>
      <c r="EJ6" s="2458"/>
      <c r="EK6" s="2458"/>
      <c r="EL6" s="2458"/>
      <c r="EM6" s="2458"/>
      <c r="EN6" s="2458"/>
      <c r="EO6" s="2458"/>
      <c r="EP6" s="2458"/>
      <c r="EQ6" s="2458"/>
      <c r="ER6" s="2458"/>
      <c r="ES6" s="2458"/>
      <c r="ET6" s="2458"/>
      <c r="EU6" s="2458"/>
      <c r="EV6" s="2458"/>
      <c r="EW6" s="2458"/>
      <c r="EX6" s="2458"/>
      <c r="EY6" s="2458"/>
      <c r="EZ6" s="2458"/>
      <c r="FA6" s="2458"/>
      <c r="FB6" s="2458"/>
      <c r="FC6" s="2458"/>
      <c r="FD6" s="2458"/>
      <c r="FE6" s="2458"/>
      <c r="FF6" s="2458"/>
      <c r="FG6" s="2458"/>
      <c r="FH6" s="2458"/>
      <c r="FI6" s="2458"/>
      <c r="FJ6" s="2458"/>
      <c r="FK6" s="2458"/>
      <c r="FL6" s="2458"/>
      <c r="FM6" s="2458"/>
      <c r="FN6" s="2458"/>
      <c r="FO6" s="2458"/>
      <c r="FP6" s="2458"/>
      <c r="FQ6" s="2458"/>
      <c r="FR6" s="2458"/>
      <c r="FS6" s="2458"/>
      <c r="FT6" s="2458"/>
      <c r="FU6" s="2458"/>
      <c r="FV6" s="2458"/>
      <c r="FW6" s="2458"/>
      <c r="FX6" s="2458"/>
      <c r="FY6" s="2458"/>
      <c r="FZ6" s="2458"/>
      <c r="GA6" s="2458"/>
      <c r="GB6" s="2458"/>
      <c r="GC6" s="2458"/>
      <c r="GD6" s="2458"/>
      <c r="GE6" s="2458"/>
      <c r="GF6" s="2458"/>
      <c r="GG6" s="2458"/>
      <c r="GH6" s="2458"/>
      <c r="GI6" s="2458"/>
      <c r="GJ6" s="2458"/>
      <c r="GK6" s="2458"/>
      <c r="GL6" s="2458"/>
      <c r="GM6" s="2458"/>
      <c r="GN6" s="2458"/>
      <c r="GO6" s="2458"/>
      <c r="GP6" s="2458"/>
      <c r="GQ6" s="2458"/>
      <c r="GR6" s="2458"/>
      <c r="GS6" s="2458"/>
      <c r="GT6" s="2458"/>
      <c r="GU6" s="2458"/>
      <c r="GV6" s="2458"/>
      <c r="GW6" s="2458"/>
      <c r="GX6" s="2458"/>
      <c r="GY6" s="2458"/>
      <c r="GZ6" s="2458"/>
      <c r="HA6" s="2458"/>
      <c r="HB6" s="2458"/>
      <c r="HC6" s="2458"/>
      <c r="HD6" s="2458"/>
      <c r="HE6" s="2458"/>
      <c r="HF6" s="2458"/>
      <c r="HG6" s="2458"/>
      <c r="HH6" s="2458"/>
      <c r="HI6" s="2458"/>
      <c r="HJ6" s="2458"/>
      <c r="HK6" s="2458"/>
      <c r="HL6" s="2458"/>
      <c r="HM6" s="2458"/>
      <c r="HN6" s="2458"/>
      <c r="HO6" s="2458"/>
      <c r="HP6" s="2458"/>
      <c r="HQ6" s="2458"/>
      <c r="HR6" s="2458"/>
      <c r="HS6" s="2458"/>
      <c r="HT6" s="2458"/>
      <c r="HU6" s="2458"/>
      <c r="HV6" s="2458"/>
      <c r="HW6" s="2458"/>
      <c r="HX6" s="2458"/>
      <c r="HY6" s="2458"/>
      <c r="HZ6" s="2458"/>
      <c r="IA6" s="2458"/>
      <c r="IB6" s="2458"/>
      <c r="IC6" s="2458"/>
      <c r="ID6" s="2458"/>
      <c r="IE6" s="2458"/>
      <c r="IF6" s="2458"/>
      <c r="IG6" s="2458"/>
      <c r="IH6" s="2458"/>
      <c r="II6" s="2458"/>
      <c r="IJ6" s="2458"/>
      <c r="IK6" s="2458"/>
      <c r="IL6" s="2458"/>
      <c r="IM6" s="2458"/>
      <c r="IN6" s="2458"/>
      <c r="IO6" s="2458"/>
      <c r="IP6" s="2458"/>
      <c r="IQ6" s="2458"/>
      <c r="IR6" s="2458"/>
      <c r="IS6" s="2458"/>
      <c r="IT6" s="2458"/>
      <c r="IU6" s="2458"/>
      <c r="IV6" s="2458"/>
    </row>
    <row r="7" spans="1:256">
      <c r="A7" s="2452">
        <f t="shared" si="0"/>
        <v>4</v>
      </c>
      <c r="B7" s="2453"/>
      <c r="C7" s="2453"/>
      <c r="D7" s="2456" t="str">
        <f t="shared" si="1"/>
        <v xml:space="preserve"> </v>
      </c>
      <c r="E7" s="2456"/>
      <c r="F7" s="2455">
        <f t="shared" si="2"/>
        <v>34</v>
      </c>
      <c r="G7" s="2460"/>
      <c r="H7" s="2460"/>
      <c r="I7" s="2456" t="str">
        <f t="shared" si="3"/>
        <v xml:space="preserve"> </v>
      </c>
      <c r="J7" s="2456" t="str">
        <f>IF(ISBLANK(G7), "",(I5+I4+I6+I7+D31+D32+D33)/7)</f>
        <v/>
      </c>
      <c r="K7" s="2452">
        <f t="shared" si="4"/>
        <v>64</v>
      </c>
      <c r="L7" s="2460"/>
      <c r="M7" s="2460"/>
      <c r="N7" s="2456" t="str">
        <f t="shared" si="5"/>
        <v xml:space="preserve"> </v>
      </c>
      <c r="O7" s="2456" t="str">
        <f>IF(ISBLANK(L7), "",(N5+N4+N6+N7+I31+I32+I33)/7)</f>
        <v/>
      </c>
      <c r="P7" s="2452">
        <f t="shared" si="6"/>
        <v>94</v>
      </c>
      <c r="Q7" s="2453"/>
      <c r="R7" s="2453"/>
      <c r="S7" s="2456" t="str">
        <f t="shared" si="7"/>
        <v xml:space="preserve"> </v>
      </c>
      <c r="T7" s="2456" t="str">
        <f>IF(ISBLANK(Q7), "",AVERAGE(S4:S7:N31:N33))</f>
        <v/>
      </c>
      <c r="U7" s="2455">
        <f t="shared" si="8"/>
        <v>124</v>
      </c>
      <c r="V7" s="2453"/>
      <c r="W7" s="2453"/>
      <c r="X7" s="2456" t="str">
        <f t="shared" si="9"/>
        <v xml:space="preserve"> </v>
      </c>
      <c r="Y7" s="2456" t="str">
        <f>IF(ISBLANK(V7), "",AVERAGE(X4:X7:S31:S33))</f>
        <v/>
      </c>
      <c r="Z7" s="2452">
        <f t="shared" si="10"/>
        <v>154</v>
      </c>
      <c r="AA7" s="2453"/>
      <c r="AB7" s="2453"/>
      <c r="AC7" s="2456" t="str">
        <f t="shared" si="11"/>
        <v xml:space="preserve"> </v>
      </c>
      <c r="AD7" s="2456" t="str">
        <f>IF(ISBLANK(AA7), "",AVERAGE(AC4:AC7:X31:X33))</f>
        <v/>
      </c>
      <c r="AE7" s="2457"/>
      <c r="AF7" s="2457"/>
      <c r="AG7" s="2457"/>
      <c r="AH7" s="2457"/>
      <c r="AI7" s="2457"/>
      <c r="AJ7" s="2457"/>
      <c r="AK7" s="2457"/>
      <c r="AL7" s="2457"/>
      <c r="AM7" s="2457"/>
      <c r="AN7" s="2457"/>
      <c r="AO7" s="2457"/>
      <c r="AP7" s="2457"/>
      <c r="AQ7" s="2457"/>
      <c r="AR7" s="2457"/>
      <c r="AS7" s="2457"/>
      <c r="AT7" s="2457"/>
      <c r="AU7" s="2457"/>
      <c r="AV7" s="2457"/>
      <c r="AW7" s="2457"/>
      <c r="AX7" s="2457"/>
      <c r="AY7" s="2457"/>
      <c r="AZ7" s="2457"/>
      <c r="BA7" s="2457"/>
      <c r="BB7" s="2457"/>
      <c r="BC7" s="2457"/>
      <c r="BD7" s="2457"/>
      <c r="BE7" s="2457"/>
      <c r="BF7" s="2457"/>
      <c r="BG7" s="2457"/>
      <c r="BH7" s="2457"/>
      <c r="BI7" s="2458"/>
      <c r="BJ7" s="2458"/>
      <c r="BK7" s="2458"/>
      <c r="BL7" s="2458"/>
      <c r="BM7" s="2458"/>
      <c r="BN7" s="2458"/>
      <c r="BO7" s="2458"/>
      <c r="BP7" s="2458"/>
      <c r="BQ7" s="2458"/>
      <c r="BR7" s="2458"/>
      <c r="BS7" s="2458"/>
      <c r="BT7" s="2458"/>
      <c r="BU7" s="2458"/>
      <c r="BV7" s="2458"/>
      <c r="BW7" s="2458"/>
      <c r="BX7" s="2458"/>
      <c r="BY7" s="2458"/>
      <c r="BZ7" s="2458"/>
      <c r="CA7" s="2458"/>
      <c r="CB7" s="2458"/>
      <c r="CC7" s="2458"/>
      <c r="CD7" s="2458"/>
      <c r="CE7" s="2458"/>
      <c r="CF7" s="2458"/>
      <c r="CG7" s="2458"/>
      <c r="CH7" s="2458"/>
      <c r="CI7" s="2458"/>
      <c r="CJ7" s="2458"/>
      <c r="CK7" s="2458"/>
      <c r="CL7" s="2458"/>
      <c r="CM7" s="2458"/>
      <c r="CN7" s="2458"/>
      <c r="CO7" s="2458"/>
      <c r="CP7" s="2458"/>
      <c r="CQ7" s="2458"/>
      <c r="CR7" s="2458"/>
      <c r="CS7" s="2458"/>
      <c r="CT7" s="2458"/>
      <c r="CU7" s="2458"/>
      <c r="CV7" s="2458"/>
      <c r="CW7" s="2458"/>
      <c r="CX7" s="2458"/>
      <c r="CY7" s="2458"/>
      <c r="CZ7" s="2458"/>
      <c r="DA7" s="2458"/>
      <c r="DB7" s="2458"/>
      <c r="DC7" s="2458"/>
      <c r="DD7" s="2458"/>
      <c r="DE7" s="2458"/>
      <c r="DF7" s="2458"/>
      <c r="DG7" s="2458"/>
      <c r="DH7" s="2458"/>
      <c r="DI7" s="2458"/>
      <c r="DJ7" s="2458"/>
      <c r="DK7" s="2458"/>
      <c r="DL7" s="2458"/>
      <c r="DM7" s="2458"/>
      <c r="DN7" s="2458"/>
      <c r="DO7" s="2458"/>
      <c r="DP7" s="2458"/>
      <c r="DQ7" s="2458"/>
      <c r="DR7" s="2458"/>
      <c r="DS7" s="2458"/>
      <c r="DT7" s="2458"/>
      <c r="DU7" s="2458"/>
      <c r="DV7" s="2458"/>
      <c r="DW7" s="2458"/>
      <c r="DX7" s="2458"/>
      <c r="DY7" s="2458"/>
      <c r="DZ7" s="2458"/>
      <c r="EA7" s="2458"/>
      <c r="EB7" s="2458"/>
      <c r="EC7" s="2458"/>
      <c r="ED7" s="2458"/>
      <c r="EE7" s="2458"/>
      <c r="EF7" s="2458"/>
      <c r="EG7" s="2458"/>
      <c r="EH7" s="2458"/>
      <c r="EI7" s="2458"/>
      <c r="EJ7" s="2458"/>
      <c r="EK7" s="2458"/>
      <c r="EL7" s="2458"/>
      <c r="EM7" s="2458"/>
      <c r="EN7" s="2458"/>
      <c r="EO7" s="2458"/>
      <c r="EP7" s="2458"/>
      <c r="EQ7" s="2458"/>
      <c r="ER7" s="2458"/>
      <c r="ES7" s="2458"/>
      <c r="ET7" s="2458"/>
      <c r="EU7" s="2458"/>
      <c r="EV7" s="2458"/>
      <c r="EW7" s="2458"/>
      <c r="EX7" s="2458"/>
      <c r="EY7" s="2458"/>
      <c r="EZ7" s="2458"/>
      <c r="FA7" s="2458"/>
      <c r="FB7" s="2458"/>
      <c r="FC7" s="2458"/>
      <c r="FD7" s="2458"/>
      <c r="FE7" s="2458"/>
      <c r="FF7" s="2458"/>
      <c r="FG7" s="2458"/>
      <c r="FH7" s="2458"/>
      <c r="FI7" s="2458"/>
      <c r="FJ7" s="2458"/>
      <c r="FK7" s="2458"/>
      <c r="FL7" s="2458"/>
      <c r="FM7" s="2458"/>
      <c r="FN7" s="2458"/>
      <c r="FO7" s="2458"/>
      <c r="FP7" s="2458"/>
      <c r="FQ7" s="2458"/>
      <c r="FR7" s="2458"/>
      <c r="FS7" s="2458"/>
      <c r="FT7" s="2458"/>
      <c r="FU7" s="2458"/>
      <c r="FV7" s="2458"/>
      <c r="FW7" s="2458"/>
      <c r="FX7" s="2458"/>
      <c r="FY7" s="2458"/>
      <c r="FZ7" s="2458"/>
      <c r="GA7" s="2458"/>
      <c r="GB7" s="2458"/>
      <c r="GC7" s="2458"/>
      <c r="GD7" s="2458"/>
      <c r="GE7" s="2458"/>
      <c r="GF7" s="2458"/>
      <c r="GG7" s="2458"/>
      <c r="GH7" s="2458"/>
      <c r="GI7" s="2458"/>
      <c r="GJ7" s="2458"/>
      <c r="GK7" s="2458"/>
      <c r="GL7" s="2458"/>
      <c r="GM7" s="2458"/>
      <c r="GN7" s="2458"/>
      <c r="GO7" s="2458"/>
      <c r="GP7" s="2458"/>
      <c r="GQ7" s="2458"/>
      <c r="GR7" s="2458"/>
      <c r="GS7" s="2458"/>
      <c r="GT7" s="2458"/>
      <c r="GU7" s="2458"/>
      <c r="GV7" s="2458"/>
      <c r="GW7" s="2458"/>
      <c r="GX7" s="2458"/>
      <c r="GY7" s="2458"/>
      <c r="GZ7" s="2458"/>
      <c r="HA7" s="2458"/>
      <c r="HB7" s="2458"/>
      <c r="HC7" s="2458"/>
      <c r="HD7" s="2458"/>
      <c r="HE7" s="2458"/>
      <c r="HF7" s="2458"/>
      <c r="HG7" s="2458"/>
      <c r="HH7" s="2458"/>
      <c r="HI7" s="2458"/>
      <c r="HJ7" s="2458"/>
      <c r="HK7" s="2458"/>
      <c r="HL7" s="2458"/>
      <c r="HM7" s="2458"/>
      <c r="HN7" s="2458"/>
      <c r="HO7" s="2458"/>
      <c r="HP7" s="2458"/>
      <c r="HQ7" s="2458"/>
      <c r="HR7" s="2458"/>
      <c r="HS7" s="2458"/>
      <c r="HT7" s="2458"/>
      <c r="HU7" s="2458"/>
      <c r="HV7" s="2458"/>
      <c r="HW7" s="2458"/>
      <c r="HX7" s="2458"/>
      <c r="HY7" s="2458"/>
      <c r="HZ7" s="2458"/>
      <c r="IA7" s="2458"/>
      <c r="IB7" s="2458"/>
      <c r="IC7" s="2458"/>
      <c r="ID7" s="2458"/>
      <c r="IE7" s="2458"/>
      <c r="IF7" s="2458"/>
      <c r="IG7" s="2458"/>
      <c r="IH7" s="2458"/>
      <c r="II7" s="2458"/>
      <c r="IJ7" s="2458"/>
      <c r="IK7" s="2458"/>
      <c r="IL7" s="2458"/>
      <c r="IM7" s="2458"/>
      <c r="IN7" s="2458"/>
      <c r="IO7" s="2458"/>
      <c r="IP7" s="2458"/>
      <c r="IQ7" s="2458"/>
      <c r="IR7" s="2458"/>
      <c r="IS7" s="2458"/>
      <c r="IT7" s="2458"/>
      <c r="IU7" s="2458"/>
      <c r="IV7" s="2458"/>
    </row>
    <row r="8" spans="1:256">
      <c r="A8" s="2452">
        <f t="shared" si="0"/>
        <v>5</v>
      </c>
      <c r="B8" s="2453"/>
      <c r="C8" s="2453"/>
      <c r="D8" s="2456" t="str">
        <f t="shared" si="1"/>
        <v xml:space="preserve"> </v>
      </c>
      <c r="E8" s="2456"/>
      <c r="F8" s="2455">
        <f t="shared" si="2"/>
        <v>35</v>
      </c>
      <c r="G8" s="2453"/>
      <c r="H8" s="2453"/>
      <c r="I8" s="2456" t="str">
        <f t="shared" si="3"/>
        <v xml:space="preserve"> </v>
      </c>
      <c r="J8" s="2456" t="str">
        <f>IF(ISBLANK(G8), "", (I5+I4+I6+I7+I8+D32+D33)/7)</f>
        <v/>
      </c>
      <c r="K8" s="2452">
        <f t="shared" si="4"/>
        <v>65</v>
      </c>
      <c r="L8" s="2453"/>
      <c r="M8" s="2460"/>
      <c r="N8" s="2456" t="str">
        <f t="shared" si="5"/>
        <v xml:space="preserve"> </v>
      </c>
      <c r="O8" s="2456" t="str">
        <f>IF(ISBLANK(L8), "", (N5+N4+N6+N7+N8+I32+I33)/7)</f>
        <v/>
      </c>
      <c r="P8" s="2452">
        <f t="shared" si="6"/>
        <v>95</v>
      </c>
      <c r="Q8" s="2453"/>
      <c r="R8" s="2453"/>
      <c r="S8" s="2456" t="str">
        <f t="shared" si="7"/>
        <v xml:space="preserve"> </v>
      </c>
      <c r="T8" s="2456" t="str">
        <f>IF(ISBLANK(Q8), "",AVERAGE(N32:N33,S4:S8))</f>
        <v/>
      </c>
      <c r="U8" s="2455">
        <f t="shared" si="8"/>
        <v>125</v>
      </c>
      <c r="V8" s="2453"/>
      <c r="W8" s="2453"/>
      <c r="X8" s="2456" t="str">
        <f t="shared" si="9"/>
        <v xml:space="preserve"> </v>
      </c>
      <c r="Y8" s="2456" t="str">
        <f>IF(ISBLANK(V8), "",AVERAGE(S32:S33,X4:X8))</f>
        <v/>
      </c>
      <c r="Z8" s="2452">
        <f t="shared" si="10"/>
        <v>155</v>
      </c>
      <c r="AA8" s="2453"/>
      <c r="AB8" s="2453"/>
      <c r="AC8" s="2456" t="str">
        <f t="shared" si="11"/>
        <v xml:space="preserve"> </v>
      </c>
      <c r="AD8" s="2456" t="str">
        <f>IF(ISBLANK(AA8), "",AVERAGE(X32:X33,AC4:AC8))</f>
        <v/>
      </c>
      <c r="AE8" s="2457"/>
      <c r="AF8" s="2457"/>
      <c r="AG8" s="2457"/>
      <c r="AH8" s="2457"/>
      <c r="AI8" s="2457"/>
      <c r="AJ8" s="2457"/>
      <c r="AK8" s="2457"/>
      <c r="AL8" s="2457"/>
      <c r="AM8" s="2457"/>
      <c r="AN8" s="2457"/>
      <c r="AO8" s="2457"/>
      <c r="AP8" s="2457"/>
      <c r="AQ8" s="2457"/>
      <c r="AR8" s="2457"/>
      <c r="AS8" s="2457"/>
      <c r="AT8" s="2457"/>
      <c r="AU8" s="2457"/>
      <c r="AV8" s="2457"/>
      <c r="AW8" s="2457"/>
      <c r="AX8" s="2457"/>
      <c r="AY8" s="2457"/>
      <c r="AZ8" s="2457"/>
      <c r="BA8" s="2457"/>
      <c r="BB8" s="2457"/>
      <c r="BC8" s="2457"/>
      <c r="BD8" s="2457"/>
      <c r="BE8" s="2457"/>
      <c r="BF8" s="2457"/>
      <c r="BG8" s="2457"/>
      <c r="BH8" s="2457"/>
      <c r="BI8" s="2458"/>
      <c r="BJ8" s="2458"/>
      <c r="BK8" s="2458"/>
      <c r="BL8" s="2458"/>
      <c r="BM8" s="2458"/>
      <c r="BN8" s="2458"/>
      <c r="BO8" s="2458"/>
      <c r="BP8" s="2458"/>
      <c r="BQ8" s="2458"/>
      <c r="BR8" s="2458"/>
      <c r="BS8" s="2458"/>
      <c r="BT8" s="2458"/>
      <c r="BU8" s="2458"/>
      <c r="BV8" s="2458"/>
      <c r="BW8" s="2458"/>
      <c r="BX8" s="2458"/>
      <c r="BY8" s="2458"/>
      <c r="BZ8" s="2458"/>
      <c r="CA8" s="2458"/>
      <c r="CB8" s="2458"/>
      <c r="CC8" s="2458"/>
      <c r="CD8" s="2458"/>
      <c r="CE8" s="2458"/>
      <c r="CF8" s="2458"/>
      <c r="CG8" s="2458"/>
      <c r="CH8" s="2458"/>
      <c r="CI8" s="2458"/>
      <c r="CJ8" s="2458"/>
      <c r="CK8" s="2458"/>
      <c r="CL8" s="2458"/>
      <c r="CM8" s="2458"/>
      <c r="CN8" s="2458"/>
      <c r="CO8" s="2458"/>
      <c r="CP8" s="2458"/>
      <c r="CQ8" s="2458"/>
      <c r="CR8" s="2458"/>
      <c r="CS8" s="2458"/>
      <c r="CT8" s="2458"/>
      <c r="CU8" s="2458"/>
      <c r="CV8" s="2458"/>
      <c r="CW8" s="2458"/>
      <c r="CX8" s="2458"/>
      <c r="CY8" s="2458"/>
      <c r="CZ8" s="2458"/>
      <c r="DA8" s="2458"/>
      <c r="DB8" s="2458"/>
      <c r="DC8" s="2458"/>
      <c r="DD8" s="2458"/>
      <c r="DE8" s="2458"/>
      <c r="DF8" s="2458"/>
      <c r="DG8" s="2458"/>
      <c r="DH8" s="2458"/>
      <c r="DI8" s="2458"/>
      <c r="DJ8" s="2458"/>
      <c r="DK8" s="2458"/>
      <c r="DL8" s="2458"/>
      <c r="DM8" s="2458"/>
      <c r="DN8" s="2458"/>
      <c r="DO8" s="2458"/>
      <c r="DP8" s="2458"/>
      <c r="DQ8" s="2458"/>
      <c r="DR8" s="2458"/>
      <c r="DS8" s="2458"/>
      <c r="DT8" s="2458"/>
      <c r="DU8" s="2458"/>
      <c r="DV8" s="2458"/>
      <c r="DW8" s="2458"/>
      <c r="DX8" s="2458"/>
      <c r="DY8" s="2458"/>
      <c r="DZ8" s="2458"/>
      <c r="EA8" s="2458"/>
      <c r="EB8" s="2458"/>
      <c r="EC8" s="2458"/>
      <c r="ED8" s="2458"/>
      <c r="EE8" s="2458"/>
      <c r="EF8" s="2458"/>
      <c r="EG8" s="2458"/>
      <c r="EH8" s="2458"/>
      <c r="EI8" s="2458"/>
      <c r="EJ8" s="2458"/>
      <c r="EK8" s="2458"/>
      <c r="EL8" s="2458"/>
      <c r="EM8" s="2458"/>
      <c r="EN8" s="2458"/>
      <c r="EO8" s="2458"/>
      <c r="EP8" s="2458"/>
      <c r="EQ8" s="2458"/>
      <c r="ER8" s="2458"/>
      <c r="ES8" s="2458"/>
      <c r="ET8" s="2458"/>
      <c r="EU8" s="2458"/>
      <c r="EV8" s="2458"/>
      <c r="EW8" s="2458"/>
      <c r="EX8" s="2458"/>
      <c r="EY8" s="2458"/>
      <c r="EZ8" s="2458"/>
      <c r="FA8" s="2458"/>
      <c r="FB8" s="2458"/>
      <c r="FC8" s="2458"/>
      <c r="FD8" s="2458"/>
      <c r="FE8" s="2458"/>
      <c r="FF8" s="2458"/>
      <c r="FG8" s="2458"/>
      <c r="FH8" s="2458"/>
      <c r="FI8" s="2458"/>
      <c r="FJ8" s="2458"/>
      <c r="FK8" s="2458"/>
      <c r="FL8" s="2458"/>
      <c r="FM8" s="2458"/>
      <c r="FN8" s="2458"/>
      <c r="FO8" s="2458"/>
      <c r="FP8" s="2458"/>
      <c r="FQ8" s="2458"/>
      <c r="FR8" s="2458"/>
      <c r="FS8" s="2458"/>
      <c r="FT8" s="2458"/>
      <c r="FU8" s="2458"/>
      <c r="FV8" s="2458"/>
      <c r="FW8" s="2458"/>
      <c r="FX8" s="2458"/>
      <c r="FY8" s="2458"/>
      <c r="FZ8" s="2458"/>
      <c r="GA8" s="2458"/>
      <c r="GB8" s="2458"/>
      <c r="GC8" s="2458"/>
      <c r="GD8" s="2458"/>
      <c r="GE8" s="2458"/>
      <c r="GF8" s="2458"/>
      <c r="GG8" s="2458"/>
      <c r="GH8" s="2458"/>
      <c r="GI8" s="2458"/>
      <c r="GJ8" s="2458"/>
      <c r="GK8" s="2458"/>
      <c r="GL8" s="2458"/>
      <c r="GM8" s="2458"/>
      <c r="GN8" s="2458"/>
      <c r="GO8" s="2458"/>
      <c r="GP8" s="2458"/>
      <c r="GQ8" s="2458"/>
      <c r="GR8" s="2458"/>
      <c r="GS8" s="2458"/>
      <c r="GT8" s="2458"/>
      <c r="GU8" s="2458"/>
      <c r="GV8" s="2458"/>
      <c r="GW8" s="2458"/>
      <c r="GX8" s="2458"/>
      <c r="GY8" s="2458"/>
      <c r="GZ8" s="2458"/>
      <c r="HA8" s="2458"/>
      <c r="HB8" s="2458"/>
      <c r="HC8" s="2458"/>
      <c r="HD8" s="2458"/>
      <c r="HE8" s="2458"/>
      <c r="HF8" s="2458"/>
      <c r="HG8" s="2458"/>
      <c r="HH8" s="2458"/>
      <c r="HI8" s="2458"/>
      <c r="HJ8" s="2458"/>
      <c r="HK8" s="2458"/>
      <c r="HL8" s="2458"/>
      <c r="HM8" s="2458"/>
      <c r="HN8" s="2458"/>
      <c r="HO8" s="2458"/>
      <c r="HP8" s="2458"/>
      <c r="HQ8" s="2458"/>
      <c r="HR8" s="2458"/>
      <c r="HS8" s="2458"/>
      <c r="HT8" s="2458"/>
      <c r="HU8" s="2458"/>
      <c r="HV8" s="2458"/>
      <c r="HW8" s="2458"/>
      <c r="HX8" s="2458"/>
      <c r="HY8" s="2458"/>
      <c r="HZ8" s="2458"/>
      <c r="IA8" s="2458"/>
      <c r="IB8" s="2458"/>
      <c r="IC8" s="2458"/>
      <c r="ID8" s="2458"/>
      <c r="IE8" s="2458"/>
      <c r="IF8" s="2458"/>
      <c r="IG8" s="2458"/>
      <c r="IH8" s="2458"/>
      <c r="II8" s="2458"/>
      <c r="IJ8" s="2458"/>
      <c r="IK8" s="2458"/>
      <c r="IL8" s="2458"/>
      <c r="IM8" s="2458"/>
      <c r="IN8" s="2458"/>
      <c r="IO8" s="2458"/>
      <c r="IP8" s="2458"/>
      <c r="IQ8" s="2458"/>
      <c r="IR8" s="2458"/>
      <c r="IS8" s="2458"/>
      <c r="IT8" s="2458"/>
      <c r="IU8" s="2458"/>
      <c r="IV8" s="2458"/>
    </row>
    <row r="9" spans="1:256">
      <c r="A9" s="2452">
        <f t="shared" si="0"/>
        <v>6</v>
      </c>
      <c r="B9" s="2453"/>
      <c r="C9" s="2453"/>
      <c r="D9" s="2456" t="str">
        <f t="shared" si="1"/>
        <v xml:space="preserve"> </v>
      </c>
      <c r="E9" s="2456"/>
      <c r="F9" s="2455">
        <f t="shared" si="2"/>
        <v>36</v>
      </c>
      <c r="G9" s="2453"/>
      <c r="H9" s="2453"/>
      <c r="I9" s="2456" t="str">
        <f t="shared" si="3"/>
        <v xml:space="preserve"> </v>
      </c>
      <c r="J9" s="2456" t="str">
        <f>IF(ISBLANK(G9), "",(I5+I4+I6+I7+I8+I9+D33)/7)</f>
        <v/>
      </c>
      <c r="K9" s="2452">
        <f t="shared" si="4"/>
        <v>66</v>
      </c>
      <c r="L9" s="2453"/>
      <c r="M9" s="2460"/>
      <c r="N9" s="2456" t="str">
        <f t="shared" si="5"/>
        <v xml:space="preserve"> </v>
      </c>
      <c r="O9" s="2456" t="str">
        <f>IF(ISBLANK(L9), "",(N5+N4+N6+N7+N8+N9+I33)/7)</f>
        <v/>
      </c>
      <c r="P9" s="2452">
        <f t="shared" si="6"/>
        <v>96</v>
      </c>
      <c r="Q9" s="2453"/>
      <c r="R9" s="2453"/>
      <c r="S9" s="2456" t="str">
        <f t="shared" si="7"/>
        <v xml:space="preserve"> </v>
      </c>
      <c r="T9" s="2456" t="str">
        <f>IF(ISBLANK(Q9), "",AVERAGE(S4:S9,N33))</f>
        <v/>
      </c>
      <c r="U9" s="2455">
        <f t="shared" si="8"/>
        <v>126</v>
      </c>
      <c r="V9" s="2453"/>
      <c r="W9" s="2453"/>
      <c r="X9" s="2456" t="str">
        <f t="shared" si="9"/>
        <v xml:space="preserve"> </v>
      </c>
      <c r="Y9" s="2456" t="str">
        <f>IF(ISBLANK(V9), "",AVERAGE(X4:X9,S33))</f>
        <v/>
      </c>
      <c r="Z9" s="2452">
        <f t="shared" si="10"/>
        <v>156</v>
      </c>
      <c r="AA9" s="2453"/>
      <c r="AB9" s="2453"/>
      <c r="AC9" s="2456" t="str">
        <f t="shared" si="11"/>
        <v xml:space="preserve"> </v>
      </c>
      <c r="AD9" s="2456" t="str">
        <f>IF(ISBLANK(AA9), "",AVERAGE(AC4:AC9,X33))</f>
        <v/>
      </c>
      <c r="AE9" s="2457"/>
      <c r="AF9" s="2457"/>
      <c r="AG9" s="2457"/>
      <c r="AH9" s="2457"/>
      <c r="AI9" s="2457"/>
      <c r="AJ9" s="2457"/>
      <c r="AK9" s="2457"/>
      <c r="AL9" s="2457"/>
      <c r="AM9" s="2457"/>
      <c r="AN9" s="2457"/>
      <c r="AO9" s="2457"/>
      <c r="AP9" s="2457"/>
      <c r="AQ9" s="2457"/>
      <c r="AR9" s="2457"/>
      <c r="AS9" s="2457"/>
      <c r="AT9" s="2457"/>
      <c r="AU9" s="2457"/>
      <c r="AV9" s="2457"/>
      <c r="AW9" s="2457"/>
      <c r="AX9" s="2457"/>
      <c r="AY9" s="2457"/>
      <c r="AZ9" s="2457"/>
      <c r="BA9" s="2457"/>
      <c r="BB9" s="2457"/>
      <c r="BC9" s="2457"/>
      <c r="BD9" s="2457"/>
      <c r="BE9" s="2457"/>
      <c r="BF9" s="2457"/>
      <c r="BG9" s="2457"/>
      <c r="BH9" s="2457"/>
      <c r="BI9" s="2458"/>
      <c r="BJ9" s="2458"/>
      <c r="BK9" s="2458"/>
      <c r="BL9" s="2458"/>
      <c r="BM9" s="2458"/>
      <c r="BN9" s="2458"/>
      <c r="BO9" s="2458"/>
      <c r="BP9" s="2458"/>
      <c r="BQ9" s="2458"/>
      <c r="BR9" s="2458"/>
      <c r="BS9" s="2458"/>
      <c r="BT9" s="2458"/>
      <c r="BU9" s="2458"/>
      <c r="BV9" s="2458"/>
      <c r="BW9" s="2458"/>
      <c r="BX9" s="2458"/>
      <c r="BY9" s="2458"/>
      <c r="BZ9" s="2458"/>
      <c r="CA9" s="2458"/>
      <c r="CB9" s="2458"/>
      <c r="CC9" s="2458"/>
      <c r="CD9" s="2458"/>
      <c r="CE9" s="2458"/>
      <c r="CF9" s="2458"/>
      <c r="CG9" s="2458"/>
      <c r="CH9" s="2458"/>
      <c r="CI9" s="2458"/>
      <c r="CJ9" s="2458"/>
      <c r="CK9" s="2458"/>
      <c r="CL9" s="2458"/>
      <c r="CM9" s="2458"/>
      <c r="CN9" s="2458"/>
      <c r="CO9" s="2458"/>
      <c r="CP9" s="2458"/>
      <c r="CQ9" s="2458"/>
      <c r="CR9" s="2458"/>
      <c r="CS9" s="2458"/>
      <c r="CT9" s="2458"/>
      <c r="CU9" s="2458"/>
      <c r="CV9" s="2458"/>
      <c r="CW9" s="2458"/>
      <c r="CX9" s="2458"/>
      <c r="CY9" s="2458"/>
      <c r="CZ9" s="2458"/>
      <c r="DA9" s="2458"/>
      <c r="DB9" s="2458"/>
      <c r="DC9" s="2458"/>
      <c r="DD9" s="2458"/>
      <c r="DE9" s="2458"/>
      <c r="DF9" s="2458"/>
      <c r="DG9" s="2458"/>
      <c r="DH9" s="2458"/>
      <c r="DI9" s="2458"/>
      <c r="DJ9" s="2458"/>
      <c r="DK9" s="2458"/>
      <c r="DL9" s="2458"/>
      <c r="DM9" s="2458"/>
      <c r="DN9" s="2458"/>
      <c r="DO9" s="2458"/>
      <c r="DP9" s="2458"/>
      <c r="DQ9" s="2458"/>
      <c r="DR9" s="2458"/>
      <c r="DS9" s="2458"/>
      <c r="DT9" s="2458"/>
      <c r="DU9" s="2458"/>
      <c r="DV9" s="2458"/>
      <c r="DW9" s="2458"/>
      <c r="DX9" s="2458"/>
      <c r="DY9" s="2458"/>
      <c r="DZ9" s="2458"/>
      <c r="EA9" s="2458"/>
      <c r="EB9" s="2458"/>
      <c r="EC9" s="2458"/>
      <c r="ED9" s="2458"/>
      <c r="EE9" s="2458"/>
      <c r="EF9" s="2458"/>
      <c r="EG9" s="2458"/>
      <c r="EH9" s="2458"/>
      <c r="EI9" s="2458"/>
      <c r="EJ9" s="2458"/>
      <c r="EK9" s="2458"/>
      <c r="EL9" s="2458"/>
      <c r="EM9" s="2458"/>
      <c r="EN9" s="2458"/>
      <c r="EO9" s="2458"/>
      <c r="EP9" s="2458"/>
      <c r="EQ9" s="2458"/>
      <c r="ER9" s="2458"/>
      <c r="ES9" s="2458"/>
      <c r="ET9" s="2458"/>
      <c r="EU9" s="2458"/>
      <c r="EV9" s="2458"/>
      <c r="EW9" s="2458"/>
      <c r="EX9" s="2458"/>
      <c r="EY9" s="2458"/>
      <c r="EZ9" s="2458"/>
      <c r="FA9" s="2458"/>
      <c r="FB9" s="2458"/>
      <c r="FC9" s="2458"/>
      <c r="FD9" s="2458"/>
      <c r="FE9" s="2458"/>
      <c r="FF9" s="2458"/>
      <c r="FG9" s="2458"/>
      <c r="FH9" s="2458"/>
      <c r="FI9" s="2458"/>
      <c r="FJ9" s="2458"/>
      <c r="FK9" s="2458"/>
      <c r="FL9" s="2458"/>
      <c r="FM9" s="2458"/>
      <c r="FN9" s="2458"/>
      <c r="FO9" s="2458"/>
      <c r="FP9" s="2458"/>
      <c r="FQ9" s="2458"/>
      <c r="FR9" s="2458"/>
      <c r="FS9" s="2458"/>
      <c r="FT9" s="2458"/>
      <c r="FU9" s="2458"/>
      <c r="FV9" s="2458"/>
      <c r="FW9" s="2458"/>
      <c r="FX9" s="2458"/>
      <c r="FY9" s="2458"/>
      <c r="FZ9" s="2458"/>
      <c r="GA9" s="2458"/>
      <c r="GB9" s="2458"/>
      <c r="GC9" s="2458"/>
      <c r="GD9" s="2458"/>
      <c r="GE9" s="2458"/>
      <c r="GF9" s="2458"/>
      <c r="GG9" s="2458"/>
      <c r="GH9" s="2458"/>
      <c r="GI9" s="2458"/>
      <c r="GJ9" s="2458"/>
      <c r="GK9" s="2458"/>
      <c r="GL9" s="2458"/>
      <c r="GM9" s="2458"/>
      <c r="GN9" s="2458"/>
      <c r="GO9" s="2458"/>
      <c r="GP9" s="2458"/>
      <c r="GQ9" s="2458"/>
      <c r="GR9" s="2458"/>
      <c r="GS9" s="2458"/>
      <c r="GT9" s="2458"/>
      <c r="GU9" s="2458"/>
      <c r="GV9" s="2458"/>
      <c r="GW9" s="2458"/>
      <c r="GX9" s="2458"/>
      <c r="GY9" s="2458"/>
      <c r="GZ9" s="2458"/>
      <c r="HA9" s="2458"/>
      <c r="HB9" s="2458"/>
      <c r="HC9" s="2458"/>
      <c r="HD9" s="2458"/>
      <c r="HE9" s="2458"/>
      <c r="HF9" s="2458"/>
      <c r="HG9" s="2458"/>
      <c r="HH9" s="2458"/>
      <c r="HI9" s="2458"/>
      <c r="HJ9" s="2458"/>
      <c r="HK9" s="2458"/>
      <c r="HL9" s="2458"/>
      <c r="HM9" s="2458"/>
      <c r="HN9" s="2458"/>
      <c r="HO9" s="2458"/>
      <c r="HP9" s="2458"/>
      <c r="HQ9" s="2458"/>
      <c r="HR9" s="2458"/>
      <c r="HS9" s="2458"/>
      <c r="HT9" s="2458"/>
      <c r="HU9" s="2458"/>
      <c r="HV9" s="2458"/>
      <c r="HW9" s="2458"/>
      <c r="HX9" s="2458"/>
      <c r="HY9" s="2458"/>
      <c r="HZ9" s="2458"/>
      <c r="IA9" s="2458"/>
      <c r="IB9" s="2458"/>
      <c r="IC9" s="2458"/>
      <c r="ID9" s="2458"/>
      <c r="IE9" s="2458"/>
      <c r="IF9" s="2458"/>
      <c r="IG9" s="2458"/>
      <c r="IH9" s="2458"/>
      <c r="II9" s="2458"/>
      <c r="IJ9" s="2458"/>
      <c r="IK9" s="2458"/>
      <c r="IL9" s="2458"/>
      <c r="IM9" s="2458"/>
      <c r="IN9" s="2458"/>
      <c r="IO9" s="2458"/>
      <c r="IP9" s="2458"/>
      <c r="IQ9" s="2458"/>
      <c r="IR9" s="2458"/>
      <c r="IS9" s="2458"/>
      <c r="IT9" s="2458"/>
      <c r="IU9" s="2458"/>
      <c r="IV9" s="2458"/>
    </row>
    <row r="10" spans="1:256">
      <c r="A10" s="2452">
        <f t="shared" si="0"/>
        <v>7</v>
      </c>
      <c r="B10" s="2453"/>
      <c r="C10" s="2453"/>
      <c r="D10" s="2456" t="str">
        <f t="shared" si="1"/>
        <v xml:space="preserve"> </v>
      </c>
      <c r="E10" s="2456"/>
      <c r="F10" s="2455">
        <f t="shared" si="2"/>
        <v>37</v>
      </c>
      <c r="G10" s="2453"/>
      <c r="H10" s="2453"/>
      <c r="I10" s="2456" t="str">
        <f t="shared" si="3"/>
        <v xml:space="preserve"> </v>
      </c>
      <c r="J10" s="2456" t="str">
        <f>IF(ISBLANK(G10), "",AVERAGE(I4:I10))</f>
        <v/>
      </c>
      <c r="K10" s="2452">
        <f t="shared" si="4"/>
        <v>67</v>
      </c>
      <c r="L10" s="2453"/>
      <c r="M10" s="2460"/>
      <c r="N10" s="2456" t="str">
        <f t="shared" si="5"/>
        <v xml:space="preserve"> </v>
      </c>
      <c r="O10" s="2456" t="str">
        <f>IF(ISBLANK(L10), "",AVERAGE(N4:N10))</f>
        <v/>
      </c>
      <c r="P10" s="2452">
        <f t="shared" si="6"/>
        <v>97</v>
      </c>
      <c r="Q10" s="2453"/>
      <c r="R10" s="2453"/>
      <c r="S10" s="2456" t="str">
        <f t="shared" si="7"/>
        <v xml:space="preserve"> </v>
      </c>
      <c r="T10" s="2456" t="str">
        <f t="shared" ref="T10:T33" si="12">IF(ISBLANK(Q10), "",AVERAGE(S4:S10))</f>
        <v/>
      </c>
      <c r="U10" s="2455">
        <f t="shared" si="8"/>
        <v>127</v>
      </c>
      <c r="V10" s="2453"/>
      <c r="W10" s="2453"/>
      <c r="X10" s="2456" t="str">
        <f t="shared" si="9"/>
        <v xml:space="preserve"> </v>
      </c>
      <c r="Y10" s="2456" t="str">
        <f>IF(ISBLANK(V10), "",AVERAGE(X4:X10))</f>
        <v/>
      </c>
      <c r="Z10" s="2452">
        <f t="shared" si="10"/>
        <v>157</v>
      </c>
      <c r="AA10" s="2453"/>
      <c r="AB10" s="2453"/>
      <c r="AC10" s="2456" t="str">
        <f t="shared" si="11"/>
        <v xml:space="preserve"> </v>
      </c>
      <c r="AD10" s="2456" t="str">
        <f>IF(ISBLANK(AA10), "",AVERAGE(AC4:AC10))</f>
        <v/>
      </c>
      <c r="AE10" s="2457"/>
      <c r="AF10" s="2457"/>
      <c r="AG10" s="2457"/>
      <c r="AH10" s="2457"/>
      <c r="AI10" s="2457"/>
      <c r="AJ10" s="2457"/>
      <c r="AK10" s="2457"/>
      <c r="AL10" s="2457"/>
      <c r="AM10" s="2457"/>
      <c r="AN10" s="2457"/>
      <c r="AO10" s="2457"/>
      <c r="AP10" s="2457"/>
      <c r="AQ10" s="2457"/>
      <c r="AR10" s="2457"/>
      <c r="AS10" s="2457"/>
      <c r="AT10" s="2457"/>
      <c r="AU10" s="2457"/>
      <c r="AV10" s="2457"/>
      <c r="AW10" s="2457"/>
      <c r="AX10" s="2457"/>
      <c r="AY10" s="2457"/>
      <c r="AZ10" s="2457"/>
      <c r="BA10" s="2457"/>
      <c r="BB10" s="2457"/>
      <c r="BC10" s="2457"/>
      <c r="BD10" s="2457"/>
      <c r="BE10" s="2457"/>
      <c r="BF10" s="2457"/>
      <c r="BG10" s="2457"/>
      <c r="BH10" s="2457"/>
      <c r="BI10" s="2458"/>
      <c r="BJ10" s="2458"/>
      <c r="BK10" s="2458"/>
      <c r="BL10" s="2458"/>
      <c r="BM10" s="2458"/>
      <c r="BN10" s="2458"/>
      <c r="BO10" s="2458"/>
      <c r="BP10" s="2458"/>
      <c r="BQ10" s="2458"/>
      <c r="BR10" s="2458"/>
      <c r="BS10" s="2458"/>
      <c r="BT10" s="2458"/>
      <c r="BU10" s="2458"/>
      <c r="BV10" s="2458"/>
      <c r="BW10" s="2458"/>
      <c r="BX10" s="2458"/>
      <c r="BY10" s="2458"/>
      <c r="BZ10" s="2458"/>
      <c r="CA10" s="2458"/>
      <c r="CB10" s="2458"/>
      <c r="CC10" s="2458"/>
      <c r="CD10" s="2458"/>
      <c r="CE10" s="2458"/>
      <c r="CF10" s="2458"/>
      <c r="CG10" s="2458"/>
      <c r="CH10" s="2458"/>
      <c r="CI10" s="2458"/>
      <c r="CJ10" s="2458"/>
      <c r="CK10" s="2458"/>
      <c r="CL10" s="2458"/>
      <c r="CM10" s="2458"/>
      <c r="CN10" s="2458"/>
      <c r="CO10" s="2458"/>
      <c r="CP10" s="2458"/>
      <c r="CQ10" s="2458"/>
      <c r="CR10" s="2458"/>
      <c r="CS10" s="2458"/>
      <c r="CT10" s="2458"/>
      <c r="CU10" s="2458"/>
      <c r="CV10" s="2458"/>
      <c r="CW10" s="2458"/>
      <c r="CX10" s="2458"/>
      <c r="CY10" s="2458"/>
      <c r="CZ10" s="2458"/>
      <c r="DA10" s="2458"/>
      <c r="DB10" s="2458"/>
      <c r="DC10" s="2458"/>
      <c r="DD10" s="2458"/>
      <c r="DE10" s="2458"/>
      <c r="DF10" s="2458"/>
      <c r="DG10" s="2458"/>
      <c r="DH10" s="2458"/>
      <c r="DI10" s="2458"/>
      <c r="DJ10" s="2458"/>
      <c r="DK10" s="2458"/>
      <c r="DL10" s="2458"/>
      <c r="DM10" s="2458"/>
      <c r="DN10" s="2458"/>
      <c r="DO10" s="2458"/>
      <c r="DP10" s="2458"/>
      <c r="DQ10" s="2458"/>
      <c r="DR10" s="2458"/>
      <c r="DS10" s="2458"/>
      <c r="DT10" s="2458"/>
      <c r="DU10" s="2458"/>
      <c r="DV10" s="2458"/>
      <c r="DW10" s="2458"/>
      <c r="DX10" s="2458"/>
      <c r="DY10" s="2458"/>
      <c r="DZ10" s="2458"/>
      <c r="EA10" s="2458"/>
      <c r="EB10" s="2458"/>
      <c r="EC10" s="2458"/>
      <c r="ED10" s="2458"/>
      <c r="EE10" s="2458"/>
      <c r="EF10" s="2458"/>
      <c r="EG10" s="2458"/>
      <c r="EH10" s="2458"/>
      <c r="EI10" s="2458"/>
      <c r="EJ10" s="2458"/>
      <c r="EK10" s="2458"/>
      <c r="EL10" s="2458"/>
      <c r="EM10" s="2458"/>
      <c r="EN10" s="2458"/>
      <c r="EO10" s="2458"/>
      <c r="EP10" s="2458"/>
      <c r="EQ10" s="2458"/>
      <c r="ER10" s="2458"/>
      <c r="ES10" s="2458"/>
      <c r="ET10" s="2458"/>
      <c r="EU10" s="2458"/>
      <c r="EV10" s="2458"/>
      <c r="EW10" s="2458"/>
      <c r="EX10" s="2458"/>
      <c r="EY10" s="2458"/>
      <c r="EZ10" s="2458"/>
      <c r="FA10" s="2458"/>
      <c r="FB10" s="2458"/>
      <c r="FC10" s="2458"/>
      <c r="FD10" s="2458"/>
      <c r="FE10" s="2458"/>
      <c r="FF10" s="2458"/>
      <c r="FG10" s="2458"/>
      <c r="FH10" s="2458"/>
      <c r="FI10" s="2458"/>
      <c r="FJ10" s="2458"/>
      <c r="FK10" s="2458"/>
      <c r="FL10" s="2458"/>
      <c r="FM10" s="2458"/>
      <c r="FN10" s="2458"/>
      <c r="FO10" s="2458"/>
      <c r="FP10" s="2458"/>
      <c r="FQ10" s="2458"/>
      <c r="FR10" s="2458"/>
      <c r="FS10" s="2458"/>
      <c r="FT10" s="2458"/>
      <c r="FU10" s="2458"/>
      <c r="FV10" s="2458"/>
      <c r="FW10" s="2458"/>
      <c r="FX10" s="2458"/>
      <c r="FY10" s="2458"/>
      <c r="FZ10" s="2458"/>
      <c r="GA10" s="2458"/>
      <c r="GB10" s="2458"/>
      <c r="GC10" s="2458"/>
      <c r="GD10" s="2458"/>
      <c r="GE10" s="2458"/>
      <c r="GF10" s="2458"/>
      <c r="GG10" s="2458"/>
      <c r="GH10" s="2458"/>
      <c r="GI10" s="2458"/>
      <c r="GJ10" s="2458"/>
      <c r="GK10" s="2458"/>
      <c r="GL10" s="2458"/>
      <c r="GM10" s="2458"/>
      <c r="GN10" s="2458"/>
      <c r="GO10" s="2458"/>
      <c r="GP10" s="2458"/>
      <c r="GQ10" s="2458"/>
      <c r="GR10" s="2458"/>
      <c r="GS10" s="2458"/>
      <c r="GT10" s="2458"/>
      <c r="GU10" s="2458"/>
      <c r="GV10" s="2458"/>
      <c r="GW10" s="2458"/>
      <c r="GX10" s="2458"/>
      <c r="GY10" s="2458"/>
      <c r="GZ10" s="2458"/>
      <c r="HA10" s="2458"/>
      <c r="HB10" s="2458"/>
      <c r="HC10" s="2458"/>
      <c r="HD10" s="2458"/>
      <c r="HE10" s="2458"/>
      <c r="HF10" s="2458"/>
      <c r="HG10" s="2458"/>
      <c r="HH10" s="2458"/>
      <c r="HI10" s="2458"/>
      <c r="HJ10" s="2458"/>
      <c r="HK10" s="2458"/>
      <c r="HL10" s="2458"/>
      <c r="HM10" s="2458"/>
      <c r="HN10" s="2458"/>
      <c r="HO10" s="2458"/>
      <c r="HP10" s="2458"/>
      <c r="HQ10" s="2458"/>
      <c r="HR10" s="2458"/>
      <c r="HS10" s="2458"/>
      <c r="HT10" s="2458"/>
      <c r="HU10" s="2458"/>
      <c r="HV10" s="2458"/>
      <c r="HW10" s="2458"/>
      <c r="HX10" s="2458"/>
      <c r="HY10" s="2458"/>
      <c r="HZ10" s="2458"/>
      <c r="IA10" s="2458"/>
      <c r="IB10" s="2458"/>
      <c r="IC10" s="2458"/>
      <c r="ID10" s="2458"/>
      <c r="IE10" s="2458"/>
      <c r="IF10" s="2458"/>
      <c r="IG10" s="2458"/>
      <c r="IH10" s="2458"/>
      <c r="II10" s="2458"/>
      <c r="IJ10" s="2458"/>
      <c r="IK10" s="2458"/>
      <c r="IL10" s="2458"/>
      <c r="IM10" s="2458"/>
      <c r="IN10" s="2458"/>
      <c r="IO10" s="2458"/>
      <c r="IP10" s="2458"/>
      <c r="IQ10" s="2458"/>
      <c r="IR10" s="2458"/>
      <c r="IS10" s="2458"/>
      <c r="IT10" s="2458"/>
      <c r="IU10" s="2458"/>
      <c r="IV10" s="2458"/>
    </row>
    <row r="11" spans="1:256">
      <c r="A11" s="2452">
        <f t="shared" si="0"/>
        <v>8</v>
      </c>
      <c r="B11" s="2453"/>
      <c r="C11" s="2453"/>
      <c r="D11" s="2456" t="str">
        <f t="shared" si="1"/>
        <v xml:space="preserve"> </v>
      </c>
      <c r="E11" s="2456" t="str">
        <f>IF(ISBLANK(B11), "",AVERAGE(D5:D11))</f>
        <v/>
      </c>
      <c r="F11" s="2455">
        <f t="shared" si="2"/>
        <v>38</v>
      </c>
      <c r="G11" s="2460"/>
      <c r="H11" s="2460"/>
      <c r="I11" s="2456" t="str">
        <f t="shared" si="3"/>
        <v xml:space="preserve"> </v>
      </c>
      <c r="J11" s="2456" t="str">
        <f t="shared" ref="J11:J33" si="13">IF(ISBLANK(G11), "",AVERAGE(I5:I11))</f>
        <v/>
      </c>
      <c r="K11" s="2452">
        <f t="shared" si="4"/>
        <v>68</v>
      </c>
      <c r="L11" s="2460"/>
      <c r="M11" s="2460"/>
      <c r="N11" s="2456" t="str">
        <f t="shared" si="5"/>
        <v xml:space="preserve"> </v>
      </c>
      <c r="O11" s="2456" t="str">
        <f t="shared" ref="O11:O27" si="14">IF(ISBLANK(L11), "",AVERAGE(N5:N11))</f>
        <v/>
      </c>
      <c r="P11" s="2452">
        <f t="shared" si="6"/>
        <v>98</v>
      </c>
      <c r="Q11" s="2453"/>
      <c r="R11" s="2453"/>
      <c r="S11" s="2456" t="str">
        <f>IF(ISBLANK(Q11)," ",(Q11-Q10)/(R11/100))</f>
        <v xml:space="preserve"> </v>
      </c>
      <c r="T11" s="2456" t="str">
        <f t="shared" si="12"/>
        <v/>
      </c>
      <c r="U11" s="2455">
        <f t="shared" si="8"/>
        <v>128</v>
      </c>
      <c r="V11" s="2453"/>
      <c r="W11" s="2453"/>
      <c r="X11" s="2456" t="str">
        <f t="shared" si="9"/>
        <v xml:space="preserve"> </v>
      </c>
      <c r="Y11" s="2456" t="str">
        <f t="shared" ref="Y11:Y33" si="15">IF(ISBLANK(V11), "",AVERAGE(X5:X11))</f>
        <v/>
      </c>
      <c r="Z11" s="2452">
        <f t="shared" si="10"/>
        <v>158</v>
      </c>
      <c r="AA11" s="2453"/>
      <c r="AB11" s="2453"/>
      <c r="AC11" s="2456" t="str">
        <f t="shared" si="11"/>
        <v xml:space="preserve"> </v>
      </c>
      <c r="AD11" s="2456" t="str">
        <f t="shared" ref="AD11:AD24" si="16">IF(ISBLANK(AA11), "",AVERAGE(AC5:AC11))</f>
        <v/>
      </c>
      <c r="AE11" s="2457"/>
      <c r="AF11" s="2457"/>
      <c r="AG11" s="2457"/>
      <c r="AH11" s="2457"/>
      <c r="AI11" s="2457"/>
      <c r="AJ11" s="2457"/>
      <c r="AK11" s="2457"/>
      <c r="AL11" s="2457"/>
      <c r="AM11" s="2457"/>
      <c r="AN11" s="2457"/>
      <c r="AO11" s="2457"/>
      <c r="AP11" s="2457"/>
      <c r="AQ11" s="2457"/>
      <c r="AR11" s="2457"/>
      <c r="AS11" s="2457"/>
      <c r="AT11" s="2457"/>
      <c r="AU11" s="2457"/>
      <c r="AV11" s="2457"/>
      <c r="AW11" s="2457"/>
      <c r="AX11" s="2457"/>
      <c r="AY11" s="2457"/>
      <c r="AZ11" s="2457"/>
      <c r="BA11" s="2457"/>
      <c r="BB11" s="2457"/>
      <c r="BC11" s="2457"/>
      <c r="BD11" s="2457"/>
      <c r="BE11" s="2457"/>
      <c r="BF11" s="2457"/>
      <c r="BG11" s="2457"/>
      <c r="BH11" s="2457"/>
      <c r="BI11" s="2458"/>
      <c r="BJ11" s="2458"/>
      <c r="BK11" s="2458"/>
      <c r="BL11" s="2458"/>
      <c r="BM11" s="2458"/>
      <c r="BN11" s="2458"/>
      <c r="BO11" s="2458"/>
      <c r="BP11" s="2458"/>
      <c r="BQ11" s="2458"/>
      <c r="BR11" s="2458"/>
      <c r="BS11" s="2458"/>
      <c r="BT11" s="2458"/>
      <c r="BU11" s="2458"/>
      <c r="BV11" s="2458"/>
      <c r="BW11" s="2458"/>
      <c r="BX11" s="2458"/>
      <c r="BY11" s="2458"/>
      <c r="BZ11" s="2458"/>
      <c r="CA11" s="2458"/>
      <c r="CB11" s="2458"/>
      <c r="CC11" s="2458"/>
      <c r="CD11" s="2458"/>
      <c r="CE11" s="2458"/>
      <c r="CF11" s="2458"/>
      <c r="CG11" s="2458"/>
      <c r="CH11" s="2458"/>
      <c r="CI11" s="2458"/>
      <c r="CJ11" s="2458"/>
      <c r="CK11" s="2458"/>
      <c r="CL11" s="2458"/>
      <c r="CM11" s="2458"/>
      <c r="CN11" s="2458"/>
      <c r="CO11" s="2458"/>
      <c r="CP11" s="2458"/>
      <c r="CQ11" s="2458"/>
      <c r="CR11" s="2458"/>
      <c r="CS11" s="2458"/>
      <c r="CT11" s="2458"/>
      <c r="CU11" s="2458"/>
      <c r="CV11" s="2458"/>
      <c r="CW11" s="2458"/>
      <c r="CX11" s="2458"/>
      <c r="CY11" s="2458"/>
      <c r="CZ11" s="2458"/>
      <c r="DA11" s="2458"/>
      <c r="DB11" s="2458"/>
      <c r="DC11" s="2458"/>
      <c r="DD11" s="2458"/>
      <c r="DE11" s="2458"/>
      <c r="DF11" s="2458"/>
      <c r="DG11" s="2458"/>
      <c r="DH11" s="2458"/>
      <c r="DI11" s="2458"/>
      <c r="DJ11" s="2458"/>
      <c r="DK11" s="2458"/>
      <c r="DL11" s="2458"/>
      <c r="DM11" s="2458"/>
      <c r="DN11" s="2458"/>
      <c r="DO11" s="2458"/>
      <c r="DP11" s="2458"/>
      <c r="DQ11" s="2458"/>
      <c r="DR11" s="2458"/>
      <c r="DS11" s="2458"/>
      <c r="DT11" s="2458"/>
      <c r="DU11" s="2458"/>
      <c r="DV11" s="2458"/>
      <c r="DW11" s="2458"/>
      <c r="DX11" s="2458"/>
      <c r="DY11" s="2458"/>
      <c r="DZ11" s="2458"/>
      <c r="EA11" s="2458"/>
      <c r="EB11" s="2458"/>
      <c r="EC11" s="2458"/>
      <c r="ED11" s="2458"/>
      <c r="EE11" s="2458"/>
      <c r="EF11" s="2458"/>
      <c r="EG11" s="2458"/>
      <c r="EH11" s="2458"/>
      <c r="EI11" s="2458"/>
      <c r="EJ11" s="2458"/>
      <c r="EK11" s="2458"/>
      <c r="EL11" s="2458"/>
      <c r="EM11" s="2458"/>
      <c r="EN11" s="2458"/>
      <c r="EO11" s="2458"/>
      <c r="EP11" s="2458"/>
      <c r="EQ11" s="2458"/>
      <c r="ER11" s="2458"/>
      <c r="ES11" s="2458"/>
      <c r="ET11" s="2458"/>
      <c r="EU11" s="2458"/>
      <c r="EV11" s="2458"/>
      <c r="EW11" s="2458"/>
      <c r="EX11" s="2458"/>
      <c r="EY11" s="2458"/>
      <c r="EZ11" s="2458"/>
      <c r="FA11" s="2458"/>
      <c r="FB11" s="2458"/>
      <c r="FC11" s="2458"/>
      <c r="FD11" s="2458"/>
      <c r="FE11" s="2458"/>
      <c r="FF11" s="2458"/>
      <c r="FG11" s="2458"/>
      <c r="FH11" s="2458"/>
      <c r="FI11" s="2458"/>
      <c r="FJ11" s="2458"/>
      <c r="FK11" s="2458"/>
      <c r="FL11" s="2458"/>
      <c r="FM11" s="2458"/>
      <c r="FN11" s="2458"/>
      <c r="FO11" s="2458"/>
      <c r="FP11" s="2458"/>
      <c r="FQ11" s="2458"/>
      <c r="FR11" s="2458"/>
      <c r="FS11" s="2458"/>
      <c r="FT11" s="2458"/>
      <c r="FU11" s="2458"/>
      <c r="FV11" s="2458"/>
      <c r="FW11" s="2458"/>
      <c r="FX11" s="2458"/>
      <c r="FY11" s="2458"/>
      <c r="FZ11" s="2458"/>
      <c r="GA11" s="2458"/>
      <c r="GB11" s="2458"/>
      <c r="GC11" s="2458"/>
      <c r="GD11" s="2458"/>
      <c r="GE11" s="2458"/>
      <c r="GF11" s="2458"/>
      <c r="GG11" s="2458"/>
      <c r="GH11" s="2458"/>
      <c r="GI11" s="2458"/>
      <c r="GJ11" s="2458"/>
      <c r="GK11" s="2458"/>
      <c r="GL11" s="2458"/>
      <c r="GM11" s="2458"/>
      <c r="GN11" s="2458"/>
      <c r="GO11" s="2458"/>
      <c r="GP11" s="2458"/>
      <c r="GQ11" s="2458"/>
      <c r="GR11" s="2458"/>
      <c r="GS11" s="2458"/>
      <c r="GT11" s="2458"/>
      <c r="GU11" s="2458"/>
      <c r="GV11" s="2458"/>
      <c r="GW11" s="2458"/>
      <c r="GX11" s="2458"/>
      <c r="GY11" s="2458"/>
      <c r="GZ11" s="2458"/>
      <c r="HA11" s="2458"/>
      <c r="HB11" s="2458"/>
      <c r="HC11" s="2458"/>
      <c r="HD11" s="2458"/>
      <c r="HE11" s="2458"/>
      <c r="HF11" s="2458"/>
      <c r="HG11" s="2458"/>
      <c r="HH11" s="2458"/>
      <c r="HI11" s="2458"/>
      <c r="HJ11" s="2458"/>
      <c r="HK11" s="2458"/>
      <c r="HL11" s="2458"/>
      <c r="HM11" s="2458"/>
      <c r="HN11" s="2458"/>
      <c r="HO11" s="2458"/>
      <c r="HP11" s="2458"/>
      <c r="HQ11" s="2458"/>
      <c r="HR11" s="2458"/>
      <c r="HS11" s="2458"/>
      <c r="HT11" s="2458"/>
      <c r="HU11" s="2458"/>
      <c r="HV11" s="2458"/>
      <c r="HW11" s="2458"/>
      <c r="HX11" s="2458"/>
      <c r="HY11" s="2458"/>
      <c r="HZ11" s="2458"/>
      <c r="IA11" s="2458"/>
      <c r="IB11" s="2458"/>
      <c r="IC11" s="2458"/>
      <c r="ID11" s="2458"/>
      <c r="IE11" s="2458"/>
      <c r="IF11" s="2458"/>
      <c r="IG11" s="2458"/>
      <c r="IH11" s="2458"/>
      <c r="II11" s="2458"/>
      <c r="IJ11" s="2458"/>
      <c r="IK11" s="2458"/>
      <c r="IL11" s="2458"/>
      <c r="IM11" s="2458"/>
      <c r="IN11" s="2458"/>
      <c r="IO11" s="2458"/>
      <c r="IP11" s="2458"/>
      <c r="IQ11" s="2458"/>
      <c r="IR11" s="2458"/>
      <c r="IS11" s="2458"/>
      <c r="IT11" s="2458"/>
      <c r="IU11" s="2458"/>
      <c r="IV11" s="2458"/>
    </row>
    <row r="12" spans="1:256">
      <c r="A12" s="2452">
        <f t="shared" si="0"/>
        <v>9</v>
      </c>
      <c r="B12" s="2453"/>
      <c r="C12" s="2453"/>
      <c r="D12" s="2456" t="str">
        <f t="shared" si="1"/>
        <v xml:space="preserve"> </v>
      </c>
      <c r="E12" s="2456" t="str">
        <f t="shared" ref="E12:E33" si="17">IF(ISBLANK(B12), "",AVERAGE(D6:D12))</f>
        <v/>
      </c>
      <c r="F12" s="2455">
        <f t="shared" si="2"/>
        <v>39</v>
      </c>
      <c r="G12" s="2453"/>
      <c r="H12" s="2453"/>
      <c r="I12" s="2456" t="str">
        <f t="shared" si="3"/>
        <v xml:space="preserve"> </v>
      </c>
      <c r="J12" s="2456" t="str">
        <f t="shared" si="13"/>
        <v/>
      </c>
      <c r="K12" s="2452">
        <f t="shared" si="4"/>
        <v>69</v>
      </c>
      <c r="L12" s="2453"/>
      <c r="M12" s="2453"/>
      <c r="N12" s="2456" t="str">
        <f t="shared" si="5"/>
        <v xml:space="preserve"> </v>
      </c>
      <c r="O12" s="2456" t="str">
        <f t="shared" si="14"/>
        <v/>
      </c>
      <c r="P12" s="2452">
        <f t="shared" si="6"/>
        <v>99</v>
      </c>
      <c r="Q12" s="2453"/>
      <c r="R12" s="2453"/>
      <c r="S12" s="2456" t="str">
        <f t="shared" si="7"/>
        <v xml:space="preserve"> </v>
      </c>
      <c r="T12" s="2456" t="str">
        <f t="shared" si="12"/>
        <v/>
      </c>
      <c r="U12" s="2455">
        <f t="shared" si="8"/>
        <v>129</v>
      </c>
      <c r="V12" s="2453"/>
      <c r="W12" s="2453"/>
      <c r="X12" s="2456" t="str">
        <f t="shared" si="9"/>
        <v xml:space="preserve"> </v>
      </c>
      <c r="Y12" s="2456" t="str">
        <f t="shared" si="15"/>
        <v/>
      </c>
      <c r="Z12" s="2452">
        <f t="shared" si="10"/>
        <v>159</v>
      </c>
      <c r="AA12" s="2453"/>
      <c r="AB12" s="2453"/>
      <c r="AC12" s="2456" t="str">
        <f t="shared" si="11"/>
        <v xml:space="preserve"> </v>
      </c>
      <c r="AD12" s="2456" t="str">
        <f t="shared" si="16"/>
        <v/>
      </c>
      <c r="AE12" s="2457"/>
      <c r="AF12" s="2457"/>
      <c r="AG12" s="2457"/>
      <c r="AH12" s="2457"/>
      <c r="AI12" s="2457"/>
      <c r="AJ12" s="2457"/>
      <c r="AK12" s="2457"/>
      <c r="AL12" s="2457"/>
      <c r="AM12" s="2457"/>
      <c r="AN12" s="2457"/>
      <c r="AO12" s="2457"/>
      <c r="AP12" s="2457"/>
      <c r="AQ12" s="2457"/>
      <c r="AR12" s="2457"/>
      <c r="AS12" s="2457"/>
      <c r="AT12" s="2457"/>
      <c r="AU12" s="2457"/>
      <c r="AV12" s="2457"/>
      <c r="AW12" s="2457"/>
      <c r="AX12" s="2457"/>
      <c r="AY12" s="2457"/>
      <c r="AZ12" s="2457"/>
      <c r="BA12" s="2457"/>
      <c r="BB12" s="2457"/>
      <c r="BC12" s="2457"/>
      <c r="BD12" s="2457"/>
      <c r="BE12" s="2457"/>
      <c r="BF12" s="2457"/>
      <c r="BG12" s="2457"/>
      <c r="BH12" s="2457"/>
      <c r="BI12" s="2458"/>
      <c r="BJ12" s="2458"/>
      <c r="BK12" s="2458"/>
      <c r="BL12" s="2458"/>
      <c r="BM12" s="2458"/>
      <c r="BN12" s="2458"/>
      <c r="BO12" s="2458"/>
      <c r="BP12" s="2458"/>
      <c r="BQ12" s="2458"/>
      <c r="BR12" s="2458"/>
      <c r="BS12" s="2458"/>
      <c r="BT12" s="2458"/>
      <c r="BU12" s="2458"/>
      <c r="BV12" s="2458"/>
      <c r="BW12" s="2458"/>
      <c r="BX12" s="2458"/>
      <c r="BY12" s="2458"/>
      <c r="BZ12" s="2458"/>
      <c r="CA12" s="2458"/>
      <c r="CB12" s="2458"/>
      <c r="CC12" s="2458"/>
      <c r="CD12" s="2458"/>
      <c r="CE12" s="2458"/>
      <c r="CF12" s="2458"/>
      <c r="CG12" s="2458"/>
      <c r="CH12" s="2458"/>
      <c r="CI12" s="2458"/>
      <c r="CJ12" s="2458"/>
      <c r="CK12" s="2458"/>
      <c r="CL12" s="2458"/>
      <c r="CM12" s="2458"/>
      <c r="CN12" s="2458"/>
      <c r="CO12" s="2458"/>
      <c r="CP12" s="2458"/>
      <c r="CQ12" s="2458"/>
      <c r="CR12" s="2458"/>
      <c r="CS12" s="2458"/>
      <c r="CT12" s="2458"/>
      <c r="CU12" s="2458"/>
      <c r="CV12" s="2458"/>
      <c r="CW12" s="2458"/>
      <c r="CX12" s="2458"/>
      <c r="CY12" s="2458"/>
      <c r="CZ12" s="2458"/>
      <c r="DA12" s="2458"/>
      <c r="DB12" s="2458"/>
      <c r="DC12" s="2458"/>
      <c r="DD12" s="2458"/>
      <c r="DE12" s="2458"/>
      <c r="DF12" s="2458"/>
      <c r="DG12" s="2458"/>
      <c r="DH12" s="2458"/>
      <c r="DI12" s="2458"/>
      <c r="DJ12" s="2458"/>
      <c r="DK12" s="2458"/>
      <c r="DL12" s="2458"/>
      <c r="DM12" s="2458"/>
      <c r="DN12" s="2458"/>
      <c r="DO12" s="2458"/>
      <c r="DP12" s="2458"/>
      <c r="DQ12" s="2458"/>
      <c r="DR12" s="2458"/>
      <c r="DS12" s="2458"/>
      <c r="DT12" s="2458"/>
      <c r="DU12" s="2458"/>
      <c r="DV12" s="2458"/>
      <c r="DW12" s="2458"/>
      <c r="DX12" s="2458"/>
      <c r="DY12" s="2458"/>
      <c r="DZ12" s="2458"/>
      <c r="EA12" s="2458"/>
      <c r="EB12" s="2458"/>
      <c r="EC12" s="2458"/>
      <c r="ED12" s="2458"/>
      <c r="EE12" s="2458"/>
      <c r="EF12" s="2458"/>
      <c r="EG12" s="2458"/>
      <c r="EH12" s="2458"/>
      <c r="EI12" s="2458"/>
      <c r="EJ12" s="2458"/>
      <c r="EK12" s="2458"/>
      <c r="EL12" s="2458"/>
      <c r="EM12" s="2458"/>
      <c r="EN12" s="2458"/>
      <c r="EO12" s="2458"/>
      <c r="EP12" s="2458"/>
      <c r="EQ12" s="2458"/>
      <c r="ER12" s="2458"/>
      <c r="ES12" s="2458"/>
      <c r="ET12" s="2458"/>
      <c r="EU12" s="2458"/>
      <c r="EV12" s="2458"/>
      <c r="EW12" s="2458"/>
      <c r="EX12" s="2458"/>
      <c r="EY12" s="2458"/>
      <c r="EZ12" s="2458"/>
      <c r="FA12" s="2458"/>
      <c r="FB12" s="2458"/>
      <c r="FC12" s="2458"/>
      <c r="FD12" s="2458"/>
      <c r="FE12" s="2458"/>
      <c r="FF12" s="2458"/>
      <c r="FG12" s="2458"/>
      <c r="FH12" s="2458"/>
      <c r="FI12" s="2458"/>
      <c r="FJ12" s="2458"/>
      <c r="FK12" s="2458"/>
      <c r="FL12" s="2458"/>
      <c r="FM12" s="2458"/>
      <c r="FN12" s="2458"/>
      <c r="FO12" s="2458"/>
      <c r="FP12" s="2458"/>
      <c r="FQ12" s="2458"/>
      <c r="FR12" s="2458"/>
      <c r="FS12" s="2458"/>
      <c r="FT12" s="2458"/>
      <c r="FU12" s="2458"/>
      <c r="FV12" s="2458"/>
      <c r="FW12" s="2458"/>
      <c r="FX12" s="2458"/>
      <c r="FY12" s="2458"/>
      <c r="FZ12" s="2458"/>
      <c r="GA12" s="2458"/>
      <c r="GB12" s="2458"/>
      <c r="GC12" s="2458"/>
      <c r="GD12" s="2458"/>
      <c r="GE12" s="2458"/>
      <c r="GF12" s="2458"/>
      <c r="GG12" s="2458"/>
      <c r="GH12" s="2458"/>
      <c r="GI12" s="2458"/>
      <c r="GJ12" s="2458"/>
      <c r="GK12" s="2458"/>
      <c r="GL12" s="2458"/>
      <c r="GM12" s="2458"/>
      <c r="GN12" s="2458"/>
      <c r="GO12" s="2458"/>
      <c r="GP12" s="2458"/>
      <c r="GQ12" s="2458"/>
      <c r="GR12" s="2458"/>
      <c r="GS12" s="2458"/>
      <c r="GT12" s="2458"/>
      <c r="GU12" s="2458"/>
      <c r="GV12" s="2458"/>
      <c r="GW12" s="2458"/>
      <c r="GX12" s="2458"/>
      <c r="GY12" s="2458"/>
      <c r="GZ12" s="2458"/>
      <c r="HA12" s="2458"/>
      <c r="HB12" s="2458"/>
      <c r="HC12" s="2458"/>
      <c r="HD12" s="2458"/>
      <c r="HE12" s="2458"/>
      <c r="HF12" s="2458"/>
      <c r="HG12" s="2458"/>
      <c r="HH12" s="2458"/>
      <c r="HI12" s="2458"/>
      <c r="HJ12" s="2458"/>
      <c r="HK12" s="2458"/>
      <c r="HL12" s="2458"/>
      <c r="HM12" s="2458"/>
      <c r="HN12" s="2458"/>
      <c r="HO12" s="2458"/>
      <c r="HP12" s="2458"/>
      <c r="HQ12" s="2458"/>
      <c r="HR12" s="2458"/>
      <c r="HS12" s="2458"/>
      <c r="HT12" s="2458"/>
      <c r="HU12" s="2458"/>
      <c r="HV12" s="2458"/>
      <c r="HW12" s="2458"/>
      <c r="HX12" s="2458"/>
      <c r="HY12" s="2458"/>
      <c r="HZ12" s="2458"/>
      <c r="IA12" s="2458"/>
      <c r="IB12" s="2458"/>
      <c r="IC12" s="2458"/>
      <c r="ID12" s="2458"/>
      <c r="IE12" s="2458"/>
      <c r="IF12" s="2458"/>
      <c r="IG12" s="2458"/>
      <c r="IH12" s="2458"/>
      <c r="II12" s="2458"/>
      <c r="IJ12" s="2458"/>
      <c r="IK12" s="2458"/>
      <c r="IL12" s="2458"/>
      <c r="IM12" s="2458"/>
      <c r="IN12" s="2458"/>
      <c r="IO12" s="2458"/>
      <c r="IP12" s="2458"/>
      <c r="IQ12" s="2458"/>
      <c r="IR12" s="2458"/>
      <c r="IS12" s="2458"/>
      <c r="IT12" s="2458"/>
      <c r="IU12" s="2458"/>
      <c r="IV12" s="2458"/>
    </row>
    <row r="13" spans="1:256">
      <c r="A13" s="2452">
        <f t="shared" si="0"/>
        <v>10</v>
      </c>
      <c r="B13" s="2453"/>
      <c r="C13" s="2453"/>
      <c r="D13" s="2456" t="str">
        <f t="shared" si="1"/>
        <v xml:space="preserve"> </v>
      </c>
      <c r="E13" s="2456" t="str">
        <f t="shared" si="17"/>
        <v/>
      </c>
      <c r="F13" s="2455">
        <f t="shared" si="2"/>
        <v>40</v>
      </c>
      <c r="G13" s="2453"/>
      <c r="H13" s="2453"/>
      <c r="I13" s="2456" t="str">
        <f t="shared" si="3"/>
        <v xml:space="preserve"> </v>
      </c>
      <c r="J13" s="2456" t="str">
        <f t="shared" si="13"/>
        <v/>
      </c>
      <c r="K13" s="2452">
        <f t="shared" si="4"/>
        <v>70</v>
      </c>
      <c r="L13" s="2453"/>
      <c r="M13" s="2453"/>
      <c r="N13" s="2456" t="str">
        <f t="shared" si="5"/>
        <v xml:space="preserve"> </v>
      </c>
      <c r="O13" s="2456" t="str">
        <f t="shared" si="14"/>
        <v/>
      </c>
      <c r="P13" s="2452">
        <f t="shared" si="6"/>
        <v>100</v>
      </c>
      <c r="Q13" s="2453"/>
      <c r="R13" s="2453"/>
      <c r="S13" s="2456" t="str">
        <f t="shared" si="7"/>
        <v xml:space="preserve"> </v>
      </c>
      <c r="T13" s="2456" t="str">
        <f t="shared" si="12"/>
        <v/>
      </c>
      <c r="U13" s="2455">
        <f t="shared" si="8"/>
        <v>130</v>
      </c>
      <c r="V13" s="2453"/>
      <c r="W13" s="2453"/>
      <c r="X13" s="2456" t="str">
        <f t="shared" si="9"/>
        <v xml:space="preserve"> </v>
      </c>
      <c r="Y13" s="2456" t="str">
        <f t="shared" si="15"/>
        <v/>
      </c>
      <c r="Z13" s="2452">
        <f t="shared" si="10"/>
        <v>160</v>
      </c>
      <c r="AA13" s="2453"/>
      <c r="AB13" s="2453"/>
      <c r="AC13" s="2456" t="str">
        <f t="shared" si="11"/>
        <v xml:space="preserve"> </v>
      </c>
      <c r="AD13" s="2456" t="str">
        <f t="shared" si="16"/>
        <v/>
      </c>
      <c r="AE13" s="2457"/>
      <c r="AF13" s="2457"/>
      <c r="AG13" s="2457"/>
      <c r="AH13" s="2457"/>
      <c r="AI13" s="2457"/>
      <c r="AJ13" s="2457"/>
      <c r="AK13" s="2457"/>
      <c r="AL13" s="2457"/>
      <c r="AM13" s="2457"/>
      <c r="AN13" s="2457"/>
      <c r="AO13" s="2457"/>
      <c r="AP13" s="2457"/>
      <c r="AQ13" s="2457"/>
      <c r="AR13" s="2457"/>
      <c r="AS13" s="2457"/>
      <c r="AT13" s="2457"/>
      <c r="AU13" s="2457"/>
      <c r="AV13" s="2457"/>
      <c r="AW13" s="2457"/>
      <c r="AX13" s="2457"/>
      <c r="AY13" s="2457"/>
      <c r="AZ13" s="2457"/>
      <c r="BA13" s="2457"/>
      <c r="BB13" s="2457"/>
      <c r="BC13" s="2457"/>
      <c r="BD13" s="2457"/>
      <c r="BE13" s="2457"/>
      <c r="BF13" s="2457"/>
      <c r="BG13" s="2457"/>
      <c r="BH13" s="2457"/>
      <c r="BI13" s="2458"/>
      <c r="BJ13" s="2458"/>
      <c r="BK13" s="2458"/>
      <c r="BL13" s="2458"/>
      <c r="BM13" s="2458"/>
      <c r="BN13" s="2458"/>
      <c r="BO13" s="2458"/>
      <c r="BP13" s="2458"/>
      <c r="BQ13" s="2458"/>
      <c r="BR13" s="2458"/>
      <c r="BS13" s="2458"/>
      <c r="BT13" s="2458"/>
      <c r="BU13" s="2458"/>
      <c r="BV13" s="2458"/>
      <c r="BW13" s="2458"/>
      <c r="BX13" s="2458"/>
      <c r="BY13" s="2458"/>
      <c r="BZ13" s="2458"/>
      <c r="CA13" s="2458"/>
      <c r="CB13" s="2458"/>
      <c r="CC13" s="2458"/>
      <c r="CD13" s="2458"/>
      <c r="CE13" s="2458"/>
      <c r="CF13" s="2458"/>
      <c r="CG13" s="2458"/>
      <c r="CH13" s="2458"/>
      <c r="CI13" s="2458"/>
      <c r="CJ13" s="2458"/>
      <c r="CK13" s="2458"/>
      <c r="CL13" s="2458"/>
      <c r="CM13" s="2458"/>
      <c r="CN13" s="2458"/>
      <c r="CO13" s="2458"/>
      <c r="CP13" s="2458"/>
      <c r="CQ13" s="2458"/>
      <c r="CR13" s="2458"/>
      <c r="CS13" s="2458"/>
      <c r="CT13" s="2458"/>
      <c r="CU13" s="2458"/>
      <c r="CV13" s="2458"/>
      <c r="CW13" s="2458"/>
      <c r="CX13" s="2458"/>
      <c r="CY13" s="2458"/>
      <c r="CZ13" s="2458"/>
      <c r="DA13" s="2458"/>
      <c r="DB13" s="2458"/>
      <c r="DC13" s="2458"/>
      <c r="DD13" s="2458"/>
      <c r="DE13" s="2458"/>
      <c r="DF13" s="2458"/>
      <c r="DG13" s="2458"/>
      <c r="DH13" s="2458"/>
      <c r="DI13" s="2458"/>
      <c r="DJ13" s="2458"/>
      <c r="DK13" s="2458"/>
      <c r="DL13" s="2458"/>
      <c r="DM13" s="2458"/>
      <c r="DN13" s="2458"/>
      <c r="DO13" s="2458"/>
      <c r="DP13" s="2458"/>
      <c r="DQ13" s="2458"/>
      <c r="DR13" s="2458"/>
      <c r="DS13" s="2458"/>
      <c r="DT13" s="2458"/>
      <c r="DU13" s="2458"/>
      <c r="DV13" s="2458"/>
      <c r="DW13" s="2458"/>
      <c r="DX13" s="2458"/>
      <c r="DY13" s="2458"/>
      <c r="DZ13" s="2458"/>
      <c r="EA13" s="2458"/>
      <c r="EB13" s="2458"/>
      <c r="EC13" s="2458"/>
      <c r="ED13" s="2458"/>
      <c r="EE13" s="2458"/>
      <c r="EF13" s="2458"/>
      <c r="EG13" s="2458"/>
      <c r="EH13" s="2458"/>
      <c r="EI13" s="2458"/>
      <c r="EJ13" s="2458"/>
      <c r="EK13" s="2458"/>
      <c r="EL13" s="2458"/>
      <c r="EM13" s="2458"/>
      <c r="EN13" s="2458"/>
      <c r="EO13" s="2458"/>
      <c r="EP13" s="2458"/>
      <c r="EQ13" s="2458"/>
      <c r="ER13" s="2458"/>
      <c r="ES13" s="2458"/>
      <c r="ET13" s="2458"/>
      <c r="EU13" s="2458"/>
      <c r="EV13" s="2458"/>
      <c r="EW13" s="2458"/>
      <c r="EX13" s="2458"/>
      <c r="EY13" s="2458"/>
      <c r="EZ13" s="2458"/>
      <c r="FA13" s="2458"/>
      <c r="FB13" s="2458"/>
      <c r="FC13" s="2458"/>
      <c r="FD13" s="2458"/>
      <c r="FE13" s="2458"/>
      <c r="FF13" s="2458"/>
      <c r="FG13" s="2458"/>
      <c r="FH13" s="2458"/>
      <c r="FI13" s="2458"/>
      <c r="FJ13" s="2458"/>
      <c r="FK13" s="2458"/>
      <c r="FL13" s="2458"/>
      <c r="FM13" s="2458"/>
      <c r="FN13" s="2458"/>
      <c r="FO13" s="2458"/>
      <c r="FP13" s="2458"/>
      <c r="FQ13" s="2458"/>
      <c r="FR13" s="2458"/>
      <c r="FS13" s="2458"/>
      <c r="FT13" s="2458"/>
      <c r="FU13" s="2458"/>
      <c r="FV13" s="2458"/>
      <c r="FW13" s="2458"/>
      <c r="FX13" s="2458"/>
      <c r="FY13" s="2458"/>
      <c r="FZ13" s="2458"/>
      <c r="GA13" s="2458"/>
      <c r="GB13" s="2458"/>
      <c r="GC13" s="2458"/>
      <c r="GD13" s="2458"/>
      <c r="GE13" s="2458"/>
      <c r="GF13" s="2458"/>
      <c r="GG13" s="2458"/>
      <c r="GH13" s="2458"/>
      <c r="GI13" s="2458"/>
      <c r="GJ13" s="2458"/>
      <c r="GK13" s="2458"/>
      <c r="GL13" s="2458"/>
      <c r="GM13" s="2458"/>
      <c r="GN13" s="2458"/>
      <c r="GO13" s="2458"/>
      <c r="GP13" s="2458"/>
      <c r="GQ13" s="2458"/>
      <c r="GR13" s="2458"/>
      <c r="GS13" s="2458"/>
      <c r="GT13" s="2458"/>
      <c r="GU13" s="2458"/>
      <c r="GV13" s="2458"/>
      <c r="GW13" s="2458"/>
      <c r="GX13" s="2458"/>
      <c r="GY13" s="2458"/>
      <c r="GZ13" s="2458"/>
      <c r="HA13" s="2458"/>
      <c r="HB13" s="2458"/>
      <c r="HC13" s="2458"/>
      <c r="HD13" s="2458"/>
      <c r="HE13" s="2458"/>
      <c r="HF13" s="2458"/>
      <c r="HG13" s="2458"/>
      <c r="HH13" s="2458"/>
      <c r="HI13" s="2458"/>
      <c r="HJ13" s="2458"/>
      <c r="HK13" s="2458"/>
      <c r="HL13" s="2458"/>
      <c r="HM13" s="2458"/>
      <c r="HN13" s="2458"/>
      <c r="HO13" s="2458"/>
      <c r="HP13" s="2458"/>
      <c r="HQ13" s="2458"/>
      <c r="HR13" s="2458"/>
      <c r="HS13" s="2458"/>
      <c r="HT13" s="2458"/>
      <c r="HU13" s="2458"/>
      <c r="HV13" s="2458"/>
      <c r="HW13" s="2458"/>
      <c r="HX13" s="2458"/>
      <c r="HY13" s="2458"/>
      <c r="HZ13" s="2458"/>
      <c r="IA13" s="2458"/>
      <c r="IB13" s="2458"/>
      <c r="IC13" s="2458"/>
      <c r="ID13" s="2458"/>
      <c r="IE13" s="2458"/>
      <c r="IF13" s="2458"/>
      <c r="IG13" s="2458"/>
      <c r="IH13" s="2458"/>
      <c r="II13" s="2458"/>
      <c r="IJ13" s="2458"/>
      <c r="IK13" s="2458"/>
      <c r="IL13" s="2458"/>
      <c r="IM13" s="2458"/>
      <c r="IN13" s="2458"/>
      <c r="IO13" s="2458"/>
      <c r="IP13" s="2458"/>
      <c r="IQ13" s="2458"/>
      <c r="IR13" s="2458"/>
      <c r="IS13" s="2458"/>
      <c r="IT13" s="2458"/>
      <c r="IU13" s="2458"/>
      <c r="IV13" s="2458"/>
    </row>
    <row r="14" spans="1:256">
      <c r="A14" s="2452">
        <f t="shared" si="0"/>
        <v>11</v>
      </c>
      <c r="B14" s="2453"/>
      <c r="C14" s="2453"/>
      <c r="D14" s="2456" t="str">
        <f t="shared" si="1"/>
        <v xml:space="preserve"> </v>
      </c>
      <c r="E14" s="2456" t="str">
        <f t="shared" si="17"/>
        <v/>
      </c>
      <c r="F14" s="2455">
        <f t="shared" si="2"/>
        <v>41</v>
      </c>
      <c r="G14" s="2453"/>
      <c r="H14" s="2453"/>
      <c r="I14" s="2456" t="str">
        <f t="shared" si="3"/>
        <v xml:space="preserve"> </v>
      </c>
      <c r="J14" s="2456" t="str">
        <f t="shared" si="13"/>
        <v/>
      </c>
      <c r="K14" s="2452">
        <f t="shared" si="4"/>
        <v>71</v>
      </c>
      <c r="L14" s="2453"/>
      <c r="M14" s="2453"/>
      <c r="N14" s="2456" t="str">
        <f t="shared" si="5"/>
        <v xml:space="preserve"> </v>
      </c>
      <c r="O14" s="2456" t="str">
        <f t="shared" si="14"/>
        <v/>
      </c>
      <c r="P14" s="2452">
        <f t="shared" si="6"/>
        <v>101</v>
      </c>
      <c r="Q14" s="2453"/>
      <c r="R14" s="2453"/>
      <c r="S14" s="2456" t="str">
        <f t="shared" si="7"/>
        <v xml:space="preserve"> </v>
      </c>
      <c r="T14" s="2456" t="str">
        <f t="shared" si="12"/>
        <v/>
      </c>
      <c r="U14" s="2455">
        <f t="shared" si="8"/>
        <v>131</v>
      </c>
      <c r="V14" s="2453"/>
      <c r="W14" s="2453"/>
      <c r="X14" s="2456" t="str">
        <f t="shared" si="9"/>
        <v xml:space="preserve"> </v>
      </c>
      <c r="Y14" s="2456" t="str">
        <f t="shared" si="15"/>
        <v/>
      </c>
      <c r="Z14" s="2452">
        <f t="shared" si="10"/>
        <v>161</v>
      </c>
      <c r="AA14" s="2453"/>
      <c r="AB14" s="2453"/>
      <c r="AC14" s="2456" t="str">
        <f t="shared" si="11"/>
        <v xml:space="preserve"> </v>
      </c>
      <c r="AD14" s="2456" t="str">
        <f t="shared" si="16"/>
        <v/>
      </c>
      <c r="AE14" s="2457"/>
      <c r="AF14" s="2457"/>
      <c r="AG14" s="2457"/>
      <c r="AH14" s="2457"/>
      <c r="AI14" s="2457"/>
      <c r="AJ14" s="2457"/>
      <c r="AK14" s="2457"/>
      <c r="AL14" s="2457"/>
      <c r="AM14" s="2457"/>
      <c r="AN14" s="2457"/>
      <c r="AO14" s="2457"/>
      <c r="AP14" s="2457"/>
      <c r="AQ14" s="2457"/>
      <c r="AR14" s="2457"/>
      <c r="AS14" s="2457"/>
      <c r="AT14" s="2457"/>
      <c r="AU14" s="2457"/>
      <c r="AV14" s="2457"/>
      <c r="AW14" s="2457"/>
      <c r="AX14" s="2457"/>
      <c r="AY14" s="2457"/>
      <c r="AZ14" s="2457"/>
      <c r="BA14" s="2457"/>
      <c r="BB14" s="2457"/>
      <c r="BC14" s="2457"/>
      <c r="BD14" s="2457"/>
      <c r="BE14" s="2457"/>
      <c r="BF14" s="2457"/>
      <c r="BG14" s="2457"/>
      <c r="BH14" s="2457"/>
      <c r="BI14" s="2458"/>
      <c r="BJ14" s="2458"/>
      <c r="BK14" s="2458"/>
      <c r="BL14" s="2458"/>
      <c r="BM14" s="2458"/>
      <c r="BN14" s="2458"/>
      <c r="BO14" s="2458"/>
      <c r="BP14" s="2458"/>
      <c r="BQ14" s="2458"/>
      <c r="BR14" s="2458"/>
      <c r="BS14" s="2458"/>
      <c r="BT14" s="2458"/>
      <c r="BU14" s="2458"/>
      <c r="BV14" s="2458"/>
      <c r="BW14" s="2458"/>
      <c r="BX14" s="2458"/>
      <c r="BY14" s="2458"/>
      <c r="BZ14" s="2458"/>
      <c r="CA14" s="2458"/>
      <c r="CB14" s="2458"/>
      <c r="CC14" s="2458"/>
      <c r="CD14" s="2458"/>
      <c r="CE14" s="2458"/>
      <c r="CF14" s="2458"/>
      <c r="CG14" s="2458"/>
      <c r="CH14" s="2458"/>
      <c r="CI14" s="2458"/>
      <c r="CJ14" s="2458"/>
      <c r="CK14" s="2458"/>
      <c r="CL14" s="2458"/>
      <c r="CM14" s="2458"/>
      <c r="CN14" s="2458"/>
      <c r="CO14" s="2458"/>
      <c r="CP14" s="2458"/>
      <c r="CQ14" s="2458"/>
      <c r="CR14" s="2458"/>
      <c r="CS14" s="2458"/>
      <c r="CT14" s="2458"/>
      <c r="CU14" s="2458"/>
      <c r="CV14" s="2458"/>
      <c r="CW14" s="2458"/>
      <c r="CX14" s="2458"/>
      <c r="CY14" s="2458"/>
      <c r="CZ14" s="2458"/>
      <c r="DA14" s="2458"/>
      <c r="DB14" s="2458"/>
      <c r="DC14" s="2458"/>
      <c r="DD14" s="2458"/>
      <c r="DE14" s="2458"/>
      <c r="DF14" s="2458"/>
      <c r="DG14" s="2458"/>
      <c r="DH14" s="2458"/>
      <c r="DI14" s="2458"/>
      <c r="DJ14" s="2458"/>
      <c r="DK14" s="2458"/>
      <c r="DL14" s="2458"/>
      <c r="DM14" s="2458"/>
      <c r="DN14" s="2458"/>
      <c r="DO14" s="2458"/>
      <c r="DP14" s="2458"/>
      <c r="DQ14" s="2458"/>
      <c r="DR14" s="2458"/>
      <c r="DS14" s="2458"/>
      <c r="DT14" s="2458"/>
      <c r="DU14" s="2458"/>
      <c r="DV14" s="2458"/>
      <c r="DW14" s="2458"/>
      <c r="DX14" s="2458"/>
      <c r="DY14" s="2458"/>
      <c r="DZ14" s="2458"/>
      <c r="EA14" s="2458"/>
      <c r="EB14" s="2458"/>
      <c r="EC14" s="2458"/>
      <c r="ED14" s="2458"/>
      <c r="EE14" s="2458"/>
      <c r="EF14" s="2458"/>
      <c r="EG14" s="2458"/>
      <c r="EH14" s="2458"/>
      <c r="EI14" s="2458"/>
      <c r="EJ14" s="2458"/>
      <c r="EK14" s="2458"/>
      <c r="EL14" s="2458"/>
      <c r="EM14" s="2458"/>
      <c r="EN14" s="2458"/>
      <c r="EO14" s="2458"/>
      <c r="EP14" s="2458"/>
      <c r="EQ14" s="2458"/>
      <c r="ER14" s="2458"/>
      <c r="ES14" s="2458"/>
      <c r="ET14" s="2458"/>
      <c r="EU14" s="2458"/>
      <c r="EV14" s="2458"/>
      <c r="EW14" s="2458"/>
      <c r="EX14" s="2458"/>
      <c r="EY14" s="2458"/>
      <c r="EZ14" s="2458"/>
      <c r="FA14" s="2458"/>
      <c r="FB14" s="2458"/>
      <c r="FC14" s="2458"/>
      <c r="FD14" s="2458"/>
      <c r="FE14" s="2458"/>
      <c r="FF14" s="2458"/>
      <c r="FG14" s="2458"/>
      <c r="FH14" s="2458"/>
      <c r="FI14" s="2458"/>
      <c r="FJ14" s="2458"/>
      <c r="FK14" s="2458"/>
      <c r="FL14" s="2458"/>
      <c r="FM14" s="2458"/>
      <c r="FN14" s="2458"/>
      <c r="FO14" s="2458"/>
      <c r="FP14" s="2458"/>
      <c r="FQ14" s="2458"/>
      <c r="FR14" s="2458"/>
      <c r="FS14" s="2458"/>
      <c r="FT14" s="2458"/>
      <c r="FU14" s="2458"/>
      <c r="FV14" s="2458"/>
      <c r="FW14" s="2458"/>
      <c r="FX14" s="2458"/>
      <c r="FY14" s="2458"/>
      <c r="FZ14" s="2458"/>
      <c r="GA14" s="2458"/>
      <c r="GB14" s="2458"/>
      <c r="GC14" s="2458"/>
      <c r="GD14" s="2458"/>
      <c r="GE14" s="2458"/>
      <c r="GF14" s="2458"/>
      <c r="GG14" s="2458"/>
      <c r="GH14" s="2458"/>
      <c r="GI14" s="2458"/>
      <c r="GJ14" s="2458"/>
      <c r="GK14" s="2458"/>
      <c r="GL14" s="2458"/>
      <c r="GM14" s="2458"/>
      <c r="GN14" s="2458"/>
      <c r="GO14" s="2458"/>
      <c r="GP14" s="2458"/>
      <c r="GQ14" s="2458"/>
      <c r="GR14" s="2458"/>
      <c r="GS14" s="2458"/>
      <c r="GT14" s="2458"/>
      <c r="GU14" s="2458"/>
      <c r="GV14" s="2458"/>
      <c r="GW14" s="2458"/>
      <c r="GX14" s="2458"/>
      <c r="GY14" s="2458"/>
      <c r="GZ14" s="2458"/>
      <c r="HA14" s="2458"/>
      <c r="HB14" s="2458"/>
      <c r="HC14" s="2458"/>
      <c r="HD14" s="2458"/>
      <c r="HE14" s="2458"/>
      <c r="HF14" s="2458"/>
      <c r="HG14" s="2458"/>
      <c r="HH14" s="2458"/>
      <c r="HI14" s="2458"/>
      <c r="HJ14" s="2458"/>
      <c r="HK14" s="2458"/>
      <c r="HL14" s="2458"/>
      <c r="HM14" s="2458"/>
      <c r="HN14" s="2458"/>
      <c r="HO14" s="2458"/>
      <c r="HP14" s="2458"/>
      <c r="HQ14" s="2458"/>
      <c r="HR14" s="2458"/>
      <c r="HS14" s="2458"/>
      <c r="HT14" s="2458"/>
      <c r="HU14" s="2458"/>
      <c r="HV14" s="2458"/>
      <c r="HW14" s="2458"/>
      <c r="HX14" s="2458"/>
      <c r="HY14" s="2458"/>
      <c r="HZ14" s="2458"/>
      <c r="IA14" s="2458"/>
      <c r="IB14" s="2458"/>
      <c r="IC14" s="2458"/>
      <c r="ID14" s="2458"/>
      <c r="IE14" s="2458"/>
      <c r="IF14" s="2458"/>
      <c r="IG14" s="2458"/>
      <c r="IH14" s="2458"/>
      <c r="II14" s="2458"/>
      <c r="IJ14" s="2458"/>
      <c r="IK14" s="2458"/>
      <c r="IL14" s="2458"/>
      <c r="IM14" s="2458"/>
      <c r="IN14" s="2458"/>
      <c r="IO14" s="2458"/>
      <c r="IP14" s="2458"/>
      <c r="IQ14" s="2458"/>
      <c r="IR14" s="2458"/>
      <c r="IS14" s="2458"/>
      <c r="IT14" s="2458"/>
      <c r="IU14" s="2458"/>
      <c r="IV14" s="2458"/>
    </row>
    <row r="15" spans="1:256">
      <c r="A15" s="2452">
        <f t="shared" si="0"/>
        <v>12</v>
      </c>
      <c r="B15" s="2453"/>
      <c r="C15" s="2453"/>
      <c r="D15" s="2456" t="str">
        <f t="shared" si="1"/>
        <v xml:space="preserve"> </v>
      </c>
      <c r="E15" s="2456" t="str">
        <f t="shared" si="17"/>
        <v/>
      </c>
      <c r="F15" s="2455">
        <f t="shared" si="2"/>
        <v>42</v>
      </c>
      <c r="G15" s="2460"/>
      <c r="H15" s="2460"/>
      <c r="I15" s="2456" t="str">
        <f t="shared" si="3"/>
        <v xml:space="preserve"> </v>
      </c>
      <c r="J15" s="2456" t="str">
        <f t="shared" si="13"/>
        <v/>
      </c>
      <c r="K15" s="2452">
        <f t="shared" si="4"/>
        <v>72</v>
      </c>
      <c r="L15" s="2460"/>
      <c r="M15" s="2460"/>
      <c r="N15" s="2456" t="str">
        <f t="shared" si="5"/>
        <v xml:space="preserve"> </v>
      </c>
      <c r="O15" s="2456" t="str">
        <f t="shared" si="14"/>
        <v/>
      </c>
      <c r="P15" s="2452">
        <f t="shared" si="6"/>
        <v>102</v>
      </c>
      <c r="Q15" s="2453"/>
      <c r="R15" s="2453"/>
      <c r="S15" s="2456" t="str">
        <f t="shared" si="7"/>
        <v xml:space="preserve"> </v>
      </c>
      <c r="T15" s="2456" t="str">
        <f t="shared" si="12"/>
        <v/>
      </c>
      <c r="U15" s="2455">
        <f t="shared" si="8"/>
        <v>132</v>
      </c>
      <c r="V15" s="2453"/>
      <c r="W15" s="2453"/>
      <c r="X15" s="2456" t="str">
        <f t="shared" si="9"/>
        <v xml:space="preserve"> </v>
      </c>
      <c r="Y15" s="2456" t="str">
        <f t="shared" si="15"/>
        <v/>
      </c>
      <c r="Z15" s="2452">
        <f t="shared" si="10"/>
        <v>162</v>
      </c>
      <c r="AA15" s="2453"/>
      <c r="AB15" s="2453"/>
      <c r="AC15" s="2456" t="str">
        <f t="shared" si="11"/>
        <v xml:space="preserve"> </v>
      </c>
      <c r="AD15" s="2456" t="str">
        <f t="shared" si="16"/>
        <v/>
      </c>
      <c r="AE15" s="2457"/>
      <c r="AF15" s="2457"/>
      <c r="AG15" s="2457"/>
      <c r="AH15" s="2457"/>
      <c r="AI15" s="2457"/>
      <c r="AJ15" s="2457"/>
      <c r="AK15" s="2457"/>
      <c r="AL15" s="2457"/>
      <c r="AM15" s="2457"/>
      <c r="AN15" s="2457"/>
      <c r="AO15" s="2457"/>
      <c r="AP15" s="2457"/>
      <c r="AQ15" s="2457"/>
      <c r="AR15" s="2457"/>
      <c r="AS15" s="2457"/>
      <c r="AT15" s="2457"/>
      <c r="AU15" s="2457"/>
      <c r="AV15" s="2457"/>
      <c r="AW15" s="2457"/>
      <c r="AX15" s="2457"/>
      <c r="AY15" s="2457"/>
      <c r="AZ15" s="2457"/>
      <c r="BA15" s="2457"/>
      <c r="BB15" s="2457"/>
      <c r="BC15" s="2457"/>
      <c r="BD15" s="2457"/>
      <c r="BE15" s="2457"/>
      <c r="BF15" s="2457"/>
      <c r="BG15" s="2457"/>
      <c r="BH15" s="2457"/>
      <c r="BI15" s="2458"/>
      <c r="BJ15" s="2458"/>
      <c r="BK15" s="2458"/>
      <c r="BL15" s="2458"/>
      <c r="BM15" s="2458"/>
      <c r="BN15" s="2458"/>
      <c r="BO15" s="2458"/>
      <c r="BP15" s="2458"/>
      <c r="BQ15" s="2458"/>
      <c r="BR15" s="2458"/>
      <c r="BS15" s="2458"/>
      <c r="BT15" s="2458"/>
      <c r="BU15" s="2458"/>
      <c r="BV15" s="2458"/>
      <c r="BW15" s="2458"/>
      <c r="BX15" s="2458"/>
      <c r="BY15" s="2458"/>
      <c r="BZ15" s="2458"/>
      <c r="CA15" s="2458"/>
      <c r="CB15" s="2458"/>
      <c r="CC15" s="2458"/>
      <c r="CD15" s="2458"/>
      <c r="CE15" s="2458"/>
      <c r="CF15" s="2458"/>
      <c r="CG15" s="2458"/>
      <c r="CH15" s="2458"/>
      <c r="CI15" s="2458"/>
      <c r="CJ15" s="2458"/>
      <c r="CK15" s="2458"/>
      <c r="CL15" s="2458"/>
      <c r="CM15" s="2458"/>
      <c r="CN15" s="2458"/>
      <c r="CO15" s="2458"/>
      <c r="CP15" s="2458"/>
      <c r="CQ15" s="2458"/>
      <c r="CR15" s="2458"/>
      <c r="CS15" s="2458"/>
      <c r="CT15" s="2458"/>
      <c r="CU15" s="2458"/>
      <c r="CV15" s="2458"/>
      <c r="CW15" s="2458"/>
      <c r="CX15" s="2458"/>
      <c r="CY15" s="2458"/>
      <c r="CZ15" s="2458"/>
      <c r="DA15" s="2458"/>
      <c r="DB15" s="2458"/>
      <c r="DC15" s="2458"/>
      <c r="DD15" s="2458"/>
      <c r="DE15" s="2458"/>
      <c r="DF15" s="2458"/>
      <c r="DG15" s="2458"/>
      <c r="DH15" s="2458"/>
      <c r="DI15" s="2458"/>
      <c r="DJ15" s="2458"/>
      <c r="DK15" s="2458"/>
      <c r="DL15" s="2458"/>
      <c r="DM15" s="2458"/>
      <c r="DN15" s="2458"/>
      <c r="DO15" s="2458"/>
      <c r="DP15" s="2458"/>
      <c r="DQ15" s="2458"/>
      <c r="DR15" s="2458"/>
      <c r="DS15" s="2458"/>
      <c r="DT15" s="2458"/>
      <c r="DU15" s="2458"/>
      <c r="DV15" s="2458"/>
      <c r="DW15" s="2458"/>
      <c r="DX15" s="2458"/>
      <c r="DY15" s="2458"/>
      <c r="DZ15" s="2458"/>
      <c r="EA15" s="2458"/>
      <c r="EB15" s="2458"/>
      <c r="EC15" s="2458"/>
      <c r="ED15" s="2458"/>
      <c r="EE15" s="2458"/>
      <c r="EF15" s="2458"/>
      <c r="EG15" s="2458"/>
      <c r="EH15" s="2458"/>
      <c r="EI15" s="2458"/>
      <c r="EJ15" s="2458"/>
      <c r="EK15" s="2458"/>
      <c r="EL15" s="2458"/>
      <c r="EM15" s="2458"/>
      <c r="EN15" s="2458"/>
      <c r="EO15" s="2458"/>
      <c r="EP15" s="2458"/>
      <c r="EQ15" s="2458"/>
      <c r="ER15" s="2458"/>
      <c r="ES15" s="2458"/>
      <c r="ET15" s="2458"/>
      <c r="EU15" s="2458"/>
      <c r="EV15" s="2458"/>
      <c r="EW15" s="2458"/>
      <c r="EX15" s="2458"/>
      <c r="EY15" s="2458"/>
      <c r="EZ15" s="2458"/>
      <c r="FA15" s="2458"/>
      <c r="FB15" s="2458"/>
      <c r="FC15" s="2458"/>
      <c r="FD15" s="2458"/>
      <c r="FE15" s="2458"/>
      <c r="FF15" s="2458"/>
      <c r="FG15" s="2458"/>
      <c r="FH15" s="2458"/>
      <c r="FI15" s="2458"/>
      <c r="FJ15" s="2458"/>
      <c r="FK15" s="2458"/>
      <c r="FL15" s="2458"/>
      <c r="FM15" s="2458"/>
      <c r="FN15" s="2458"/>
      <c r="FO15" s="2458"/>
      <c r="FP15" s="2458"/>
      <c r="FQ15" s="2458"/>
      <c r="FR15" s="2458"/>
      <c r="FS15" s="2458"/>
      <c r="FT15" s="2458"/>
      <c r="FU15" s="2458"/>
      <c r="FV15" s="2458"/>
      <c r="FW15" s="2458"/>
      <c r="FX15" s="2458"/>
      <c r="FY15" s="2458"/>
      <c r="FZ15" s="2458"/>
      <c r="GA15" s="2458"/>
      <c r="GB15" s="2458"/>
      <c r="GC15" s="2458"/>
      <c r="GD15" s="2458"/>
      <c r="GE15" s="2458"/>
      <c r="GF15" s="2458"/>
      <c r="GG15" s="2458"/>
      <c r="GH15" s="2458"/>
      <c r="GI15" s="2458"/>
      <c r="GJ15" s="2458"/>
      <c r="GK15" s="2458"/>
      <c r="GL15" s="2458"/>
      <c r="GM15" s="2458"/>
      <c r="GN15" s="2458"/>
      <c r="GO15" s="2458"/>
      <c r="GP15" s="2458"/>
      <c r="GQ15" s="2458"/>
      <c r="GR15" s="2458"/>
      <c r="GS15" s="2458"/>
      <c r="GT15" s="2458"/>
      <c r="GU15" s="2458"/>
      <c r="GV15" s="2458"/>
      <c r="GW15" s="2458"/>
      <c r="GX15" s="2458"/>
      <c r="GY15" s="2458"/>
      <c r="GZ15" s="2458"/>
      <c r="HA15" s="2458"/>
      <c r="HB15" s="2458"/>
      <c r="HC15" s="2458"/>
      <c r="HD15" s="2458"/>
      <c r="HE15" s="2458"/>
      <c r="HF15" s="2458"/>
      <c r="HG15" s="2458"/>
      <c r="HH15" s="2458"/>
      <c r="HI15" s="2458"/>
      <c r="HJ15" s="2458"/>
      <c r="HK15" s="2458"/>
      <c r="HL15" s="2458"/>
      <c r="HM15" s="2458"/>
      <c r="HN15" s="2458"/>
      <c r="HO15" s="2458"/>
      <c r="HP15" s="2458"/>
      <c r="HQ15" s="2458"/>
      <c r="HR15" s="2458"/>
      <c r="HS15" s="2458"/>
      <c r="HT15" s="2458"/>
      <c r="HU15" s="2458"/>
      <c r="HV15" s="2458"/>
      <c r="HW15" s="2458"/>
      <c r="HX15" s="2458"/>
      <c r="HY15" s="2458"/>
      <c r="HZ15" s="2458"/>
      <c r="IA15" s="2458"/>
      <c r="IB15" s="2458"/>
      <c r="IC15" s="2458"/>
      <c r="ID15" s="2458"/>
      <c r="IE15" s="2458"/>
      <c r="IF15" s="2458"/>
      <c r="IG15" s="2458"/>
      <c r="IH15" s="2458"/>
      <c r="II15" s="2458"/>
      <c r="IJ15" s="2458"/>
      <c r="IK15" s="2458"/>
      <c r="IL15" s="2458"/>
      <c r="IM15" s="2458"/>
      <c r="IN15" s="2458"/>
      <c r="IO15" s="2458"/>
      <c r="IP15" s="2458"/>
      <c r="IQ15" s="2458"/>
      <c r="IR15" s="2458"/>
      <c r="IS15" s="2458"/>
      <c r="IT15" s="2458"/>
      <c r="IU15" s="2458"/>
      <c r="IV15" s="2458"/>
    </row>
    <row r="16" spans="1:256">
      <c r="A16" s="2452">
        <f t="shared" si="0"/>
        <v>13</v>
      </c>
      <c r="B16" s="2453"/>
      <c r="C16" s="2453"/>
      <c r="D16" s="2456" t="str">
        <f t="shared" si="1"/>
        <v xml:space="preserve"> </v>
      </c>
      <c r="E16" s="2456" t="str">
        <f t="shared" si="17"/>
        <v/>
      </c>
      <c r="F16" s="2455">
        <f t="shared" si="2"/>
        <v>43</v>
      </c>
      <c r="G16" s="2453"/>
      <c r="H16" s="2453"/>
      <c r="I16" s="2456" t="str">
        <f t="shared" si="3"/>
        <v xml:space="preserve"> </v>
      </c>
      <c r="J16" s="2456" t="str">
        <f t="shared" si="13"/>
        <v/>
      </c>
      <c r="K16" s="2452">
        <f t="shared" si="4"/>
        <v>73</v>
      </c>
      <c r="L16" s="2453"/>
      <c r="M16" s="2453"/>
      <c r="N16" s="2456" t="str">
        <f t="shared" si="5"/>
        <v xml:space="preserve"> </v>
      </c>
      <c r="O16" s="2456" t="str">
        <f t="shared" si="14"/>
        <v/>
      </c>
      <c r="P16" s="2452">
        <f t="shared" si="6"/>
        <v>103</v>
      </c>
      <c r="Q16" s="2453"/>
      <c r="R16" s="2453"/>
      <c r="S16" s="2456" t="str">
        <f t="shared" si="7"/>
        <v xml:space="preserve"> </v>
      </c>
      <c r="T16" s="2456" t="str">
        <f t="shared" si="12"/>
        <v/>
      </c>
      <c r="U16" s="2455">
        <f t="shared" si="8"/>
        <v>133</v>
      </c>
      <c r="V16" s="2453"/>
      <c r="W16" s="2453"/>
      <c r="X16" s="2456" t="str">
        <f t="shared" si="9"/>
        <v xml:space="preserve"> </v>
      </c>
      <c r="Y16" s="2456" t="str">
        <f t="shared" si="15"/>
        <v/>
      </c>
      <c r="Z16" s="2452">
        <f t="shared" si="10"/>
        <v>163</v>
      </c>
      <c r="AA16" s="2453"/>
      <c r="AB16" s="2453"/>
      <c r="AC16" s="2456" t="str">
        <f t="shared" si="11"/>
        <v xml:space="preserve"> </v>
      </c>
      <c r="AD16" s="2456" t="str">
        <f t="shared" si="16"/>
        <v/>
      </c>
      <c r="AE16" s="2457"/>
      <c r="AF16" s="2457"/>
      <c r="AG16" s="2457"/>
      <c r="AH16" s="2457"/>
      <c r="AI16" s="2457"/>
      <c r="AJ16" s="2457"/>
      <c r="AK16" s="2457"/>
      <c r="AL16" s="2457"/>
      <c r="AM16" s="2457"/>
      <c r="AN16" s="2457"/>
      <c r="AO16" s="2457"/>
      <c r="AP16" s="2457"/>
      <c r="AQ16" s="2457"/>
      <c r="AR16" s="2457"/>
      <c r="AS16" s="2457"/>
      <c r="AT16" s="2457"/>
      <c r="AU16" s="2457"/>
      <c r="AV16" s="2457"/>
      <c r="AW16" s="2457"/>
      <c r="AX16" s="2457"/>
      <c r="AY16" s="2457"/>
      <c r="AZ16" s="2457"/>
      <c r="BA16" s="2457"/>
      <c r="BB16" s="2457"/>
      <c r="BC16" s="2457"/>
      <c r="BD16" s="2457"/>
      <c r="BE16" s="2457"/>
      <c r="BF16" s="2457"/>
      <c r="BG16" s="2457"/>
      <c r="BH16" s="2457"/>
      <c r="BI16" s="2458"/>
      <c r="BJ16" s="2458"/>
      <c r="BK16" s="2458"/>
      <c r="BL16" s="2458"/>
      <c r="BM16" s="2458"/>
      <c r="BN16" s="2458"/>
      <c r="BO16" s="2458"/>
      <c r="BP16" s="2458"/>
      <c r="BQ16" s="2458"/>
      <c r="BR16" s="2458"/>
      <c r="BS16" s="2458"/>
      <c r="BT16" s="2458"/>
      <c r="BU16" s="2458"/>
      <c r="BV16" s="2458"/>
      <c r="BW16" s="2458"/>
      <c r="BX16" s="2458"/>
      <c r="BY16" s="2458"/>
      <c r="BZ16" s="2458"/>
      <c r="CA16" s="2458"/>
      <c r="CB16" s="2458"/>
      <c r="CC16" s="2458"/>
      <c r="CD16" s="2458"/>
      <c r="CE16" s="2458"/>
      <c r="CF16" s="2458"/>
      <c r="CG16" s="2458"/>
      <c r="CH16" s="2458"/>
      <c r="CI16" s="2458"/>
      <c r="CJ16" s="2458"/>
      <c r="CK16" s="2458"/>
      <c r="CL16" s="2458"/>
      <c r="CM16" s="2458"/>
      <c r="CN16" s="2458"/>
      <c r="CO16" s="2458"/>
      <c r="CP16" s="2458"/>
      <c r="CQ16" s="2458"/>
      <c r="CR16" s="2458"/>
      <c r="CS16" s="2458"/>
      <c r="CT16" s="2458"/>
      <c r="CU16" s="2458"/>
      <c r="CV16" s="2458"/>
      <c r="CW16" s="2458"/>
      <c r="CX16" s="2458"/>
      <c r="CY16" s="2458"/>
      <c r="CZ16" s="2458"/>
      <c r="DA16" s="2458"/>
      <c r="DB16" s="2458"/>
      <c r="DC16" s="2458"/>
      <c r="DD16" s="2458"/>
      <c r="DE16" s="2458"/>
      <c r="DF16" s="2458"/>
      <c r="DG16" s="2458"/>
      <c r="DH16" s="2458"/>
      <c r="DI16" s="2458"/>
      <c r="DJ16" s="2458"/>
      <c r="DK16" s="2458"/>
      <c r="DL16" s="2458"/>
      <c r="DM16" s="2458"/>
      <c r="DN16" s="2458"/>
      <c r="DO16" s="2458"/>
      <c r="DP16" s="2458"/>
      <c r="DQ16" s="2458"/>
      <c r="DR16" s="2458"/>
      <c r="DS16" s="2458"/>
      <c r="DT16" s="2458"/>
      <c r="DU16" s="2458"/>
      <c r="DV16" s="2458"/>
      <c r="DW16" s="2458"/>
      <c r="DX16" s="2458"/>
      <c r="DY16" s="2458"/>
      <c r="DZ16" s="2458"/>
      <c r="EA16" s="2458"/>
      <c r="EB16" s="2458"/>
      <c r="EC16" s="2458"/>
      <c r="ED16" s="2458"/>
      <c r="EE16" s="2458"/>
      <c r="EF16" s="2458"/>
      <c r="EG16" s="2458"/>
      <c r="EH16" s="2458"/>
      <c r="EI16" s="2458"/>
      <c r="EJ16" s="2458"/>
      <c r="EK16" s="2458"/>
      <c r="EL16" s="2458"/>
      <c r="EM16" s="2458"/>
      <c r="EN16" s="2458"/>
      <c r="EO16" s="2458"/>
      <c r="EP16" s="2458"/>
      <c r="EQ16" s="2458"/>
      <c r="ER16" s="2458"/>
      <c r="ES16" s="2458"/>
      <c r="ET16" s="2458"/>
      <c r="EU16" s="2458"/>
      <c r="EV16" s="2458"/>
      <c r="EW16" s="2458"/>
      <c r="EX16" s="2458"/>
      <c r="EY16" s="2458"/>
      <c r="EZ16" s="2458"/>
      <c r="FA16" s="2458"/>
      <c r="FB16" s="2458"/>
      <c r="FC16" s="2458"/>
      <c r="FD16" s="2458"/>
      <c r="FE16" s="2458"/>
      <c r="FF16" s="2458"/>
      <c r="FG16" s="2458"/>
      <c r="FH16" s="2458"/>
      <c r="FI16" s="2458"/>
      <c r="FJ16" s="2458"/>
      <c r="FK16" s="2458"/>
      <c r="FL16" s="2458"/>
      <c r="FM16" s="2458"/>
      <c r="FN16" s="2458"/>
      <c r="FO16" s="2458"/>
      <c r="FP16" s="2458"/>
      <c r="FQ16" s="2458"/>
      <c r="FR16" s="2458"/>
      <c r="FS16" s="2458"/>
      <c r="FT16" s="2458"/>
      <c r="FU16" s="2458"/>
      <c r="FV16" s="2458"/>
      <c r="FW16" s="2458"/>
      <c r="FX16" s="2458"/>
      <c r="FY16" s="2458"/>
      <c r="FZ16" s="2458"/>
      <c r="GA16" s="2458"/>
      <c r="GB16" s="2458"/>
      <c r="GC16" s="2458"/>
      <c r="GD16" s="2458"/>
      <c r="GE16" s="2458"/>
      <c r="GF16" s="2458"/>
      <c r="GG16" s="2458"/>
      <c r="GH16" s="2458"/>
      <c r="GI16" s="2458"/>
      <c r="GJ16" s="2458"/>
      <c r="GK16" s="2458"/>
      <c r="GL16" s="2458"/>
      <c r="GM16" s="2458"/>
      <c r="GN16" s="2458"/>
      <c r="GO16" s="2458"/>
      <c r="GP16" s="2458"/>
      <c r="GQ16" s="2458"/>
      <c r="GR16" s="2458"/>
      <c r="GS16" s="2458"/>
      <c r="GT16" s="2458"/>
      <c r="GU16" s="2458"/>
      <c r="GV16" s="2458"/>
      <c r="GW16" s="2458"/>
      <c r="GX16" s="2458"/>
      <c r="GY16" s="2458"/>
      <c r="GZ16" s="2458"/>
      <c r="HA16" s="2458"/>
      <c r="HB16" s="2458"/>
      <c r="HC16" s="2458"/>
      <c r="HD16" s="2458"/>
      <c r="HE16" s="2458"/>
      <c r="HF16" s="2458"/>
      <c r="HG16" s="2458"/>
      <c r="HH16" s="2458"/>
      <c r="HI16" s="2458"/>
      <c r="HJ16" s="2458"/>
      <c r="HK16" s="2458"/>
      <c r="HL16" s="2458"/>
      <c r="HM16" s="2458"/>
      <c r="HN16" s="2458"/>
      <c r="HO16" s="2458"/>
      <c r="HP16" s="2458"/>
      <c r="HQ16" s="2458"/>
      <c r="HR16" s="2458"/>
      <c r="HS16" s="2458"/>
      <c r="HT16" s="2458"/>
      <c r="HU16" s="2458"/>
      <c r="HV16" s="2458"/>
      <c r="HW16" s="2458"/>
      <c r="HX16" s="2458"/>
      <c r="HY16" s="2458"/>
      <c r="HZ16" s="2458"/>
      <c r="IA16" s="2458"/>
      <c r="IB16" s="2458"/>
      <c r="IC16" s="2458"/>
      <c r="ID16" s="2458"/>
      <c r="IE16" s="2458"/>
      <c r="IF16" s="2458"/>
      <c r="IG16" s="2458"/>
      <c r="IH16" s="2458"/>
      <c r="II16" s="2458"/>
      <c r="IJ16" s="2458"/>
      <c r="IK16" s="2458"/>
      <c r="IL16" s="2458"/>
      <c r="IM16" s="2458"/>
      <c r="IN16" s="2458"/>
      <c r="IO16" s="2458"/>
      <c r="IP16" s="2458"/>
      <c r="IQ16" s="2458"/>
      <c r="IR16" s="2458"/>
      <c r="IS16" s="2458"/>
      <c r="IT16" s="2458"/>
      <c r="IU16" s="2458"/>
      <c r="IV16" s="2458"/>
    </row>
    <row r="17" spans="1:256">
      <c r="A17" s="2452">
        <f t="shared" si="0"/>
        <v>14</v>
      </c>
      <c r="B17" s="2453"/>
      <c r="C17" s="2453"/>
      <c r="D17" s="2456" t="str">
        <f t="shared" si="1"/>
        <v xml:space="preserve"> </v>
      </c>
      <c r="E17" s="2456" t="str">
        <f t="shared" si="17"/>
        <v/>
      </c>
      <c r="F17" s="2455">
        <f t="shared" si="2"/>
        <v>44</v>
      </c>
      <c r="G17" s="2453"/>
      <c r="H17" s="2453"/>
      <c r="I17" s="2456" t="str">
        <f t="shared" si="3"/>
        <v xml:space="preserve"> </v>
      </c>
      <c r="J17" s="2456" t="str">
        <f t="shared" si="13"/>
        <v/>
      </c>
      <c r="K17" s="2452">
        <f t="shared" si="4"/>
        <v>74</v>
      </c>
      <c r="L17" s="2453"/>
      <c r="M17" s="2453"/>
      <c r="N17" s="2456" t="str">
        <f t="shared" si="5"/>
        <v xml:space="preserve"> </v>
      </c>
      <c r="O17" s="2456" t="str">
        <f t="shared" si="14"/>
        <v/>
      </c>
      <c r="P17" s="2452">
        <f t="shared" si="6"/>
        <v>104</v>
      </c>
      <c r="Q17" s="2453"/>
      <c r="R17" s="2453"/>
      <c r="S17" s="2456" t="str">
        <f t="shared" si="7"/>
        <v xml:space="preserve"> </v>
      </c>
      <c r="T17" s="2456" t="str">
        <f t="shared" si="12"/>
        <v/>
      </c>
      <c r="U17" s="2455">
        <f t="shared" si="8"/>
        <v>134</v>
      </c>
      <c r="V17" s="2453"/>
      <c r="W17" s="2453"/>
      <c r="X17" s="2456" t="str">
        <f t="shared" si="9"/>
        <v xml:space="preserve"> </v>
      </c>
      <c r="Y17" s="2456" t="str">
        <f t="shared" si="15"/>
        <v/>
      </c>
      <c r="Z17" s="2452">
        <f t="shared" si="10"/>
        <v>164</v>
      </c>
      <c r="AA17" s="2453"/>
      <c r="AB17" s="2453"/>
      <c r="AC17" s="2456" t="str">
        <f t="shared" si="11"/>
        <v xml:space="preserve"> </v>
      </c>
      <c r="AD17" s="2456" t="str">
        <f t="shared" si="16"/>
        <v/>
      </c>
      <c r="AE17" s="2457"/>
      <c r="AF17" s="2457"/>
      <c r="AG17" s="2457"/>
      <c r="AH17" s="2457"/>
      <c r="AI17" s="2457"/>
      <c r="AJ17" s="2457"/>
      <c r="AK17" s="2457"/>
      <c r="AL17" s="2457"/>
      <c r="AM17" s="2457"/>
      <c r="AN17" s="2457"/>
      <c r="AO17" s="2457"/>
      <c r="AP17" s="2457"/>
      <c r="AQ17" s="2457"/>
      <c r="AR17" s="2457"/>
      <c r="AS17" s="2457"/>
      <c r="AT17" s="2457"/>
      <c r="AU17" s="2457"/>
      <c r="AV17" s="2457"/>
      <c r="AW17" s="2457"/>
      <c r="AX17" s="2457"/>
      <c r="AY17" s="2457"/>
      <c r="AZ17" s="2457"/>
      <c r="BA17" s="2457"/>
      <c r="BB17" s="2457"/>
      <c r="BC17" s="2457"/>
      <c r="BD17" s="2457"/>
      <c r="BE17" s="2457"/>
      <c r="BF17" s="2457"/>
      <c r="BG17" s="2457"/>
      <c r="BH17" s="2457"/>
      <c r="BI17" s="2458"/>
      <c r="BJ17" s="2458"/>
      <c r="BK17" s="2458"/>
      <c r="BL17" s="2458"/>
      <c r="BM17" s="2458"/>
      <c r="BN17" s="2458"/>
      <c r="BO17" s="2458"/>
      <c r="BP17" s="2458"/>
      <c r="BQ17" s="2458"/>
      <c r="BR17" s="2458"/>
      <c r="BS17" s="2458"/>
      <c r="BT17" s="2458"/>
      <c r="BU17" s="2458"/>
      <c r="BV17" s="2458"/>
      <c r="BW17" s="2458"/>
      <c r="BX17" s="2458"/>
      <c r="BY17" s="2458"/>
      <c r="BZ17" s="2458"/>
      <c r="CA17" s="2458"/>
      <c r="CB17" s="2458"/>
      <c r="CC17" s="2458"/>
      <c r="CD17" s="2458"/>
      <c r="CE17" s="2458"/>
      <c r="CF17" s="2458"/>
      <c r="CG17" s="2458"/>
      <c r="CH17" s="2458"/>
      <c r="CI17" s="2458"/>
      <c r="CJ17" s="2458"/>
      <c r="CK17" s="2458"/>
      <c r="CL17" s="2458"/>
      <c r="CM17" s="2458"/>
      <c r="CN17" s="2458"/>
      <c r="CO17" s="2458"/>
      <c r="CP17" s="2458"/>
      <c r="CQ17" s="2458"/>
      <c r="CR17" s="2458"/>
      <c r="CS17" s="2458"/>
      <c r="CT17" s="2458"/>
      <c r="CU17" s="2458"/>
      <c r="CV17" s="2458"/>
      <c r="CW17" s="2458"/>
      <c r="CX17" s="2458"/>
      <c r="CY17" s="2458"/>
      <c r="CZ17" s="2458"/>
      <c r="DA17" s="2458"/>
      <c r="DB17" s="2458"/>
      <c r="DC17" s="2458"/>
      <c r="DD17" s="2458"/>
      <c r="DE17" s="2458"/>
      <c r="DF17" s="2458"/>
      <c r="DG17" s="2458"/>
      <c r="DH17" s="2458"/>
      <c r="DI17" s="2458"/>
      <c r="DJ17" s="2458"/>
      <c r="DK17" s="2458"/>
      <c r="DL17" s="2458"/>
      <c r="DM17" s="2458"/>
      <c r="DN17" s="2458"/>
      <c r="DO17" s="2458"/>
      <c r="DP17" s="2458"/>
      <c r="DQ17" s="2458"/>
      <c r="DR17" s="2458"/>
      <c r="DS17" s="2458"/>
      <c r="DT17" s="2458"/>
      <c r="DU17" s="2458"/>
      <c r="DV17" s="2458"/>
      <c r="DW17" s="2458"/>
      <c r="DX17" s="2458"/>
      <c r="DY17" s="2458"/>
      <c r="DZ17" s="2458"/>
      <c r="EA17" s="2458"/>
      <c r="EB17" s="2458"/>
      <c r="EC17" s="2458"/>
      <c r="ED17" s="2458"/>
      <c r="EE17" s="2458"/>
      <c r="EF17" s="2458"/>
      <c r="EG17" s="2458"/>
      <c r="EH17" s="2458"/>
      <c r="EI17" s="2458"/>
      <c r="EJ17" s="2458"/>
      <c r="EK17" s="2458"/>
      <c r="EL17" s="2458"/>
      <c r="EM17" s="2458"/>
      <c r="EN17" s="2458"/>
      <c r="EO17" s="2458"/>
      <c r="EP17" s="2458"/>
      <c r="EQ17" s="2458"/>
      <c r="ER17" s="2458"/>
      <c r="ES17" s="2458"/>
      <c r="ET17" s="2458"/>
      <c r="EU17" s="2458"/>
      <c r="EV17" s="2458"/>
      <c r="EW17" s="2458"/>
      <c r="EX17" s="2458"/>
      <c r="EY17" s="2458"/>
      <c r="EZ17" s="2458"/>
      <c r="FA17" s="2458"/>
      <c r="FB17" s="2458"/>
      <c r="FC17" s="2458"/>
      <c r="FD17" s="2458"/>
      <c r="FE17" s="2458"/>
      <c r="FF17" s="2458"/>
      <c r="FG17" s="2458"/>
      <c r="FH17" s="2458"/>
      <c r="FI17" s="2458"/>
      <c r="FJ17" s="2458"/>
      <c r="FK17" s="2458"/>
      <c r="FL17" s="2458"/>
      <c r="FM17" s="2458"/>
      <c r="FN17" s="2458"/>
      <c r="FO17" s="2458"/>
      <c r="FP17" s="2458"/>
      <c r="FQ17" s="2458"/>
      <c r="FR17" s="2458"/>
      <c r="FS17" s="2458"/>
      <c r="FT17" s="2458"/>
      <c r="FU17" s="2458"/>
      <c r="FV17" s="2458"/>
      <c r="FW17" s="2458"/>
      <c r="FX17" s="2458"/>
      <c r="FY17" s="2458"/>
      <c r="FZ17" s="2458"/>
      <c r="GA17" s="2458"/>
      <c r="GB17" s="2458"/>
      <c r="GC17" s="2458"/>
      <c r="GD17" s="2458"/>
      <c r="GE17" s="2458"/>
      <c r="GF17" s="2458"/>
      <c r="GG17" s="2458"/>
      <c r="GH17" s="2458"/>
      <c r="GI17" s="2458"/>
      <c r="GJ17" s="2458"/>
      <c r="GK17" s="2458"/>
      <c r="GL17" s="2458"/>
      <c r="GM17" s="2458"/>
      <c r="GN17" s="2458"/>
      <c r="GO17" s="2458"/>
      <c r="GP17" s="2458"/>
      <c r="GQ17" s="2458"/>
      <c r="GR17" s="2458"/>
      <c r="GS17" s="2458"/>
      <c r="GT17" s="2458"/>
      <c r="GU17" s="2458"/>
      <c r="GV17" s="2458"/>
      <c r="GW17" s="2458"/>
      <c r="GX17" s="2458"/>
      <c r="GY17" s="2458"/>
      <c r="GZ17" s="2458"/>
      <c r="HA17" s="2458"/>
      <c r="HB17" s="2458"/>
      <c r="HC17" s="2458"/>
      <c r="HD17" s="2458"/>
      <c r="HE17" s="2458"/>
      <c r="HF17" s="2458"/>
      <c r="HG17" s="2458"/>
      <c r="HH17" s="2458"/>
      <c r="HI17" s="2458"/>
      <c r="HJ17" s="2458"/>
      <c r="HK17" s="2458"/>
      <c r="HL17" s="2458"/>
      <c r="HM17" s="2458"/>
      <c r="HN17" s="2458"/>
      <c r="HO17" s="2458"/>
      <c r="HP17" s="2458"/>
      <c r="HQ17" s="2458"/>
      <c r="HR17" s="2458"/>
      <c r="HS17" s="2458"/>
      <c r="HT17" s="2458"/>
      <c r="HU17" s="2458"/>
      <c r="HV17" s="2458"/>
      <c r="HW17" s="2458"/>
      <c r="HX17" s="2458"/>
      <c r="HY17" s="2458"/>
      <c r="HZ17" s="2458"/>
      <c r="IA17" s="2458"/>
      <c r="IB17" s="2458"/>
      <c r="IC17" s="2458"/>
      <c r="ID17" s="2458"/>
      <c r="IE17" s="2458"/>
      <c r="IF17" s="2458"/>
      <c r="IG17" s="2458"/>
      <c r="IH17" s="2458"/>
      <c r="II17" s="2458"/>
      <c r="IJ17" s="2458"/>
      <c r="IK17" s="2458"/>
      <c r="IL17" s="2458"/>
      <c r="IM17" s="2458"/>
      <c r="IN17" s="2458"/>
      <c r="IO17" s="2458"/>
      <c r="IP17" s="2458"/>
      <c r="IQ17" s="2458"/>
      <c r="IR17" s="2458"/>
      <c r="IS17" s="2458"/>
      <c r="IT17" s="2458"/>
      <c r="IU17" s="2458"/>
      <c r="IV17" s="2458"/>
    </row>
    <row r="18" spans="1:256">
      <c r="A18" s="2452">
        <f t="shared" si="0"/>
        <v>15</v>
      </c>
      <c r="B18" s="2453"/>
      <c r="C18" s="2453"/>
      <c r="D18" s="2456" t="str">
        <f t="shared" si="1"/>
        <v xml:space="preserve"> </v>
      </c>
      <c r="E18" s="2456" t="str">
        <f t="shared" si="17"/>
        <v/>
      </c>
      <c r="F18" s="2455">
        <f t="shared" si="2"/>
        <v>45</v>
      </c>
      <c r="G18" s="2453"/>
      <c r="H18" s="2453"/>
      <c r="I18" s="2456" t="str">
        <f t="shared" si="3"/>
        <v xml:space="preserve"> </v>
      </c>
      <c r="J18" s="2456" t="str">
        <f t="shared" si="13"/>
        <v/>
      </c>
      <c r="K18" s="2452">
        <f t="shared" si="4"/>
        <v>75</v>
      </c>
      <c r="L18" s="2453"/>
      <c r="M18" s="2453"/>
      <c r="N18" s="2456" t="str">
        <f t="shared" si="5"/>
        <v xml:space="preserve"> </v>
      </c>
      <c r="O18" s="2456" t="str">
        <f t="shared" si="14"/>
        <v/>
      </c>
      <c r="P18" s="2452">
        <f t="shared" si="6"/>
        <v>105</v>
      </c>
      <c r="Q18" s="2453"/>
      <c r="R18" s="2453"/>
      <c r="S18" s="2456" t="str">
        <f t="shared" si="7"/>
        <v xml:space="preserve"> </v>
      </c>
      <c r="T18" s="2456" t="str">
        <f t="shared" si="12"/>
        <v/>
      </c>
      <c r="U18" s="2455">
        <f t="shared" si="8"/>
        <v>135</v>
      </c>
      <c r="V18" s="2453"/>
      <c r="W18" s="2453"/>
      <c r="X18" s="2456" t="str">
        <f t="shared" si="9"/>
        <v xml:space="preserve"> </v>
      </c>
      <c r="Y18" s="2456" t="str">
        <f t="shared" si="15"/>
        <v/>
      </c>
      <c r="Z18" s="2452">
        <f t="shared" si="10"/>
        <v>165</v>
      </c>
      <c r="AA18" s="2453"/>
      <c r="AB18" s="2453"/>
      <c r="AC18" s="2456" t="str">
        <f t="shared" si="11"/>
        <v xml:space="preserve"> </v>
      </c>
      <c r="AD18" s="2456" t="str">
        <f t="shared" si="16"/>
        <v/>
      </c>
      <c r="AE18" s="2457"/>
      <c r="AF18" s="2457"/>
      <c r="AG18" s="2457"/>
      <c r="AH18" s="2457"/>
      <c r="AI18" s="2457"/>
      <c r="AJ18" s="2457"/>
      <c r="AK18" s="2457"/>
      <c r="AL18" s="2457"/>
      <c r="AM18" s="2457"/>
      <c r="AN18" s="2457"/>
      <c r="AO18" s="2457"/>
      <c r="AP18" s="2457"/>
      <c r="AQ18" s="2457"/>
      <c r="AR18" s="2457"/>
      <c r="AS18" s="2457"/>
      <c r="AT18" s="2457"/>
      <c r="AU18" s="2457"/>
      <c r="AV18" s="2457"/>
      <c r="AW18" s="2457"/>
      <c r="AX18" s="2457"/>
      <c r="AY18" s="2457"/>
      <c r="AZ18" s="2457"/>
      <c r="BA18" s="2457"/>
      <c r="BB18" s="2457"/>
      <c r="BC18" s="2457"/>
      <c r="BD18" s="2457"/>
      <c r="BE18" s="2457"/>
      <c r="BF18" s="2457"/>
      <c r="BG18" s="2457"/>
      <c r="BH18" s="2457"/>
      <c r="BI18" s="2458"/>
      <c r="BJ18" s="2458"/>
      <c r="BK18" s="2458"/>
      <c r="BL18" s="2458"/>
      <c r="BM18" s="2458"/>
      <c r="BN18" s="2458"/>
      <c r="BO18" s="2458"/>
      <c r="BP18" s="2458"/>
      <c r="BQ18" s="2458"/>
      <c r="BR18" s="2458"/>
      <c r="BS18" s="2458"/>
      <c r="BT18" s="2458"/>
      <c r="BU18" s="2458"/>
      <c r="BV18" s="2458"/>
      <c r="BW18" s="2458"/>
      <c r="BX18" s="2458"/>
      <c r="BY18" s="2458"/>
      <c r="BZ18" s="2458"/>
      <c r="CA18" s="2458"/>
      <c r="CB18" s="2458"/>
      <c r="CC18" s="2458"/>
      <c r="CD18" s="2458"/>
      <c r="CE18" s="2458"/>
      <c r="CF18" s="2458"/>
      <c r="CG18" s="2458"/>
      <c r="CH18" s="2458"/>
      <c r="CI18" s="2458"/>
      <c r="CJ18" s="2458"/>
      <c r="CK18" s="2458"/>
      <c r="CL18" s="2458"/>
      <c r="CM18" s="2458"/>
      <c r="CN18" s="2458"/>
      <c r="CO18" s="2458"/>
      <c r="CP18" s="2458"/>
      <c r="CQ18" s="2458"/>
      <c r="CR18" s="2458"/>
      <c r="CS18" s="2458"/>
      <c r="CT18" s="2458"/>
      <c r="CU18" s="2458"/>
      <c r="CV18" s="2458"/>
      <c r="CW18" s="2458"/>
      <c r="CX18" s="2458"/>
      <c r="CY18" s="2458"/>
      <c r="CZ18" s="2458"/>
      <c r="DA18" s="2458"/>
      <c r="DB18" s="2458"/>
      <c r="DC18" s="2458"/>
      <c r="DD18" s="2458"/>
      <c r="DE18" s="2458"/>
      <c r="DF18" s="2458"/>
      <c r="DG18" s="2458"/>
      <c r="DH18" s="2458"/>
      <c r="DI18" s="2458"/>
      <c r="DJ18" s="2458"/>
      <c r="DK18" s="2458"/>
      <c r="DL18" s="2458"/>
      <c r="DM18" s="2458"/>
      <c r="DN18" s="2458"/>
      <c r="DO18" s="2458"/>
      <c r="DP18" s="2458"/>
      <c r="DQ18" s="2458"/>
      <c r="DR18" s="2458"/>
      <c r="DS18" s="2458"/>
      <c r="DT18" s="2458"/>
      <c r="DU18" s="2458"/>
      <c r="DV18" s="2458"/>
      <c r="DW18" s="2458"/>
      <c r="DX18" s="2458"/>
      <c r="DY18" s="2458"/>
      <c r="DZ18" s="2458"/>
      <c r="EA18" s="2458"/>
      <c r="EB18" s="2458"/>
      <c r="EC18" s="2458"/>
      <c r="ED18" s="2458"/>
      <c r="EE18" s="2458"/>
      <c r="EF18" s="2458"/>
      <c r="EG18" s="2458"/>
      <c r="EH18" s="2458"/>
      <c r="EI18" s="2458"/>
      <c r="EJ18" s="2458"/>
      <c r="EK18" s="2458"/>
      <c r="EL18" s="2458"/>
      <c r="EM18" s="2458"/>
      <c r="EN18" s="2458"/>
      <c r="EO18" s="2458"/>
      <c r="EP18" s="2458"/>
      <c r="EQ18" s="2458"/>
      <c r="ER18" s="2458"/>
      <c r="ES18" s="2458"/>
      <c r="ET18" s="2458"/>
      <c r="EU18" s="2458"/>
      <c r="EV18" s="2458"/>
      <c r="EW18" s="2458"/>
      <c r="EX18" s="2458"/>
      <c r="EY18" s="2458"/>
      <c r="EZ18" s="2458"/>
      <c r="FA18" s="2458"/>
      <c r="FB18" s="2458"/>
      <c r="FC18" s="2458"/>
      <c r="FD18" s="2458"/>
      <c r="FE18" s="2458"/>
      <c r="FF18" s="2458"/>
      <c r="FG18" s="2458"/>
      <c r="FH18" s="2458"/>
      <c r="FI18" s="2458"/>
      <c r="FJ18" s="2458"/>
      <c r="FK18" s="2458"/>
      <c r="FL18" s="2458"/>
      <c r="FM18" s="2458"/>
      <c r="FN18" s="2458"/>
      <c r="FO18" s="2458"/>
      <c r="FP18" s="2458"/>
      <c r="FQ18" s="2458"/>
      <c r="FR18" s="2458"/>
      <c r="FS18" s="2458"/>
      <c r="FT18" s="2458"/>
      <c r="FU18" s="2458"/>
      <c r="FV18" s="2458"/>
      <c r="FW18" s="2458"/>
      <c r="FX18" s="2458"/>
      <c r="FY18" s="2458"/>
      <c r="FZ18" s="2458"/>
      <c r="GA18" s="2458"/>
      <c r="GB18" s="2458"/>
      <c r="GC18" s="2458"/>
      <c r="GD18" s="2458"/>
      <c r="GE18" s="2458"/>
      <c r="GF18" s="2458"/>
      <c r="GG18" s="2458"/>
      <c r="GH18" s="2458"/>
      <c r="GI18" s="2458"/>
      <c r="GJ18" s="2458"/>
      <c r="GK18" s="2458"/>
      <c r="GL18" s="2458"/>
      <c r="GM18" s="2458"/>
      <c r="GN18" s="2458"/>
      <c r="GO18" s="2458"/>
      <c r="GP18" s="2458"/>
      <c r="GQ18" s="2458"/>
      <c r="GR18" s="2458"/>
      <c r="GS18" s="2458"/>
      <c r="GT18" s="2458"/>
      <c r="GU18" s="2458"/>
      <c r="GV18" s="2458"/>
      <c r="GW18" s="2458"/>
      <c r="GX18" s="2458"/>
      <c r="GY18" s="2458"/>
      <c r="GZ18" s="2458"/>
      <c r="HA18" s="2458"/>
      <c r="HB18" s="2458"/>
      <c r="HC18" s="2458"/>
      <c r="HD18" s="2458"/>
      <c r="HE18" s="2458"/>
      <c r="HF18" s="2458"/>
      <c r="HG18" s="2458"/>
      <c r="HH18" s="2458"/>
      <c r="HI18" s="2458"/>
      <c r="HJ18" s="2458"/>
      <c r="HK18" s="2458"/>
      <c r="HL18" s="2458"/>
      <c r="HM18" s="2458"/>
      <c r="HN18" s="2458"/>
      <c r="HO18" s="2458"/>
      <c r="HP18" s="2458"/>
      <c r="HQ18" s="2458"/>
      <c r="HR18" s="2458"/>
      <c r="HS18" s="2458"/>
      <c r="HT18" s="2458"/>
      <c r="HU18" s="2458"/>
      <c r="HV18" s="2458"/>
      <c r="HW18" s="2458"/>
      <c r="HX18" s="2458"/>
      <c r="HY18" s="2458"/>
      <c r="HZ18" s="2458"/>
      <c r="IA18" s="2458"/>
      <c r="IB18" s="2458"/>
      <c r="IC18" s="2458"/>
      <c r="ID18" s="2458"/>
      <c r="IE18" s="2458"/>
      <c r="IF18" s="2458"/>
      <c r="IG18" s="2458"/>
      <c r="IH18" s="2458"/>
      <c r="II18" s="2458"/>
      <c r="IJ18" s="2458"/>
      <c r="IK18" s="2458"/>
      <c r="IL18" s="2458"/>
      <c r="IM18" s="2458"/>
      <c r="IN18" s="2458"/>
      <c r="IO18" s="2458"/>
      <c r="IP18" s="2458"/>
      <c r="IQ18" s="2458"/>
      <c r="IR18" s="2458"/>
      <c r="IS18" s="2458"/>
      <c r="IT18" s="2458"/>
      <c r="IU18" s="2458"/>
      <c r="IV18" s="2458"/>
    </row>
    <row r="19" spans="1:256">
      <c r="A19" s="2452">
        <f t="shared" si="0"/>
        <v>16</v>
      </c>
      <c r="B19" s="2453"/>
      <c r="C19" s="2453"/>
      <c r="D19" s="2456" t="str">
        <f t="shared" si="1"/>
        <v xml:space="preserve"> </v>
      </c>
      <c r="E19" s="2456" t="str">
        <f t="shared" si="17"/>
        <v/>
      </c>
      <c r="F19" s="2455">
        <f t="shared" si="2"/>
        <v>46</v>
      </c>
      <c r="G19" s="2461"/>
      <c r="H19" s="2461"/>
      <c r="I19" s="2456" t="str">
        <f t="shared" si="3"/>
        <v xml:space="preserve"> </v>
      </c>
      <c r="J19" s="2456" t="str">
        <f t="shared" si="13"/>
        <v/>
      </c>
      <c r="K19" s="2452">
        <f t="shared" si="4"/>
        <v>76</v>
      </c>
      <c r="L19" s="2461"/>
      <c r="M19" s="2461"/>
      <c r="N19" s="2456" t="str">
        <f t="shared" si="5"/>
        <v xml:space="preserve"> </v>
      </c>
      <c r="O19" s="2456" t="str">
        <f t="shared" si="14"/>
        <v/>
      </c>
      <c r="P19" s="2452">
        <f t="shared" si="6"/>
        <v>106</v>
      </c>
      <c r="Q19" s="2453"/>
      <c r="R19" s="2453"/>
      <c r="S19" s="2456" t="str">
        <f t="shared" si="7"/>
        <v xml:space="preserve"> </v>
      </c>
      <c r="T19" s="2456" t="str">
        <f t="shared" si="12"/>
        <v/>
      </c>
      <c r="U19" s="2455">
        <f t="shared" si="8"/>
        <v>136</v>
      </c>
      <c r="V19" s="2453"/>
      <c r="W19" s="2453"/>
      <c r="X19" s="2456" t="str">
        <f t="shared" si="9"/>
        <v xml:space="preserve"> </v>
      </c>
      <c r="Y19" s="2456" t="str">
        <f t="shared" si="15"/>
        <v/>
      </c>
      <c r="Z19" s="2452">
        <f t="shared" si="10"/>
        <v>166</v>
      </c>
      <c r="AA19" s="2453"/>
      <c r="AB19" s="2453"/>
      <c r="AC19" s="2456" t="str">
        <f t="shared" si="11"/>
        <v xml:space="preserve"> </v>
      </c>
      <c r="AD19" s="2456" t="str">
        <f t="shared" si="16"/>
        <v/>
      </c>
      <c r="AE19" s="2457"/>
      <c r="AF19" s="2457"/>
      <c r="AG19" s="2457"/>
      <c r="AH19" s="2457"/>
      <c r="AI19" s="2457"/>
      <c r="AJ19" s="2457"/>
      <c r="AK19" s="2457"/>
      <c r="AL19" s="2457"/>
      <c r="AM19" s="2457"/>
      <c r="AN19" s="2457"/>
      <c r="AO19" s="2457"/>
      <c r="AP19" s="2457"/>
      <c r="AQ19" s="2457"/>
      <c r="AR19" s="2457"/>
      <c r="AS19" s="2457"/>
      <c r="AT19" s="2457"/>
      <c r="AU19" s="2457"/>
      <c r="AV19" s="2457"/>
      <c r="AW19" s="2457"/>
      <c r="AX19" s="2457"/>
      <c r="AY19" s="2457"/>
      <c r="AZ19" s="2457"/>
      <c r="BA19" s="2457"/>
      <c r="BB19" s="2457"/>
      <c r="BC19" s="2457"/>
      <c r="BD19" s="2457"/>
      <c r="BE19" s="2457"/>
      <c r="BF19" s="2457"/>
      <c r="BG19" s="2457"/>
      <c r="BH19" s="2457"/>
      <c r="BI19" s="2458"/>
      <c r="BJ19" s="2458"/>
      <c r="BK19" s="2458"/>
      <c r="BL19" s="2458"/>
      <c r="BM19" s="2458"/>
      <c r="BN19" s="2458"/>
      <c r="BO19" s="2458"/>
      <c r="BP19" s="2458"/>
      <c r="BQ19" s="2458"/>
      <c r="BR19" s="2458"/>
      <c r="BS19" s="2458"/>
      <c r="BT19" s="2458"/>
      <c r="BU19" s="2458"/>
      <c r="BV19" s="2458"/>
      <c r="BW19" s="2458"/>
      <c r="BX19" s="2458"/>
      <c r="BY19" s="2458"/>
      <c r="BZ19" s="2458"/>
      <c r="CA19" s="2458"/>
      <c r="CB19" s="2458"/>
      <c r="CC19" s="2458"/>
      <c r="CD19" s="2458"/>
      <c r="CE19" s="2458"/>
      <c r="CF19" s="2458"/>
      <c r="CG19" s="2458"/>
      <c r="CH19" s="2458"/>
      <c r="CI19" s="2458"/>
      <c r="CJ19" s="2458"/>
      <c r="CK19" s="2458"/>
      <c r="CL19" s="2458"/>
      <c r="CM19" s="2458"/>
      <c r="CN19" s="2458"/>
      <c r="CO19" s="2458"/>
      <c r="CP19" s="2458"/>
      <c r="CQ19" s="2458"/>
      <c r="CR19" s="2458"/>
      <c r="CS19" s="2458"/>
      <c r="CT19" s="2458"/>
      <c r="CU19" s="2458"/>
      <c r="CV19" s="2458"/>
      <c r="CW19" s="2458"/>
      <c r="CX19" s="2458"/>
      <c r="CY19" s="2458"/>
      <c r="CZ19" s="2458"/>
      <c r="DA19" s="2458"/>
      <c r="DB19" s="2458"/>
      <c r="DC19" s="2458"/>
      <c r="DD19" s="2458"/>
      <c r="DE19" s="2458"/>
      <c r="DF19" s="2458"/>
      <c r="DG19" s="2458"/>
      <c r="DH19" s="2458"/>
      <c r="DI19" s="2458"/>
      <c r="DJ19" s="2458"/>
      <c r="DK19" s="2458"/>
      <c r="DL19" s="2458"/>
      <c r="DM19" s="2458"/>
      <c r="DN19" s="2458"/>
      <c r="DO19" s="2458"/>
      <c r="DP19" s="2458"/>
      <c r="DQ19" s="2458"/>
      <c r="DR19" s="2458"/>
      <c r="DS19" s="2458"/>
      <c r="DT19" s="2458"/>
      <c r="DU19" s="2458"/>
      <c r="DV19" s="2458"/>
      <c r="DW19" s="2458"/>
      <c r="DX19" s="2458"/>
      <c r="DY19" s="2458"/>
      <c r="DZ19" s="2458"/>
      <c r="EA19" s="2458"/>
      <c r="EB19" s="2458"/>
      <c r="EC19" s="2458"/>
      <c r="ED19" s="2458"/>
      <c r="EE19" s="2458"/>
      <c r="EF19" s="2458"/>
      <c r="EG19" s="2458"/>
      <c r="EH19" s="2458"/>
      <c r="EI19" s="2458"/>
      <c r="EJ19" s="2458"/>
      <c r="EK19" s="2458"/>
      <c r="EL19" s="2458"/>
      <c r="EM19" s="2458"/>
      <c r="EN19" s="2458"/>
      <c r="EO19" s="2458"/>
      <c r="EP19" s="2458"/>
      <c r="EQ19" s="2458"/>
      <c r="ER19" s="2458"/>
      <c r="ES19" s="2458"/>
      <c r="ET19" s="2458"/>
      <c r="EU19" s="2458"/>
      <c r="EV19" s="2458"/>
      <c r="EW19" s="2458"/>
      <c r="EX19" s="2458"/>
      <c r="EY19" s="2458"/>
      <c r="EZ19" s="2458"/>
      <c r="FA19" s="2458"/>
      <c r="FB19" s="2458"/>
      <c r="FC19" s="2458"/>
      <c r="FD19" s="2458"/>
      <c r="FE19" s="2458"/>
      <c r="FF19" s="2458"/>
      <c r="FG19" s="2458"/>
      <c r="FH19" s="2458"/>
      <c r="FI19" s="2458"/>
      <c r="FJ19" s="2458"/>
      <c r="FK19" s="2458"/>
      <c r="FL19" s="2458"/>
      <c r="FM19" s="2458"/>
      <c r="FN19" s="2458"/>
      <c r="FO19" s="2458"/>
      <c r="FP19" s="2458"/>
      <c r="FQ19" s="2458"/>
      <c r="FR19" s="2458"/>
      <c r="FS19" s="2458"/>
      <c r="FT19" s="2458"/>
      <c r="FU19" s="2458"/>
      <c r="FV19" s="2458"/>
      <c r="FW19" s="2458"/>
      <c r="FX19" s="2458"/>
      <c r="FY19" s="2458"/>
      <c r="FZ19" s="2458"/>
      <c r="GA19" s="2458"/>
      <c r="GB19" s="2458"/>
      <c r="GC19" s="2458"/>
      <c r="GD19" s="2458"/>
      <c r="GE19" s="2458"/>
      <c r="GF19" s="2458"/>
      <c r="GG19" s="2458"/>
      <c r="GH19" s="2458"/>
      <c r="GI19" s="2458"/>
      <c r="GJ19" s="2458"/>
      <c r="GK19" s="2458"/>
      <c r="GL19" s="2458"/>
      <c r="GM19" s="2458"/>
      <c r="GN19" s="2458"/>
      <c r="GO19" s="2458"/>
      <c r="GP19" s="2458"/>
      <c r="GQ19" s="2458"/>
      <c r="GR19" s="2458"/>
      <c r="GS19" s="2458"/>
      <c r="GT19" s="2458"/>
      <c r="GU19" s="2458"/>
      <c r="GV19" s="2458"/>
      <c r="GW19" s="2458"/>
      <c r="GX19" s="2458"/>
      <c r="GY19" s="2458"/>
      <c r="GZ19" s="2458"/>
      <c r="HA19" s="2458"/>
      <c r="HB19" s="2458"/>
      <c r="HC19" s="2458"/>
      <c r="HD19" s="2458"/>
      <c r="HE19" s="2458"/>
      <c r="HF19" s="2458"/>
      <c r="HG19" s="2458"/>
      <c r="HH19" s="2458"/>
      <c r="HI19" s="2458"/>
      <c r="HJ19" s="2458"/>
      <c r="HK19" s="2458"/>
      <c r="HL19" s="2458"/>
      <c r="HM19" s="2458"/>
      <c r="HN19" s="2458"/>
      <c r="HO19" s="2458"/>
      <c r="HP19" s="2458"/>
      <c r="HQ19" s="2458"/>
      <c r="HR19" s="2458"/>
      <c r="HS19" s="2458"/>
      <c r="HT19" s="2458"/>
      <c r="HU19" s="2458"/>
      <c r="HV19" s="2458"/>
      <c r="HW19" s="2458"/>
      <c r="HX19" s="2458"/>
      <c r="HY19" s="2458"/>
      <c r="HZ19" s="2458"/>
      <c r="IA19" s="2458"/>
      <c r="IB19" s="2458"/>
      <c r="IC19" s="2458"/>
      <c r="ID19" s="2458"/>
      <c r="IE19" s="2458"/>
      <c r="IF19" s="2458"/>
      <c r="IG19" s="2458"/>
      <c r="IH19" s="2458"/>
      <c r="II19" s="2458"/>
      <c r="IJ19" s="2458"/>
      <c r="IK19" s="2458"/>
      <c r="IL19" s="2458"/>
      <c r="IM19" s="2458"/>
      <c r="IN19" s="2458"/>
      <c r="IO19" s="2458"/>
      <c r="IP19" s="2458"/>
      <c r="IQ19" s="2458"/>
      <c r="IR19" s="2458"/>
      <c r="IS19" s="2458"/>
      <c r="IT19" s="2458"/>
      <c r="IU19" s="2458"/>
      <c r="IV19" s="2458"/>
    </row>
    <row r="20" spans="1:256">
      <c r="A20" s="2452">
        <f t="shared" si="0"/>
        <v>17</v>
      </c>
      <c r="B20" s="2453"/>
      <c r="C20" s="2453"/>
      <c r="D20" s="2456" t="str">
        <f t="shared" si="1"/>
        <v xml:space="preserve"> </v>
      </c>
      <c r="E20" s="2456" t="str">
        <f t="shared" si="17"/>
        <v/>
      </c>
      <c r="F20" s="2455">
        <f t="shared" si="2"/>
        <v>47</v>
      </c>
      <c r="G20" s="2453"/>
      <c r="H20" s="2453"/>
      <c r="I20" s="2456" t="str">
        <f t="shared" si="3"/>
        <v xml:space="preserve"> </v>
      </c>
      <c r="J20" s="2456" t="str">
        <f t="shared" si="13"/>
        <v/>
      </c>
      <c r="K20" s="2452">
        <f t="shared" si="4"/>
        <v>77</v>
      </c>
      <c r="L20" s="2453"/>
      <c r="M20" s="2453"/>
      <c r="N20" s="2456" t="str">
        <f t="shared" si="5"/>
        <v xml:space="preserve"> </v>
      </c>
      <c r="O20" s="2456" t="str">
        <f t="shared" si="14"/>
        <v/>
      </c>
      <c r="P20" s="2452">
        <f t="shared" si="6"/>
        <v>107</v>
      </c>
      <c r="Q20" s="2453"/>
      <c r="R20" s="2453"/>
      <c r="S20" s="2456" t="str">
        <f t="shared" si="7"/>
        <v xml:space="preserve"> </v>
      </c>
      <c r="T20" s="2456" t="str">
        <f t="shared" si="12"/>
        <v/>
      </c>
      <c r="U20" s="2455">
        <f t="shared" si="8"/>
        <v>137</v>
      </c>
      <c r="V20" s="2453"/>
      <c r="W20" s="2453"/>
      <c r="X20" s="2456" t="str">
        <f t="shared" si="9"/>
        <v xml:space="preserve"> </v>
      </c>
      <c r="Y20" s="2456" t="str">
        <f t="shared" si="15"/>
        <v/>
      </c>
      <c r="Z20" s="2452">
        <f t="shared" si="10"/>
        <v>167</v>
      </c>
      <c r="AA20" s="2453"/>
      <c r="AB20" s="2453"/>
      <c r="AC20" s="2456" t="str">
        <f t="shared" si="11"/>
        <v xml:space="preserve"> </v>
      </c>
      <c r="AD20" s="2456" t="str">
        <f t="shared" si="16"/>
        <v/>
      </c>
      <c r="AE20" s="2457"/>
      <c r="AF20" s="2457"/>
      <c r="AG20" s="2457"/>
      <c r="AH20" s="2457"/>
      <c r="AI20" s="2457"/>
      <c r="AJ20" s="2457"/>
      <c r="AK20" s="2457"/>
      <c r="AL20" s="2457"/>
      <c r="AM20" s="2457"/>
      <c r="AN20" s="2457"/>
      <c r="AO20" s="2457"/>
      <c r="AP20" s="2457"/>
      <c r="AQ20" s="2457"/>
      <c r="AR20" s="2457"/>
      <c r="AS20" s="2457"/>
      <c r="AT20" s="2457"/>
      <c r="AU20" s="2457"/>
      <c r="AV20" s="2457"/>
      <c r="AW20" s="2457"/>
      <c r="AX20" s="2457"/>
      <c r="AY20" s="2457"/>
      <c r="AZ20" s="2457"/>
      <c r="BA20" s="2457"/>
      <c r="BB20" s="2457"/>
      <c r="BC20" s="2457"/>
      <c r="BD20" s="2457"/>
      <c r="BE20" s="2457"/>
      <c r="BF20" s="2457"/>
      <c r="BG20" s="2457"/>
      <c r="BH20" s="2457"/>
      <c r="BI20" s="2458"/>
      <c r="BJ20" s="2458"/>
      <c r="BK20" s="2458"/>
      <c r="BL20" s="2458"/>
      <c r="BM20" s="2458"/>
      <c r="BN20" s="2458"/>
      <c r="BO20" s="2458"/>
      <c r="BP20" s="2458"/>
      <c r="BQ20" s="2458"/>
      <c r="BR20" s="2458"/>
      <c r="BS20" s="2458"/>
      <c r="BT20" s="2458"/>
      <c r="BU20" s="2458"/>
      <c r="BV20" s="2458"/>
      <c r="BW20" s="2458"/>
      <c r="BX20" s="2458"/>
      <c r="BY20" s="2458"/>
      <c r="BZ20" s="2458"/>
      <c r="CA20" s="2458"/>
      <c r="CB20" s="2458"/>
      <c r="CC20" s="2458"/>
      <c r="CD20" s="2458"/>
      <c r="CE20" s="2458"/>
      <c r="CF20" s="2458"/>
      <c r="CG20" s="2458"/>
      <c r="CH20" s="2458"/>
      <c r="CI20" s="2458"/>
      <c r="CJ20" s="2458"/>
      <c r="CK20" s="2458"/>
      <c r="CL20" s="2458"/>
      <c r="CM20" s="2458"/>
      <c r="CN20" s="2458"/>
      <c r="CO20" s="2458"/>
      <c r="CP20" s="2458"/>
      <c r="CQ20" s="2458"/>
      <c r="CR20" s="2458"/>
      <c r="CS20" s="2458"/>
      <c r="CT20" s="2458"/>
      <c r="CU20" s="2458"/>
      <c r="CV20" s="2458"/>
      <c r="CW20" s="2458"/>
      <c r="CX20" s="2458"/>
      <c r="CY20" s="2458"/>
      <c r="CZ20" s="2458"/>
      <c r="DA20" s="2458"/>
      <c r="DB20" s="2458"/>
      <c r="DC20" s="2458"/>
      <c r="DD20" s="2458"/>
      <c r="DE20" s="2458"/>
      <c r="DF20" s="2458"/>
      <c r="DG20" s="2458"/>
      <c r="DH20" s="2458"/>
      <c r="DI20" s="2458"/>
      <c r="DJ20" s="2458"/>
      <c r="DK20" s="2458"/>
      <c r="DL20" s="2458"/>
      <c r="DM20" s="2458"/>
      <c r="DN20" s="2458"/>
      <c r="DO20" s="2458"/>
      <c r="DP20" s="2458"/>
      <c r="DQ20" s="2458"/>
      <c r="DR20" s="2458"/>
      <c r="DS20" s="2458"/>
      <c r="DT20" s="2458"/>
      <c r="DU20" s="2458"/>
      <c r="DV20" s="2458"/>
      <c r="DW20" s="2458"/>
      <c r="DX20" s="2458"/>
      <c r="DY20" s="2458"/>
      <c r="DZ20" s="2458"/>
      <c r="EA20" s="2458"/>
      <c r="EB20" s="2458"/>
      <c r="EC20" s="2458"/>
      <c r="ED20" s="2458"/>
      <c r="EE20" s="2458"/>
      <c r="EF20" s="2458"/>
      <c r="EG20" s="2458"/>
      <c r="EH20" s="2458"/>
      <c r="EI20" s="2458"/>
      <c r="EJ20" s="2458"/>
      <c r="EK20" s="2458"/>
      <c r="EL20" s="2458"/>
      <c r="EM20" s="2458"/>
      <c r="EN20" s="2458"/>
      <c r="EO20" s="2458"/>
      <c r="EP20" s="2458"/>
      <c r="EQ20" s="2458"/>
      <c r="ER20" s="2458"/>
      <c r="ES20" s="2458"/>
      <c r="ET20" s="2458"/>
      <c r="EU20" s="2458"/>
      <c r="EV20" s="2458"/>
      <c r="EW20" s="2458"/>
      <c r="EX20" s="2458"/>
      <c r="EY20" s="2458"/>
      <c r="EZ20" s="2458"/>
      <c r="FA20" s="2458"/>
      <c r="FB20" s="2458"/>
      <c r="FC20" s="2458"/>
      <c r="FD20" s="2458"/>
      <c r="FE20" s="2458"/>
      <c r="FF20" s="2458"/>
      <c r="FG20" s="2458"/>
      <c r="FH20" s="2458"/>
      <c r="FI20" s="2458"/>
      <c r="FJ20" s="2458"/>
      <c r="FK20" s="2458"/>
      <c r="FL20" s="2458"/>
      <c r="FM20" s="2458"/>
      <c r="FN20" s="2458"/>
      <c r="FO20" s="2458"/>
      <c r="FP20" s="2458"/>
      <c r="FQ20" s="2458"/>
      <c r="FR20" s="2458"/>
      <c r="FS20" s="2458"/>
      <c r="FT20" s="2458"/>
      <c r="FU20" s="2458"/>
      <c r="FV20" s="2458"/>
      <c r="FW20" s="2458"/>
      <c r="FX20" s="2458"/>
      <c r="FY20" s="2458"/>
      <c r="FZ20" s="2458"/>
      <c r="GA20" s="2458"/>
      <c r="GB20" s="2458"/>
      <c r="GC20" s="2458"/>
      <c r="GD20" s="2458"/>
      <c r="GE20" s="2458"/>
      <c r="GF20" s="2458"/>
      <c r="GG20" s="2458"/>
      <c r="GH20" s="2458"/>
      <c r="GI20" s="2458"/>
      <c r="GJ20" s="2458"/>
      <c r="GK20" s="2458"/>
      <c r="GL20" s="2458"/>
      <c r="GM20" s="2458"/>
      <c r="GN20" s="2458"/>
      <c r="GO20" s="2458"/>
      <c r="GP20" s="2458"/>
      <c r="GQ20" s="2458"/>
      <c r="GR20" s="2458"/>
      <c r="GS20" s="2458"/>
      <c r="GT20" s="2458"/>
      <c r="GU20" s="2458"/>
      <c r="GV20" s="2458"/>
      <c r="GW20" s="2458"/>
      <c r="GX20" s="2458"/>
      <c r="GY20" s="2458"/>
      <c r="GZ20" s="2458"/>
      <c r="HA20" s="2458"/>
      <c r="HB20" s="2458"/>
      <c r="HC20" s="2458"/>
      <c r="HD20" s="2458"/>
      <c r="HE20" s="2458"/>
      <c r="HF20" s="2458"/>
      <c r="HG20" s="2458"/>
      <c r="HH20" s="2458"/>
      <c r="HI20" s="2458"/>
      <c r="HJ20" s="2458"/>
      <c r="HK20" s="2458"/>
      <c r="HL20" s="2458"/>
      <c r="HM20" s="2458"/>
      <c r="HN20" s="2458"/>
      <c r="HO20" s="2458"/>
      <c r="HP20" s="2458"/>
      <c r="HQ20" s="2458"/>
      <c r="HR20" s="2458"/>
      <c r="HS20" s="2458"/>
      <c r="HT20" s="2458"/>
      <c r="HU20" s="2458"/>
      <c r="HV20" s="2458"/>
      <c r="HW20" s="2458"/>
      <c r="HX20" s="2458"/>
      <c r="HY20" s="2458"/>
      <c r="HZ20" s="2458"/>
      <c r="IA20" s="2458"/>
      <c r="IB20" s="2458"/>
      <c r="IC20" s="2458"/>
      <c r="ID20" s="2458"/>
      <c r="IE20" s="2458"/>
      <c r="IF20" s="2458"/>
      <c r="IG20" s="2458"/>
      <c r="IH20" s="2458"/>
      <c r="II20" s="2458"/>
      <c r="IJ20" s="2458"/>
      <c r="IK20" s="2458"/>
      <c r="IL20" s="2458"/>
      <c r="IM20" s="2458"/>
      <c r="IN20" s="2458"/>
      <c r="IO20" s="2458"/>
      <c r="IP20" s="2458"/>
      <c r="IQ20" s="2458"/>
      <c r="IR20" s="2458"/>
      <c r="IS20" s="2458"/>
      <c r="IT20" s="2458"/>
      <c r="IU20" s="2458"/>
      <c r="IV20" s="2458"/>
    </row>
    <row r="21" spans="1:256">
      <c r="A21" s="2452">
        <f t="shared" si="0"/>
        <v>18</v>
      </c>
      <c r="B21" s="2453"/>
      <c r="C21" s="2453"/>
      <c r="D21" s="2456" t="str">
        <f t="shared" si="1"/>
        <v xml:space="preserve"> </v>
      </c>
      <c r="E21" s="2456" t="str">
        <f t="shared" si="17"/>
        <v/>
      </c>
      <c r="F21" s="2455">
        <f t="shared" si="2"/>
        <v>48</v>
      </c>
      <c r="G21" s="2453"/>
      <c r="H21" s="2453"/>
      <c r="I21" s="2456" t="str">
        <f t="shared" si="3"/>
        <v xml:space="preserve"> </v>
      </c>
      <c r="J21" s="2456" t="str">
        <f t="shared" si="13"/>
        <v/>
      </c>
      <c r="K21" s="2452">
        <f t="shared" si="4"/>
        <v>78</v>
      </c>
      <c r="L21" s="2453"/>
      <c r="M21" s="2453"/>
      <c r="N21" s="2456" t="str">
        <f t="shared" si="5"/>
        <v xml:space="preserve"> </v>
      </c>
      <c r="O21" s="2456" t="str">
        <f t="shared" si="14"/>
        <v/>
      </c>
      <c r="P21" s="2452">
        <f t="shared" si="6"/>
        <v>108</v>
      </c>
      <c r="Q21" s="2453"/>
      <c r="R21" s="2453"/>
      <c r="S21" s="2456" t="str">
        <f t="shared" si="7"/>
        <v xml:space="preserve"> </v>
      </c>
      <c r="T21" s="2456" t="str">
        <f t="shared" si="12"/>
        <v/>
      </c>
      <c r="U21" s="2455">
        <f t="shared" si="8"/>
        <v>138</v>
      </c>
      <c r="V21" s="2453"/>
      <c r="W21" s="2453"/>
      <c r="X21" s="2456" t="str">
        <f t="shared" si="9"/>
        <v xml:space="preserve"> </v>
      </c>
      <c r="Y21" s="2456" t="str">
        <f t="shared" si="15"/>
        <v/>
      </c>
      <c r="Z21" s="2452">
        <f t="shared" si="10"/>
        <v>168</v>
      </c>
      <c r="AA21" s="2453"/>
      <c r="AB21" s="2453"/>
      <c r="AC21" s="2456" t="str">
        <f t="shared" si="11"/>
        <v xml:space="preserve"> </v>
      </c>
      <c r="AD21" s="2456" t="str">
        <f t="shared" si="16"/>
        <v/>
      </c>
      <c r="AE21" s="2457"/>
      <c r="AF21" s="2457"/>
      <c r="AG21" s="2457"/>
      <c r="AH21" s="2457"/>
      <c r="AI21" s="2457"/>
      <c r="AJ21" s="2457"/>
      <c r="AK21" s="2457"/>
      <c r="AL21" s="2457"/>
      <c r="AM21" s="2457"/>
      <c r="AN21" s="2457"/>
      <c r="AO21" s="2457"/>
      <c r="AP21" s="2457"/>
      <c r="AQ21" s="2457"/>
      <c r="AR21" s="2457"/>
      <c r="AS21" s="2457"/>
      <c r="AT21" s="2457"/>
      <c r="AU21" s="2457"/>
      <c r="AV21" s="2457"/>
      <c r="AW21" s="2457"/>
      <c r="AX21" s="2457"/>
      <c r="AY21" s="2457"/>
      <c r="AZ21" s="2457"/>
      <c r="BA21" s="2457"/>
      <c r="BB21" s="2457"/>
      <c r="BC21" s="2457"/>
      <c r="BD21" s="2457"/>
      <c r="BE21" s="2457"/>
      <c r="BF21" s="2457"/>
      <c r="BG21" s="2457"/>
      <c r="BH21" s="2457"/>
      <c r="BI21" s="2458"/>
      <c r="BJ21" s="2458"/>
      <c r="BK21" s="2458"/>
      <c r="BL21" s="2458"/>
      <c r="BM21" s="2458"/>
      <c r="BN21" s="2458"/>
      <c r="BO21" s="2458"/>
      <c r="BP21" s="2458"/>
      <c r="BQ21" s="2458"/>
      <c r="BR21" s="2458"/>
      <c r="BS21" s="2458"/>
      <c r="BT21" s="2458"/>
      <c r="BU21" s="2458"/>
      <c r="BV21" s="2458"/>
      <c r="BW21" s="2458"/>
      <c r="BX21" s="2458"/>
      <c r="BY21" s="2458"/>
      <c r="BZ21" s="2458"/>
      <c r="CA21" s="2458"/>
      <c r="CB21" s="2458"/>
      <c r="CC21" s="2458"/>
      <c r="CD21" s="2458"/>
      <c r="CE21" s="2458"/>
      <c r="CF21" s="2458"/>
      <c r="CG21" s="2458"/>
      <c r="CH21" s="2458"/>
      <c r="CI21" s="2458"/>
      <c r="CJ21" s="2458"/>
      <c r="CK21" s="2458"/>
      <c r="CL21" s="2458"/>
      <c r="CM21" s="2458"/>
      <c r="CN21" s="2458"/>
      <c r="CO21" s="2458"/>
      <c r="CP21" s="2458"/>
      <c r="CQ21" s="2458"/>
      <c r="CR21" s="2458"/>
      <c r="CS21" s="2458"/>
      <c r="CT21" s="2458"/>
      <c r="CU21" s="2458"/>
      <c r="CV21" s="2458"/>
      <c r="CW21" s="2458"/>
      <c r="CX21" s="2458"/>
      <c r="CY21" s="2458"/>
      <c r="CZ21" s="2458"/>
      <c r="DA21" s="2458"/>
      <c r="DB21" s="2458"/>
      <c r="DC21" s="2458"/>
      <c r="DD21" s="2458"/>
      <c r="DE21" s="2458"/>
      <c r="DF21" s="2458"/>
      <c r="DG21" s="2458"/>
      <c r="DH21" s="2458"/>
      <c r="DI21" s="2458"/>
      <c r="DJ21" s="2458"/>
      <c r="DK21" s="2458"/>
      <c r="DL21" s="2458"/>
      <c r="DM21" s="2458"/>
      <c r="DN21" s="2458"/>
      <c r="DO21" s="2458"/>
      <c r="DP21" s="2458"/>
      <c r="DQ21" s="2458"/>
      <c r="DR21" s="2458"/>
      <c r="DS21" s="2458"/>
      <c r="DT21" s="2458"/>
      <c r="DU21" s="2458"/>
      <c r="DV21" s="2458"/>
      <c r="DW21" s="2458"/>
      <c r="DX21" s="2458"/>
      <c r="DY21" s="2458"/>
      <c r="DZ21" s="2458"/>
      <c r="EA21" s="2458"/>
      <c r="EB21" s="2458"/>
      <c r="EC21" s="2458"/>
      <c r="ED21" s="2458"/>
      <c r="EE21" s="2458"/>
      <c r="EF21" s="2458"/>
      <c r="EG21" s="2458"/>
      <c r="EH21" s="2458"/>
      <c r="EI21" s="2458"/>
      <c r="EJ21" s="2458"/>
      <c r="EK21" s="2458"/>
      <c r="EL21" s="2458"/>
      <c r="EM21" s="2458"/>
      <c r="EN21" s="2458"/>
      <c r="EO21" s="2458"/>
      <c r="EP21" s="2458"/>
      <c r="EQ21" s="2458"/>
      <c r="ER21" s="2458"/>
      <c r="ES21" s="2458"/>
      <c r="ET21" s="2458"/>
      <c r="EU21" s="2458"/>
      <c r="EV21" s="2458"/>
      <c r="EW21" s="2458"/>
      <c r="EX21" s="2458"/>
      <c r="EY21" s="2458"/>
      <c r="EZ21" s="2458"/>
      <c r="FA21" s="2458"/>
      <c r="FB21" s="2458"/>
      <c r="FC21" s="2458"/>
      <c r="FD21" s="2458"/>
      <c r="FE21" s="2458"/>
      <c r="FF21" s="2458"/>
      <c r="FG21" s="2458"/>
      <c r="FH21" s="2458"/>
      <c r="FI21" s="2458"/>
      <c r="FJ21" s="2458"/>
      <c r="FK21" s="2458"/>
      <c r="FL21" s="2458"/>
      <c r="FM21" s="2458"/>
      <c r="FN21" s="2458"/>
      <c r="FO21" s="2458"/>
      <c r="FP21" s="2458"/>
      <c r="FQ21" s="2458"/>
      <c r="FR21" s="2458"/>
      <c r="FS21" s="2458"/>
      <c r="FT21" s="2458"/>
      <c r="FU21" s="2458"/>
      <c r="FV21" s="2458"/>
      <c r="FW21" s="2458"/>
      <c r="FX21" s="2458"/>
      <c r="FY21" s="2458"/>
      <c r="FZ21" s="2458"/>
      <c r="GA21" s="2458"/>
      <c r="GB21" s="2458"/>
      <c r="GC21" s="2458"/>
      <c r="GD21" s="2458"/>
      <c r="GE21" s="2458"/>
      <c r="GF21" s="2458"/>
      <c r="GG21" s="2458"/>
      <c r="GH21" s="2458"/>
      <c r="GI21" s="2458"/>
      <c r="GJ21" s="2458"/>
      <c r="GK21" s="2458"/>
      <c r="GL21" s="2458"/>
      <c r="GM21" s="2458"/>
      <c r="GN21" s="2458"/>
      <c r="GO21" s="2458"/>
      <c r="GP21" s="2458"/>
      <c r="GQ21" s="2458"/>
      <c r="GR21" s="2458"/>
      <c r="GS21" s="2458"/>
      <c r="GT21" s="2458"/>
      <c r="GU21" s="2458"/>
      <c r="GV21" s="2458"/>
      <c r="GW21" s="2458"/>
      <c r="GX21" s="2458"/>
      <c r="GY21" s="2458"/>
      <c r="GZ21" s="2458"/>
      <c r="HA21" s="2458"/>
      <c r="HB21" s="2458"/>
      <c r="HC21" s="2458"/>
      <c r="HD21" s="2458"/>
      <c r="HE21" s="2458"/>
      <c r="HF21" s="2458"/>
      <c r="HG21" s="2458"/>
      <c r="HH21" s="2458"/>
      <c r="HI21" s="2458"/>
      <c r="HJ21" s="2458"/>
      <c r="HK21" s="2458"/>
      <c r="HL21" s="2458"/>
      <c r="HM21" s="2458"/>
      <c r="HN21" s="2458"/>
      <c r="HO21" s="2458"/>
      <c r="HP21" s="2458"/>
      <c r="HQ21" s="2458"/>
      <c r="HR21" s="2458"/>
      <c r="HS21" s="2458"/>
      <c r="HT21" s="2458"/>
      <c r="HU21" s="2458"/>
      <c r="HV21" s="2458"/>
      <c r="HW21" s="2458"/>
      <c r="HX21" s="2458"/>
      <c r="HY21" s="2458"/>
      <c r="HZ21" s="2458"/>
      <c r="IA21" s="2458"/>
      <c r="IB21" s="2458"/>
      <c r="IC21" s="2458"/>
      <c r="ID21" s="2458"/>
      <c r="IE21" s="2458"/>
      <c r="IF21" s="2458"/>
      <c r="IG21" s="2458"/>
      <c r="IH21" s="2458"/>
      <c r="II21" s="2458"/>
      <c r="IJ21" s="2458"/>
      <c r="IK21" s="2458"/>
      <c r="IL21" s="2458"/>
      <c r="IM21" s="2458"/>
      <c r="IN21" s="2458"/>
      <c r="IO21" s="2458"/>
      <c r="IP21" s="2458"/>
      <c r="IQ21" s="2458"/>
      <c r="IR21" s="2458"/>
      <c r="IS21" s="2458"/>
      <c r="IT21" s="2458"/>
      <c r="IU21" s="2458"/>
      <c r="IV21" s="2458"/>
    </row>
    <row r="22" spans="1:256">
      <c r="A22" s="2452">
        <f t="shared" si="0"/>
        <v>19</v>
      </c>
      <c r="B22" s="2453"/>
      <c r="C22" s="2453"/>
      <c r="D22" s="2456" t="str">
        <f t="shared" si="1"/>
        <v xml:space="preserve"> </v>
      </c>
      <c r="E22" s="2456" t="str">
        <f t="shared" si="17"/>
        <v/>
      </c>
      <c r="F22" s="2455">
        <f t="shared" si="2"/>
        <v>49</v>
      </c>
      <c r="G22" s="2453"/>
      <c r="H22" s="2453"/>
      <c r="I22" s="2456" t="str">
        <f t="shared" si="3"/>
        <v xml:space="preserve"> </v>
      </c>
      <c r="J22" s="2456" t="str">
        <f t="shared" si="13"/>
        <v/>
      </c>
      <c r="K22" s="2452">
        <f t="shared" si="4"/>
        <v>79</v>
      </c>
      <c r="L22" s="2453"/>
      <c r="M22" s="2453"/>
      <c r="N22" s="2456" t="str">
        <f t="shared" si="5"/>
        <v xml:space="preserve"> </v>
      </c>
      <c r="O22" s="2456" t="str">
        <f t="shared" si="14"/>
        <v/>
      </c>
      <c r="P22" s="2452">
        <f t="shared" si="6"/>
        <v>109</v>
      </c>
      <c r="Q22" s="2453"/>
      <c r="R22" s="2453"/>
      <c r="S22" s="2456" t="str">
        <f t="shared" si="7"/>
        <v xml:space="preserve"> </v>
      </c>
      <c r="T22" s="2456" t="str">
        <f t="shared" si="12"/>
        <v/>
      </c>
      <c r="U22" s="2455">
        <f t="shared" si="8"/>
        <v>139</v>
      </c>
      <c r="V22" s="2453"/>
      <c r="W22" s="2453"/>
      <c r="X22" s="2456" t="str">
        <f t="shared" si="9"/>
        <v xml:space="preserve"> </v>
      </c>
      <c r="Y22" s="2456" t="str">
        <f t="shared" si="15"/>
        <v/>
      </c>
      <c r="Z22" s="2452">
        <f t="shared" si="10"/>
        <v>169</v>
      </c>
      <c r="AA22" s="2453"/>
      <c r="AB22" s="2453"/>
      <c r="AC22" s="2456" t="str">
        <f t="shared" si="11"/>
        <v xml:space="preserve"> </v>
      </c>
      <c r="AD22" s="2456" t="str">
        <f t="shared" si="16"/>
        <v/>
      </c>
      <c r="AE22" s="2457"/>
      <c r="AF22" s="2457"/>
      <c r="AG22" s="2457"/>
      <c r="AH22" s="2457"/>
      <c r="AI22" s="2457"/>
      <c r="AJ22" s="2457"/>
      <c r="AK22" s="2457"/>
      <c r="AL22" s="2457"/>
      <c r="AM22" s="2457"/>
      <c r="AN22" s="2457"/>
      <c r="AO22" s="2457"/>
      <c r="AP22" s="2457"/>
      <c r="AQ22" s="2457"/>
      <c r="AR22" s="2457"/>
      <c r="AS22" s="2457"/>
      <c r="AT22" s="2457"/>
      <c r="AU22" s="2457"/>
      <c r="AV22" s="2457"/>
      <c r="AW22" s="2457"/>
      <c r="AX22" s="2457"/>
      <c r="AY22" s="2457"/>
      <c r="AZ22" s="2457"/>
      <c r="BA22" s="2457"/>
      <c r="BB22" s="2457"/>
      <c r="BC22" s="2457"/>
      <c r="BD22" s="2457"/>
      <c r="BE22" s="2457"/>
      <c r="BF22" s="2457"/>
      <c r="BG22" s="2457"/>
      <c r="BH22" s="2457"/>
      <c r="BI22" s="2458"/>
      <c r="BJ22" s="2458"/>
      <c r="BK22" s="2458"/>
      <c r="BL22" s="2458"/>
      <c r="BM22" s="2458"/>
      <c r="BN22" s="2458"/>
      <c r="BO22" s="2458"/>
      <c r="BP22" s="2458"/>
      <c r="BQ22" s="2458"/>
      <c r="BR22" s="2458"/>
      <c r="BS22" s="2458"/>
      <c r="BT22" s="2458"/>
      <c r="BU22" s="2458"/>
      <c r="BV22" s="2458"/>
      <c r="BW22" s="2458"/>
      <c r="BX22" s="2458"/>
      <c r="BY22" s="2458"/>
      <c r="BZ22" s="2458"/>
      <c r="CA22" s="2458"/>
      <c r="CB22" s="2458"/>
      <c r="CC22" s="2458"/>
      <c r="CD22" s="2458"/>
      <c r="CE22" s="2458"/>
      <c r="CF22" s="2458"/>
      <c r="CG22" s="2458"/>
      <c r="CH22" s="2458"/>
      <c r="CI22" s="2458"/>
      <c r="CJ22" s="2458"/>
      <c r="CK22" s="2458"/>
      <c r="CL22" s="2458"/>
      <c r="CM22" s="2458"/>
      <c r="CN22" s="2458"/>
      <c r="CO22" s="2458"/>
      <c r="CP22" s="2458"/>
      <c r="CQ22" s="2458"/>
      <c r="CR22" s="2458"/>
      <c r="CS22" s="2458"/>
      <c r="CT22" s="2458"/>
      <c r="CU22" s="2458"/>
      <c r="CV22" s="2458"/>
      <c r="CW22" s="2458"/>
      <c r="CX22" s="2458"/>
      <c r="CY22" s="2458"/>
      <c r="CZ22" s="2458"/>
      <c r="DA22" s="2458"/>
      <c r="DB22" s="2458"/>
      <c r="DC22" s="2458"/>
      <c r="DD22" s="2458"/>
      <c r="DE22" s="2458"/>
      <c r="DF22" s="2458"/>
      <c r="DG22" s="2458"/>
      <c r="DH22" s="2458"/>
      <c r="DI22" s="2458"/>
      <c r="DJ22" s="2458"/>
      <c r="DK22" s="2458"/>
      <c r="DL22" s="2458"/>
      <c r="DM22" s="2458"/>
      <c r="DN22" s="2458"/>
      <c r="DO22" s="2458"/>
      <c r="DP22" s="2458"/>
      <c r="DQ22" s="2458"/>
      <c r="DR22" s="2458"/>
      <c r="DS22" s="2458"/>
      <c r="DT22" s="2458"/>
      <c r="DU22" s="2458"/>
      <c r="DV22" s="2458"/>
      <c r="DW22" s="2458"/>
      <c r="DX22" s="2458"/>
      <c r="DY22" s="2458"/>
      <c r="DZ22" s="2458"/>
      <c r="EA22" s="2458"/>
      <c r="EB22" s="2458"/>
      <c r="EC22" s="2458"/>
      <c r="ED22" s="2458"/>
      <c r="EE22" s="2458"/>
      <c r="EF22" s="2458"/>
      <c r="EG22" s="2458"/>
      <c r="EH22" s="2458"/>
      <c r="EI22" s="2458"/>
      <c r="EJ22" s="2458"/>
      <c r="EK22" s="2458"/>
      <c r="EL22" s="2458"/>
      <c r="EM22" s="2458"/>
      <c r="EN22" s="2458"/>
      <c r="EO22" s="2458"/>
      <c r="EP22" s="2458"/>
      <c r="EQ22" s="2458"/>
      <c r="ER22" s="2458"/>
      <c r="ES22" s="2458"/>
      <c r="ET22" s="2458"/>
      <c r="EU22" s="2458"/>
      <c r="EV22" s="2458"/>
      <c r="EW22" s="2458"/>
      <c r="EX22" s="2458"/>
      <c r="EY22" s="2458"/>
      <c r="EZ22" s="2458"/>
      <c r="FA22" s="2458"/>
      <c r="FB22" s="2458"/>
      <c r="FC22" s="2458"/>
      <c r="FD22" s="2458"/>
      <c r="FE22" s="2458"/>
      <c r="FF22" s="2458"/>
      <c r="FG22" s="2458"/>
      <c r="FH22" s="2458"/>
      <c r="FI22" s="2458"/>
      <c r="FJ22" s="2458"/>
      <c r="FK22" s="2458"/>
      <c r="FL22" s="2458"/>
      <c r="FM22" s="2458"/>
      <c r="FN22" s="2458"/>
      <c r="FO22" s="2458"/>
      <c r="FP22" s="2458"/>
      <c r="FQ22" s="2458"/>
      <c r="FR22" s="2458"/>
      <c r="FS22" s="2458"/>
      <c r="FT22" s="2458"/>
      <c r="FU22" s="2458"/>
      <c r="FV22" s="2458"/>
      <c r="FW22" s="2458"/>
      <c r="FX22" s="2458"/>
      <c r="FY22" s="2458"/>
      <c r="FZ22" s="2458"/>
      <c r="GA22" s="2458"/>
      <c r="GB22" s="2458"/>
      <c r="GC22" s="2458"/>
      <c r="GD22" s="2458"/>
      <c r="GE22" s="2458"/>
      <c r="GF22" s="2458"/>
      <c r="GG22" s="2458"/>
      <c r="GH22" s="2458"/>
      <c r="GI22" s="2458"/>
      <c r="GJ22" s="2458"/>
      <c r="GK22" s="2458"/>
      <c r="GL22" s="2458"/>
      <c r="GM22" s="2458"/>
      <c r="GN22" s="2458"/>
      <c r="GO22" s="2458"/>
      <c r="GP22" s="2458"/>
      <c r="GQ22" s="2458"/>
      <c r="GR22" s="2458"/>
      <c r="GS22" s="2458"/>
      <c r="GT22" s="2458"/>
      <c r="GU22" s="2458"/>
      <c r="GV22" s="2458"/>
      <c r="GW22" s="2458"/>
      <c r="GX22" s="2458"/>
      <c r="GY22" s="2458"/>
      <c r="GZ22" s="2458"/>
      <c r="HA22" s="2458"/>
      <c r="HB22" s="2458"/>
      <c r="HC22" s="2458"/>
      <c r="HD22" s="2458"/>
      <c r="HE22" s="2458"/>
      <c r="HF22" s="2458"/>
      <c r="HG22" s="2458"/>
      <c r="HH22" s="2458"/>
      <c r="HI22" s="2458"/>
      <c r="HJ22" s="2458"/>
      <c r="HK22" s="2458"/>
      <c r="HL22" s="2458"/>
      <c r="HM22" s="2458"/>
      <c r="HN22" s="2458"/>
      <c r="HO22" s="2458"/>
      <c r="HP22" s="2458"/>
      <c r="HQ22" s="2458"/>
      <c r="HR22" s="2458"/>
      <c r="HS22" s="2458"/>
      <c r="HT22" s="2458"/>
      <c r="HU22" s="2458"/>
      <c r="HV22" s="2458"/>
      <c r="HW22" s="2458"/>
      <c r="HX22" s="2458"/>
      <c r="HY22" s="2458"/>
      <c r="HZ22" s="2458"/>
      <c r="IA22" s="2458"/>
      <c r="IB22" s="2458"/>
      <c r="IC22" s="2458"/>
      <c r="ID22" s="2458"/>
      <c r="IE22" s="2458"/>
      <c r="IF22" s="2458"/>
      <c r="IG22" s="2458"/>
      <c r="IH22" s="2458"/>
      <c r="II22" s="2458"/>
      <c r="IJ22" s="2458"/>
      <c r="IK22" s="2458"/>
      <c r="IL22" s="2458"/>
      <c r="IM22" s="2458"/>
      <c r="IN22" s="2458"/>
      <c r="IO22" s="2458"/>
      <c r="IP22" s="2458"/>
      <c r="IQ22" s="2458"/>
      <c r="IR22" s="2458"/>
      <c r="IS22" s="2458"/>
      <c r="IT22" s="2458"/>
      <c r="IU22" s="2458"/>
      <c r="IV22" s="2458"/>
    </row>
    <row r="23" spans="1:256">
      <c r="A23" s="2452">
        <f t="shared" si="0"/>
        <v>20</v>
      </c>
      <c r="B23" s="2453"/>
      <c r="C23" s="2453"/>
      <c r="D23" s="2456" t="str">
        <f t="shared" si="1"/>
        <v xml:space="preserve"> </v>
      </c>
      <c r="E23" s="2456" t="str">
        <f t="shared" si="17"/>
        <v/>
      </c>
      <c r="F23" s="2455">
        <f t="shared" si="2"/>
        <v>50</v>
      </c>
      <c r="G23" s="2460"/>
      <c r="H23" s="2460"/>
      <c r="I23" s="2456" t="str">
        <f t="shared" si="3"/>
        <v xml:space="preserve"> </v>
      </c>
      <c r="J23" s="2456" t="str">
        <f t="shared" si="13"/>
        <v/>
      </c>
      <c r="K23" s="2452">
        <f t="shared" si="4"/>
        <v>80</v>
      </c>
      <c r="L23" s="2460"/>
      <c r="M23" s="2460"/>
      <c r="N23" s="2456" t="str">
        <f t="shared" si="5"/>
        <v xml:space="preserve"> </v>
      </c>
      <c r="O23" s="2456" t="str">
        <f t="shared" si="14"/>
        <v/>
      </c>
      <c r="P23" s="2452">
        <f t="shared" si="6"/>
        <v>110</v>
      </c>
      <c r="Q23" s="2453"/>
      <c r="R23" s="2453"/>
      <c r="S23" s="2456" t="str">
        <f t="shared" si="7"/>
        <v xml:space="preserve"> </v>
      </c>
      <c r="T23" s="2456" t="str">
        <f t="shared" si="12"/>
        <v/>
      </c>
      <c r="U23" s="2455">
        <f t="shared" si="8"/>
        <v>140</v>
      </c>
      <c r="V23" s="2453"/>
      <c r="W23" s="2453"/>
      <c r="X23" s="2456" t="str">
        <f t="shared" si="9"/>
        <v xml:space="preserve"> </v>
      </c>
      <c r="Y23" s="2456" t="str">
        <f t="shared" si="15"/>
        <v/>
      </c>
      <c r="Z23" s="2452">
        <f t="shared" si="10"/>
        <v>170</v>
      </c>
      <c r="AA23" s="2453"/>
      <c r="AB23" s="2453"/>
      <c r="AC23" s="2456" t="str">
        <f t="shared" si="11"/>
        <v xml:space="preserve"> </v>
      </c>
      <c r="AD23" s="2456" t="str">
        <f t="shared" si="16"/>
        <v/>
      </c>
      <c r="AE23" s="2457"/>
      <c r="AF23" s="2457"/>
      <c r="AG23" s="2457"/>
      <c r="AH23" s="2457"/>
      <c r="AI23" s="2457"/>
      <c r="AJ23" s="2457"/>
      <c r="AK23" s="2457"/>
      <c r="AL23" s="2457"/>
      <c r="AM23" s="2457"/>
      <c r="AN23" s="2457"/>
      <c r="AO23" s="2457"/>
      <c r="AP23" s="2457"/>
      <c r="AQ23" s="2457"/>
      <c r="AR23" s="2457"/>
      <c r="AS23" s="2457"/>
      <c r="AT23" s="2457"/>
      <c r="AU23" s="2457"/>
      <c r="AV23" s="2457"/>
      <c r="AW23" s="2457"/>
      <c r="AX23" s="2457"/>
      <c r="AY23" s="2457"/>
      <c r="AZ23" s="2457"/>
      <c r="BA23" s="2457"/>
      <c r="BB23" s="2457"/>
      <c r="BC23" s="2457"/>
      <c r="BD23" s="2457"/>
      <c r="BE23" s="2457"/>
      <c r="BF23" s="2457"/>
      <c r="BG23" s="2457"/>
      <c r="BH23" s="2457"/>
      <c r="BI23" s="2458"/>
      <c r="BJ23" s="2458"/>
      <c r="BK23" s="2458"/>
      <c r="BL23" s="2458"/>
      <c r="BM23" s="2458"/>
      <c r="BN23" s="2458"/>
      <c r="BO23" s="2458"/>
      <c r="BP23" s="2458"/>
      <c r="BQ23" s="2458"/>
      <c r="BR23" s="2458"/>
      <c r="BS23" s="2458"/>
      <c r="BT23" s="2458"/>
      <c r="BU23" s="2458"/>
      <c r="BV23" s="2458"/>
      <c r="BW23" s="2458"/>
      <c r="BX23" s="2458"/>
      <c r="BY23" s="2458"/>
      <c r="BZ23" s="2458"/>
      <c r="CA23" s="2458"/>
      <c r="CB23" s="2458"/>
      <c r="CC23" s="2458"/>
      <c r="CD23" s="2458"/>
      <c r="CE23" s="2458"/>
      <c r="CF23" s="2458"/>
      <c r="CG23" s="2458"/>
      <c r="CH23" s="2458"/>
      <c r="CI23" s="2458"/>
      <c r="CJ23" s="2458"/>
      <c r="CK23" s="2458"/>
      <c r="CL23" s="2458"/>
      <c r="CM23" s="2458"/>
      <c r="CN23" s="2458"/>
      <c r="CO23" s="2458"/>
      <c r="CP23" s="2458"/>
      <c r="CQ23" s="2458"/>
      <c r="CR23" s="2458"/>
      <c r="CS23" s="2458"/>
      <c r="CT23" s="2458"/>
      <c r="CU23" s="2458"/>
      <c r="CV23" s="2458"/>
      <c r="CW23" s="2458"/>
      <c r="CX23" s="2458"/>
      <c r="CY23" s="2458"/>
      <c r="CZ23" s="2458"/>
      <c r="DA23" s="2458"/>
      <c r="DB23" s="2458"/>
      <c r="DC23" s="2458"/>
      <c r="DD23" s="2458"/>
      <c r="DE23" s="2458"/>
      <c r="DF23" s="2458"/>
      <c r="DG23" s="2458"/>
      <c r="DH23" s="2458"/>
      <c r="DI23" s="2458"/>
      <c r="DJ23" s="2458"/>
      <c r="DK23" s="2458"/>
      <c r="DL23" s="2458"/>
      <c r="DM23" s="2458"/>
      <c r="DN23" s="2458"/>
      <c r="DO23" s="2458"/>
      <c r="DP23" s="2458"/>
      <c r="DQ23" s="2458"/>
      <c r="DR23" s="2458"/>
      <c r="DS23" s="2458"/>
      <c r="DT23" s="2458"/>
      <c r="DU23" s="2458"/>
      <c r="DV23" s="2458"/>
      <c r="DW23" s="2458"/>
      <c r="DX23" s="2458"/>
      <c r="DY23" s="2458"/>
      <c r="DZ23" s="2458"/>
      <c r="EA23" s="2458"/>
      <c r="EB23" s="2458"/>
      <c r="EC23" s="2458"/>
      <c r="ED23" s="2458"/>
      <c r="EE23" s="2458"/>
      <c r="EF23" s="2458"/>
      <c r="EG23" s="2458"/>
      <c r="EH23" s="2458"/>
      <c r="EI23" s="2458"/>
      <c r="EJ23" s="2458"/>
      <c r="EK23" s="2458"/>
      <c r="EL23" s="2458"/>
      <c r="EM23" s="2458"/>
      <c r="EN23" s="2458"/>
      <c r="EO23" s="2458"/>
      <c r="EP23" s="2458"/>
      <c r="EQ23" s="2458"/>
      <c r="ER23" s="2458"/>
      <c r="ES23" s="2458"/>
      <c r="ET23" s="2458"/>
      <c r="EU23" s="2458"/>
      <c r="EV23" s="2458"/>
      <c r="EW23" s="2458"/>
      <c r="EX23" s="2458"/>
      <c r="EY23" s="2458"/>
      <c r="EZ23" s="2458"/>
      <c r="FA23" s="2458"/>
      <c r="FB23" s="2458"/>
      <c r="FC23" s="2458"/>
      <c r="FD23" s="2458"/>
      <c r="FE23" s="2458"/>
      <c r="FF23" s="2458"/>
      <c r="FG23" s="2458"/>
      <c r="FH23" s="2458"/>
      <c r="FI23" s="2458"/>
      <c r="FJ23" s="2458"/>
      <c r="FK23" s="2458"/>
      <c r="FL23" s="2458"/>
      <c r="FM23" s="2458"/>
      <c r="FN23" s="2458"/>
      <c r="FO23" s="2458"/>
      <c r="FP23" s="2458"/>
      <c r="FQ23" s="2458"/>
      <c r="FR23" s="2458"/>
      <c r="FS23" s="2458"/>
      <c r="FT23" s="2458"/>
      <c r="FU23" s="2458"/>
      <c r="FV23" s="2458"/>
      <c r="FW23" s="2458"/>
      <c r="FX23" s="2458"/>
      <c r="FY23" s="2458"/>
      <c r="FZ23" s="2458"/>
      <c r="GA23" s="2458"/>
      <c r="GB23" s="2458"/>
      <c r="GC23" s="2458"/>
      <c r="GD23" s="2458"/>
      <c r="GE23" s="2458"/>
      <c r="GF23" s="2458"/>
      <c r="GG23" s="2458"/>
      <c r="GH23" s="2458"/>
      <c r="GI23" s="2458"/>
      <c r="GJ23" s="2458"/>
      <c r="GK23" s="2458"/>
      <c r="GL23" s="2458"/>
      <c r="GM23" s="2458"/>
      <c r="GN23" s="2458"/>
      <c r="GO23" s="2458"/>
      <c r="GP23" s="2458"/>
      <c r="GQ23" s="2458"/>
      <c r="GR23" s="2458"/>
      <c r="GS23" s="2458"/>
      <c r="GT23" s="2458"/>
      <c r="GU23" s="2458"/>
      <c r="GV23" s="2458"/>
      <c r="GW23" s="2458"/>
      <c r="GX23" s="2458"/>
      <c r="GY23" s="2458"/>
      <c r="GZ23" s="2458"/>
      <c r="HA23" s="2458"/>
      <c r="HB23" s="2458"/>
      <c r="HC23" s="2458"/>
      <c r="HD23" s="2458"/>
      <c r="HE23" s="2458"/>
      <c r="HF23" s="2458"/>
      <c r="HG23" s="2458"/>
      <c r="HH23" s="2458"/>
      <c r="HI23" s="2458"/>
      <c r="HJ23" s="2458"/>
      <c r="HK23" s="2458"/>
      <c r="HL23" s="2458"/>
      <c r="HM23" s="2458"/>
      <c r="HN23" s="2458"/>
      <c r="HO23" s="2458"/>
      <c r="HP23" s="2458"/>
      <c r="HQ23" s="2458"/>
      <c r="HR23" s="2458"/>
      <c r="HS23" s="2458"/>
      <c r="HT23" s="2458"/>
      <c r="HU23" s="2458"/>
      <c r="HV23" s="2458"/>
      <c r="HW23" s="2458"/>
      <c r="HX23" s="2458"/>
      <c r="HY23" s="2458"/>
      <c r="HZ23" s="2458"/>
      <c r="IA23" s="2458"/>
      <c r="IB23" s="2458"/>
      <c r="IC23" s="2458"/>
      <c r="ID23" s="2458"/>
      <c r="IE23" s="2458"/>
      <c r="IF23" s="2458"/>
      <c r="IG23" s="2458"/>
      <c r="IH23" s="2458"/>
      <c r="II23" s="2458"/>
      <c r="IJ23" s="2458"/>
      <c r="IK23" s="2458"/>
      <c r="IL23" s="2458"/>
      <c r="IM23" s="2458"/>
      <c r="IN23" s="2458"/>
      <c r="IO23" s="2458"/>
      <c r="IP23" s="2458"/>
      <c r="IQ23" s="2458"/>
      <c r="IR23" s="2458"/>
      <c r="IS23" s="2458"/>
      <c r="IT23" s="2458"/>
      <c r="IU23" s="2458"/>
      <c r="IV23" s="2458"/>
    </row>
    <row r="24" spans="1:256">
      <c r="A24" s="2452">
        <f t="shared" si="0"/>
        <v>21</v>
      </c>
      <c r="B24" s="2453"/>
      <c r="C24" s="2453"/>
      <c r="D24" s="2456" t="str">
        <f t="shared" si="1"/>
        <v xml:space="preserve"> </v>
      </c>
      <c r="E24" s="2456" t="str">
        <f t="shared" si="17"/>
        <v/>
      </c>
      <c r="F24" s="2455">
        <f t="shared" si="2"/>
        <v>51</v>
      </c>
      <c r="G24" s="2453"/>
      <c r="H24" s="2453"/>
      <c r="I24" s="2456" t="str">
        <f t="shared" si="3"/>
        <v xml:space="preserve"> </v>
      </c>
      <c r="J24" s="2456" t="str">
        <f t="shared" si="13"/>
        <v/>
      </c>
      <c r="K24" s="2452">
        <f t="shared" si="4"/>
        <v>81</v>
      </c>
      <c r="L24" s="2453"/>
      <c r="M24" s="2453"/>
      <c r="N24" s="2456" t="str">
        <f t="shared" si="5"/>
        <v xml:space="preserve"> </v>
      </c>
      <c r="O24" s="2456" t="str">
        <f t="shared" si="14"/>
        <v/>
      </c>
      <c r="P24" s="2452">
        <f t="shared" si="6"/>
        <v>111</v>
      </c>
      <c r="Q24" s="2453"/>
      <c r="R24" s="2453"/>
      <c r="S24" s="2456" t="str">
        <f t="shared" si="7"/>
        <v xml:space="preserve"> </v>
      </c>
      <c r="T24" s="2456" t="str">
        <f t="shared" si="12"/>
        <v/>
      </c>
      <c r="U24" s="2455">
        <f t="shared" si="8"/>
        <v>141</v>
      </c>
      <c r="V24" s="2453"/>
      <c r="W24" s="2453"/>
      <c r="X24" s="2456" t="str">
        <f t="shared" si="9"/>
        <v xml:space="preserve"> </v>
      </c>
      <c r="Y24" s="2456" t="str">
        <f t="shared" si="15"/>
        <v/>
      </c>
      <c r="Z24" s="2452">
        <f t="shared" si="10"/>
        <v>171</v>
      </c>
      <c r="AA24" s="2453"/>
      <c r="AB24" s="2453"/>
      <c r="AC24" s="2456" t="str">
        <f t="shared" si="11"/>
        <v xml:space="preserve"> </v>
      </c>
      <c r="AD24" s="2456" t="str">
        <f t="shared" si="16"/>
        <v/>
      </c>
      <c r="AE24" s="2457"/>
      <c r="AF24" s="2457"/>
      <c r="AG24" s="2457"/>
      <c r="AH24" s="2457"/>
      <c r="AI24" s="2457"/>
      <c r="AJ24" s="2457"/>
      <c r="AK24" s="2457"/>
      <c r="AL24" s="2457"/>
      <c r="AM24" s="2457"/>
      <c r="AN24" s="2457"/>
      <c r="AO24" s="2457"/>
      <c r="AP24" s="2457"/>
      <c r="AQ24" s="2457"/>
      <c r="AR24" s="2457"/>
      <c r="AS24" s="2457"/>
      <c r="AT24" s="2457"/>
      <c r="AU24" s="2457"/>
      <c r="AV24" s="2457"/>
      <c r="AW24" s="2457"/>
      <c r="AX24" s="2457"/>
      <c r="AY24" s="2457"/>
      <c r="AZ24" s="2457"/>
      <c r="BA24" s="2457"/>
      <c r="BB24" s="2457"/>
      <c r="BC24" s="2457"/>
      <c r="BD24" s="2457"/>
      <c r="BE24" s="2457"/>
      <c r="BF24" s="2457"/>
      <c r="BG24" s="2457"/>
      <c r="BH24" s="2457"/>
      <c r="BI24" s="2458"/>
      <c r="BJ24" s="2458"/>
      <c r="BK24" s="2458"/>
      <c r="BL24" s="2458"/>
      <c r="BM24" s="2458"/>
      <c r="BN24" s="2458"/>
      <c r="BO24" s="2458"/>
      <c r="BP24" s="2458"/>
      <c r="BQ24" s="2458"/>
      <c r="BR24" s="2458"/>
      <c r="BS24" s="2458"/>
      <c r="BT24" s="2458"/>
      <c r="BU24" s="2458"/>
      <c r="BV24" s="2458"/>
      <c r="BW24" s="2458"/>
      <c r="BX24" s="2458"/>
      <c r="BY24" s="2458"/>
      <c r="BZ24" s="2458"/>
      <c r="CA24" s="2458"/>
      <c r="CB24" s="2458"/>
      <c r="CC24" s="2458"/>
      <c r="CD24" s="2458"/>
      <c r="CE24" s="2458"/>
      <c r="CF24" s="2458"/>
      <c r="CG24" s="2458"/>
      <c r="CH24" s="2458"/>
      <c r="CI24" s="2458"/>
      <c r="CJ24" s="2458"/>
      <c r="CK24" s="2458"/>
      <c r="CL24" s="2458"/>
      <c r="CM24" s="2458"/>
      <c r="CN24" s="2458"/>
      <c r="CO24" s="2458"/>
      <c r="CP24" s="2458"/>
      <c r="CQ24" s="2458"/>
      <c r="CR24" s="2458"/>
      <c r="CS24" s="2458"/>
      <c r="CT24" s="2458"/>
      <c r="CU24" s="2458"/>
      <c r="CV24" s="2458"/>
      <c r="CW24" s="2458"/>
      <c r="CX24" s="2458"/>
      <c r="CY24" s="2458"/>
      <c r="CZ24" s="2458"/>
      <c r="DA24" s="2458"/>
      <c r="DB24" s="2458"/>
      <c r="DC24" s="2458"/>
      <c r="DD24" s="2458"/>
      <c r="DE24" s="2458"/>
      <c r="DF24" s="2458"/>
      <c r="DG24" s="2458"/>
      <c r="DH24" s="2458"/>
      <c r="DI24" s="2458"/>
      <c r="DJ24" s="2458"/>
      <c r="DK24" s="2458"/>
      <c r="DL24" s="2458"/>
      <c r="DM24" s="2458"/>
      <c r="DN24" s="2458"/>
      <c r="DO24" s="2458"/>
      <c r="DP24" s="2458"/>
      <c r="DQ24" s="2458"/>
      <c r="DR24" s="2458"/>
      <c r="DS24" s="2458"/>
      <c r="DT24" s="2458"/>
      <c r="DU24" s="2458"/>
      <c r="DV24" s="2458"/>
      <c r="DW24" s="2458"/>
      <c r="DX24" s="2458"/>
      <c r="DY24" s="2458"/>
      <c r="DZ24" s="2458"/>
      <c r="EA24" s="2458"/>
      <c r="EB24" s="2458"/>
      <c r="EC24" s="2458"/>
      <c r="ED24" s="2458"/>
      <c r="EE24" s="2458"/>
      <c r="EF24" s="2458"/>
      <c r="EG24" s="2458"/>
      <c r="EH24" s="2458"/>
      <c r="EI24" s="2458"/>
      <c r="EJ24" s="2458"/>
      <c r="EK24" s="2458"/>
      <c r="EL24" s="2458"/>
      <c r="EM24" s="2458"/>
      <c r="EN24" s="2458"/>
      <c r="EO24" s="2458"/>
      <c r="EP24" s="2458"/>
      <c r="EQ24" s="2458"/>
      <c r="ER24" s="2458"/>
      <c r="ES24" s="2458"/>
      <c r="ET24" s="2458"/>
      <c r="EU24" s="2458"/>
      <c r="EV24" s="2458"/>
      <c r="EW24" s="2458"/>
      <c r="EX24" s="2458"/>
      <c r="EY24" s="2458"/>
      <c r="EZ24" s="2458"/>
      <c r="FA24" s="2458"/>
      <c r="FB24" s="2458"/>
      <c r="FC24" s="2458"/>
      <c r="FD24" s="2458"/>
      <c r="FE24" s="2458"/>
      <c r="FF24" s="2458"/>
      <c r="FG24" s="2458"/>
      <c r="FH24" s="2458"/>
      <c r="FI24" s="2458"/>
      <c r="FJ24" s="2458"/>
      <c r="FK24" s="2458"/>
      <c r="FL24" s="2458"/>
      <c r="FM24" s="2458"/>
      <c r="FN24" s="2458"/>
      <c r="FO24" s="2458"/>
      <c r="FP24" s="2458"/>
      <c r="FQ24" s="2458"/>
      <c r="FR24" s="2458"/>
      <c r="FS24" s="2458"/>
      <c r="FT24" s="2458"/>
      <c r="FU24" s="2458"/>
      <c r="FV24" s="2458"/>
      <c r="FW24" s="2458"/>
      <c r="FX24" s="2458"/>
      <c r="FY24" s="2458"/>
      <c r="FZ24" s="2458"/>
      <c r="GA24" s="2458"/>
      <c r="GB24" s="2458"/>
      <c r="GC24" s="2458"/>
      <c r="GD24" s="2458"/>
      <c r="GE24" s="2458"/>
      <c r="GF24" s="2458"/>
      <c r="GG24" s="2458"/>
      <c r="GH24" s="2458"/>
      <c r="GI24" s="2458"/>
      <c r="GJ24" s="2458"/>
      <c r="GK24" s="2458"/>
      <c r="GL24" s="2458"/>
      <c r="GM24" s="2458"/>
      <c r="GN24" s="2458"/>
      <c r="GO24" s="2458"/>
      <c r="GP24" s="2458"/>
      <c r="GQ24" s="2458"/>
      <c r="GR24" s="2458"/>
      <c r="GS24" s="2458"/>
      <c r="GT24" s="2458"/>
      <c r="GU24" s="2458"/>
      <c r="GV24" s="2458"/>
      <c r="GW24" s="2458"/>
      <c r="GX24" s="2458"/>
      <c r="GY24" s="2458"/>
      <c r="GZ24" s="2458"/>
      <c r="HA24" s="2458"/>
      <c r="HB24" s="2458"/>
      <c r="HC24" s="2458"/>
      <c r="HD24" s="2458"/>
      <c r="HE24" s="2458"/>
      <c r="HF24" s="2458"/>
      <c r="HG24" s="2458"/>
      <c r="HH24" s="2458"/>
      <c r="HI24" s="2458"/>
      <c r="HJ24" s="2458"/>
      <c r="HK24" s="2458"/>
      <c r="HL24" s="2458"/>
      <c r="HM24" s="2458"/>
      <c r="HN24" s="2458"/>
      <c r="HO24" s="2458"/>
      <c r="HP24" s="2458"/>
      <c r="HQ24" s="2458"/>
      <c r="HR24" s="2458"/>
      <c r="HS24" s="2458"/>
      <c r="HT24" s="2458"/>
      <c r="HU24" s="2458"/>
      <c r="HV24" s="2458"/>
      <c r="HW24" s="2458"/>
      <c r="HX24" s="2458"/>
      <c r="HY24" s="2458"/>
      <c r="HZ24" s="2458"/>
      <c r="IA24" s="2458"/>
      <c r="IB24" s="2458"/>
      <c r="IC24" s="2458"/>
      <c r="ID24" s="2458"/>
      <c r="IE24" s="2458"/>
      <c r="IF24" s="2458"/>
      <c r="IG24" s="2458"/>
      <c r="IH24" s="2458"/>
      <c r="II24" s="2458"/>
      <c r="IJ24" s="2458"/>
      <c r="IK24" s="2458"/>
      <c r="IL24" s="2458"/>
      <c r="IM24" s="2458"/>
      <c r="IN24" s="2458"/>
      <c r="IO24" s="2458"/>
      <c r="IP24" s="2458"/>
      <c r="IQ24" s="2458"/>
      <c r="IR24" s="2458"/>
      <c r="IS24" s="2458"/>
      <c r="IT24" s="2458"/>
      <c r="IU24" s="2458"/>
      <c r="IV24" s="2458"/>
    </row>
    <row r="25" spans="1:256">
      <c r="A25" s="2452">
        <f t="shared" si="0"/>
        <v>22</v>
      </c>
      <c r="B25" s="2453"/>
      <c r="C25" s="2453"/>
      <c r="D25" s="2456" t="str">
        <f t="shared" si="1"/>
        <v xml:space="preserve"> </v>
      </c>
      <c r="E25" s="2456" t="str">
        <f t="shared" si="17"/>
        <v/>
      </c>
      <c r="F25" s="2455">
        <f t="shared" si="2"/>
        <v>52</v>
      </c>
      <c r="G25" s="2453"/>
      <c r="H25" s="2453"/>
      <c r="I25" s="2456" t="str">
        <f t="shared" si="3"/>
        <v xml:space="preserve"> </v>
      </c>
      <c r="J25" s="2456" t="str">
        <f t="shared" si="13"/>
        <v/>
      </c>
      <c r="K25" s="2452">
        <f t="shared" si="4"/>
        <v>82</v>
      </c>
      <c r="L25" s="2453"/>
      <c r="M25" s="2453"/>
      <c r="N25" s="2456" t="str">
        <f t="shared" si="5"/>
        <v xml:space="preserve"> </v>
      </c>
      <c r="O25" s="2456" t="str">
        <f>IF(ISBLANK(L25), "",AVERAGE(N19:N25))</f>
        <v/>
      </c>
      <c r="P25" s="2452">
        <f t="shared" si="6"/>
        <v>112</v>
      </c>
      <c r="Q25" s="2453"/>
      <c r="R25" s="2453"/>
      <c r="S25" s="2456" t="str">
        <f t="shared" si="7"/>
        <v xml:space="preserve"> </v>
      </c>
      <c r="T25" s="2456" t="str">
        <f t="shared" si="12"/>
        <v/>
      </c>
      <c r="U25" s="2455">
        <f t="shared" si="8"/>
        <v>142</v>
      </c>
      <c r="V25" s="2453"/>
      <c r="W25" s="2453"/>
      <c r="X25" s="2456" t="str">
        <f t="shared" si="9"/>
        <v xml:space="preserve"> </v>
      </c>
      <c r="Y25" s="2456" t="str">
        <f t="shared" si="15"/>
        <v/>
      </c>
      <c r="Z25" s="2452">
        <f t="shared" si="10"/>
        <v>172</v>
      </c>
      <c r="AA25" s="2453"/>
      <c r="AB25" s="2453"/>
      <c r="AC25" s="2456" t="str">
        <f t="shared" si="11"/>
        <v xml:space="preserve"> </v>
      </c>
      <c r="AD25" s="2456" t="str">
        <f>IF(ISBLANK(AA25), "",AVERAGE(AC19:AC25))</f>
        <v/>
      </c>
      <c r="AE25" s="2457"/>
      <c r="AF25" s="2457"/>
      <c r="AG25" s="2457"/>
      <c r="AH25" s="2457"/>
      <c r="AI25" s="2457"/>
      <c r="AJ25" s="2457"/>
      <c r="AK25" s="2457"/>
      <c r="AL25" s="2457"/>
      <c r="AM25" s="2457"/>
      <c r="AN25" s="2457"/>
      <c r="AO25" s="2457"/>
      <c r="AP25" s="2457"/>
      <c r="AQ25" s="2457"/>
      <c r="AR25" s="2457"/>
      <c r="AS25" s="2457"/>
      <c r="AT25" s="2457"/>
      <c r="AU25" s="2457"/>
      <c r="AV25" s="2457"/>
      <c r="AW25" s="2457"/>
      <c r="AX25" s="2457"/>
      <c r="AY25" s="2457"/>
      <c r="AZ25" s="2457"/>
      <c r="BA25" s="2457"/>
      <c r="BB25" s="2457"/>
      <c r="BC25" s="2457"/>
      <c r="BD25" s="2457"/>
      <c r="BE25" s="2457"/>
      <c r="BF25" s="2457"/>
      <c r="BG25" s="2457"/>
      <c r="BH25" s="2457"/>
      <c r="BI25" s="2458"/>
      <c r="BJ25" s="2458"/>
      <c r="BK25" s="2458"/>
      <c r="BL25" s="2458"/>
      <c r="BM25" s="2458"/>
      <c r="BN25" s="2458"/>
      <c r="BO25" s="2458"/>
      <c r="BP25" s="2458"/>
      <c r="BQ25" s="2458"/>
      <c r="BR25" s="2458"/>
      <c r="BS25" s="2458"/>
      <c r="BT25" s="2458"/>
      <c r="BU25" s="2458"/>
      <c r="BV25" s="2458"/>
      <c r="BW25" s="2458"/>
      <c r="BX25" s="2458"/>
      <c r="BY25" s="2458"/>
      <c r="BZ25" s="2458"/>
      <c r="CA25" s="2458"/>
      <c r="CB25" s="2458"/>
      <c r="CC25" s="2458"/>
      <c r="CD25" s="2458"/>
      <c r="CE25" s="2458"/>
      <c r="CF25" s="2458"/>
      <c r="CG25" s="2458"/>
      <c r="CH25" s="2458"/>
      <c r="CI25" s="2458"/>
      <c r="CJ25" s="2458"/>
      <c r="CK25" s="2458"/>
      <c r="CL25" s="2458"/>
      <c r="CM25" s="2458"/>
      <c r="CN25" s="2458"/>
      <c r="CO25" s="2458"/>
      <c r="CP25" s="2458"/>
      <c r="CQ25" s="2458"/>
      <c r="CR25" s="2458"/>
      <c r="CS25" s="2458"/>
      <c r="CT25" s="2458"/>
      <c r="CU25" s="2458"/>
      <c r="CV25" s="2458"/>
      <c r="CW25" s="2458"/>
      <c r="CX25" s="2458"/>
      <c r="CY25" s="2458"/>
      <c r="CZ25" s="2458"/>
      <c r="DA25" s="2458"/>
      <c r="DB25" s="2458"/>
      <c r="DC25" s="2458"/>
      <c r="DD25" s="2458"/>
      <c r="DE25" s="2458"/>
      <c r="DF25" s="2458"/>
      <c r="DG25" s="2458"/>
      <c r="DH25" s="2458"/>
      <c r="DI25" s="2458"/>
      <c r="DJ25" s="2458"/>
      <c r="DK25" s="2458"/>
      <c r="DL25" s="2458"/>
      <c r="DM25" s="2458"/>
      <c r="DN25" s="2458"/>
      <c r="DO25" s="2458"/>
      <c r="DP25" s="2458"/>
      <c r="DQ25" s="2458"/>
      <c r="DR25" s="2458"/>
      <c r="DS25" s="2458"/>
      <c r="DT25" s="2458"/>
      <c r="DU25" s="2458"/>
      <c r="DV25" s="2458"/>
      <c r="DW25" s="2458"/>
      <c r="DX25" s="2458"/>
      <c r="DY25" s="2458"/>
      <c r="DZ25" s="2458"/>
      <c r="EA25" s="2458"/>
      <c r="EB25" s="2458"/>
      <c r="EC25" s="2458"/>
      <c r="ED25" s="2458"/>
      <c r="EE25" s="2458"/>
      <c r="EF25" s="2458"/>
      <c r="EG25" s="2458"/>
      <c r="EH25" s="2458"/>
      <c r="EI25" s="2458"/>
      <c r="EJ25" s="2458"/>
      <c r="EK25" s="2458"/>
      <c r="EL25" s="2458"/>
      <c r="EM25" s="2458"/>
      <c r="EN25" s="2458"/>
      <c r="EO25" s="2458"/>
      <c r="EP25" s="2458"/>
      <c r="EQ25" s="2458"/>
      <c r="ER25" s="2458"/>
      <c r="ES25" s="2458"/>
      <c r="ET25" s="2458"/>
      <c r="EU25" s="2458"/>
      <c r="EV25" s="2458"/>
      <c r="EW25" s="2458"/>
      <c r="EX25" s="2458"/>
      <c r="EY25" s="2458"/>
      <c r="EZ25" s="2458"/>
      <c r="FA25" s="2458"/>
      <c r="FB25" s="2458"/>
      <c r="FC25" s="2458"/>
      <c r="FD25" s="2458"/>
      <c r="FE25" s="2458"/>
      <c r="FF25" s="2458"/>
      <c r="FG25" s="2458"/>
      <c r="FH25" s="2458"/>
      <c r="FI25" s="2458"/>
      <c r="FJ25" s="2458"/>
      <c r="FK25" s="2458"/>
      <c r="FL25" s="2458"/>
      <c r="FM25" s="2458"/>
      <c r="FN25" s="2458"/>
      <c r="FO25" s="2458"/>
      <c r="FP25" s="2458"/>
      <c r="FQ25" s="2458"/>
      <c r="FR25" s="2458"/>
      <c r="FS25" s="2458"/>
      <c r="FT25" s="2458"/>
      <c r="FU25" s="2458"/>
      <c r="FV25" s="2458"/>
      <c r="FW25" s="2458"/>
      <c r="FX25" s="2458"/>
      <c r="FY25" s="2458"/>
      <c r="FZ25" s="2458"/>
      <c r="GA25" s="2458"/>
      <c r="GB25" s="2458"/>
      <c r="GC25" s="2458"/>
      <c r="GD25" s="2458"/>
      <c r="GE25" s="2458"/>
      <c r="GF25" s="2458"/>
      <c r="GG25" s="2458"/>
      <c r="GH25" s="2458"/>
      <c r="GI25" s="2458"/>
      <c r="GJ25" s="2458"/>
      <c r="GK25" s="2458"/>
      <c r="GL25" s="2458"/>
      <c r="GM25" s="2458"/>
      <c r="GN25" s="2458"/>
      <c r="GO25" s="2458"/>
      <c r="GP25" s="2458"/>
      <c r="GQ25" s="2458"/>
      <c r="GR25" s="2458"/>
      <c r="GS25" s="2458"/>
      <c r="GT25" s="2458"/>
      <c r="GU25" s="2458"/>
      <c r="GV25" s="2458"/>
      <c r="GW25" s="2458"/>
      <c r="GX25" s="2458"/>
      <c r="GY25" s="2458"/>
      <c r="GZ25" s="2458"/>
      <c r="HA25" s="2458"/>
      <c r="HB25" s="2458"/>
      <c r="HC25" s="2458"/>
      <c r="HD25" s="2458"/>
      <c r="HE25" s="2458"/>
      <c r="HF25" s="2458"/>
      <c r="HG25" s="2458"/>
      <c r="HH25" s="2458"/>
      <c r="HI25" s="2458"/>
      <c r="HJ25" s="2458"/>
      <c r="HK25" s="2458"/>
      <c r="HL25" s="2458"/>
      <c r="HM25" s="2458"/>
      <c r="HN25" s="2458"/>
      <c r="HO25" s="2458"/>
      <c r="HP25" s="2458"/>
      <c r="HQ25" s="2458"/>
      <c r="HR25" s="2458"/>
      <c r="HS25" s="2458"/>
      <c r="HT25" s="2458"/>
      <c r="HU25" s="2458"/>
      <c r="HV25" s="2458"/>
      <c r="HW25" s="2458"/>
      <c r="HX25" s="2458"/>
      <c r="HY25" s="2458"/>
      <c r="HZ25" s="2458"/>
      <c r="IA25" s="2458"/>
      <c r="IB25" s="2458"/>
      <c r="IC25" s="2458"/>
      <c r="ID25" s="2458"/>
      <c r="IE25" s="2458"/>
      <c r="IF25" s="2458"/>
      <c r="IG25" s="2458"/>
      <c r="IH25" s="2458"/>
      <c r="II25" s="2458"/>
      <c r="IJ25" s="2458"/>
      <c r="IK25" s="2458"/>
      <c r="IL25" s="2458"/>
      <c r="IM25" s="2458"/>
      <c r="IN25" s="2458"/>
      <c r="IO25" s="2458"/>
      <c r="IP25" s="2458"/>
      <c r="IQ25" s="2458"/>
      <c r="IR25" s="2458"/>
      <c r="IS25" s="2458"/>
      <c r="IT25" s="2458"/>
      <c r="IU25" s="2458"/>
      <c r="IV25" s="2458"/>
    </row>
    <row r="26" spans="1:256">
      <c r="A26" s="2452">
        <f t="shared" si="0"/>
        <v>23</v>
      </c>
      <c r="B26" s="2453"/>
      <c r="C26" s="2453"/>
      <c r="D26" s="2456" t="str">
        <f t="shared" si="1"/>
        <v xml:space="preserve"> </v>
      </c>
      <c r="E26" s="2456" t="str">
        <f t="shared" si="17"/>
        <v/>
      </c>
      <c r="F26" s="2455">
        <f t="shared" si="2"/>
        <v>53</v>
      </c>
      <c r="G26" s="2453"/>
      <c r="H26" s="2453"/>
      <c r="I26" s="2456" t="str">
        <f t="shared" si="3"/>
        <v xml:space="preserve"> </v>
      </c>
      <c r="J26" s="2456" t="str">
        <f t="shared" si="13"/>
        <v/>
      </c>
      <c r="K26" s="2452">
        <f t="shared" si="4"/>
        <v>83</v>
      </c>
      <c r="L26" s="2453"/>
      <c r="M26" s="2453"/>
      <c r="N26" s="2456" t="str">
        <f t="shared" si="5"/>
        <v xml:space="preserve"> </v>
      </c>
      <c r="O26" s="2456" t="str">
        <f t="shared" si="14"/>
        <v/>
      </c>
      <c r="P26" s="2452">
        <f t="shared" si="6"/>
        <v>113</v>
      </c>
      <c r="Q26" s="2453"/>
      <c r="R26" s="2453"/>
      <c r="S26" s="2456" t="str">
        <f t="shared" si="7"/>
        <v xml:space="preserve"> </v>
      </c>
      <c r="T26" s="2456" t="str">
        <f t="shared" si="12"/>
        <v/>
      </c>
      <c r="U26" s="2455">
        <f t="shared" si="8"/>
        <v>143</v>
      </c>
      <c r="V26" s="2453"/>
      <c r="W26" s="2453"/>
      <c r="X26" s="2456" t="str">
        <f t="shared" si="9"/>
        <v xml:space="preserve"> </v>
      </c>
      <c r="Y26" s="2456" t="str">
        <f t="shared" si="15"/>
        <v/>
      </c>
      <c r="Z26" s="2452">
        <f t="shared" si="10"/>
        <v>173</v>
      </c>
      <c r="AA26" s="2453"/>
      <c r="AB26" s="2453"/>
      <c r="AC26" s="2456" t="str">
        <f t="shared" si="11"/>
        <v xml:space="preserve"> </v>
      </c>
      <c r="AD26" s="2456" t="str">
        <f t="shared" ref="AD26:AD33" si="18">IF(ISBLANK(AA26), "",AVERAGE(AC20:AC26))</f>
        <v/>
      </c>
      <c r="AE26" s="2457"/>
      <c r="AF26" s="2457"/>
      <c r="AG26" s="2457"/>
      <c r="AH26" s="2457"/>
      <c r="AI26" s="2457"/>
      <c r="AJ26" s="2457"/>
      <c r="AK26" s="2457"/>
      <c r="AL26" s="2457"/>
      <c r="AM26" s="2457"/>
      <c r="AN26" s="2457"/>
      <c r="AO26" s="2457"/>
      <c r="AP26" s="2457"/>
      <c r="AQ26" s="2457"/>
      <c r="AR26" s="2457"/>
      <c r="AS26" s="2457"/>
      <c r="AT26" s="2457"/>
      <c r="AU26" s="2457"/>
      <c r="AV26" s="2457"/>
      <c r="AW26" s="2457"/>
      <c r="AX26" s="2457"/>
      <c r="AY26" s="2457"/>
      <c r="AZ26" s="2457"/>
      <c r="BA26" s="2457"/>
      <c r="BB26" s="2457"/>
      <c r="BC26" s="2457"/>
      <c r="BD26" s="2457"/>
      <c r="BE26" s="2457"/>
      <c r="BF26" s="2457"/>
      <c r="BG26" s="2457"/>
      <c r="BH26" s="2457"/>
      <c r="BI26" s="2458"/>
      <c r="BJ26" s="2458"/>
      <c r="BK26" s="2458"/>
      <c r="BL26" s="2458"/>
      <c r="BM26" s="2458"/>
      <c r="BN26" s="2458"/>
      <c r="BO26" s="2458"/>
      <c r="BP26" s="2458"/>
      <c r="BQ26" s="2458"/>
      <c r="BR26" s="2458"/>
      <c r="BS26" s="2458"/>
      <c r="BT26" s="2458"/>
      <c r="BU26" s="2458"/>
      <c r="BV26" s="2458"/>
      <c r="BW26" s="2458"/>
      <c r="BX26" s="2458"/>
      <c r="BY26" s="2458"/>
      <c r="BZ26" s="2458"/>
      <c r="CA26" s="2458"/>
      <c r="CB26" s="2458"/>
      <c r="CC26" s="2458"/>
      <c r="CD26" s="2458"/>
      <c r="CE26" s="2458"/>
      <c r="CF26" s="2458"/>
      <c r="CG26" s="2458"/>
      <c r="CH26" s="2458"/>
      <c r="CI26" s="2458"/>
      <c r="CJ26" s="2458"/>
      <c r="CK26" s="2458"/>
      <c r="CL26" s="2458"/>
      <c r="CM26" s="2458"/>
      <c r="CN26" s="2458"/>
      <c r="CO26" s="2458"/>
      <c r="CP26" s="2458"/>
      <c r="CQ26" s="2458"/>
      <c r="CR26" s="2458"/>
      <c r="CS26" s="2458"/>
      <c r="CT26" s="2458"/>
      <c r="CU26" s="2458"/>
      <c r="CV26" s="2458"/>
      <c r="CW26" s="2458"/>
      <c r="CX26" s="2458"/>
      <c r="CY26" s="2458"/>
      <c r="CZ26" s="2458"/>
      <c r="DA26" s="2458"/>
      <c r="DB26" s="2458"/>
      <c r="DC26" s="2458"/>
      <c r="DD26" s="2458"/>
      <c r="DE26" s="2458"/>
      <c r="DF26" s="2458"/>
      <c r="DG26" s="2458"/>
      <c r="DH26" s="2458"/>
      <c r="DI26" s="2458"/>
      <c r="DJ26" s="2458"/>
      <c r="DK26" s="2458"/>
      <c r="DL26" s="2458"/>
      <c r="DM26" s="2458"/>
      <c r="DN26" s="2458"/>
      <c r="DO26" s="2458"/>
      <c r="DP26" s="2458"/>
      <c r="DQ26" s="2458"/>
      <c r="DR26" s="2458"/>
      <c r="DS26" s="2458"/>
      <c r="DT26" s="2458"/>
      <c r="DU26" s="2458"/>
      <c r="DV26" s="2458"/>
      <c r="DW26" s="2458"/>
      <c r="DX26" s="2458"/>
      <c r="DY26" s="2458"/>
      <c r="DZ26" s="2458"/>
      <c r="EA26" s="2458"/>
      <c r="EB26" s="2458"/>
      <c r="EC26" s="2458"/>
      <c r="ED26" s="2458"/>
      <c r="EE26" s="2458"/>
      <c r="EF26" s="2458"/>
      <c r="EG26" s="2458"/>
      <c r="EH26" s="2458"/>
      <c r="EI26" s="2458"/>
      <c r="EJ26" s="2458"/>
      <c r="EK26" s="2458"/>
      <c r="EL26" s="2458"/>
      <c r="EM26" s="2458"/>
      <c r="EN26" s="2458"/>
      <c r="EO26" s="2458"/>
      <c r="EP26" s="2458"/>
      <c r="EQ26" s="2458"/>
      <c r="ER26" s="2458"/>
      <c r="ES26" s="2458"/>
      <c r="ET26" s="2458"/>
      <c r="EU26" s="2458"/>
      <c r="EV26" s="2458"/>
      <c r="EW26" s="2458"/>
      <c r="EX26" s="2458"/>
      <c r="EY26" s="2458"/>
      <c r="EZ26" s="2458"/>
      <c r="FA26" s="2458"/>
      <c r="FB26" s="2458"/>
      <c r="FC26" s="2458"/>
      <c r="FD26" s="2458"/>
      <c r="FE26" s="2458"/>
      <c r="FF26" s="2458"/>
      <c r="FG26" s="2458"/>
      <c r="FH26" s="2458"/>
      <c r="FI26" s="2458"/>
      <c r="FJ26" s="2458"/>
      <c r="FK26" s="2458"/>
      <c r="FL26" s="2458"/>
      <c r="FM26" s="2458"/>
      <c r="FN26" s="2458"/>
      <c r="FO26" s="2458"/>
      <c r="FP26" s="2458"/>
      <c r="FQ26" s="2458"/>
      <c r="FR26" s="2458"/>
      <c r="FS26" s="2458"/>
      <c r="FT26" s="2458"/>
      <c r="FU26" s="2458"/>
      <c r="FV26" s="2458"/>
      <c r="FW26" s="2458"/>
      <c r="FX26" s="2458"/>
      <c r="FY26" s="2458"/>
      <c r="FZ26" s="2458"/>
      <c r="GA26" s="2458"/>
      <c r="GB26" s="2458"/>
      <c r="GC26" s="2458"/>
      <c r="GD26" s="2458"/>
      <c r="GE26" s="2458"/>
      <c r="GF26" s="2458"/>
      <c r="GG26" s="2458"/>
      <c r="GH26" s="2458"/>
      <c r="GI26" s="2458"/>
      <c r="GJ26" s="2458"/>
      <c r="GK26" s="2458"/>
      <c r="GL26" s="2458"/>
      <c r="GM26" s="2458"/>
      <c r="GN26" s="2458"/>
      <c r="GO26" s="2458"/>
      <c r="GP26" s="2458"/>
      <c r="GQ26" s="2458"/>
      <c r="GR26" s="2458"/>
      <c r="GS26" s="2458"/>
      <c r="GT26" s="2458"/>
      <c r="GU26" s="2458"/>
      <c r="GV26" s="2458"/>
      <c r="GW26" s="2458"/>
      <c r="GX26" s="2458"/>
      <c r="GY26" s="2458"/>
      <c r="GZ26" s="2458"/>
      <c r="HA26" s="2458"/>
      <c r="HB26" s="2458"/>
      <c r="HC26" s="2458"/>
      <c r="HD26" s="2458"/>
      <c r="HE26" s="2458"/>
      <c r="HF26" s="2458"/>
      <c r="HG26" s="2458"/>
      <c r="HH26" s="2458"/>
      <c r="HI26" s="2458"/>
      <c r="HJ26" s="2458"/>
      <c r="HK26" s="2458"/>
      <c r="HL26" s="2458"/>
      <c r="HM26" s="2458"/>
      <c r="HN26" s="2458"/>
      <c r="HO26" s="2458"/>
      <c r="HP26" s="2458"/>
      <c r="HQ26" s="2458"/>
      <c r="HR26" s="2458"/>
      <c r="HS26" s="2458"/>
      <c r="HT26" s="2458"/>
      <c r="HU26" s="2458"/>
      <c r="HV26" s="2458"/>
      <c r="HW26" s="2458"/>
      <c r="HX26" s="2458"/>
      <c r="HY26" s="2458"/>
      <c r="HZ26" s="2458"/>
      <c r="IA26" s="2458"/>
      <c r="IB26" s="2458"/>
      <c r="IC26" s="2458"/>
      <c r="ID26" s="2458"/>
      <c r="IE26" s="2458"/>
      <c r="IF26" s="2458"/>
      <c r="IG26" s="2458"/>
      <c r="IH26" s="2458"/>
      <c r="II26" s="2458"/>
      <c r="IJ26" s="2458"/>
      <c r="IK26" s="2458"/>
      <c r="IL26" s="2458"/>
      <c r="IM26" s="2458"/>
      <c r="IN26" s="2458"/>
      <c r="IO26" s="2458"/>
      <c r="IP26" s="2458"/>
      <c r="IQ26" s="2458"/>
      <c r="IR26" s="2458"/>
      <c r="IS26" s="2458"/>
      <c r="IT26" s="2458"/>
      <c r="IU26" s="2458"/>
      <c r="IV26" s="2458"/>
    </row>
    <row r="27" spans="1:256">
      <c r="A27" s="2452">
        <f t="shared" si="0"/>
        <v>24</v>
      </c>
      <c r="B27" s="2453"/>
      <c r="C27" s="2453"/>
      <c r="D27" s="2456" t="str">
        <f t="shared" si="1"/>
        <v xml:space="preserve"> </v>
      </c>
      <c r="E27" s="2456" t="str">
        <f t="shared" si="17"/>
        <v/>
      </c>
      <c r="F27" s="2455">
        <f t="shared" si="2"/>
        <v>54</v>
      </c>
      <c r="G27" s="2460"/>
      <c r="H27" s="2460"/>
      <c r="I27" s="2456" t="str">
        <f t="shared" si="3"/>
        <v xml:space="preserve"> </v>
      </c>
      <c r="J27" s="2456" t="str">
        <f t="shared" si="13"/>
        <v/>
      </c>
      <c r="K27" s="2452">
        <f t="shared" si="4"/>
        <v>84</v>
      </c>
      <c r="L27" s="2460"/>
      <c r="M27" s="2460"/>
      <c r="N27" s="2456" t="str">
        <f t="shared" si="5"/>
        <v xml:space="preserve"> </v>
      </c>
      <c r="O27" s="2456" t="str">
        <f t="shared" si="14"/>
        <v/>
      </c>
      <c r="P27" s="2452">
        <f t="shared" si="6"/>
        <v>114</v>
      </c>
      <c r="Q27" s="2453"/>
      <c r="R27" s="2453"/>
      <c r="S27" s="2456" t="str">
        <f t="shared" si="7"/>
        <v xml:space="preserve"> </v>
      </c>
      <c r="T27" s="2456" t="str">
        <f t="shared" si="12"/>
        <v/>
      </c>
      <c r="U27" s="2455">
        <f t="shared" si="8"/>
        <v>144</v>
      </c>
      <c r="V27" s="2453"/>
      <c r="W27" s="2453"/>
      <c r="X27" s="2456" t="str">
        <f t="shared" si="9"/>
        <v xml:space="preserve"> </v>
      </c>
      <c r="Y27" s="2456" t="str">
        <f t="shared" si="15"/>
        <v/>
      </c>
      <c r="Z27" s="2452">
        <f t="shared" si="10"/>
        <v>174</v>
      </c>
      <c r="AA27" s="2453"/>
      <c r="AB27" s="2453"/>
      <c r="AC27" s="2456" t="str">
        <f t="shared" si="11"/>
        <v xml:space="preserve"> </v>
      </c>
      <c r="AD27" s="2456" t="str">
        <f t="shared" si="18"/>
        <v/>
      </c>
      <c r="AE27" s="2457"/>
      <c r="AF27" s="2457"/>
      <c r="AG27" s="2457"/>
      <c r="AH27" s="2457"/>
      <c r="AI27" s="2457"/>
      <c r="AJ27" s="2457"/>
      <c r="AK27" s="2457"/>
      <c r="AL27" s="2457"/>
      <c r="AM27" s="2457"/>
      <c r="AN27" s="2457"/>
      <c r="AO27" s="2457"/>
      <c r="AP27" s="2457"/>
      <c r="AQ27" s="2457"/>
      <c r="AR27" s="2457"/>
      <c r="AS27" s="2457"/>
      <c r="AT27" s="2457"/>
      <c r="AU27" s="2457"/>
      <c r="AV27" s="2457"/>
      <c r="AW27" s="2457"/>
      <c r="AX27" s="2457"/>
      <c r="AY27" s="2457"/>
      <c r="AZ27" s="2457"/>
      <c r="BA27" s="2457"/>
      <c r="BB27" s="2457"/>
      <c r="BC27" s="2457"/>
      <c r="BD27" s="2457"/>
      <c r="BE27" s="2457"/>
      <c r="BF27" s="2457"/>
      <c r="BG27" s="2457"/>
      <c r="BH27" s="2457"/>
      <c r="BI27" s="2458"/>
      <c r="BJ27" s="2458"/>
      <c r="BK27" s="2458"/>
      <c r="BL27" s="2458"/>
      <c r="BM27" s="2458"/>
      <c r="BN27" s="2458"/>
      <c r="BO27" s="2458"/>
      <c r="BP27" s="2458"/>
      <c r="BQ27" s="2458"/>
      <c r="BR27" s="2458"/>
      <c r="BS27" s="2458"/>
      <c r="BT27" s="2458"/>
      <c r="BU27" s="2458"/>
      <c r="BV27" s="2458"/>
      <c r="BW27" s="2458"/>
      <c r="BX27" s="2458"/>
      <c r="BY27" s="2458"/>
      <c r="BZ27" s="2458"/>
      <c r="CA27" s="2458"/>
      <c r="CB27" s="2458"/>
      <c r="CC27" s="2458"/>
      <c r="CD27" s="2458"/>
      <c r="CE27" s="2458"/>
      <c r="CF27" s="2458"/>
      <c r="CG27" s="2458"/>
      <c r="CH27" s="2458"/>
      <c r="CI27" s="2458"/>
      <c r="CJ27" s="2458"/>
      <c r="CK27" s="2458"/>
      <c r="CL27" s="2458"/>
      <c r="CM27" s="2458"/>
      <c r="CN27" s="2458"/>
      <c r="CO27" s="2458"/>
      <c r="CP27" s="2458"/>
      <c r="CQ27" s="2458"/>
      <c r="CR27" s="2458"/>
      <c r="CS27" s="2458"/>
      <c r="CT27" s="2458"/>
      <c r="CU27" s="2458"/>
      <c r="CV27" s="2458"/>
      <c r="CW27" s="2458"/>
      <c r="CX27" s="2458"/>
      <c r="CY27" s="2458"/>
      <c r="CZ27" s="2458"/>
      <c r="DA27" s="2458"/>
      <c r="DB27" s="2458"/>
      <c r="DC27" s="2458"/>
      <c r="DD27" s="2458"/>
      <c r="DE27" s="2458"/>
      <c r="DF27" s="2458"/>
      <c r="DG27" s="2458"/>
      <c r="DH27" s="2458"/>
      <c r="DI27" s="2458"/>
      <c r="DJ27" s="2458"/>
      <c r="DK27" s="2458"/>
      <c r="DL27" s="2458"/>
      <c r="DM27" s="2458"/>
      <c r="DN27" s="2458"/>
      <c r="DO27" s="2458"/>
      <c r="DP27" s="2458"/>
      <c r="DQ27" s="2458"/>
      <c r="DR27" s="2458"/>
      <c r="DS27" s="2458"/>
      <c r="DT27" s="2458"/>
      <c r="DU27" s="2458"/>
      <c r="DV27" s="2458"/>
      <c r="DW27" s="2458"/>
      <c r="DX27" s="2458"/>
      <c r="DY27" s="2458"/>
      <c r="DZ27" s="2458"/>
      <c r="EA27" s="2458"/>
      <c r="EB27" s="2458"/>
      <c r="EC27" s="2458"/>
      <c r="ED27" s="2458"/>
      <c r="EE27" s="2458"/>
      <c r="EF27" s="2458"/>
      <c r="EG27" s="2458"/>
      <c r="EH27" s="2458"/>
      <c r="EI27" s="2458"/>
      <c r="EJ27" s="2458"/>
      <c r="EK27" s="2458"/>
      <c r="EL27" s="2458"/>
      <c r="EM27" s="2458"/>
      <c r="EN27" s="2458"/>
      <c r="EO27" s="2458"/>
      <c r="EP27" s="2458"/>
      <c r="EQ27" s="2458"/>
      <c r="ER27" s="2458"/>
      <c r="ES27" s="2458"/>
      <c r="ET27" s="2458"/>
      <c r="EU27" s="2458"/>
      <c r="EV27" s="2458"/>
      <c r="EW27" s="2458"/>
      <c r="EX27" s="2458"/>
      <c r="EY27" s="2458"/>
      <c r="EZ27" s="2458"/>
      <c r="FA27" s="2458"/>
      <c r="FB27" s="2458"/>
      <c r="FC27" s="2458"/>
      <c r="FD27" s="2458"/>
      <c r="FE27" s="2458"/>
      <c r="FF27" s="2458"/>
      <c r="FG27" s="2458"/>
      <c r="FH27" s="2458"/>
      <c r="FI27" s="2458"/>
      <c r="FJ27" s="2458"/>
      <c r="FK27" s="2458"/>
      <c r="FL27" s="2458"/>
      <c r="FM27" s="2458"/>
      <c r="FN27" s="2458"/>
      <c r="FO27" s="2458"/>
      <c r="FP27" s="2458"/>
      <c r="FQ27" s="2458"/>
      <c r="FR27" s="2458"/>
      <c r="FS27" s="2458"/>
      <c r="FT27" s="2458"/>
      <c r="FU27" s="2458"/>
      <c r="FV27" s="2458"/>
      <c r="FW27" s="2458"/>
      <c r="FX27" s="2458"/>
      <c r="FY27" s="2458"/>
      <c r="FZ27" s="2458"/>
      <c r="GA27" s="2458"/>
      <c r="GB27" s="2458"/>
      <c r="GC27" s="2458"/>
      <c r="GD27" s="2458"/>
      <c r="GE27" s="2458"/>
      <c r="GF27" s="2458"/>
      <c r="GG27" s="2458"/>
      <c r="GH27" s="2458"/>
      <c r="GI27" s="2458"/>
      <c r="GJ27" s="2458"/>
      <c r="GK27" s="2458"/>
      <c r="GL27" s="2458"/>
      <c r="GM27" s="2458"/>
      <c r="GN27" s="2458"/>
      <c r="GO27" s="2458"/>
      <c r="GP27" s="2458"/>
      <c r="GQ27" s="2458"/>
      <c r="GR27" s="2458"/>
      <c r="GS27" s="2458"/>
      <c r="GT27" s="2458"/>
      <c r="GU27" s="2458"/>
      <c r="GV27" s="2458"/>
      <c r="GW27" s="2458"/>
      <c r="GX27" s="2458"/>
      <c r="GY27" s="2458"/>
      <c r="GZ27" s="2458"/>
      <c r="HA27" s="2458"/>
      <c r="HB27" s="2458"/>
      <c r="HC27" s="2458"/>
      <c r="HD27" s="2458"/>
      <c r="HE27" s="2458"/>
      <c r="HF27" s="2458"/>
      <c r="HG27" s="2458"/>
      <c r="HH27" s="2458"/>
      <c r="HI27" s="2458"/>
      <c r="HJ27" s="2458"/>
      <c r="HK27" s="2458"/>
      <c r="HL27" s="2458"/>
      <c r="HM27" s="2458"/>
      <c r="HN27" s="2458"/>
      <c r="HO27" s="2458"/>
      <c r="HP27" s="2458"/>
      <c r="HQ27" s="2458"/>
      <c r="HR27" s="2458"/>
      <c r="HS27" s="2458"/>
      <c r="HT27" s="2458"/>
      <c r="HU27" s="2458"/>
      <c r="HV27" s="2458"/>
      <c r="HW27" s="2458"/>
      <c r="HX27" s="2458"/>
      <c r="HY27" s="2458"/>
      <c r="HZ27" s="2458"/>
      <c r="IA27" s="2458"/>
      <c r="IB27" s="2458"/>
      <c r="IC27" s="2458"/>
      <c r="ID27" s="2458"/>
      <c r="IE27" s="2458"/>
      <c r="IF27" s="2458"/>
      <c r="IG27" s="2458"/>
      <c r="IH27" s="2458"/>
      <c r="II27" s="2458"/>
      <c r="IJ27" s="2458"/>
      <c r="IK27" s="2458"/>
      <c r="IL27" s="2458"/>
      <c r="IM27" s="2458"/>
      <c r="IN27" s="2458"/>
      <c r="IO27" s="2458"/>
      <c r="IP27" s="2458"/>
      <c r="IQ27" s="2458"/>
      <c r="IR27" s="2458"/>
      <c r="IS27" s="2458"/>
      <c r="IT27" s="2458"/>
      <c r="IU27" s="2458"/>
      <c r="IV27" s="2458"/>
    </row>
    <row r="28" spans="1:256">
      <c r="A28" s="2452">
        <f t="shared" si="0"/>
        <v>25</v>
      </c>
      <c r="B28" s="2453"/>
      <c r="C28" s="2453"/>
      <c r="D28" s="2456" t="str">
        <f t="shared" si="1"/>
        <v xml:space="preserve"> </v>
      </c>
      <c r="E28" s="2456" t="str">
        <f t="shared" si="17"/>
        <v/>
      </c>
      <c r="F28" s="2455">
        <f t="shared" si="2"/>
        <v>55</v>
      </c>
      <c r="G28" s="2453"/>
      <c r="H28" s="2453"/>
      <c r="I28" s="2456" t="str">
        <f t="shared" si="3"/>
        <v xml:space="preserve"> </v>
      </c>
      <c r="J28" s="2456" t="str">
        <f t="shared" si="13"/>
        <v/>
      </c>
      <c r="K28" s="2452">
        <f t="shared" si="4"/>
        <v>85</v>
      </c>
      <c r="L28" s="2453"/>
      <c r="M28" s="2453"/>
      <c r="N28" s="2456"/>
      <c r="O28" s="2456"/>
      <c r="P28" s="2452">
        <f t="shared" si="6"/>
        <v>115</v>
      </c>
      <c r="Q28" s="2453"/>
      <c r="R28" s="2453"/>
      <c r="S28" s="2456" t="str">
        <f t="shared" si="7"/>
        <v xml:space="preserve"> </v>
      </c>
      <c r="T28" s="2456" t="str">
        <f t="shared" si="12"/>
        <v/>
      </c>
      <c r="U28" s="2455">
        <f t="shared" si="8"/>
        <v>145</v>
      </c>
      <c r="V28" s="2453"/>
      <c r="W28" s="2453"/>
      <c r="X28" s="2456" t="str">
        <f t="shared" si="9"/>
        <v xml:space="preserve"> </v>
      </c>
      <c r="Y28" s="2456" t="str">
        <f t="shared" si="15"/>
        <v/>
      </c>
      <c r="Z28" s="2452">
        <f t="shared" si="10"/>
        <v>175</v>
      </c>
      <c r="AA28" s="2453"/>
      <c r="AB28" s="2453"/>
      <c r="AC28" s="2456" t="str">
        <f t="shared" si="11"/>
        <v xml:space="preserve"> </v>
      </c>
      <c r="AD28" s="2456" t="str">
        <f t="shared" si="18"/>
        <v/>
      </c>
      <c r="AE28" s="2457"/>
      <c r="AF28" s="2457"/>
      <c r="AG28" s="2457"/>
      <c r="AH28" s="2457"/>
      <c r="AI28" s="2457"/>
      <c r="AJ28" s="2457"/>
      <c r="AK28" s="2457"/>
      <c r="AL28" s="2457"/>
      <c r="AM28" s="2457"/>
      <c r="AN28" s="2457"/>
      <c r="AO28" s="2457"/>
      <c r="AP28" s="2457"/>
      <c r="AQ28" s="2457"/>
      <c r="AR28" s="2457"/>
      <c r="AS28" s="2457"/>
      <c r="AT28" s="2457"/>
      <c r="AU28" s="2457"/>
      <c r="AV28" s="2457"/>
      <c r="AW28" s="2457"/>
      <c r="AX28" s="2457"/>
      <c r="AY28" s="2457"/>
      <c r="AZ28" s="2457"/>
      <c r="BA28" s="2457"/>
      <c r="BB28" s="2457"/>
      <c r="BC28" s="2457"/>
      <c r="BD28" s="2457"/>
      <c r="BE28" s="2457"/>
      <c r="BF28" s="2457"/>
      <c r="BG28" s="2457"/>
      <c r="BH28" s="2457"/>
      <c r="BI28" s="2458"/>
      <c r="BJ28" s="2458"/>
      <c r="BK28" s="2458"/>
      <c r="BL28" s="2458"/>
      <c r="BM28" s="2458"/>
      <c r="BN28" s="2458"/>
      <c r="BO28" s="2458"/>
      <c r="BP28" s="2458"/>
      <c r="BQ28" s="2458"/>
      <c r="BR28" s="2458"/>
      <c r="BS28" s="2458"/>
      <c r="BT28" s="2458"/>
      <c r="BU28" s="2458"/>
      <c r="BV28" s="2458"/>
      <c r="BW28" s="2458"/>
      <c r="BX28" s="2458"/>
      <c r="BY28" s="2458"/>
      <c r="BZ28" s="2458"/>
      <c r="CA28" s="2458"/>
      <c r="CB28" s="2458"/>
      <c r="CC28" s="2458"/>
      <c r="CD28" s="2458"/>
      <c r="CE28" s="2458"/>
      <c r="CF28" s="2458"/>
      <c r="CG28" s="2458"/>
      <c r="CH28" s="2458"/>
      <c r="CI28" s="2458"/>
      <c r="CJ28" s="2458"/>
      <c r="CK28" s="2458"/>
      <c r="CL28" s="2458"/>
      <c r="CM28" s="2458"/>
      <c r="CN28" s="2458"/>
      <c r="CO28" s="2458"/>
      <c r="CP28" s="2458"/>
      <c r="CQ28" s="2458"/>
      <c r="CR28" s="2458"/>
      <c r="CS28" s="2458"/>
      <c r="CT28" s="2458"/>
      <c r="CU28" s="2458"/>
      <c r="CV28" s="2458"/>
      <c r="CW28" s="2458"/>
      <c r="CX28" s="2458"/>
      <c r="CY28" s="2458"/>
      <c r="CZ28" s="2458"/>
      <c r="DA28" s="2458"/>
      <c r="DB28" s="2458"/>
      <c r="DC28" s="2458"/>
      <c r="DD28" s="2458"/>
      <c r="DE28" s="2458"/>
      <c r="DF28" s="2458"/>
      <c r="DG28" s="2458"/>
      <c r="DH28" s="2458"/>
      <c r="DI28" s="2458"/>
      <c r="DJ28" s="2458"/>
      <c r="DK28" s="2458"/>
      <c r="DL28" s="2458"/>
      <c r="DM28" s="2458"/>
      <c r="DN28" s="2458"/>
      <c r="DO28" s="2458"/>
      <c r="DP28" s="2458"/>
      <c r="DQ28" s="2458"/>
      <c r="DR28" s="2458"/>
      <c r="DS28" s="2458"/>
      <c r="DT28" s="2458"/>
      <c r="DU28" s="2458"/>
      <c r="DV28" s="2458"/>
      <c r="DW28" s="2458"/>
      <c r="DX28" s="2458"/>
      <c r="DY28" s="2458"/>
      <c r="DZ28" s="2458"/>
      <c r="EA28" s="2458"/>
      <c r="EB28" s="2458"/>
      <c r="EC28" s="2458"/>
      <c r="ED28" s="2458"/>
      <c r="EE28" s="2458"/>
      <c r="EF28" s="2458"/>
      <c r="EG28" s="2458"/>
      <c r="EH28" s="2458"/>
      <c r="EI28" s="2458"/>
      <c r="EJ28" s="2458"/>
      <c r="EK28" s="2458"/>
      <c r="EL28" s="2458"/>
      <c r="EM28" s="2458"/>
      <c r="EN28" s="2458"/>
      <c r="EO28" s="2458"/>
      <c r="EP28" s="2458"/>
      <c r="EQ28" s="2458"/>
      <c r="ER28" s="2458"/>
      <c r="ES28" s="2458"/>
      <c r="ET28" s="2458"/>
      <c r="EU28" s="2458"/>
      <c r="EV28" s="2458"/>
      <c r="EW28" s="2458"/>
      <c r="EX28" s="2458"/>
      <c r="EY28" s="2458"/>
      <c r="EZ28" s="2458"/>
      <c r="FA28" s="2458"/>
      <c r="FB28" s="2458"/>
      <c r="FC28" s="2458"/>
      <c r="FD28" s="2458"/>
      <c r="FE28" s="2458"/>
      <c r="FF28" s="2458"/>
      <c r="FG28" s="2458"/>
      <c r="FH28" s="2458"/>
      <c r="FI28" s="2458"/>
      <c r="FJ28" s="2458"/>
      <c r="FK28" s="2458"/>
      <c r="FL28" s="2458"/>
      <c r="FM28" s="2458"/>
      <c r="FN28" s="2458"/>
      <c r="FO28" s="2458"/>
      <c r="FP28" s="2458"/>
      <c r="FQ28" s="2458"/>
      <c r="FR28" s="2458"/>
      <c r="FS28" s="2458"/>
      <c r="FT28" s="2458"/>
      <c r="FU28" s="2458"/>
      <c r="FV28" s="2458"/>
      <c r="FW28" s="2458"/>
      <c r="FX28" s="2458"/>
      <c r="FY28" s="2458"/>
      <c r="FZ28" s="2458"/>
      <c r="GA28" s="2458"/>
      <c r="GB28" s="2458"/>
      <c r="GC28" s="2458"/>
      <c r="GD28" s="2458"/>
      <c r="GE28" s="2458"/>
      <c r="GF28" s="2458"/>
      <c r="GG28" s="2458"/>
      <c r="GH28" s="2458"/>
      <c r="GI28" s="2458"/>
      <c r="GJ28" s="2458"/>
      <c r="GK28" s="2458"/>
      <c r="GL28" s="2458"/>
      <c r="GM28" s="2458"/>
      <c r="GN28" s="2458"/>
      <c r="GO28" s="2458"/>
      <c r="GP28" s="2458"/>
      <c r="GQ28" s="2458"/>
      <c r="GR28" s="2458"/>
      <c r="GS28" s="2458"/>
      <c r="GT28" s="2458"/>
      <c r="GU28" s="2458"/>
      <c r="GV28" s="2458"/>
      <c r="GW28" s="2458"/>
      <c r="GX28" s="2458"/>
      <c r="GY28" s="2458"/>
      <c r="GZ28" s="2458"/>
      <c r="HA28" s="2458"/>
      <c r="HB28" s="2458"/>
      <c r="HC28" s="2458"/>
      <c r="HD28" s="2458"/>
      <c r="HE28" s="2458"/>
      <c r="HF28" s="2458"/>
      <c r="HG28" s="2458"/>
      <c r="HH28" s="2458"/>
      <c r="HI28" s="2458"/>
      <c r="HJ28" s="2458"/>
      <c r="HK28" s="2458"/>
      <c r="HL28" s="2458"/>
      <c r="HM28" s="2458"/>
      <c r="HN28" s="2458"/>
      <c r="HO28" s="2458"/>
      <c r="HP28" s="2458"/>
      <c r="HQ28" s="2458"/>
      <c r="HR28" s="2458"/>
      <c r="HS28" s="2458"/>
      <c r="HT28" s="2458"/>
      <c r="HU28" s="2458"/>
      <c r="HV28" s="2458"/>
      <c r="HW28" s="2458"/>
      <c r="HX28" s="2458"/>
      <c r="HY28" s="2458"/>
      <c r="HZ28" s="2458"/>
      <c r="IA28" s="2458"/>
      <c r="IB28" s="2458"/>
      <c r="IC28" s="2458"/>
      <c r="ID28" s="2458"/>
      <c r="IE28" s="2458"/>
      <c r="IF28" s="2458"/>
      <c r="IG28" s="2458"/>
      <c r="IH28" s="2458"/>
      <c r="II28" s="2458"/>
      <c r="IJ28" s="2458"/>
      <c r="IK28" s="2458"/>
      <c r="IL28" s="2458"/>
      <c r="IM28" s="2458"/>
      <c r="IN28" s="2458"/>
      <c r="IO28" s="2458"/>
      <c r="IP28" s="2458"/>
      <c r="IQ28" s="2458"/>
      <c r="IR28" s="2458"/>
      <c r="IS28" s="2458"/>
      <c r="IT28" s="2458"/>
      <c r="IU28" s="2458"/>
      <c r="IV28" s="2458"/>
    </row>
    <row r="29" spans="1:256">
      <c r="A29" s="2452">
        <f t="shared" si="0"/>
        <v>26</v>
      </c>
      <c r="B29" s="2453"/>
      <c r="C29" s="2453"/>
      <c r="D29" s="2456" t="str">
        <f t="shared" si="1"/>
        <v xml:space="preserve"> </v>
      </c>
      <c r="E29" s="2456" t="str">
        <f t="shared" si="17"/>
        <v/>
      </c>
      <c r="F29" s="2455">
        <f t="shared" si="2"/>
        <v>56</v>
      </c>
      <c r="G29" s="2453"/>
      <c r="H29" s="2453"/>
      <c r="I29" s="2456" t="str">
        <f t="shared" si="3"/>
        <v xml:space="preserve"> </v>
      </c>
      <c r="J29" s="2456" t="str">
        <f t="shared" si="13"/>
        <v/>
      </c>
      <c r="K29" s="2452">
        <f t="shared" si="4"/>
        <v>86</v>
      </c>
      <c r="L29" s="2453"/>
      <c r="M29" s="2453"/>
      <c r="N29" s="2456"/>
      <c r="O29" s="2456"/>
      <c r="P29" s="2452">
        <f t="shared" si="6"/>
        <v>116</v>
      </c>
      <c r="Q29" s="2453"/>
      <c r="R29" s="2453"/>
      <c r="S29" s="2456" t="str">
        <f t="shared" si="7"/>
        <v xml:space="preserve"> </v>
      </c>
      <c r="T29" s="2456" t="str">
        <f t="shared" si="12"/>
        <v/>
      </c>
      <c r="U29" s="2455">
        <f t="shared" si="8"/>
        <v>146</v>
      </c>
      <c r="V29" s="2453"/>
      <c r="W29" s="2453"/>
      <c r="X29" s="2456" t="str">
        <f t="shared" si="9"/>
        <v xml:space="preserve"> </v>
      </c>
      <c r="Y29" s="2456" t="str">
        <f t="shared" si="15"/>
        <v/>
      </c>
      <c r="Z29" s="2452">
        <f t="shared" si="10"/>
        <v>176</v>
      </c>
      <c r="AA29" s="2453"/>
      <c r="AB29" s="2453"/>
      <c r="AC29" s="2456" t="str">
        <f t="shared" si="11"/>
        <v xml:space="preserve"> </v>
      </c>
      <c r="AD29" s="2456" t="str">
        <f t="shared" si="18"/>
        <v/>
      </c>
      <c r="AE29" s="2457"/>
      <c r="AF29" s="2457"/>
      <c r="AG29" s="2457"/>
      <c r="AH29" s="2457"/>
      <c r="AI29" s="2457"/>
      <c r="AJ29" s="2457"/>
      <c r="AK29" s="2457"/>
      <c r="AL29" s="2457"/>
      <c r="AM29" s="2457"/>
      <c r="AN29" s="2457"/>
      <c r="AO29" s="2457"/>
      <c r="AP29" s="2457"/>
      <c r="AQ29" s="2457"/>
      <c r="AR29" s="2457"/>
      <c r="AS29" s="2457"/>
      <c r="AT29" s="2457"/>
      <c r="AU29" s="2457"/>
      <c r="AV29" s="2457"/>
      <c r="AW29" s="2457"/>
      <c r="AX29" s="2457"/>
      <c r="AY29" s="2457"/>
      <c r="AZ29" s="2457"/>
      <c r="BA29" s="2457"/>
      <c r="BB29" s="2457"/>
      <c r="BC29" s="2457"/>
      <c r="BD29" s="2457"/>
      <c r="BE29" s="2457"/>
      <c r="BF29" s="2457"/>
      <c r="BG29" s="2457"/>
      <c r="BH29" s="2457"/>
      <c r="BI29" s="2458"/>
      <c r="BJ29" s="2458"/>
      <c r="BK29" s="2458"/>
      <c r="BL29" s="2458"/>
      <c r="BM29" s="2458"/>
      <c r="BN29" s="2458"/>
      <c r="BO29" s="2458"/>
      <c r="BP29" s="2458"/>
      <c r="BQ29" s="2458"/>
      <c r="BR29" s="2458"/>
      <c r="BS29" s="2458"/>
      <c r="BT29" s="2458"/>
      <c r="BU29" s="2458"/>
      <c r="BV29" s="2458"/>
      <c r="BW29" s="2458"/>
      <c r="BX29" s="2458"/>
      <c r="BY29" s="2458"/>
      <c r="BZ29" s="2458"/>
      <c r="CA29" s="2458"/>
      <c r="CB29" s="2458"/>
      <c r="CC29" s="2458"/>
      <c r="CD29" s="2458"/>
      <c r="CE29" s="2458"/>
      <c r="CF29" s="2458"/>
      <c r="CG29" s="2458"/>
      <c r="CH29" s="2458"/>
      <c r="CI29" s="2458"/>
      <c r="CJ29" s="2458"/>
      <c r="CK29" s="2458"/>
      <c r="CL29" s="2458"/>
      <c r="CM29" s="2458"/>
      <c r="CN29" s="2458"/>
      <c r="CO29" s="2458"/>
      <c r="CP29" s="2458"/>
      <c r="CQ29" s="2458"/>
      <c r="CR29" s="2458"/>
      <c r="CS29" s="2458"/>
      <c r="CT29" s="2458"/>
      <c r="CU29" s="2458"/>
      <c r="CV29" s="2458"/>
      <c r="CW29" s="2458"/>
      <c r="CX29" s="2458"/>
      <c r="CY29" s="2458"/>
      <c r="CZ29" s="2458"/>
      <c r="DA29" s="2458"/>
      <c r="DB29" s="2458"/>
      <c r="DC29" s="2458"/>
      <c r="DD29" s="2458"/>
      <c r="DE29" s="2458"/>
      <c r="DF29" s="2458"/>
      <c r="DG29" s="2458"/>
      <c r="DH29" s="2458"/>
      <c r="DI29" s="2458"/>
      <c r="DJ29" s="2458"/>
      <c r="DK29" s="2458"/>
      <c r="DL29" s="2458"/>
      <c r="DM29" s="2458"/>
      <c r="DN29" s="2458"/>
      <c r="DO29" s="2458"/>
      <c r="DP29" s="2458"/>
      <c r="DQ29" s="2458"/>
      <c r="DR29" s="2458"/>
      <c r="DS29" s="2458"/>
      <c r="DT29" s="2458"/>
      <c r="DU29" s="2458"/>
      <c r="DV29" s="2458"/>
      <c r="DW29" s="2458"/>
      <c r="DX29" s="2458"/>
      <c r="DY29" s="2458"/>
      <c r="DZ29" s="2458"/>
      <c r="EA29" s="2458"/>
      <c r="EB29" s="2458"/>
      <c r="EC29" s="2458"/>
      <c r="ED29" s="2458"/>
      <c r="EE29" s="2458"/>
      <c r="EF29" s="2458"/>
      <c r="EG29" s="2458"/>
      <c r="EH29" s="2458"/>
      <c r="EI29" s="2458"/>
      <c r="EJ29" s="2458"/>
      <c r="EK29" s="2458"/>
      <c r="EL29" s="2458"/>
      <c r="EM29" s="2458"/>
      <c r="EN29" s="2458"/>
      <c r="EO29" s="2458"/>
      <c r="EP29" s="2458"/>
      <c r="EQ29" s="2458"/>
      <c r="ER29" s="2458"/>
      <c r="ES29" s="2458"/>
      <c r="ET29" s="2458"/>
      <c r="EU29" s="2458"/>
      <c r="EV29" s="2458"/>
      <c r="EW29" s="2458"/>
      <c r="EX29" s="2458"/>
      <c r="EY29" s="2458"/>
      <c r="EZ29" s="2458"/>
      <c r="FA29" s="2458"/>
      <c r="FB29" s="2458"/>
      <c r="FC29" s="2458"/>
      <c r="FD29" s="2458"/>
      <c r="FE29" s="2458"/>
      <c r="FF29" s="2458"/>
      <c r="FG29" s="2458"/>
      <c r="FH29" s="2458"/>
      <c r="FI29" s="2458"/>
      <c r="FJ29" s="2458"/>
      <c r="FK29" s="2458"/>
      <c r="FL29" s="2458"/>
      <c r="FM29" s="2458"/>
      <c r="FN29" s="2458"/>
      <c r="FO29" s="2458"/>
      <c r="FP29" s="2458"/>
      <c r="FQ29" s="2458"/>
      <c r="FR29" s="2458"/>
      <c r="FS29" s="2458"/>
      <c r="FT29" s="2458"/>
      <c r="FU29" s="2458"/>
      <c r="FV29" s="2458"/>
      <c r="FW29" s="2458"/>
      <c r="FX29" s="2458"/>
      <c r="FY29" s="2458"/>
      <c r="FZ29" s="2458"/>
      <c r="GA29" s="2458"/>
      <c r="GB29" s="2458"/>
      <c r="GC29" s="2458"/>
      <c r="GD29" s="2458"/>
      <c r="GE29" s="2458"/>
      <c r="GF29" s="2458"/>
      <c r="GG29" s="2458"/>
      <c r="GH29" s="2458"/>
      <c r="GI29" s="2458"/>
      <c r="GJ29" s="2458"/>
      <c r="GK29" s="2458"/>
      <c r="GL29" s="2458"/>
      <c r="GM29" s="2458"/>
      <c r="GN29" s="2458"/>
      <c r="GO29" s="2458"/>
      <c r="GP29" s="2458"/>
      <c r="GQ29" s="2458"/>
      <c r="GR29" s="2458"/>
      <c r="GS29" s="2458"/>
      <c r="GT29" s="2458"/>
      <c r="GU29" s="2458"/>
      <c r="GV29" s="2458"/>
      <c r="GW29" s="2458"/>
      <c r="GX29" s="2458"/>
      <c r="GY29" s="2458"/>
      <c r="GZ29" s="2458"/>
      <c r="HA29" s="2458"/>
      <c r="HB29" s="2458"/>
      <c r="HC29" s="2458"/>
      <c r="HD29" s="2458"/>
      <c r="HE29" s="2458"/>
      <c r="HF29" s="2458"/>
      <c r="HG29" s="2458"/>
      <c r="HH29" s="2458"/>
      <c r="HI29" s="2458"/>
      <c r="HJ29" s="2458"/>
      <c r="HK29" s="2458"/>
      <c r="HL29" s="2458"/>
      <c r="HM29" s="2458"/>
      <c r="HN29" s="2458"/>
      <c r="HO29" s="2458"/>
      <c r="HP29" s="2458"/>
      <c r="HQ29" s="2458"/>
      <c r="HR29" s="2458"/>
      <c r="HS29" s="2458"/>
      <c r="HT29" s="2458"/>
      <c r="HU29" s="2458"/>
      <c r="HV29" s="2458"/>
      <c r="HW29" s="2458"/>
      <c r="HX29" s="2458"/>
      <c r="HY29" s="2458"/>
      <c r="HZ29" s="2458"/>
      <c r="IA29" s="2458"/>
      <c r="IB29" s="2458"/>
      <c r="IC29" s="2458"/>
      <c r="ID29" s="2458"/>
      <c r="IE29" s="2458"/>
      <c r="IF29" s="2458"/>
      <c r="IG29" s="2458"/>
      <c r="IH29" s="2458"/>
      <c r="II29" s="2458"/>
      <c r="IJ29" s="2458"/>
      <c r="IK29" s="2458"/>
      <c r="IL29" s="2458"/>
      <c r="IM29" s="2458"/>
      <c r="IN29" s="2458"/>
      <c r="IO29" s="2458"/>
      <c r="IP29" s="2458"/>
      <c r="IQ29" s="2458"/>
      <c r="IR29" s="2458"/>
      <c r="IS29" s="2458"/>
      <c r="IT29" s="2458"/>
      <c r="IU29" s="2458"/>
      <c r="IV29" s="2458"/>
    </row>
    <row r="30" spans="1:256">
      <c r="A30" s="2452">
        <f t="shared" si="0"/>
        <v>27</v>
      </c>
      <c r="B30" s="2453"/>
      <c r="C30" s="2453"/>
      <c r="D30" s="2456" t="str">
        <f t="shared" si="1"/>
        <v xml:space="preserve"> </v>
      </c>
      <c r="E30" s="2456" t="str">
        <f t="shared" si="17"/>
        <v/>
      </c>
      <c r="F30" s="2455">
        <f t="shared" si="2"/>
        <v>57</v>
      </c>
      <c r="G30" s="2453"/>
      <c r="H30" s="2453"/>
      <c r="I30" s="2456" t="str">
        <f t="shared" si="3"/>
        <v xml:space="preserve"> </v>
      </c>
      <c r="J30" s="2456" t="str">
        <f t="shared" si="13"/>
        <v/>
      </c>
      <c r="K30" s="2452">
        <f t="shared" si="4"/>
        <v>87</v>
      </c>
      <c r="L30" s="2453"/>
      <c r="M30" s="2453"/>
      <c r="N30" s="2456"/>
      <c r="O30" s="2456"/>
      <c r="P30" s="2452">
        <f t="shared" si="6"/>
        <v>117</v>
      </c>
      <c r="Q30" s="2453"/>
      <c r="R30" s="2453"/>
      <c r="S30" s="2456" t="str">
        <f t="shared" si="7"/>
        <v xml:space="preserve"> </v>
      </c>
      <c r="T30" s="2456" t="str">
        <f t="shared" si="12"/>
        <v/>
      </c>
      <c r="U30" s="2455">
        <f t="shared" si="8"/>
        <v>147</v>
      </c>
      <c r="V30" s="2453"/>
      <c r="W30" s="2453"/>
      <c r="X30" s="2456" t="str">
        <f t="shared" si="9"/>
        <v xml:space="preserve"> </v>
      </c>
      <c r="Y30" s="2456" t="str">
        <f t="shared" si="15"/>
        <v/>
      </c>
      <c r="Z30" s="2452">
        <f t="shared" si="10"/>
        <v>177</v>
      </c>
      <c r="AA30" s="2453"/>
      <c r="AB30" s="2453"/>
      <c r="AC30" s="2456" t="str">
        <f t="shared" si="11"/>
        <v xml:space="preserve"> </v>
      </c>
      <c r="AD30" s="2456" t="str">
        <f t="shared" si="18"/>
        <v/>
      </c>
      <c r="AE30" s="2457"/>
      <c r="AF30" s="2457"/>
      <c r="AG30" s="2457"/>
      <c r="AH30" s="2457"/>
      <c r="AI30" s="2457"/>
      <c r="AJ30" s="2457"/>
      <c r="AK30" s="2457"/>
      <c r="AL30" s="2457"/>
      <c r="AM30" s="2457"/>
      <c r="AN30" s="2457"/>
      <c r="AO30" s="2457"/>
      <c r="AP30" s="2457"/>
      <c r="AQ30" s="2457"/>
      <c r="AR30" s="2457"/>
      <c r="AS30" s="2457"/>
      <c r="AT30" s="2457"/>
      <c r="AU30" s="2457"/>
      <c r="AV30" s="2457"/>
      <c r="AW30" s="2457"/>
      <c r="AX30" s="2457"/>
      <c r="AY30" s="2457"/>
      <c r="AZ30" s="2457"/>
      <c r="BA30" s="2457"/>
      <c r="BB30" s="2457"/>
      <c r="BC30" s="2457"/>
      <c r="BD30" s="2457"/>
      <c r="BE30" s="2457"/>
      <c r="BF30" s="2457"/>
      <c r="BG30" s="2457"/>
      <c r="BH30" s="2457"/>
      <c r="BI30" s="2458"/>
      <c r="BJ30" s="2458"/>
      <c r="BK30" s="2458"/>
      <c r="BL30" s="2458"/>
      <c r="BM30" s="2458"/>
      <c r="BN30" s="2458"/>
      <c r="BO30" s="2458"/>
      <c r="BP30" s="2458"/>
      <c r="BQ30" s="2458"/>
      <c r="BR30" s="2458"/>
      <c r="BS30" s="2458"/>
      <c r="BT30" s="2458"/>
      <c r="BU30" s="2458"/>
      <c r="BV30" s="2458"/>
      <c r="BW30" s="2458"/>
      <c r="BX30" s="2458"/>
      <c r="BY30" s="2458"/>
      <c r="BZ30" s="2458"/>
      <c r="CA30" s="2458"/>
      <c r="CB30" s="2458"/>
      <c r="CC30" s="2458"/>
      <c r="CD30" s="2458"/>
      <c r="CE30" s="2458"/>
      <c r="CF30" s="2458"/>
      <c r="CG30" s="2458"/>
      <c r="CH30" s="2458"/>
      <c r="CI30" s="2458"/>
      <c r="CJ30" s="2458"/>
      <c r="CK30" s="2458"/>
      <c r="CL30" s="2458"/>
      <c r="CM30" s="2458"/>
      <c r="CN30" s="2458"/>
      <c r="CO30" s="2458"/>
      <c r="CP30" s="2458"/>
      <c r="CQ30" s="2458"/>
      <c r="CR30" s="2458"/>
      <c r="CS30" s="2458"/>
      <c r="CT30" s="2458"/>
      <c r="CU30" s="2458"/>
      <c r="CV30" s="2458"/>
      <c r="CW30" s="2458"/>
      <c r="CX30" s="2458"/>
      <c r="CY30" s="2458"/>
      <c r="CZ30" s="2458"/>
      <c r="DA30" s="2458"/>
      <c r="DB30" s="2458"/>
      <c r="DC30" s="2458"/>
      <c r="DD30" s="2458"/>
      <c r="DE30" s="2458"/>
      <c r="DF30" s="2458"/>
      <c r="DG30" s="2458"/>
      <c r="DH30" s="2458"/>
      <c r="DI30" s="2458"/>
      <c r="DJ30" s="2458"/>
      <c r="DK30" s="2458"/>
      <c r="DL30" s="2458"/>
      <c r="DM30" s="2458"/>
      <c r="DN30" s="2458"/>
      <c r="DO30" s="2458"/>
      <c r="DP30" s="2458"/>
      <c r="DQ30" s="2458"/>
      <c r="DR30" s="2458"/>
      <c r="DS30" s="2458"/>
      <c r="DT30" s="2458"/>
      <c r="DU30" s="2458"/>
      <c r="DV30" s="2458"/>
      <c r="DW30" s="2458"/>
      <c r="DX30" s="2458"/>
      <c r="DY30" s="2458"/>
      <c r="DZ30" s="2458"/>
      <c r="EA30" s="2458"/>
      <c r="EB30" s="2458"/>
      <c r="EC30" s="2458"/>
      <c r="ED30" s="2458"/>
      <c r="EE30" s="2458"/>
      <c r="EF30" s="2458"/>
      <c r="EG30" s="2458"/>
      <c r="EH30" s="2458"/>
      <c r="EI30" s="2458"/>
      <c r="EJ30" s="2458"/>
      <c r="EK30" s="2458"/>
      <c r="EL30" s="2458"/>
      <c r="EM30" s="2458"/>
      <c r="EN30" s="2458"/>
      <c r="EO30" s="2458"/>
      <c r="EP30" s="2458"/>
      <c r="EQ30" s="2458"/>
      <c r="ER30" s="2458"/>
      <c r="ES30" s="2458"/>
      <c r="ET30" s="2458"/>
      <c r="EU30" s="2458"/>
      <c r="EV30" s="2458"/>
      <c r="EW30" s="2458"/>
      <c r="EX30" s="2458"/>
      <c r="EY30" s="2458"/>
      <c r="EZ30" s="2458"/>
      <c r="FA30" s="2458"/>
      <c r="FB30" s="2458"/>
      <c r="FC30" s="2458"/>
      <c r="FD30" s="2458"/>
      <c r="FE30" s="2458"/>
      <c r="FF30" s="2458"/>
      <c r="FG30" s="2458"/>
      <c r="FH30" s="2458"/>
      <c r="FI30" s="2458"/>
      <c r="FJ30" s="2458"/>
      <c r="FK30" s="2458"/>
      <c r="FL30" s="2458"/>
      <c r="FM30" s="2458"/>
      <c r="FN30" s="2458"/>
      <c r="FO30" s="2458"/>
      <c r="FP30" s="2458"/>
      <c r="FQ30" s="2458"/>
      <c r="FR30" s="2458"/>
      <c r="FS30" s="2458"/>
      <c r="FT30" s="2458"/>
      <c r="FU30" s="2458"/>
      <c r="FV30" s="2458"/>
      <c r="FW30" s="2458"/>
      <c r="FX30" s="2458"/>
      <c r="FY30" s="2458"/>
      <c r="FZ30" s="2458"/>
      <c r="GA30" s="2458"/>
      <c r="GB30" s="2458"/>
      <c r="GC30" s="2458"/>
      <c r="GD30" s="2458"/>
      <c r="GE30" s="2458"/>
      <c r="GF30" s="2458"/>
      <c r="GG30" s="2458"/>
      <c r="GH30" s="2458"/>
      <c r="GI30" s="2458"/>
      <c r="GJ30" s="2458"/>
      <c r="GK30" s="2458"/>
      <c r="GL30" s="2458"/>
      <c r="GM30" s="2458"/>
      <c r="GN30" s="2458"/>
      <c r="GO30" s="2458"/>
      <c r="GP30" s="2458"/>
      <c r="GQ30" s="2458"/>
      <c r="GR30" s="2458"/>
      <c r="GS30" s="2458"/>
      <c r="GT30" s="2458"/>
      <c r="GU30" s="2458"/>
      <c r="GV30" s="2458"/>
      <c r="GW30" s="2458"/>
      <c r="GX30" s="2458"/>
      <c r="GY30" s="2458"/>
      <c r="GZ30" s="2458"/>
      <c r="HA30" s="2458"/>
      <c r="HB30" s="2458"/>
      <c r="HC30" s="2458"/>
      <c r="HD30" s="2458"/>
      <c r="HE30" s="2458"/>
      <c r="HF30" s="2458"/>
      <c r="HG30" s="2458"/>
      <c r="HH30" s="2458"/>
      <c r="HI30" s="2458"/>
      <c r="HJ30" s="2458"/>
      <c r="HK30" s="2458"/>
      <c r="HL30" s="2458"/>
      <c r="HM30" s="2458"/>
      <c r="HN30" s="2458"/>
      <c r="HO30" s="2458"/>
      <c r="HP30" s="2458"/>
      <c r="HQ30" s="2458"/>
      <c r="HR30" s="2458"/>
      <c r="HS30" s="2458"/>
      <c r="HT30" s="2458"/>
      <c r="HU30" s="2458"/>
      <c r="HV30" s="2458"/>
      <c r="HW30" s="2458"/>
      <c r="HX30" s="2458"/>
      <c r="HY30" s="2458"/>
      <c r="HZ30" s="2458"/>
      <c r="IA30" s="2458"/>
      <c r="IB30" s="2458"/>
      <c r="IC30" s="2458"/>
      <c r="ID30" s="2458"/>
      <c r="IE30" s="2458"/>
      <c r="IF30" s="2458"/>
      <c r="IG30" s="2458"/>
      <c r="IH30" s="2458"/>
      <c r="II30" s="2458"/>
      <c r="IJ30" s="2458"/>
      <c r="IK30" s="2458"/>
      <c r="IL30" s="2458"/>
      <c r="IM30" s="2458"/>
      <c r="IN30" s="2458"/>
      <c r="IO30" s="2458"/>
      <c r="IP30" s="2458"/>
      <c r="IQ30" s="2458"/>
      <c r="IR30" s="2458"/>
      <c r="IS30" s="2458"/>
      <c r="IT30" s="2458"/>
      <c r="IU30" s="2458"/>
      <c r="IV30" s="2458"/>
    </row>
    <row r="31" spans="1:256">
      <c r="A31" s="2452">
        <f t="shared" si="0"/>
        <v>28</v>
      </c>
      <c r="B31" s="2453"/>
      <c r="C31" s="2453"/>
      <c r="D31" s="2456" t="str">
        <f t="shared" si="1"/>
        <v xml:space="preserve"> </v>
      </c>
      <c r="E31" s="2456" t="str">
        <f t="shared" si="17"/>
        <v/>
      </c>
      <c r="F31" s="2455">
        <f t="shared" si="2"/>
        <v>58</v>
      </c>
      <c r="G31" s="2460"/>
      <c r="H31" s="2460"/>
      <c r="I31" s="2456" t="str">
        <f t="shared" si="3"/>
        <v xml:space="preserve"> </v>
      </c>
      <c r="J31" s="2456" t="str">
        <f t="shared" si="13"/>
        <v/>
      </c>
      <c r="K31" s="2452">
        <f t="shared" si="4"/>
        <v>88</v>
      </c>
      <c r="L31" s="2460"/>
      <c r="M31" s="2460"/>
      <c r="N31" s="2456"/>
      <c r="O31" s="2456"/>
      <c r="P31" s="2452">
        <f t="shared" si="6"/>
        <v>118</v>
      </c>
      <c r="Q31" s="2453"/>
      <c r="R31" s="2453"/>
      <c r="S31" s="2456" t="str">
        <f t="shared" si="7"/>
        <v xml:space="preserve"> </v>
      </c>
      <c r="T31" s="2456" t="str">
        <f t="shared" si="12"/>
        <v/>
      </c>
      <c r="U31" s="2455">
        <f t="shared" si="8"/>
        <v>148</v>
      </c>
      <c r="V31" s="2453"/>
      <c r="W31" s="2453"/>
      <c r="X31" s="2456" t="str">
        <f t="shared" si="9"/>
        <v xml:space="preserve"> </v>
      </c>
      <c r="Y31" s="2456" t="str">
        <f t="shared" si="15"/>
        <v/>
      </c>
      <c r="Z31" s="2452">
        <f t="shared" si="10"/>
        <v>178</v>
      </c>
      <c r="AA31" s="2453"/>
      <c r="AB31" s="2453"/>
      <c r="AC31" s="2456" t="str">
        <f t="shared" si="11"/>
        <v xml:space="preserve"> </v>
      </c>
      <c r="AD31" s="2456" t="str">
        <f t="shared" si="18"/>
        <v/>
      </c>
      <c r="AE31" s="2457"/>
      <c r="AF31" s="2457"/>
      <c r="AG31" s="2457"/>
      <c r="AH31" s="2457"/>
      <c r="AI31" s="2457"/>
      <c r="AJ31" s="2457"/>
      <c r="AK31" s="2457"/>
      <c r="AL31" s="2457"/>
      <c r="AM31" s="2457"/>
      <c r="AN31" s="2457"/>
      <c r="AO31" s="2457"/>
      <c r="AP31" s="2457"/>
      <c r="AQ31" s="2457"/>
      <c r="AR31" s="2457"/>
      <c r="AS31" s="2457"/>
      <c r="AT31" s="2457"/>
      <c r="AU31" s="2457"/>
      <c r="AV31" s="2457"/>
      <c r="AW31" s="2457"/>
      <c r="AX31" s="2457"/>
      <c r="AY31" s="2457"/>
      <c r="AZ31" s="2457"/>
      <c r="BA31" s="2457"/>
      <c r="BB31" s="2457"/>
      <c r="BC31" s="2457"/>
      <c r="BD31" s="2457"/>
      <c r="BE31" s="2457"/>
      <c r="BF31" s="2457"/>
      <c r="BG31" s="2457"/>
      <c r="BH31" s="2457"/>
      <c r="BI31" s="2458"/>
      <c r="BJ31" s="2458"/>
      <c r="BK31" s="2458"/>
      <c r="BL31" s="2458"/>
      <c r="BM31" s="2458"/>
      <c r="BN31" s="2458"/>
      <c r="BO31" s="2458"/>
      <c r="BP31" s="2458"/>
      <c r="BQ31" s="2458"/>
      <c r="BR31" s="2458"/>
      <c r="BS31" s="2458"/>
      <c r="BT31" s="2458"/>
      <c r="BU31" s="2458"/>
      <c r="BV31" s="2458"/>
      <c r="BW31" s="2458"/>
      <c r="BX31" s="2458"/>
      <c r="BY31" s="2458"/>
      <c r="BZ31" s="2458"/>
      <c r="CA31" s="2458"/>
      <c r="CB31" s="2458"/>
      <c r="CC31" s="2458"/>
      <c r="CD31" s="2458"/>
      <c r="CE31" s="2458"/>
      <c r="CF31" s="2458"/>
      <c r="CG31" s="2458"/>
      <c r="CH31" s="2458"/>
      <c r="CI31" s="2458"/>
      <c r="CJ31" s="2458"/>
      <c r="CK31" s="2458"/>
      <c r="CL31" s="2458"/>
      <c r="CM31" s="2458"/>
      <c r="CN31" s="2458"/>
      <c r="CO31" s="2458"/>
      <c r="CP31" s="2458"/>
      <c r="CQ31" s="2458"/>
      <c r="CR31" s="2458"/>
      <c r="CS31" s="2458"/>
      <c r="CT31" s="2458"/>
      <c r="CU31" s="2458"/>
      <c r="CV31" s="2458"/>
      <c r="CW31" s="2458"/>
      <c r="CX31" s="2458"/>
      <c r="CY31" s="2458"/>
      <c r="CZ31" s="2458"/>
      <c r="DA31" s="2458"/>
      <c r="DB31" s="2458"/>
      <c r="DC31" s="2458"/>
      <c r="DD31" s="2458"/>
      <c r="DE31" s="2458"/>
      <c r="DF31" s="2458"/>
      <c r="DG31" s="2458"/>
      <c r="DH31" s="2458"/>
      <c r="DI31" s="2458"/>
      <c r="DJ31" s="2458"/>
      <c r="DK31" s="2458"/>
      <c r="DL31" s="2458"/>
      <c r="DM31" s="2458"/>
      <c r="DN31" s="2458"/>
      <c r="DO31" s="2458"/>
      <c r="DP31" s="2458"/>
      <c r="DQ31" s="2458"/>
      <c r="DR31" s="2458"/>
      <c r="DS31" s="2458"/>
      <c r="DT31" s="2458"/>
      <c r="DU31" s="2458"/>
      <c r="DV31" s="2458"/>
      <c r="DW31" s="2458"/>
      <c r="DX31" s="2458"/>
      <c r="DY31" s="2458"/>
      <c r="DZ31" s="2458"/>
      <c r="EA31" s="2458"/>
      <c r="EB31" s="2458"/>
      <c r="EC31" s="2458"/>
      <c r="ED31" s="2458"/>
      <c r="EE31" s="2458"/>
      <c r="EF31" s="2458"/>
      <c r="EG31" s="2458"/>
      <c r="EH31" s="2458"/>
      <c r="EI31" s="2458"/>
      <c r="EJ31" s="2458"/>
      <c r="EK31" s="2458"/>
      <c r="EL31" s="2458"/>
      <c r="EM31" s="2458"/>
      <c r="EN31" s="2458"/>
      <c r="EO31" s="2458"/>
      <c r="EP31" s="2458"/>
      <c r="EQ31" s="2458"/>
      <c r="ER31" s="2458"/>
      <c r="ES31" s="2458"/>
      <c r="ET31" s="2458"/>
      <c r="EU31" s="2458"/>
      <c r="EV31" s="2458"/>
      <c r="EW31" s="2458"/>
      <c r="EX31" s="2458"/>
      <c r="EY31" s="2458"/>
      <c r="EZ31" s="2458"/>
      <c r="FA31" s="2458"/>
      <c r="FB31" s="2458"/>
      <c r="FC31" s="2458"/>
      <c r="FD31" s="2458"/>
      <c r="FE31" s="2458"/>
      <c r="FF31" s="2458"/>
      <c r="FG31" s="2458"/>
      <c r="FH31" s="2458"/>
      <c r="FI31" s="2458"/>
      <c r="FJ31" s="2458"/>
      <c r="FK31" s="2458"/>
      <c r="FL31" s="2458"/>
      <c r="FM31" s="2458"/>
      <c r="FN31" s="2458"/>
      <c r="FO31" s="2458"/>
      <c r="FP31" s="2458"/>
      <c r="FQ31" s="2458"/>
      <c r="FR31" s="2458"/>
      <c r="FS31" s="2458"/>
      <c r="FT31" s="2458"/>
      <c r="FU31" s="2458"/>
      <c r="FV31" s="2458"/>
      <c r="FW31" s="2458"/>
      <c r="FX31" s="2458"/>
      <c r="FY31" s="2458"/>
      <c r="FZ31" s="2458"/>
      <c r="GA31" s="2458"/>
      <c r="GB31" s="2458"/>
      <c r="GC31" s="2458"/>
      <c r="GD31" s="2458"/>
      <c r="GE31" s="2458"/>
      <c r="GF31" s="2458"/>
      <c r="GG31" s="2458"/>
      <c r="GH31" s="2458"/>
      <c r="GI31" s="2458"/>
      <c r="GJ31" s="2458"/>
      <c r="GK31" s="2458"/>
      <c r="GL31" s="2458"/>
      <c r="GM31" s="2458"/>
      <c r="GN31" s="2458"/>
      <c r="GO31" s="2458"/>
      <c r="GP31" s="2458"/>
      <c r="GQ31" s="2458"/>
      <c r="GR31" s="2458"/>
      <c r="GS31" s="2458"/>
      <c r="GT31" s="2458"/>
      <c r="GU31" s="2458"/>
      <c r="GV31" s="2458"/>
      <c r="GW31" s="2458"/>
      <c r="GX31" s="2458"/>
      <c r="GY31" s="2458"/>
      <c r="GZ31" s="2458"/>
      <c r="HA31" s="2458"/>
      <c r="HB31" s="2458"/>
      <c r="HC31" s="2458"/>
      <c r="HD31" s="2458"/>
      <c r="HE31" s="2458"/>
      <c r="HF31" s="2458"/>
      <c r="HG31" s="2458"/>
      <c r="HH31" s="2458"/>
      <c r="HI31" s="2458"/>
      <c r="HJ31" s="2458"/>
      <c r="HK31" s="2458"/>
      <c r="HL31" s="2458"/>
      <c r="HM31" s="2458"/>
      <c r="HN31" s="2458"/>
      <c r="HO31" s="2458"/>
      <c r="HP31" s="2458"/>
      <c r="HQ31" s="2458"/>
      <c r="HR31" s="2458"/>
      <c r="HS31" s="2458"/>
      <c r="HT31" s="2458"/>
      <c r="HU31" s="2458"/>
      <c r="HV31" s="2458"/>
      <c r="HW31" s="2458"/>
      <c r="HX31" s="2458"/>
      <c r="HY31" s="2458"/>
      <c r="HZ31" s="2458"/>
      <c r="IA31" s="2458"/>
      <c r="IB31" s="2458"/>
      <c r="IC31" s="2458"/>
      <c r="ID31" s="2458"/>
      <c r="IE31" s="2458"/>
      <c r="IF31" s="2458"/>
      <c r="IG31" s="2458"/>
      <c r="IH31" s="2458"/>
      <c r="II31" s="2458"/>
      <c r="IJ31" s="2458"/>
      <c r="IK31" s="2458"/>
      <c r="IL31" s="2458"/>
      <c r="IM31" s="2458"/>
      <c r="IN31" s="2458"/>
      <c r="IO31" s="2458"/>
      <c r="IP31" s="2458"/>
      <c r="IQ31" s="2458"/>
      <c r="IR31" s="2458"/>
      <c r="IS31" s="2458"/>
      <c r="IT31" s="2458"/>
      <c r="IU31" s="2458"/>
      <c r="IV31" s="2458"/>
    </row>
    <row r="32" spans="1:256">
      <c r="A32" s="2452">
        <f t="shared" si="0"/>
        <v>29</v>
      </c>
      <c r="B32" s="2453"/>
      <c r="C32" s="2453"/>
      <c r="D32" s="2456" t="str">
        <f t="shared" si="1"/>
        <v xml:space="preserve"> </v>
      </c>
      <c r="E32" s="2456" t="str">
        <f t="shared" si="17"/>
        <v/>
      </c>
      <c r="F32" s="2455">
        <f t="shared" si="2"/>
        <v>59</v>
      </c>
      <c r="G32" s="2453"/>
      <c r="H32" s="2453"/>
      <c r="I32" s="2456" t="str">
        <f t="shared" si="3"/>
        <v xml:space="preserve"> </v>
      </c>
      <c r="J32" s="2456" t="str">
        <f t="shared" si="13"/>
        <v/>
      </c>
      <c r="K32" s="2452">
        <f t="shared" si="4"/>
        <v>89</v>
      </c>
      <c r="L32" s="2453"/>
      <c r="M32" s="2453"/>
      <c r="N32" s="2456"/>
      <c r="O32" s="2456"/>
      <c r="P32" s="2452">
        <f t="shared" si="6"/>
        <v>119</v>
      </c>
      <c r="Q32" s="2453"/>
      <c r="R32" s="2453"/>
      <c r="S32" s="2456" t="str">
        <f t="shared" si="7"/>
        <v xml:space="preserve"> </v>
      </c>
      <c r="T32" s="2456" t="str">
        <f t="shared" si="12"/>
        <v/>
      </c>
      <c r="U32" s="2455">
        <f t="shared" si="8"/>
        <v>149</v>
      </c>
      <c r="V32" s="2453"/>
      <c r="W32" s="2453"/>
      <c r="X32" s="2456" t="str">
        <f t="shared" si="9"/>
        <v xml:space="preserve"> </v>
      </c>
      <c r="Y32" s="2456" t="str">
        <f t="shared" si="15"/>
        <v/>
      </c>
      <c r="Z32" s="2452">
        <f t="shared" si="10"/>
        <v>179</v>
      </c>
      <c r="AA32" s="2453"/>
      <c r="AB32" s="2453"/>
      <c r="AC32" s="2456" t="str">
        <f t="shared" si="11"/>
        <v xml:space="preserve"> </v>
      </c>
      <c r="AD32" s="2456" t="str">
        <f t="shared" si="18"/>
        <v/>
      </c>
      <c r="AE32" s="2457"/>
      <c r="AF32" s="2457"/>
      <c r="AG32" s="2457"/>
      <c r="AH32" s="2457"/>
      <c r="AI32" s="2457"/>
      <c r="AJ32" s="2457"/>
      <c r="AK32" s="2457"/>
      <c r="AL32" s="2457"/>
      <c r="AM32" s="2457"/>
      <c r="AN32" s="2457"/>
      <c r="AO32" s="2457"/>
      <c r="AP32" s="2457"/>
      <c r="AQ32" s="2457"/>
      <c r="AR32" s="2457"/>
      <c r="AS32" s="2457"/>
      <c r="AT32" s="2457"/>
      <c r="AU32" s="2457"/>
      <c r="AV32" s="2457"/>
      <c r="AW32" s="2457"/>
      <c r="AX32" s="2457"/>
      <c r="AY32" s="2457"/>
      <c r="AZ32" s="2457"/>
      <c r="BA32" s="2457"/>
      <c r="BB32" s="2457"/>
      <c r="BC32" s="2457"/>
      <c r="BD32" s="2457"/>
      <c r="BE32" s="2457"/>
      <c r="BF32" s="2457"/>
      <c r="BG32" s="2457"/>
      <c r="BH32" s="2457"/>
      <c r="BI32" s="2458"/>
      <c r="BJ32" s="2458"/>
      <c r="BK32" s="2458"/>
      <c r="BL32" s="2458"/>
      <c r="BM32" s="2458"/>
      <c r="BN32" s="2458"/>
      <c r="BO32" s="2458"/>
      <c r="BP32" s="2458"/>
      <c r="BQ32" s="2458"/>
      <c r="BR32" s="2458"/>
      <c r="BS32" s="2458"/>
      <c r="BT32" s="2458"/>
      <c r="BU32" s="2458"/>
      <c r="BV32" s="2458"/>
      <c r="BW32" s="2458"/>
      <c r="BX32" s="2458"/>
      <c r="BY32" s="2458"/>
      <c r="BZ32" s="2458"/>
      <c r="CA32" s="2458"/>
      <c r="CB32" s="2458"/>
      <c r="CC32" s="2458"/>
      <c r="CD32" s="2458"/>
      <c r="CE32" s="2458"/>
      <c r="CF32" s="2458"/>
      <c r="CG32" s="2458"/>
      <c r="CH32" s="2458"/>
      <c r="CI32" s="2458"/>
      <c r="CJ32" s="2458"/>
      <c r="CK32" s="2458"/>
      <c r="CL32" s="2458"/>
      <c r="CM32" s="2458"/>
      <c r="CN32" s="2458"/>
      <c r="CO32" s="2458"/>
      <c r="CP32" s="2458"/>
      <c r="CQ32" s="2458"/>
      <c r="CR32" s="2458"/>
      <c r="CS32" s="2458"/>
      <c r="CT32" s="2458"/>
      <c r="CU32" s="2458"/>
      <c r="CV32" s="2458"/>
      <c r="CW32" s="2458"/>
      <c r="CX32" s="2458"/>
      <c r="CY32" s="2458"/>
      <c r="CZ32" s="2458"/>
      <c r="DA32" s="2458"/>
      <c r="DB32" s="2458"/>
      <c r="DC32" s="2458"/>
      <c r="DD32" s="2458"/>
      <c r="DE32" s="2458"/>
      <c r="DF32" s="2458"/>
      <c r="DG32" s="2458"/>
      <c r="DH32" s="2458"/>
      <c r="DI32" s="2458"/>
      <c r="DJ32" s="2458"/>
      <c r="DK32" s="2458"/>
      <c r="DL32" s="2458"/>
      <c r="DM32" s="2458"/>
      <c r="DN32" s="2458"/>
      <c r="DO32" s="2458"/>
      <c r="DP32" s="2458"/>
      <c r="DQ32" s="2458"/>
      <c r="DR32" s="2458"/>
      <c r="DS32" s="2458"/>
      <c r="DT32" s="2458"/>
      <c r="DU32" s="2458"/>
      <c r="DV32" s="2458"/>
      <c r="DW32" s="2458"/>
      <c r="DX32" s="2458"/>
      <c r="DY32" s="2458"/>
      <c r="DZ32" s="2458"/>
      <c r="EA32" s="2458"/>
      <c r="EB32" s="2458"/>
      <c r="EC32" s="2458"/>
      <c r="ED32" s="2458"/>
      <c r="EE32" s="2458"/>
      <c r="EF32" s="2458"/>
      <c r="EG32" s="2458"/>
      <c r="EH32" s="2458"/>
      <c r="EI32" s="2458"/>
      <c r="EJ32" s="2458"/>
      <c r="EK32" s="2458"/>
      <c r="EL32" s="2458"/>
      <c r="EM32" s="2458"/>
      <c r="EN32" s="2458"/>
      <c r="EO32" s="2458"/>
      <c r="EP32" s="2458"/>
      <c r="EQ32" s="2458"/>
      <c r="ER32" s="2458"/>
      <c r="ES32" s="2458"/>
      <c r="ET32" s="2458"/>
      <c r="EU32" s="2458"/>
      <c r="EV32" s="2458"/>
      <c r="EW32" s="2458"/>
      <c r="EX32" s="2458"/>
      <c r="EY32" s="2458"/>
      <c r="EZ32" s="2458"/>
      <c r="FA32" s="2458"/>
      <c r="FB32" s="2458"/>
      <c r="FC32" s="2458"/>
      <c r="FD32" s="2458"/>
      <c r="FE32" s="2458"/>
      <c r="FF32" s="2458"/>
      <c r="FG32" s="2458"/>
      <c r="FH32" s="2458"/>
      <c r="FI32" s="2458"/>
      <c r="FJ32" s="2458"/>
      <c r="FK32" s="2458"/>
      <c r="FL32" s="2458"/>
      <c r="FM32" s="2458"/>
      <c r="FN32" s="2458"/>
      <c r="FO32" s="2458"/>
      <c r="FP32" s="2458"/>
      <c r="FQ32" s="2458"/>
      <c r="FR32" s="2458"/>
      <c r="FS32" s="2458"/>
      <c r="FT32" s="2458"/>
      <c r="FU32" s="2458"/>
      <c r="FV32" s="2458"/>
      <c r="FW32" s="2458"/>
      <c r="FX32" s="2458"/>
      <c r="FY32" s="2458"/>
      <c r="FZ32" s="2458"/>
      <c r="GA32" s="2458"/>
      <c r="GB32" s="2458"/>
      <c r="GC32" s="2458"/>
      <c r="GD32" s="2458"/>
      <c r="GE32" s="2458"/>
      <c r="GF32" s="2458"/>
      <c r="GG32" s="2458"/>
      <c r="GH32" s="2458"/>
      <c r="GI32" s="2458"/>
      <c r="GJ32" s="2458"/>
      <c r="GK32" s="2458"/>
      <c r="GL32" s="2458"/>
      <c r="GM32" s="2458"/>
      <c r="GN32" s="2458"/>
      <c r="GO32" s="2458"/>
      <c r="GP32" s="2458"/>
      <c r="GQ32" s="2458"/>
      <c r="GR32" s="2458"/>
      <c r="GS32" s="2458"/>
      <c r="GT32" s="2458"/>
      <c r="GU32" s="2458"/>
      <c r="GV32" s="2458"/>
      <c r="GW32" s="2458"/>
      <c r="GX32" s="2458"/>
      <c r="GY32" s="2458"/>
      <c r="GZ32" s="2458"/>
      <c r="HA32" s="2458"/>
      <c r="HB32" s="2458"/>
      <c r="HC32" s="2458"/>
      <c r="HD32" s="2458"/>
      <c r="HE32" s="2458"/>
      <c r="HF32" s="2458"/>
      <c r="HG32" s="2458"/>
      <c r="HH32" s="2458"/>
      <c r="HI32" s="2458"/>
      <c r="HJ32" s="2458"/>
      <c r="HK32" s="2458"/>
      <c r="HL32" s="2458"/>
      <c r="HM32" s="2458"/>
      <c r="HN32" s="2458"/>
      <c r="HO32" s="2458"/>
      <c r="HP32" s="2458"/>
      <c r="HQ32" s="2458"/>
      <c r="HR32" s="2458"/>
      <c r="HS32" s="2458"/>
      <c r="HT32" s="2458"/>
      <c r="HU32" s="2458"/>
      <c r="HV32" s="2458"/>
      <c r="HW32" s="2458"/>
      <c r="HX32" s="2458"/>
      <c r="HY32" s="2458"/>
      <c r="HZ32" s="2458"/>
      <c r="IA32" s="2458"/>
      <c r="IB32" s="2458"/>
      <c r="IC32" s="2458"/>
      <c r="ID32" s="2458"/>
      <c r="IE32" s="2458"/>
      <c r="IF32" s="2458"/>
      <c r="IG32" s="2458"/>
      <c r="IH32" s="2458"/>
      <c r="II32" s="2458"/>
      <c r="IJ32" s="2458"/>
      <c r="IK32" s="2458"/>
      <c r="IL32" s="2458"/>
      <c r="IM32" s="2458"/>
      <c r="IN32" s="2458"/>
      <c r="IO32" s="2458"/>
      <c r="IP32" s="2458"/>
      <c r="IQ32" s="2458"/>
      <c r="IR32" s="2458"/>
      <c r="IS32" s="2458"/>
      <c r="IT32" s="2458"/>
      <c r="IU32" s="2458"/>
      <c r="IV32" s="2458"/>
    </row>
    <row r="33" spans="1:256">
      <c r="A33" s="2452">
        <f t="shared" si="0"/>
        <v>30</v>
      </c>
      <c r="B33" s="2453"/>
      <c r="C33" s="2453"/>
      <c r="D33" s="2456" t="str">
        <f t="shared" si="1"/>
        <v xml:space="preserve"> </v>
      </c>
      <c r="E33" s="2456" t="str">
        <f t="shared" si="17"/>
        <v/>
      </c>
      <c r="F33" s="2455">
        <f t="shared" si="2"/>
        <v>60</v>
      </c>
      <c r="G33" s="2460"/>
      <c r="H33" s="2460"/>
      <c r="I33" s="2456" t="str">
        <f t="shared" si="3"/>
        <v xml:space="preserve"> </v>
      </c>
      <c r="J33" s="2456" t="str">
        <f t="shared" si="13"/>
        <v/>
      </c>
      <c r="K33" s="2452">
        <f t="shared" si="4"/>
        <v>90</v>
      </c>
      <c r="L33" s="2460"/>
      <c r="M33" s="2460"/>
      <c r="N33" s="2456"/>
      <c r="O33" s="2456"/>
      <c r="P33" s="2452">
        <f t="shared" si="6"/>
        <v>120</v>
      </c>
      <c r="Q33" s="2453"/>
      <c r="R33" s="2453"/>
      <c r="S33" s="2456" t="str">
        <f t="shared" si="7"/>
        <v xml:space="preserve"> </v>
      </c>
      <c r="T33" s="2456" t="str">
        <f t="shared" si="12"/>
        <v/>
      </c>
      <c r="U33" s="2455">
        <f t="shared" si="8"/>
        <v>150</v>
      </c>
      <c r="V33" s="2453"/>
      <c r="W33" s="2453"/>
      <c r="X33" s="2456" t="str">
        <f t="shared" si="9"/>
        <v xml:space="preserve"> </v>
      </c>
      <c r="Y33" s="2456" t="str">
        <f t="shared" si="15"/>
        <v/>
      </c>
      <c r="Z33" s="2452">
        <f t="shared" si="10"/>
        <v>180</v>
      </c>
      <c r="AA33" s="2453"/>
      <c r="AB33" s="2453"/>
      <c r="AC33" s="2456" t="str">
        <f t="shared" si="11"/>
        <v xml:space="preserve"> </v>
      </c>
      <c r="AD33" s="2456" t="str">
        <f t="shared" si="18"/>
        <v/>
      </c>
      <c r="AE33" s="2457"/>
      <c r="AF33" s="2457"/>
      <c r="AG33" s="2457"/>
      <c r="AH33" s="2457"/>
      <c r="AI33" s="2457"/>
      <c r="AJ33" s="2457"/>
      <c r="AK33" s="2457"/>
      <c r="AL33" s="2457"/>
      <c r="AM33" s="2457"/>
      <c r="AN33" s="2457"/>
      <c r="AO33" s="2457"/>
      <c r="AP33" s="2457"/>
      <c r="AQ33" s="2457"/>
      <c r="AR33" s="2457"/>
      <c r="AS33" s="2457"/>
      <c r="AT33" s="2457"/>
      <c r="AU33" s="2457"/>
      <c r="AV33" s="2457"/>
      <c r="AW33" s="2457"/>
      <c r="AX33" s="2457"/>
      <c r="AY33" s="2457"/>
      <c r="AZ33" s="2457"/>
      <c r="BA33" s="2457"/>
      <c r="BB33" s="2457"/>
      <c r="BC33" s="2457"/>
      <c r="BD33" s="2457"/>
      <c r="BE33" s="2457"/>
      <c r="BF33" s="2457"/>
      <c r="BG33" s="2457"/>
      <c r="BH33" s="2457"/>
      <c r="BI33" s="2458"/>
      <c r="BJ33" s="2458"/>
      <c r="BK33" s="2458"/>
      <c r="BL33" s="2458"/>
      <c r="BM33" s="2458"/>
      <c r="BN33" s="2458"/>
      <c r="BO33" s="2458"/>
      <c r="BP33" s="2458"/>
      <c r="BQ33" s="2458"/>
      <c r="BR33" s="2458"/>
      <c r="BS33" s="2458"/>
      <c r="BT33" s="2458"/>
      <c r="BU33" s="2458"/>
      <c r="BV33" s="2458"/>
      <c r="BW33" s="2458"/>
      <c r="BX33" s="2458"/>
      <c r="BY33" s="2458"/>
      <c r="BZ33" s="2458"/>
      <c r="CA33" s="2458"/>
      <c r="CB33" s="2458"/>
      <c r="CC33" s="2458"/>
      <c r="CD33" s="2458"/>
      <c r="CE33" s="2458"/>
      <c r="CF33" s="2458"/>
      <c r="CG33" s="2458"/>
      <c r="CH33" s="2458"/>
      <c r="CI33" s="2458"/>
      <c r="CJ33" s="2458"/>
      <c r="CK33" s="2458"/>
      <c r="CL33" s="2458"/>
      <c r="CM33" s="2458"/>
      <c r="CN33" s="2458"/>
      <c r="CO33" s="2458"/>
      <c r="CP33" s="2458"/>
      <c r="CQ33" s="2458"/>
      <c r="CR33" s="2458"/>
      <c r="CS33" s="2458"/>
      <c r="CT33" s="2458"/>
      <c r="CU33" s="2458"/>
      <c r="CV33" s="2458"/>
      <c r="CW33" s="2458"/>
      <c r="CX33" s="2458"/>
      <c r="CY33" s="2458"/>
      <c r="CZ33" s="2458"/>
      <c r="DA33" s="2458"/>
      <c r="DB33" s="2458"/>
      <c r="DC33" s="2458"/>
      <c r="DD33" s="2458"/>
      <c r="DE33" s="2458"/>
      <c r="DF33" s="2458"/>
      <c r="DG33" s="2458"/>
      <c r="DH33" s="2458"/>
      <c r="DI33" s="2458"/>
      <c r="DJ33" s="2458"/>
      <c r="DK33" s="2458"/>
      <c r="DL33" s="2458"/>
      <c r="DM33" s="2458"/>
      <c r="DN33" s="2458"/>
      <c r="DO33" s="2458"/>
      <c r="DP33" s="2458"/>
      <c r="DQ33" s="2458"/>
      <c r="DR33" s="2458"/>
      <c r="DS33" s="2458"/>
      <c r="DT33" s="2458"/>
      <c r="DU33" s="2458"/>
      <c r="DV33" s="2458"/>
      <c r="DW33" s="2458"/>
      <c r="DX33" s="2458"/>
      <c r="DY33" s="2458"/>
      <c r="DZ33" s="2458"/>
      <c r="EA33" s="2458"/>
      <c r="EB33" s="2458"/>
      <c r="EC33" s="2458"/>
      <c r="ED33" s="2458"/>
      <c r="EE33" s="2458"/>
      <c r="EF33" s="2458"/>
      <c r="EG33" s="2458"/>
      <c r="EH33" s="2458"/>
      <c r="EI33" s="2458"/>
      <c r="EJ33" s="2458"/>
      <c r="EK33" s="2458"/>
      <c r="EL33" s="2458"/>
      <c r="EM33" s="2458"/>
      <c r="EN33" s="2458"/>
      <c r="EO33" s="2458"/>
      <c r="EP33" s="2458"/>
      <c r="EQ33" s="2458"/>
      <c r="ER33" s="2458"/>
      <c r="ES33" s="2458"/>
      <c r="ET33" s="2458"/>
      <c r="EU33" s="2458"/>
      <c r="EV33" s="2458"/>
      <c r="EW33" s="2458"/>
      <c r="EX33" s="2458"/>
      <c r="EY33" s="2458"/>
      <c r="EZ33" s="2458"/>
      <c r="FA33" s="2458"/>
      <c r="FB33" s="2458"/>
      <c r="FC33" s="2458"/>
      <c r="FD33" s="2458"/>
      <c r="FE33" s="2458"/>
      <c r="FF33" s="2458"/>
      <c r="FG33" s="2458"/>
      <c r="FH33" s="2458"/>
      <c r="FI33" s="2458"/>
      <c r="FJ33" s="2458"/>
      <c r="FK33" s="2458"/>
      <c r="FL33" s="2458"/>
      <c r="FM33" s="2458"/>
      <c r="FN33" s="2458"/>
      <c r="FO33" s="2458"/>
      <c r="FP33" s="2458"/>
      <c r="FQ33" s="2458"/>
      <c r="FR33" s="2458"/>
      <c r="FS33" s="2458"/>
      <c r="FT33" s="2458"/>
      <c r="FU33" s="2458"/>
      <c r="FV33" s="2458"/>
      <c r="FW33" s="2458"/>
      <c r="FX33" s="2458"/>
      <c r="FY33" s="2458"/>
      <c r="FZ33" s="2458"/>
      <c r="GA33" s="2458"/>
      <c r="GB33" s="2458"/>
      <c r="GC33" s="2458"/>
      <c r="GD33" s="2458"/>
      <c r="GE33" s="2458"/>
      <c r="GF33" s="2458"/>
      <c r="GG33" s="2458"/>
      <c r="GH33" s="2458"/>
      <c r="GI33" s="2458"/>
      <c r="GJ33" s="2458"/>
      <c r="GK33" s="2458"/>
      <c r="GL33" s="2458"/>
      <c r="GM33" s="2458"/>
      <c r="GN33" s="2458"/>
      <c r="GO33" s="2458"/>
      <c r="GP33" s="2458"/>
      <c r="GQ33" s="2458"/>
      <c r="GR33" s="2458"/>
      <c r="GS33" s="2458"/>
      <c r="GT33" s="2458"/>
      <c r="GU33" s="2458"/>
      <c r="GV33" s="2458"/>
      <c r="GW33" s="2458"/>
      <c r="GX33" s="2458"/>
      <c r="GY33" s="2458"/>
      <c r="GZ33" s="2458"/>
      <c r="HA33" s="2458"/>
      <c r="HB33" s="2458"/>
      <c r="HC33" s="2458"/>
      <c r="HD33" s="2458"/>
      <c r="HE33" s="2458"/>
      <c r="HF33" s="2458"/>
      <c r="HG33" s="2458"/>
      <c r="HH33" s="2458"/>
      <c r="HI33" s="2458"/>
      <c r="HJ33" s="2458"/>
      <c r="HK33" s="2458"/>
      <c r="HL33" s="2458"/>
      <c r="HM33" s="2458"/>
      <c r="HN33" s="2458"/>
      <c r="HO33" s="2458"/>
      <c r="HP33" s="2458"/>
      <c r="HQ33" s="2458"/>
      <c r="HR33" s="2458"/>
      <c r="HS33" s="2458"/>
      <c r="HT33" s="2458"/>
      <c r="HU33" s="2458"/>
      <c r="HV33" s="2458"/>
      <c r="HW33" s="2458"/>
      <c r="HX33" s="2458"/>
      <c r="HY33" s="2458"/>
      <c r="HZ33" s="2458"/>
      <c r="IA33" s="2458"/>
      <c r="IB33" s="2458"/>
      <c r="IC33" s="2458"/>
      <c r="ID33" s="2458"/>
      <c r="IE33" s="2458"/>
      <c r="IF33" s="2458"/>
      <c r="IG33" s="2458"/>
      <c r="IH33" s="2458"/>
      <c r="II33" s="2458"/>
      <c r="IJ33" s="2458"/>
      <c r="IK33" s="2458"/>
      <c r="IL33" s="2458"/>
      <c r="IM33" s="2458"/>
      <c r="IN33" s="2458"/>
      <c r="IO33" s="2458"/>
      <c r="IP33" s="2458"/>
      <c r="IQ33" s="2458"/>
      <c r="IR33" s="2458"/>
      <c r="IS33" s="2458"/>
      <c r="IT33" s="2458"/>
      <c r="IU33" s="2458"/>
      <c r="IV33" s="2458"/>
    </row>
    <row r="34" spans="1:256" ht="9" customHeight="1">
      <c r="A34" s="2462"/>
      <c r="B34" s="2463"/>
      <c r="C34" s="2463"/>
      <c r="D34" s="2463"/>
      <c r="E34" s="2463"/>
      <c r="F34" s="2463"/>
      <c r="G34" s="2463"/>
      <c r="H34" s="2463"/>
      <c r="I34" s="2463"/>
      <c r="J34" s="2463"/>
      <c r="K34" s="2463"/>
      <c r="L34" s="2463"/>
      <c r="M34" s="2463"/>
      <c r="N34" s="2463"/>
      <c r="O34" s="2464"/>
      <c r="P34" s="2465"/>
      <c r="Q34" s="2465"/>
      <c r="R34" s="2465"/>
      <c r="S34" s="2465"/>
      <c r="T34" s="2465"/>
      <c r="U34" s="2465"/>
      <c r="V34" s="2465"/>
      <c r="W34" s="2465"/>
      <c r="X34" s="2465"/>
      <c r="Y34" s="2465"/>
      <c r="Z34" s="2465"/>
      <c r="AA34" s="2465"/>
      <c r="AB34" s="2465"/>
      <c r="AC34" s="2465"/>
      <c r="AD34" s="2465"/>
      <c r="AE34" s="2465"/>
      <c r="AF34" s="2465"/>
      <c r="AG34" s="2465"/>
      <c r="AH34" s="2465"/>
      <c r="AI34" s="2465"/>
      <c r="AJ34" s="2465"/>
      <c r="AK34" s="2465"/>
      <c r="AL34" s="2465"/>
      <c r="AM34" s="2465"/>
      <c r="AN34" s="2465"/>
      <c r="AO34" s="2465"/>
      <c r="AP34" s="2465"/>
      <c r="AQ34" s="2465"/>
      <c r="AR34" s="2465"/>
      <c r="AS34" s="2465"/>
      <c r="AT34" s="2465"/>
      <c r="AU34" s="2465"/>
      <c r="AV34" s="2465"/>
      <c r="AW34" s="2465"/>
      <c r="AX34" s="2465"/>
      <c r="AY34" s="2465"/>
      <c r="AZ34" s="2465"/>
      <c r="BA34" s="2465"/>
      <c r="BB34" s="2465"/>
      <c r="BC34" s="2465"/>
      <c r="BD34" s="2465"/>
      <c r="BE34" s="2465"/>
      <c r="BF34" s="2465"/>
      <c r="BG34" s="2465"/>
      <c r="BH34" s="2465"/>
      <c r="BI34" s="2466"/>
      <c r="BJ34" s="2466"/>
      <c r="BK34" s="2466"/>
      <c r="BL34" s="2466"/>
      <c r="BM34" s="2466"/>
      <c r="BN34" s="2466"/>
      <c r="BO34" s="2466"/>
      <c r="BP34" s="2466"/>
      <c r="BQ34" s="2466"/>
      <c r="BR34" s="2466"/>
      <c r="BS34" s="2466"/>
      <c r="BT34" s="2466"/>
      <c r="BU34" s="2466"/>
      <c r="BV34" s="2466"/>
      <c r="BW34" s="2466"/>
      <c r="BX34" s="2466"/>
      <c r="BY34" s="2466"/>
      <c r="BZ34" s="2466"/>
      <c r="CA34" s="2466"/>
      <c r="CB34" s="2466"/>
      <c r="CC34" s="2466"/>
      <c r="CD34" s="2466"/>
      <c r="CE34" s="2466"/>
      <c r="CF34" s="2466"/>
      <c r="CG34" s="2466"/>
      <c r="CH34" s="2466"/>
      <c r="CI34" s="2466"/>
      <c r="CJ34" s="2466"/>
      <c r="CK34" s="2466"/>
      <c r="CL34" s="2466"/>
      <c r="CM34" s="2466"/>
      <c r="CN34" s="2466"/>
      <c r="CO34" s="2466"/>
      <c r="CP34" s="2466"/>
      <c r="CQ34" s="2466"/>
      <c r="CR34" s="2466"/>
      <c r="CS34" s="2466"/>
      <c r="CT34" s="2466"/>
      <c r="CU34" s="2466"/>
      <c r="CV34" s="2466"/>
      <c r="CW34" s="2466"/>
      <c r="CX34" s="2466"/>
      <c r="CY34" s="2466"/>
      <c r="CZ34" s="2466"/>
      <c r="DA34" s="2466"/>
      <c r="DB34" s="2466"/>
      <c r="DC34" s="2466"/>
      <c r="DD34" s="2466"/>
      <c r="DE34" s="2466"/>
      <c r="DF34" s="2466"/>
      <c r="DG34" s="2466"/>
      <c r="DH34" s="2466"/>
      <c r="DI34" s="2466"/>
      <c r="DJ34" s="2466"/>
      <c r="DK34" s="2466"/>
      <c r="DL34" s="2466"/>
      <c r="DM34" s="2466"/>
      <c r="DN34" s="2466"/>
      <c r="DO34" s="2466"/>
      <c r="DP34" s="2466"/>
      <c r="DQ34" s="2466"/>
      <c r="DR34" s="2466"/>
      <c r="DS34" s="2466"/>
      <c r="DT34" s="2466"/>
      <c r="DU34" s="2466"/>
      <c r="DV34" s="2466"/>
      <c r="DW34" s="2466"/>
      <c r="DX34" s="2466"/>
      <c r="DY34" s="2466"/>
      <c r="DZ34" s="2466"/>
      <c r="EA34" s="2466"/>
      <c r="EB34" s="2466"/>
      <c r="EC34" s="2466"/>
      <c r="ED34" s="2466"/>
      <c r="EE34" s="2466"/>
      <c r="EF34" s="2466"/>
      <c r="EG34" s="2466"/>
      <c r="EH34" s="2466"/>
      <c r="EI34" s="2466"/>
      <c r="EJ34" s="2466"/>
      <c r="EK34" s="2466"/>
      <c r="EL34" s="2466"/>
      <c r="EM34" s="2466"/>
      <c r="EN34" s="2466"/>
      <c r="EO34" s="2466"/>
      <c r="EP34" s="2466"/>
      <c r="EQ34" s="2466"/>
      <c r="ER34" s="2466"/>
      <c r="ES34" s="2466"/>
      <c r="ET34" s="2466"/>
      <c r="EU34" s="2466"/>
      <c r="EV34" s="2466"/>
      <c r="EW34" s="2466"/>
      <c r="EX34" s="2466"/>
      <c r="EY34" s="2466"/>
      <c r="EZ34" s="2466"/>
      <c r="FA34" s="2466"/>
      <c r="FB34" s="2466"/>
      <c r="FC34" s="2466"/>
      <c r="FD34" s="2466"/>
      <c r="FE34" s="2466"/>
      <c r="FF34" s="2466"/>
      <c r="FG34" s="2466"/>
      <c r="FH34" s="2466"/>
      <c r="FI34" s="2466"/>
      <c r="FJ34" s="2466"/>
      <c r="FK34" s="2466"/>
      <c r="FL34" s="2466"/>
      <c r="FM34" s="2466"/>
      <c r="FN34" s="2466"/>
      <c r="FO34" s="2466"/>
      <c r="FP34" s="2466"/>
      <c r="FQ34" s="2466"/>
      <c r="FR34" s="2466"/>
      <c r="FS34" s="2466"/>
      <c r="FT34" s="2466"/>
      <c r="FU34" s="2466"/>
      <c r="FV34" s="2466"/>
      <c r="FW34" s="2466"/>
      <c r="FX34" s="2466"/>
      <c r="FY34" s="2466"/>
      <c r="FZ34" s="2466"/>
      <c r="GA34" s="2466"/>
      <c r="GB34" s="2466"/>
      <c r="GC34" s="2466"/>
      <c r="GD34" s="2466"/>
      <c r="GE34" s="2466"/>
      <c r="GF34" s="2466"/>
      <c r="GG34" s="2466"/>
      <c r="GH34" s="2466"/>
      <c r="GI34" s="2466"/>
      <c r="GJ34" s="2466"/>
      <c r="GK34" s="2466"/>
      <c r="GL34" s="2466"/>
      <c r="GM34" s="2466"/>
      <c r="GN34" s="2466"/>
      <c r="GO34" s="2466"/>
      <c r="GP34" s="2466"/>
      <c r="GQ34" s="2466"/>
      <c r="GR34" s="2466"/>
      <c r="GS34" s="2466"/>
      <c r="GT34" s="2466"/>
      <c r="GU34" s="2466"/>
      <c r="GV34" s="2466"/>
      <c r="GW34" s="2466"/>
      <c r="GX34" s="2466"/>
      <c r="GY34" s="2466"/>
      <c r="GZ34" s="2466"/>
      <c r="HA34" s="2466"/>
      <c r="HB34" s="2466"/>
      <c r="HC34" s="2466"/>
      <c r="HD34" s="2466"/>
      <c r="HE34" s="2466"/>
      <c r="HF34" s="2466"/>
      <c r="HG34" s="2466"/>
      <c r="HH34" s="2466"/>
      <c r="HI34" s="2466"/>
      <c r="HJ34" s="2466"/>
      <c r="HK34" s="2466"/>
      <c r="HL34" s="2466"/>
      <c r="HM34" s="2466"/>
      <c r="HN34" s="2466"/>
      <c r="HO34" s="2466"/>
      <c r="HP34" s="2466"/>
      <c r="HQ34" s="2466"/>
      <c r="HR34" s="2466"/>
      <c r="HS34" s="2466"/>
      <c r="HT34" s="2466"/>
      <c r="HU34" s="2466"/>
      <c r="HV34" s="2466"/>
      <c r="HW34" s="2466"/>
      <c r="HX34" s="2466"/>
      <c r="HY34" s="2466"/>
      <c r="HZ34" s="2466"/>
      <c r="IA34" s="2466"/>
      <c r="IB34" s="2466"/>
      <c r="IC34" s="2466"/>
      <c r="ID34" s="2466"/>
      <c r="IE34" s="2466"/>
      <c r="IF34" s="2466"/>
      <c r="IG34" s="2466"/>
      <c r="IH34" s="2466"/>
      <c r="II34" s="2466"/>
      <c r="IJ34" s="2466"/>
      <c r="IK34" s="2466"/>
      <c r="IL34" s="2466"/>
      <c r="IM34" s="2466"/>
      <c r="IN34" s="2466"/>
      <c r="IO34" s="2466"/>
      <c r="IP34" s="2466"/>
      <c r="IQ34" s="2466"/>
      <c r="IR34" s="2466"/>
      <c r="IS34" s="2466"/>
      <c r="IT34" s="2466"/>
      <c r="IU34" s="2466"/>
      <c r="IV34" s="2466"/>
    </row>
    <row r="35" spans="1:256" ht="33" customHeight="1">
      <c r="A35" s="3954" t="s">
        <v>786</v>
      </c>
      <c r="B35" s="3955"/>
      <c r="C35" s="3955"/>
      <c r="D35" s="3955"/>
      <c r="E35" s="3955"/>
      <c r="F35" s="3955"/>
      <c r="G35" s="3955"/>
      <c r="H35" s="3955"/>
      <c r="I35" s="3955"/>
      <c r="J35" s="3955"/>
      <c r="K35" s="3955"/>
      <c r="L35" s="3955"/>
      <c r="M35" s="3955"/>
      <c r="N35" s="3955"/>
      <c r="O35" s="3956"/>
      <c r="P35" s="2465"/>
      <c r="Q35" s="2465"/>
      <c r="R35" s="2465"/>
      <c r="S35" s="2465"/>
      <c r="T35" s="2465"/>
      <c r="U35" s="2465"/>
      <c r="V35" s="2465"/>
      <c r="W35" s="2465"/>
      <c r="X35" s="2465"/>
      <c r="Y35" s="2465"/>
      <c r="Z35" s="2465"/>
      <c r="AA35" s="2465"/>
      <c r="AB35" s="2465"/>
      <c r="AC35" s="2465"/>
      <c r="AD35" s="2465"/>
      <c r="AE35" s="2465"/>
      <c r="AF35" s="2465"/>
      <c r="AG35" s="2465"/>
      <c r="AH35" s="2465"/>
      <c r="AI35" s="2465"/>
      <c r="AJ35" s="2465"/>
      <c r="AK35" s="2465"/>
      <c r="AL35" s="2465"/>
      <c r="AM35" s="2465"/>
      <c r="AN35" s="2465"/>
      <c r="AO35" s="2465"/>
      <c r="AP35" s="2465"/>
      <c r="AQ35" s="2465"/>
      <c r="AR35" s="2465"/>
      <c r="AS35" s="2465"/>
      <c r="AT35" s="2465"/>
      <c r="AU35" s="2465"/>
      <c r="AV35" s="2465"/>
      <c r="AW35" s="2465"/>
      <c r="AX35" s="2465"/>
      <c r="AY35" s="2465"/>
      <c r="AZ35" s="2465"/>
      <c r="BA35" s="2465"/>
      <c r="BB35" s="2465"/>
      <c r="BC35" s="2465"/>
      <c r="BD35" s="2465"/>
      <c r="BE35" s="2465"/>
      <c r="BF35" s="2465"/>
      <c r="BG35" s="2465"/>
      <c r="BH35" s="2465"/>
      <c r="BI35" s="2466"/>
      <c r="BJ35" s="2466"/>
      <c r="BK35" s="2466"/>
      <c r="BL35" s="2466"/>
      <c r="BM35" s="2466"/>
      <c r="BN35" s="2466"/>
      <c r="BO35" s="2466"/>
      <c r="BP35" s="2466"/>
      <c r="BQ35" s="2466"/>
      <c r="BR35" s="2466"/>
      <c r="BS35" s="2466"/>
      <c r="BT35" s="2466"/>
      <c r="BU35" s="2466"/>
      <c r="BV35" s="2466"/>
      <c r="BW35" s="2466"/>
      <c r="BX35" s="2466"/>
      <c r="BY35" s="2466"/>
      <c r="BZ35" s="2466"/>
      <c r="CA35" s="2466"/>
      <c r="CB35" s="2466"/>
      <c r="CC35" s="2466"/>
      <c r="CD35" s="2466"/>
      <c r="CE35" s="2466"/>
      <c r="CF35" s="2466"/>
      <c r="CG35" s="2466"/>
      <c r="CH35" s="2466"/>
      <c r="CI35" s="2466"/>
      <c r="CJ35" s="2466"/>
      <c r="CK35" s="2466"/>
      <c r="CL35" s="2466"/>
      <c r="CM35" s="2466"/>
      <c r="CN35" s="2466"/>
      <c r="CO35" s="2466"/>
      <c r="CP35" s="2466"/>
      <c r="CQ35" s="2466"/>
      <c r="CR35" s="2466"/>
      <c r="CS35" s="2466"/>
      <c r="CT35" s="2466"/>
      <c r="CU35" s="2466"/>
      <c r="CV35" s="2466"/>
      <c r="CW35" s="2466"/>
      <c r="CX35" s="2466"/>
      <c r="CY35" s="2466"/>
      <c r="CZ35" s="2466"/>
      <c r="DA35" s="2466"/>
      <c r="DB35" s="2466"/>
      <c r="DC35" s="2466"/>
      <c r="DD35" s="2466"/>
      <c r="DE35" s="2466"/>
      <c r="DF35" s="2466"/>
      <c r="DG35" s="2466"/>
      <c r="DH35" s="2466"/>
      <c r="DI35" s="2466"/>
      <c r="DJ35" s="2466"/>
      <c r="DK35" s="2466"/>
      <c r="DL35" s="2466"/>
      <c r="DM35" s="2466"/>
      <c r="DN35" s="2466"/>
      <c r="DO35" s="2466"/>
      <c r="DP35" s="2466"/>
      <c r="DQ35" s="2466"/>
      <c r="DR35" s="2466"/>
      <c r="DS35" s="2466"/>
      <c r="DT35" s="2466"/>
      <c r="DU35" s="2466"/>
      <c r="DV35" s="2466"/>
      <c r="DW35" s="2466"/>
      <c r="DX35" s="2466"/>
      <c r="DY35" s="2466"/>
      <c r="DZ35" s="2466"/>
      <c r="EA35" s="2466"/>
      <c r="EB35" s="2466"/>
      <c r="EC35" s="2466"/>
      <c r="ED35" s="2466"/>
      <c r="EE35" s="2466"/>
      <c r="EF35" s="2466"/>
      <c r="EG35" s="2466"/>
      <c r="EH35" s="2466"/>
      <c r="EI35" s="2466"/>
      <c r="EJ35" s="2466"/>
      <c r="EK35" s="2466"/>
      <c r="EL35" s="2466"/>
      <c r="EM35" s="2466"/>
      <c r="EN35" s="2466"/>
      <c r="EO35" s="2466"/>
      <c r="EP35" s="2466"/>
      <c r="EQ35" s="2466"/>
      <c r="ER35" s="2466"/>
      <c r="ES35" s="2466"/>
      <c r="ET35" s="2466"/>
      <c r="EU35" s="2466"/>
      <c r="EV35" s="2466"/>
      <c r="EW35" s="2466"/>
      <c r="EX35" s="2466"/>
      <c r="EY35" s="2466"/>
      <c r="EZ35" s="2466"/>
      <c r="FA35" s="2466"/>
      <c r="FB35" s="2466"/>
      <c r="FC35" s="2466"/>
      <c r="FD35" s="2466"/>
      <c r="FE35" s="2466"/>
      <c r="FF35" s="2466"/>
      <c r="FG35" s="2466"/>
      <c r="FH35" s="2466"/>
      <c r="FI35" s="2466"/>
      <c r="FJ35" s="2466"/>
      <c r="FK35" s="2466"/>
      <c r="FL35" s="2466"/>
      <c r="FM35" s="2466"/>
      <c r="FN35" s="2466"/>
      <c r="FO35" s="2466"/>
      <c r="FP35" s="2466"/>
      <c r="FQ35" s="2466"/>
      <c r="FR35" s="2466"/>
      <c r="FS35" s="2466"/>
      <c r="FT35" s="2466"/>
      <c r="FU35" s="2466"/>
      <c r="FV35" s="2466"/>
      <c r="FW35" s="2466"/>
      <c r="FX35" s="2466"/>
      <c r="FY35" s="2466"/>
      <c r="FZ35" s="2466"/>
      <c r="GA35" s="2466"/>
      <c r="GB35" s="2466"/>
      <c r="GC35" s="2466"/>
      <c r="GD35" s="2466"/>
      <c r="GE35" s="2466"/>
      <c r="GF35" s="2466"/>
      <c r="GG35" s="2466"/>
      <c r="GH35" s="2466"/>
      <c r="GI35" s="2466"/>
      <c r="GJ35" s="2466"/>
      <c r="GK35" s="2466"/>
      <c r="GL35" s="2466"/>
      <c r="GM35" s="2466"/>
      <c r="GN35" s="2466"/>
      <c r="GO35" s="2466"/>
      <c r="GP35" s="2466"/>
      <c r="GQ35" s="2466"/>
      <c r="GR35" s="2466"/>
      <c r="GS35" s="2466"/>
      <c r="GT35" s="2466"/>
      <c r="GU35" s="2466"/>
      <c r="GV35" s="2466"/>
      <c r="GW35" s="2466"/>
      <c r="GX35" s="2466"/>
      <c r="GY35" s="2466"/>
      <c r="GZ35" s="2466"/>
      <c r="HA35" s="2466"/>
      <c r="HB35" s="2466"/>
      <c r="HC35" s="2466"/>
      <c r="HD35" s="2466"/>
      <c r="HE35" s="2466"/>
      <c r="HF35" s="2466"/>
      <c r="HG35" s="2466"/>
      <c r="HH35" s="2466"/>
      <c r="HI35" s="2466"/>
      <c r="HJ35" s="2466"/>
      <c r="HK35" s="2466"/>
      <c r="HL35" s="2466"/>
      <c r="HM35" s="2466"/>
      <c r="HN35" s="2466"/>
      <c r="HO35" s="2466"/>
      <c r="HP35" s="2466"/>
      <c r="HQ35" s="2466"/>
      <c r="HR35" s="2466"/>
      <c r="HS35" s="2466"/>
      <c r="HT35" s="2466"/>
      <c r="HU35" s="2466"/>
      <c r="HV35" s="2466"/>
      <c r="HW35" s="2466"/>
      <c r="HX35" s="2466"/>
      <c r="HY35" s="2466"/>
      <c r="HZ35" s="2466"/>
      <c r="IA35" s="2466"/>
      <c r="IB35" s="2466"/>
      <c r="IC35" s="2466"/>
      <c r="ID35" s="2466"/>
      <c r="IE35" s="2466"/>
      <c r="IF35" s="2466"/>
      <c r="IG35" s="2466"/>
      <c r="IH35" s="2466"/>
      <c r="II35" s="2466"/>
      <c r="IJ35" s="2466"/>
      <c r="IK35" s="2466"/>
      <c r="IL35" s="2466"/>
      <c r="IM35" s="2466"/>
      <c r="IN35" s="2466"/>
      <c r="IO35" s="2466"/>
      <c r="IP35" s="2466"/>
      <c r="IQ35" s="2466"/>
      <c r="IR35" s="2466"/>
      <c r="IS35" s="2466"/>
      <c r="IT35" s="2466"/>
      <c r="IU35" s="2466"/>
      <c r="IV35" s="2466"/>
    </row>
    <row r="36" spans="1:256">
      <c r="A36" s="3957" t="s">
        <v>547</v>
      </c>
      <c r="B36" s="3958"/>
      <c r="C36" s="3958"/>
      <c r="D36" s="3958"/>
      <c r="E36" s="3958"/>
      <c r="F36" s="3958"/>
      <c r="G36" s="3958"/>
      <c r="H36" s="3958"/>
      <c r="I36" s="3958"/>
      <c r="J36" s="3958"/>
      <c r="K36" s="3958"/>
      <c r="L36" s="3958"/>
      <c r="M36" s="3958"/>
      <c r="N36" s="3958"/>
      <c r="O36" s="3959"/>
      <c r="P36" s="2465"/>
      <c r="Q36" s="2465"/>
      <c r="R36" s="2465"/>
      <c r="S36" s="2465"/>
      <c r="T36" s="2465"/>
      <c r="U36" s="2465"/>
      <c r="V36" s="2465"/>
      <c r="W36" s="2465"/>
      <c r="X36" s="2465"/>
      <c r="Y36" s="2465"/>
      <c r="Z36" s="2465"/>
      <c r="AA36" s="2465"/>
      <c r="AB36" s="2465"/>
      <c r="AC36" s="2465"/>
      <c r="AD36" s="2465"/>
      <c r="AE36" s="2465"/>
      <c r="AF36" s="2465"/>
      <c r="AG36" s="2465"/>
      <c r="AH36" s="2465"/>
      <c r="AI36" s="2465"/>
      <c r="AJ36" s="2465"/>
      <c r="AK36" s="2465"/>
      <c r="AL36" s="2465"/>
      <c r="AM36" s="2465"/>
      <c r="AN36" s="2465"/>
      <c r="AO36" s="2465"/>
      <c r="AP36" s="2465"/>
      <c r="AQ36" s="2465"/>
      <c r="AR36" s="2465"/>
      <c r="AS36" s="2465"/>
      <c r="AT36" s="2465"/>
      <c r="AU36" s="2465"/>
      <c r="AV36" s="2465"/>
      <c r="AW36" s="2465"/>
      <c r="AX36" s="2465"/>
      <c r="AY36" s="2465"/>
      <c r="AZ36" s="2465"/>
      <c r="BA36" s="2465"/>
      <c r="BB36" s="2465"/>
      <c r="BC36" s="2465"/>
      <c r="BD36" s="2465"/>
      <c r="BE36" s="2465"/>
      <c r="BF36" s="2465"/>
      <c r="BG36" s="2465"/>
      <c r="BH36" s="2465"/>
      <c r="BI36" s="2466"/>
      <c r="BJ36" s="2466"/>
      <c r="BK36" s="2466"/>
      <c r="BL36" s="2466"/>
      <c r="BM36" s="2466"/>
      <c r="BN36" s="2466"/>
      <c r="BO36" s="2466"/>
      <c r="BP36" s="2466"/>
      <c r="BQ36" s="2466"/>
      <c r="BR36" s="2466"/>
      <c r="BS36" s="2466"/>
      <c r="BT36" s="2466"/>
      <c r="BU36" s="2466"/>
      <c r="BV36" s="2466"/>
      <c r="BW36" s="2466"/>
      <c r="BX36" s="2466"/>
      <c r="BY36" s="2466"/>
      <c r="BZ36" s="2466"/>
      <c r="CA36" s="2466"/>
      <c r="CB36" s="2466"/>
      <c r="CC36" s="2466"/>
      <c r="CD36" s="2466"/>
      <c r="CE36" s="2466"/>
      <c r="CF36" s="2466"/>
      <c r="CG36" s="2466"/>
      <c r="CH36" s="2466"/>
      <c r="CI36" s="2466"/>
      <c r="CJ36" s="2466"/>
      <c r="CK36" s="2466"/>
      <c r="CL36" s="2466"/>
      <c r="CM36" s="2466"/>
      <c r="CN36" s="2466"/>
      <c r="CO36" s="2466"/>
      <c r="CP36" s="2466"/>
      <c r="CQ36" s="2466"/>
      <c r="CR36" s="2466"/>
      <c r="CS36" s="2466"/>
      <c r="CT36" s="2466"/>
      <c r="CU36" s="2466"/>
      <c r="CV36" s="2466"/>
      <c r="CW36" s="2466"/>
      <c r="CX36" s="2466"/>
      <c r="CY36" s="2466"/>
      <c r="CZ36" s="2466"/>
      <c r="DA36" s="2466"/>
      <c r="DB36" s="2466"/>
      <c r="DC36" s="2466"/>
      <c r="DD36" s="2466"/>
      <c r="DE36" s="2466"/>
      <c r="DF36" s="2466"/>
      <c r="DG36" s="2466"/>
      <c r="DH36" s="2466"/>
      <c r="DI36" s="2466"/>
      <c r="DJ36" s="2466"/>
      <c r="DK36" s="2466"/>
      <c r="DL36" s="2466"/>
      <c r="DM36" s="2466"/>
      <c r="DN36" s="2466"/>
      <c r="DO36" s="2466"/>
      <c r="DP36" s="2466"/>
      <c r="DQ36" s="2466"/>
      <c r="DR36" s="2466"/>
      <c r="DS36" s="2466"/>
      <c r="DT36" s="2466"/>
      <c r="DU36" s="2466"/>
      <c r="DV36" s="2466"/>
      <c r="DW36" s="2466"/>
      <c r="DX36" s="2466"/>
      <c r="DY36" s="2466"/>
      <c r="DZ36" s="2466"/>
      <c r="EA36" s="2466"/>
      <c r="EB36" s="2466"/>
      <c r="EC36" s="2466"/>
      <c r="ED36" s="2466"/>
      <c r="EE36" s="2466"/>
      <c r="EF36" s="2466"/>
      <c r="EG36" s="2466"/>
      <c r="EH36" s="2466"/>
      <c r="EI36" s="2466"/>
      <c r="EJ36" s="2466"/>
      <c r="EK36" s="2466"/>
      <c r="EL36" s="2466"/>
      <c r="EM36" s="2466"/>
      <c r="EN36" s="2466"/>
      <c r="EO36" s="2466"/>
      <c r="EP36" s="2466"/>
      <c r="EQ36" s="2466"/>
      <c r="ER36" s="2466"/>
      <c r="ES36" s="2466"/>
      <c r="ET36" s="2466"/>
      <c r="EU36" s="2466"/>
      <c r="EV36" s="2466"/>
      <c r="EW36" s="2466"/>
      <c r="EX36" s="2466"/>
      <c r="EY36" s="2466"/>
      <c r="EZ36" s="2466"/>
      <c r="FA36" s="2466"/>
      <c r="FB36" s="2466"/>
      <c r="FC36" s="2466"/>
      <c r="FD36" s="2466"/>
      <c r="FE36" s="2466"/>
      <c r="FF36" s="2466"/>
      <c r="FG36" s="2466"/>
      <c r="FH36" s="2466"/>
      <c r="FI36" s="2466"/>
      <c r="FJ36" s="2466"/>
      <c r="FK36" s="2466"/>
      <c r="FL36" s="2466"/>
      <c r="FM36" s="2466"/>
      <c r="FN36" s="2466"/>
      <c r="FO36" s="2466"/>
      <c r="FP36" s="2466"/>
      <c r="FQ36" s="2466"/>
      <c r="FR36" s="2466"/>
      <c r="FS36" s="2466"/>
      <c r="FT36" s="2466"/>
      <c r="FU36" s="2466"/>
      <c r="FV36" s="2466"/>
      <c r="FW36" s="2466"/>
      <c r="FX36" s="2466"/>
      <c r="FY36" s="2466"/>
      <c r="FZ36" s="2466"/>
      <c r="GA36" s="2466"/>
      <c r="GB36" s="2466"/>
      <c r="GC36" s="2466"/>
      <c r="GD36" s="2466"/>
      <c r="GE36" s="2466"/>
      <c r="GF36" s="2466"/>
      <c r="GG36" s="2466"/>
      <c r="GH36" s="2466"/>
      <c r="GI36" s="2466"/>
      <c r="GJ36" s="2466"/>
      <c r="GK36" s="2466"/>
      <c r="GL36" s="2466"/>
      <c r="GM36" s="2466"/>
      <c r="GN36" s="2466"/>
      <c r="GO36" s="2466"/>
      <c r="GP36" s="2466"/>
      <c r="GQ36" s="2466"/>
      <c r="GR36" s="2466"/>
      <c r="GS36" s="2466"/>
      <c r="GT36" s="2466"/>
      <c r="GU36" s="2466"/>
      <c r="GV36" s="2466"/>
      <c r="GW36" s="2466"/>
      <c r="GX36" s="2466"/>
      <c r="GY36" s="2466"/>
      <c r="GZ36" s="2466"/>
      <c r="HA36" s="2466"/>
      <c r="HB36" s="2466"/>
      <c r="HC36" s="2466"/>
      <c r="HD36" s="2466"/>
      <c r="HE36" s="2466"/>
      <c r="HF36" s="2466"/>
      <c r="HG36" s="2466"/>
      <c r="HH36" s="2466"/>
      <c r="HI36" s="2466"/>
      <c r="HJ36" s="2466"/>
      <c r="HK36" s="2466"/>
      <c r="HL36" s="2466"/>
      <c r="HM36" s="2466"/>
      <c r="HN36" s="2466"/>
      <c r="HO36" s="2466"/>
      <c r="HP36" s="2466"/>
      <c r="HQ36" s="2466"/>
      <c r="HR36" s="2466"/>
      <c r="HS36" s="2466"/>
      <c r="HT36" s="2466"/>
      <c r="HU36" s="2466"/>
      <c r="HV36" s="2466"/>
      <c r="HW36" s="2466"/>
      <c r="HX36" s="2466"/>
      <c r="HY36" s="2466"/>
      <c r="HZ36" s="2466"/>
      <c r="IA36" s="2466"/>
      <c r="IB36" s="2466"/>
      <c r="IC36" s="2466"/>
      <c r="ID36" s="2466"/>
      <c r="IE36" s="2466"/>
      <c r="IF36" s="2466"/>
      <c r="IG36" s="2466"/>
      <c r="IH36" s="2466"/>
      <c r="II36" s="2466"/>
      <c r="IJ36" s="2466"/>
      <c r="IK36" s="2466"/>
      <c r="IL36" s="2466"/>
      <c r="IM36" s="2466"/>
      <c r="IN36" s="2466"/>
      <c r="IO36" s="2466"/>
      <c r="IP36" s="2466"/>
      <c r="IQ36" s="2466"/>
      <c r="IR36" s="2466"/>
      <c r="IS36" s="2466"/>
      <c r="IT36" s="2466"/>
      <c r="IU36" s="2466"/>
      <c r="IV36" s="2466"/>
    </row>
    <row r="37" spans="1:256" s="2470" customFormat="1" ht="2.1" customHeight="1">
      <c r="A37" s="2467"/>
      <c r="B37" s="2468"/>
      <c r="C37" s="2468"/>
      <c r="D37" s="2468"/>
      <c r="E37" s="2468"/>
      <c r="F37" s="2468"/>
      <c r="G37" s="2468"/>
      <c r="H37" s="2468"/>
      <c r="I37" s="2468"/>
      <c r="J37" s="2468"/>
      <c r="K37" s="2468"/>
      <c r="L37" s="2468"/>
      <c r="M37" s="2468"/>
      <c r="N37" s="2468"/>
      <c r="O37" s="2469"/>
      <c r="P37" s="2465"/>
      <c r="Q37" s="2465"/>
      <c r="R37" s="2465"/>
      <c r="S37" s="2465"/>
      <c r="T37" s="2465"/>
      <c r="U37" s="2465"/>
      <c r="V37" s="2465"/>
      <c r="W37" s="2465"/>
      <c r="X37" s="2465"/>
      <c r="Y37" s="2465"/>
      <c r="Z37" s="2465"/>
      <c r="AA37" s="2465"/>
      <c r="AB37" s="2465"/>
      <c r="AC37" s="2465"/>
      <c r="AD37" s="2465"/>
      <c r="AE37" s="2465"/>
      <c r="AF37" s="2465"/>
      <c r="AG37" s="2465"/>
      <c r="AH37" s="2465"/>
      <c r="AI37" s="2465"/>
      <c r="AJ37" s="2465"/>
      <c r="AK37" s="2465"/>
      <c r="AL37" s="2465"/>
      <c r="AM37" s="2465"/>
      <c r="AN37" s="2465"/>
      <c r="AO37" s="2465"/>
      <c r="AP37" s="2465"/>
      <c r="AQ37" s="2465"/>
      <c r="AR37" s="2465"/>
      <c r="AS37" s="2465"/>
      <c r="AT37" s="2465"/>
      <c r="AU37" s="2465"/>
      <c r="AV37" s="2465"/>
      <c r="AW37" s="2465"/>
      <c r="AX37" s="2465"/>
      <c r="AY37" s="2465"/>
      <c r="AZ37" s="2465"/>
      <c r="BA37" s="2465"/>
      <c r="BB37" s="2465"/>
      <c r="BC37" s="2465"/>
      <c r="BD37" s="2465"/>
      <c r="BE37" s="2465"/>
      <c r="BF37" s="2465"/>
      <c r="BG37" s="2465"/>
      <c r="BH37" s="2465"/>
      <c r="BI37" s="2465"/>
      <c r="BJ37" s="2465"/>
      <c r="BK37" s="2465"/>
      <c r="BL37" s="2465"/>
      <c r="BM37" s="2465"/>
      <c r="BN37" s="2465"/>
      <c r="BO37" s="2465"/>
      <c r="BP37" s="2465"/>
      <c r="BQ37" s="2465"/>
      <c r="BR37" s="2465"/>
      <c r="BS37" s="2465"/>
      <c r="BT37" s="2465"/>
      <c r="BU37" s="2465"/>
      <c r="BV37" s="2465"/>
      <c r="BW37" s="2465"/>
      <c r="BX37" s="2465"/>
      <c r="BY37" s="2465"/>
      <c r="BZ37" s="2465"/>
      <c r="CA37" s="2465"/>
      <c r="CB37" s="2465"/>
      <c r="CC37" s="2465"/>
      <c r="CD37" s="2465"/>
      <c r="CE37" s="2465"/>
      <c r="CF37" s="2465"/>
      <c r="CG37" s="2465"/>
      <c r="CH37" s="2465"/>
      <c r="CI37" s="2465"/>
      <c r="CJ37" s="2465"/>
      <c r="CK37" s="2465"/>
      <c r="CL37" s="2465"/>
      <c r="CM37" s="2465"/>
      <c r="CN37" s="2465"/>
      <c r="CO37" s="2465"/>
      <c r="CP37" s="2465"/>
      <c r="CQ37" s="2465"/>
      <c r="CR37" s="2465"/>
      <c r="CS37" s="2465"/>
      <c r="CT37" s="2465"/>
      <c r="CU37" s="2465"/>
      <c r="CV37" s="2465"/>
      <c r="CW37" s="2465"/>
      <c r="CX37" s="2465"/>
      <c r="CY37" s="2465"/>
      <c r="CZ37" s="2465"/>
      <c r="DA37" s="2465"/>
      <c r="DB37" s="2465"/>
      <c r="DC37" s="2465"/>
      <c r="DD37" s="2465"/>
      <c r="DE37" s="2465"/>
      <c r="DF37" s="2465"/>
      <c r="DG37" s="2465"/>
      <c r="DH37" s="2465"/>
      <c r="DI37" s="2465"/>
      <c r="DJ37" s="2465"/>
      <c r="DK37" s="2465"/>
      <c r="DL37" s="2465"/>
      <c r="DM37" s="2465"/>
      <c r="DN37" s="2465"/>
      <c r="DO37" s="2465"/>
      <c r="DP37" s="2465"/>
      <c r="DQ37" s="2465"/>
      <c r="DR37" s="2465"/>
      <c r="DS37" s="2465"/>
      <c r="DT37" s="2465"/>
      <c r="DU37" s="2465"/>
      <c r="DV37" s="2465"/>
      <c r="DW37" s="2465"/>
      <c r="DX37" s="2465"/>
      <c r="DY37" s="2465"/>
      <c r="DZ37" s="2465"/>
      <c r="EA37" s="2465"/>
      <c r="EB37" s="2465"/>
      <c r="EC37" s="2465"/>
      <c r="ED37" s="2465"/>
      <c r="EE37" s="2465"/>
      <c r="EF37" s="2465"/>
      <c r="EG37" s="2465"/>
      <c r="EH37" s="2465"/>
      <c r="EI37" s="2465"/>
      <c r="EJ37" s="2465"/>
      <c r="EK37" s="2465"/>
      <c r="EL37" s="2465"/>
      <c r="EM37" s="2465"/>
      <c r="EN37" s="2465"/>
      <c r="EO37" s="2465"/>
      <c r="EP37" s="2465"/>
      <c r="EQ37" s="2465"/>
      <c r="ER37" s="2465"/>
      <c r="ES37" s="2465"/>
      <c r="ET37" s="2465"/>
      <c r="EU37" s="2465"/>
      <c r="EV37" s="2465"/>
      <c r="EW37" s="2465"/>
      <c r="EX37" s="2465"/>
      <c r="EY37" s="2465"/>
      <c r="EZ37" s="2465"/>
      <c r="FA37" s="2465"/>
      <c r="FB37" s="2465"/>
      <c r="FC37" s="2465"/>
      <c r="FD37" s="2465"/>
      <c r="FE37" s="2465"/>
      <c r="FF37" s="2465"/>
      <c r="FG37" s="2465"/>
      <c r="FH37" s="2465"/>
      <c r="FI37" s="2465"/>
      <c r="FJ37" s="2465"/>
      <c r="FK37" s="2465"/>
      <c r="FL37" s="2465"/>
      <c r="FM37" s="2465"/>
      <c r="FN37" s="2465"/>
      <c r="FO37" s="2465"/>
      <c r="FP37" s="2465"/>
      <c r="FQ37" s="2465"/>
      <c r="FR37" s="2465"/>
      <c r="FS37" s="2465"/>
      <c r="FT37" s="2465"/>
      <c r="FU37" s="2465"/>
      <c r="FV37" s="2465"/>
      <c r="FW37" s="2465"/>
      <c r="FX37" s="2465"/>
      <c r="FY37" s="2465"/>
      <c r="FZ37" s="2465"/>
      <c r="GA37" s="2465"/>
      <c r="GB37" s="2465"/>
      <c r="GC37" s="2465"/>
      <c r="GD37" s="2465"/>
      <c r="GE37" s="2465"/>
      <c r="GF37" s="2465"/>
      <c r="GG37" s="2465"/>
      <c r="GH37" s="2465"/>
      <c r="GI37" s="2465"/>
      <c r="GJ37" s="2465"/>
      <c r="GK37" s="2465"/>
      <c r="GL37" s="2465"/>
      <c r="GM37" s="2465"/>
      <c r="GN37" s="2465"/>
      <c r="GO37" s="2465"/>
      <c r="GP37" s="2465"/>
      <c r="GQ37" s="2465"/>
      <c r="GR37" s="2465"/>
      <c r="GS37" s="2465"/>
      <c r="GT37" s="2465"/>
      <c r="GU37" s="2465"/>
      <c r="GV37" s="2465"/>
      <c r="GW37" s="2465"/>
      <c r="GX37" s="2465"/>
      <c r="GY37" s="2465"/>
      <c r="GZ37" s="2465"/>
      <c r="HA37" s="2465"/>
      <c r="HB37" s="2465"/>
      <c r="HC37" s="2465"/>
      <c r="HD37" s="2465"/>
      <c r="HE37" s="2465"/>
      <c r="HF37" s="2465"/>
      <c r="HG37" s="2465"/>
      <c r="HH37" s="2465"/>
      <c r="HI37" s="2465"/>
      <c r="HJ37" s="2465"/>
      <c r="HK37" s="2465"/>
      <c r="HL37" s="2465"/>
      <c r="HM37" s="2465"/>
      <c r="HN37" s="2465"/>
      <c r="HO37" s="2465"/>
      <c r="HP37" s="2465"/>
      <c r="HQ37" s="2465"/>
      <c r="HR37" s="2465"/>
      <c r="HS37" s="2465"/>
      <c r="HT37" s="2465"/>
      <c r="HU37" s="2465"/>
      <c r="HV37" s="2465"/>
      <c r="HW37" s="2465"/>
      <c r="HX37" s="2465"/>
      <c r="HY37" s="2465"/>
      <c r="HZ37" s="2465"/>
      <c r="IA37" s="2465"/>
      <c r="IB37" s="2465"/>
      <c r="IC37" s="2465"/>
      <c r="ID37" s="2465"/>
      <c r="IE37" s="2465"/>
      <c r="IF37" s="2465"/>
      <c r="IG37" s="2465"/>
      <c r="IH37" s="2465"/>
      <c r="II37" s="2465"/>
      <c r="IJ37" s="2465"/>
      <c r="IK37" s="2465"/>
      <c r="IL37" s="2465"/>
      <c r="IM37" s="2465"/>
      <c r="IN37" s="2465"/>
      <c r="IO37" s="2465"/>
      <c r="IP37" s="2465"/>
      <c r="IQ37" s="2465"/>
      <c r="IR37" s="2465"/>
      <c r="IS37" s="2465"/>
      <c r="IT37" s="2465"/>
      <c r="IU37" s="2465"/>
      <c r="IV37" s="2465"/>
    </row>
    <row r="38" spans="1:256">
      <c r="A38" s="2471" t="s">
        <v>496</v>
      </c>
      <c r="B38" s="2447"/>
      <c r="C38" s="2447"/>
      <c r="D38" s="2448"/>
      <c r="E38" s="2448"/>
      <c r="F38" s="2448"/>
      <c r="G38" s="2448"/>
      <c r="H38" s="2447"/>
      <c r="I38" s="2448"/>
      <c r="J38" s="2448"/>
      <c r="K38" s="2448"/>
      <c r="L38" s="2472" t="str">
        <f>IF(ISBLANK(B5)," ", MIN(D5:D33,I4:I33,N4:N33))</f>
        <v xml:space="preserve"> </v>
      </c>
      <c r="M38" s="2447" t="s">
        <v>117</v>
      </c>
      <c r="N38" s="2447"/>
      <c r="O38" s="2469"/>
      <c r="P38" s="2465"/>
      <c r="Q38" s="2465"/>
      <c r="R38" s="2465"/>
      <c r="S38" s="2465"/>
      <c r="T38" s="2465"/>
      <c r="U38" s="2465"/>
      <c r="V38" s="2465"/>
      <c r="W38" s="2465"/>
      <c r="X38" s="2465"/>
      <c r="Y38" s="2465"/>
      <c r="Z38" s="2465"/>
      <c r="AA38" s="2465"/>
      <c r="AB38" s="2465"/>
      <c r="AC38" s="2465"/>
      <c r="AD38" s="2465"/>
      <c r="AE38" s="2465"/>
      <c r="AF38" s="2465"/>
      <c r="AG38" s="2465"/>
      <c r="AH38" s="2465"/>
      <c r="AI38" s="2465"/>
      <c r="AJ38" s="2465"/>
      <c r="AK38" s="2465"/>
      <c r="AL38" s="2465"/>
      <c r="AM38" s="2465"/>
      <c r="AN38" s="2465"/>
      <c r="AO38" s="2465"/>
      <c r="AP38" s="2465"/>
      <c r="AQ38" s="2465"/>
      <c r="AR38" s="2465"/>
      <c r="AS38" s="2465"/>
      <c r="AT38" s="2465"/>
      <c r="AU38" s="2465"/>
      <c r="AV38" s="2465"/>
      <c r="AW38" s="2465"/>
      <c r="AX38" s="2465"/>
      <c r="AY38" s="2465"/>
      <c r="AZ38" s="2465"/>
      <c r="BA38" s="2465"/>
      <c r="BB38" s="2465"/>
      <c r="BC38" s="2465"/>
      <c r="BD38" s="2465"/>
      <c r="BE38" s="2465"/>
      <c r="BF38" s="2465"/>
      <c r="BG38" s="2465"/>
      <c r="BH38" s="2465"/>
      <c r="BI38" s="2466"/>
      <c r="BJ38" s="2466"/>
      <c r="BK38" s="2466"/>
      <c r="BL38" s="2466"/>
      <c r="BM38" s="2466"/>
      <c r="BN38" s="2466"/>
      <c r="BO38" s="2466"/>
      <c r="BP38" s="2466"/>
      <c r="BQ38" s="2466"/>
      <c r="BR38" s="2466"/>
      <c r="BS38" s="2466"/>
      <c r="BT38" s="2466"/>
      <c r="BU38" s="2466"/>
      <c r="BV38" s="2466"/>
      <c r="BW38" s="2466"/>
      <c r="BX38" s="2466"/>
      <c r="BY38" s="2466"/>
      <c r="BZ38" s="2466"/>
      <c r="CA38" s="2466"/>
      <c r="CB38" s="2466"/>
      <c r="CC38" s="2466"/>
      <c r="CD38" s="2466"/>
      <c r="CE38" s="2466"/>
      <c r="CF38" s="2466"/>
      <c r="CG38" s="2466"/>
      <c r="CH38" s="2466"/>
      <c r="CI38" s="2466"/>
      <c r="CJ38" s="2466"/>
      <c r="CK38" s="2466"/>
      <c r="CL38" s="2466"/>
      <c r="CM38" s="2466"/>
      <c r="CN38" s="2466"/>
      <c r="CO38" s="2466"/>
      <c r="CP38" s="2466"/>
      <c r="CQ38" s="2466"/>
      <c r="CR38" s="2466"/>
      <c r="CS38" s="2466"/>
      <c r="CT38" s="2466"/>
      <c r="CU38" s="2466"/>
      <c r="CV38" s="2466"/>
      <c r="CW38" s="2466"/>
      <c r="CX38" s="2466"/>
      <c r="CY38" s="2466"/>
      <c r="CZ38" s="2466"/>
      <c r="DA38" s="2466"/>
      <c r="DB38" s="2466"/>
      <c r="DC38" s="2466"/>
      <c r="DD38" s="2466"/>
      <c r="DE38" s="2466"/>
      <c r="DF38" s="2466"/>
      <c r="DG38" s="2466"/>
      <c r="DH38" s="2466"/>
      <c r="DI38" s="2466"/>
      <c r="DJ38" s="2466"/>
      <c r="DK38" s="2466"/>
      <c r="DL38" s="2466"/>
      <c r="DM38" s="2466"/>
      <c r="DN38" s="2466"/>
      <c r="DO38" s="2466"/>
      <c r="DP38" s="2466"/>
      <c r="DQ38" s="2466"/>
      <c r="DR38" s="2466"/>
      <c r="DS38" s="2466"/>
      <c r="DT38" s="2466"/>
      <c r="DU38" s="2466"/>
      <c r="DV38" s="2466"/>
      <c r="DW38" s="2466"/>
      <c r="DX38" s="2466"/>
      <c r="DY38" s="2466"/>
      <c r="DZ38" s="2466"/>
      <c r="EA38" s="2466"/>
      <c r="EB38" s="2466"/>
      <c r="EC38" s="2466"/>
      <c r="ED38" s="2466"/>
      <c r="EE38" s="2466"/>
      <c r="EF38" s="2466"/>
      <c r="EG38" s="2466"/>
      <c r="EH38" s="2466"/>
      <c r="EI38" s="2466"/>
      <c r="EJ38" s="2466"/>
      <c r="EK38" s="2466"/>
      <c r="EL38" s="2466"/>
      <c r="EM38" s="2466"/>
      <c r="EN38" s="2466"/>
      <c r="EO38" s="2466"/>
      <c r="EP38" s="2466"/>
      <c r="EQ38" s="2466"/>
      <c r="ER38" s="2466"/>
      <c r="ES38" s="2466"/>
      <c r="ET38" s="2466"/>
      <c r="EU38" s="2466"/>
      <c r="EV38" s="2466"/>
      <c r="EW38" s="2466"/>
      <c r="EX38" s="2466"/>
      <c r="EY38" s="2466"/>
      <c r="EZ38" s="2466"/>
      <c r="FA38" s="2466"/>
      <c r="FB38" s="2466"/>
      <c r="FC38" s="2466"/>
      <c r="FD38" s="2466"/>
      <c r="FE38" s="2466"/>
      <c r="FF38" s="2466"/>
      <c r="FG38" s="2466"/>
      <c r="FH38" s="2466"/>
      <c r="FI38" s="2466"/>
      <c r="FJ38" s="2466"/>
      <c r="FK38" s="2466"/>
      <c r="FL38" s="2466"/>
      <c r="FM38" s="2466"/>
      <c r="FN38" s="2466"/>
      <c r="FO38" s="2466"/>
      <c r="FP38" s="2466"/>
      <c r="FQ38" s="2466"/>
      <c r="FR38" s="2466"/>
      <c r="FS38" s="2466"/>
      <c r="FT38" s="2466"/>
      <c r="FU38" s="2466"/>
      <c r="FV38" s="2466"/>
      <c r="FW38" s="2466"/>
      <c r="FX38" s="2466"/>
      <c r="FY38" s="2466"/>
      <c r="FZ38" s="2466"/>
      <c r="GA38" s="2466"/>
      <c r="GB38" s="2466"/>
      <c r="GC38" s="2466"/>
      <c r="GD38" s="2466"/>
      <c r="GE38" s="2466"/>
      <c r="GF38" s="2466"/>
      <c r="GG38" s="2466"/>
      <c r="GH38" s="2466"/>
      <c r="GI38" s="2466"/>
      <c r="GJ38" s="2466"/>
      <c r="GK38" s="2466"/>
      <c r="GL38" s="2466"/>
      <c r="GM38" s="2466"/>
      <c r="GN38" s="2466"/>
      <c r="GO38" s="2466"/>
      <c r="GP38" s="2466"/>
      <c r="GQ38" s="2466"/>
      <c r="GR38" s="2466"/>
      <c r="GS38" s="2466"/>
      <c r="GT38" s="2466"/>
      <c r="GU38" s="2466"/>
      <c r="GV38" s="2466"/>
      <c r="GW38" s="2466"/>
      <c r="GX38" s="2466"/>
      <c r="GY38" s="2466"/>
      <c r="GZ38" s="2466"/>
      <c r="HA38" s="2466"/>
      <c r="HB38" s="2466"/>
      <c r="HC38" s="2466"/>
      <c r="HD38" s="2466"/>
      <c r="HE38" s="2466"/>
      <c r="HF38" s="2466"/>
      <c r="HG38" s="2466"/>
      <c r="HH38" s="2466"/>
      <c r="HI38" s="2466"/>
      <c r="HJ38" s="2466"/>
      <c r="HK38" s="2466"/>
      <c r="HL38" s="2466"/>
      <c r="HM38" s="2466"/>
      <c r="HN38" s="2466"/>
      <c r="HO38" s="2466"/>
      <c r="HP38" s="2466"/>
      <c r="HQ38" s="2466"/>
      <c r="HR38" s="2466"/>
      <c r="HS38" s="2466"/>
      <c r="HT38" s="2466"/>
      <c r="HU38" s="2466"/>
      <c r="HV38" s="2466"/>
      <c r="HW38" s="2466"/>
      <c r="HX38" s="2466"/>
      <c r="HY38" s="2466"/>
      <c r="HZ38" s="2466"/>
      <c r="IA38" s="2466"/>
      <c r="IB38" s="2466"/>
      <c r="IC38" s="2466"/>
      <c r="ID38" s="2466"/>
      <c r="IE38" s="2466"/>
      <c r="IF38" s="2466"/>
      <c r="IG38" s="2466"/>
      <c r="IH38" s="2466"/>
      <c r="II38" s="2466"/>
      <c r="IJ38" s="2466"/>
      <c r="IK38" s="2466"/>
      <c r="IL38" s="2466"/>
      <c r="IM38" s="2466"/>
      <c r="IN38" s="2466"/>
      <c r="IO38" s="2466"/>
      <c r="IP38" s="2466"/>
      <c r="IQ38" s="2466"/>
      <c r="IR38" s="2466"/>
      <c r="IS38" s="2466"/>
      <c r="IT38" s="2466"/>
      <c r="IU38" s="2466"/>
      <c r="IV38" s="2466"/>
    </row>
    <row r="39" spans="1:256" ht="2.1" customHeight="1">
      <c r="A39" s="3950"/>
      <c r="B39" s="3951"/>
      <c r="C39" s="3951"/>
      <c r="D39" s="3951"/>
      <c r="E39" s="3951"/>
      <c r="F39" s="3951"/>
      <c r="G39" s="3951"/>
      <c r="H39" s="3951"/>
      <c r="I39" s="3951"/>
      <c r="J39" s="3951"/>
      <c r="K39" s="3951"/>
      <c r="L39" s="3951"/>
      <c r="M39" s="3951"/>
      <c r="N39" s="3951"/>
      <c r="O39" s="2469"/>
      <c r="P39" s="2465"/>
      <c r="Q39" s="2465"/>
      <c r="R39" s="2465"/>
      <c r="S39" s="2465"/>
      <c r="T39" s="2465"/>
      <c r="U39" s="2465"/>
      <c r="V39" s="2465"/>
      <c r="W39" s="2465"/>
      <c r="X39" s="2465"/>
      <c r="Y39" s="2465"/>
      <c r="Z39" s="2465"/>
      <c r="AA39" s="2465"/>
      <c r="AB39" s="2465"/>
      <c r="AC39" s="2465"/>
      <c r="AD39" s="2465"/>
      <c r="AE39" s="2465"/>
      <c r="AF39" s="2465"/>
      <c r="AG39" s="2465"/>
      <c r="AH39" s="2465"/>
      <c r="AI39" s="2465"/>
      <c r="AJ39" s="2465"/>
      <c r="AK39" s="2465"/>
      <c r="AL39" s="2465"/>
      <c r="AM39" s="2465"/>
      <c r="AN39" s="2465"/>
      <c r="AO39" s="2465"/>
      <c r="AP39" s="2465"/>
      <c r="AQ39" s="2465"/>
      <c r="AR39" s="2465"/>
      <c r="AS39" s="2465"/>
      <c r="AT39" s="2465"/>
      <c r="AU39" s="2465"/>
      <c r="AV39" s="2465"/>
      <c r="AW39" s="2465"/>
      <c r="AX39" s="2465"/>
      <c r="AY39" s="2465"/>
      <c r="AZ39" s="2465"/>
      <c r="BA39" s="2465"/>
      <c r="BB39" s="2465"/>
      <c r="BC39" s="2465"/>
      <c r="BD39" s="2465"/>
      <c r="BE39" s="2465"/>
      <c r="BF39" s="2465"/>
      <c r="BG39" s="2465"/>
      <c r="BH39" s="2465"/>
      <c r="BI39" s="2466"/>
      <c r="BJ39" s="2466"/>
      <c r="BK39" s="2466"/>
      <c r="BL39" s="2466"/>
      <c r="BM39" s="2466"/>
      <c r="BN39" s="2466"/>
      <c r="BO39" s="2466"/>
      <c r="BP39" s="2466"/>
      <c r="BQ39" s="2466"/>
      <c r="BR39" s="2466"/>
      <c r="BS39" s="2466"/>
      <c r="BT39" s="2466"/>
      <c r="BU39" s="2466"/>
      <c r="BV39" s="2466"/>
      <c r="BW39" s="2466"/>
      <c r="BX39" s="2466"/>
      <c r="BY39" s="2466"/>
      <c r="BZ39" s="2466"/>
      <c r="CA39" s="2466"/>
      <c r="CB39" s="2466"/>
      <c r="CC39" s="2466"/>
      <c r="CD39" s="2466"/>
      <c r="CE39" s="2466"/>
      <c r="CF39" s="2466"/>
      <c r="CG39" s="2466"/>
      <c r="CH39" s="2466"/>
      <c r="CI39" s="2466"/>
      <c r="CJ39" s="2466"/>
      <c r="CK39" s="2466"/>
      <c r="CL39" s="2466"/>
      <c r="CM39" s="2466"/>
      <c r="CN39" s="2466"/>
      <c r="CO39" s="2466"/>
      <c r="CP39" s="2466"/>
      <c r="CQ39" s="2466"/>
      <c r="CR39" s="2466"/>
      <c r="CS39" s="2466"/>
      <c r="CT39" s="2466"/>
      <c r="CU39" s="2466"/>
      <c r="CV39" s="2466"/>
      <c r="CW39" s="2466"/>
      <c r="CX39" s="2466"/>
      <c r="CY39" s="2466"/>
      <c r="CZ39" s="2466"/>
      <c r="DA39" s="2466"/>
      <c r="DB39" s="2466"/>
      <c r="DC39" s="2466"/>
      <c r="DD39" s="2466"/>
      <c r="DE39" s="2466"/>
      <c r="DF39" s="2466"/>
      <c r="DG39" s="2466"/>
      <c r="DH39" s="2466"/>
      <c r="DI39" s="2466"/>
      <c r="DJ39" s="2466"/>
      <c r="DK39" s="2466"/>
      <c r="DL39" s="2466"/>
      <c r="DM39" s="2466"/>
      <c r="DN39" s="2466"/>
      <c r="DO39" s="2466"/>
      <c r="DP39" s="2466"/>
      <c r="DQ39" s="2466"/>
      <c r="DR39" s="2466"/>
      <c r="DS39" s="2466"/>
      <c r="DT39" s="2466"/>
      <c r="DU39" s="2466"/>
      <c r="DV39" s="2466"/>
      <c r="DW39" s="2466"/>
      <c r="DX39" s="2466"/>
      <c r="DY39" s="2466"/>
      <c r="DZ39" s="2466"/>
      <c r="EA39" s="2466"/>
      <c r="EB39" s="2466"/>
      <c r="EC39" s="2466"/>
      <c r="ED39" s="2466"/>
      <c r="EE39" s="2466"/>
      <c r="EF39" s="2466"/>
      <c r="EG39" s="2466"/>
      <c r="EH39" s="2466"/>
      <c r="EI39" s="2466"/>
      <c r="EJ39" s="2466"/>
      <c r="EK39" s="2466"/>
      <c r="EL39" s="2466"/>
      <c r="EM39" s="2466"/>
      <c r="EN39" s="2466"/>
      <c r="EO39" s="2466"/>
      <c r="EP39" s="2466"/>
      <c r="EQ39" s="2466"/>
      <c r="ER39" s="2466"/>
      <c r="ES39" s="2466"/>
      <c r="ET39" s="2466"/>
      <c r="EU39" s="2466"/>
      <c r="EV39" s="2466"/>
      <c r="EW39" s="2466"/>
      <c r="EX39" s="2466"/>
      <c r="EY39" s="2466"/>
      <c r="EZ39" s="2466"/>
      <c r="FA39" s="2466"/>
      <c r="FB39" s="2466"/>
      <c r="FC39" s="2466"/>
      <c r="FD39" s="2466"/>
      <c r="FE39" s="2466"/>
      <c r="FF39" s="2466"/>
      <c r="FG39" s="2466"/>
      <c r="FH39" s="2466"/>
      <c r="FI39" s="2466"/>
      <c r="FJ39" s="2466"/>
      <c r="FK39" s="2466"/>
      <c r="FL39" s="2466"/>
      <c r="FM39" s="2466"/>
      <c r="FN39" s="2466"/>
      <c r="FO39" s="2466"/>
      <c r="FP39" s="2466"/>
      <c r="FQ39" s="2466"/>
      <c r="FR39" s="2466"/>
      <c r="FS39" s="2466"/>
      <c r="FT39" s="2466"/>
      <c r="FU39" s="2466"/>
      <c r="FV39" s="2466"/>
      <c r="FW39" s="2466"/>
      <c r="FX39" s="2466"/>
      <c r="FY39" s="2466"/>
      <c r="FZ39" s="2466"/>
      <c r="GA39" s="2466"/>
      <c r="GB39" s="2466"/>
      <c r="GC39" s="2466"/>
      <c r="GD39" s="2466"/>
      <c r="GE39" s="2466"/>
      <c r="GF39" s="2466"/>
      <c r="GG39" s="2466"/>
      <c r="GH39" s="2466"/>
      <c r="GI39" s="2466"/>
      <c r="GJ39" s="2466"/>
      <c r="GK39" s="2466"/>
      <c r="GL39" s="2466"/>
      <c r="GM39" s="2466"/>
      <c r="GN39" s="2466"/>
      <c r="GO39" s="2466"/>
      <c r="GP39" s="2466"/>
      <c r="GQ39" s="2466"/>
      <c r="GR39" s="2466"/>
      <c r="GS39" s="2466"/>
      <c r="GT39" s="2466"/>
      <c r="GU39" s="2466"/>
      <c r="GV39" s="2466"/>
      <c r="GW39" s="2466"/>
      <c r="GX39" s="2466"/>
      <c r="GY39" s="2466"/>
      <c r="GZ39" s="2466"/>
      <c r="HA39" s="2466"/>
      <c r="HB39" s="2466"/>
      <c r="HC39" s="2466"/>
      <c r="HD39" s="2466"/>
      <c r="HE39" s="2466"/>
      <c r="HF39" s="2466"/>
      <c r="HG39" s="2466"/>
      <c r="HH39" s="2466"/>
      <c r="HI39" s="2466"/>
      <c r="HJ39" s="2466"/>
      <c r="HK39" s="2466"/>
      <c r="HL39" s="2466"/>
      <c r="HM39" s="2466"/>
      <c r="HN39" s="2466"/>
      <c r="HO39" s="2466"/>
      <c r="HP39" s="2466"/>
      <c r="HQ39" s="2466"/>
      <c r="HR39" s="2466"/>
      <c r="HS39" s="2466"/>
      <c r="HT39" s="2466"/>
      <c r="HU39" s="2466"/>
      <c r="HV39" s="2466"/>
      <c r="HW39" s="2466"/>
      <c r="HX39" s="2466"/>
      <c r="HY39" s="2466"/>
      <c r="HZ39" s="2466"/>
      <c r="IA39" s="2466"/>
      <c r="IB39" s="2466"/>
      <c r="IC39" s="2466"/>
      <c r="ID39" s="2466"/>
      <c r="IE39" s="2466"/>
      <c r="IF39" s="2466"/>
      <c r="IG39" s="2466"/>
      <c r="IH39" s="2466"/>
      <c r="II39" s="2466"/>
      <c r="IJ39" s="2466"/>
      <c r="IK39" s="2466"/>
      <c r="IL39" s="2466"/>
      <c r="IM39" s="2466"/>
      <c r="IN39" s="2466"/>
      <c r="IO39" s="2466"/>
      <c r="IP39" s="2466"/>
      <c r="IQ39" s="2466"/>
      <c r="IR39" s="2466"/>
      <c r="IS39" s="2466"/>
      <c r="IT39" s="2466"/>
      <c r="IU39" s="2466"/>
      <c r="IV39" s="2466"/>
    </row>
    <row r="40" spans="1:256">
      <c r="A40" s="2471" t="s">
        <v>495</v>
      </c>
      <c r="B40" s="2447"/>
      <c r="C40" s="2447"/>
      <c r="D40" s="2448"/>
      <c r="E40" s="2448"/>
      <c r="F40" s="2448"/>
      <c r="G40" s="2448"/>
      <c r="H40" s="2447"/>
      <c r="I40" s="2448"/>
      <c r="J40" s="2448"/>
      <c r="K40" s="2448"/>
      <c r="L40" s="2473" t="str">
        <f>IF(ISBLANK(B5)," ",MAX(D5:D33,I4:I33,N4:N33))</f>
        <v xml:space="preserve"> </v>
      </c>
      <c r="M40" s="2447" t="s">
        <v>117</v>
      </c>
      <c r="N40" s="2447"/>
      <c r="O40" s="2469"/>
      <c r="P40" s="2465"/>
      <c r="Q40" s="2465"/>
      <c r="R40" s="2465"/>
      <c r="S40" s="2465"/>
      <c r="T40" s="2465"/>
      <c r="U40" s="2465"/>
      <c r="V40" s="2465"/>
      <c r="W40" s="2465"/>
      <c r="X40" s="2465"/>
      <c r="Y40" s="2465"/>
      <c r="Z40" s="2465"/>
      <c r="AA40" s="2465"/>
      <c r="AB40" s="2465"/>
      <c r="AC40" s="2465"/>
      <c r="AD40" s="2465"/>
      <c r="AE40" s="2465"/>
      <c r="AF40" s="2465"/>
      <c r="AG40" s="2465"/>
      <c r="AH40" s="2465"/>
      <c r="AI40" s="2465"/>
      <c r="AJ40" s="2465"/>
      <c r="AK40" s="2465"/>
      <c r="AL40" s="2465"/>
      <c r="AM40" s="2465"/>
      <c r="AN40" s="2465"/>
      <c r="AO40" s="2465"/>
      <c r="AP40" s="2465"/>
      <c r="AQ40" s="2465"/>
      <c r="AR40" s="2465"/>
      <c r="AS40" s="2465"/>
      <c r="AT40" s="2465"/>
      <c r="AU40" s="2465"/>
      <c r="AV40" s="2465"/>
      <c r="AW40" s="2465"/>
      <c r="AX40" s="2465"/>
      <c r="AY40" s="2465"/>
      <c r="AZ40" s="2465"/>
      <c r="BA40" s="2465"/>
      <c r="BB40" s="2465"/>
      <c r="BC40" s="2465"/>
      <c r="BD40" s="2465"/>
      <c r="BE40" s="2465"/>
      <c r="BF40" s="2465"/>
      <c r="BG40" s="2465"/>
      <c r="BH40" s="2465"/>
      <c r="BI40" s="2466"/>
      <c r="BJ40" s="2466"/>
      <c r="BK40" s="2466"/>
      <c r="BL40" s="2466"/>
      <c r="BM40" s="2466"/>
      <c r="BN40" s="2466"/>
      <c r="BO40" s="2466"/>
      <c r="BP40" s="2466"/>
      <c r="BQ40" s="2466"/>
      <c r="BR40" s="2466"/>
      <c r="BS40" s="2466"/>
      <c r="BT40" s="2466"/>
      <c r="BU40" s="2466"/>
      <c r="BV40" s="2466"/>
      <c r="BW40" s="2466"/>
      <c r="BX40" s="2466"/>
      <c r="BY40" s="2466"/>
      <c r="BZ40" s="2466"/>
      <c r="CA40" s="2466"/>
      <c r="CB40" s="2466"/>
      <c r="CC40" s="2466"/>
      <c r="CD40" s="2466"/>
      <c r="CE40" s="2466"/>
      <c r="CF40" s="2466"/>
      <c r="CG40" s="2466"/>
      <c r="CH40" s="2466"/>
      <c r="CI40" s="2466"/>
      <c r="CJ40" s="2466"/>
      <c r="CK40" s="2466"/>
      <c r="CL40" s="2466"/>
      <c r="CM40" s="2466"/>
      <c r="CN40" s="2466"/>
      <c r="CO40" s="2466"/>
      <c r="CP40" s="2466"/>
      <c r="CQ40" s="2466"/>
      <c r="CR40" s="2466"/>
      <c r="CS40" s="2466"/>
      <c r="CT40" s="2466"/>
      <c r="CU40" s="2466"/>
      <c r="CV40" s="2466"/>
      <c r="CW40" s="2466"/>
      <c r="CX40" s="2466"/>
      <c r="CY40" s="2466"/>
      <c r="CZ40" s="2466"/>
      <c r="DA40" s="2466"/>
      <c r="DB40" s="2466"/>
      <c r="DC40" s="2466"/>
      <c r="DD40" s="2466"/>
      <c r="DE40" s="2466"/>
      <c r="DF40" s="2466"/>
      <c r="DG40" s="2466"/>
      <c r="DH40" s="2466"/>
      <c r="DI40" s="2466"/>
      <c r="DJ40" s="2466"/>
      <c r="DK40" s="2466"/>
      <c r="DL40" s="2466"/>
      <c r="DM40" s="2466"/>
      <c r="DN40" s="2466"/>
      <c r="DO40" s="2466"/>
      <c r="DP40" s="2466"/>
      <c r="DQ40" s="2466"/>
      <c r="DR40" s="2466"/>
      <c r="DS40" s="2466"/>
      <c r="DT40" s="2466"/>
      <c r="DU40" s="2466"/>
      <c r="DV40" s="2466"/>
      <c r="DW40" s="2466"/>
      <c r="DX40" s="2466"/>
      <c r="DY40" s="2466"/>
      <c r="DZ40" s="2466"/>
      <c r="EA40" s="2466"/>
      <c r="EB40" s="2466"/>
      <c r="EC40" s="2466"/>
      <c r="ED40" s="2466"/>
      <c r="EE40" s="2466"/>
      <c r="EF40" s="2466"/>
      <c r="EG40" s="2466"/>
      <c r="EH40" s="2466"/>
      <c r="EI40" s="2466"/>
      <c r="EJ40" s="2466"/>
      <c r="EK40" s="2466"/>
      <c r="EL40" s="2466"/>
      <c r="EM40" s="2466"/>
      <c r="EN40" s="2466"/>
      <c r="EO40" s="2466"/>
      <c r="EP40" s="2466"/>
      <c r="EQ40" s="2466"/>
      <c r="ER40" s="2466"/>
      <c r="ES40" s="2466"/>
      <c r="ET40" s="2466"/>
      <c r="EU40" s="2466"/>
      <c r="EV40" s="2466"/>
      <c r="EW40" s="2466"/>
      <c r="EX40" s="2466"/>
      <c r="EY40" s="2466"/>
      <c r="EZ40" s="2466"/>
      <c r="FA40" s="2466"/>
      <c r="FB40" s="2466"/>
      <c r="FC40" s="2466"/>
      <c r="FD40" s="2466"/>
      <c r="FE40" s="2466"/>
      <c r="FF40" s="2466"/>
      <c r="FG40" s="2466"/>
      <c r="FH40" s="2466"/>
      <c r="FI40" s="2466"/>
      <c r="FJ40" s="2466"/>
      <c r="FK40" s="2466"/>
      <c r="FL40" s="2466"/>
      <c r="FM40" s="2466"/>
      <c r="FN40" s="2466"/>
      <c r="FO40" s="2466"/>
      <c r="FP40" s="2466"/>
      <c r="FQ40" s="2466"/>
      <c r="FR40" s="2466"/>
      <c r="FS40" s="2466"/>
      <c r="FT40" s="2466"/>
      <c r="FU40" s="2466"/>
      <c r="FV40" s="2466"/>
      <c r="FW40" s="2466"/>
      <c r="FX40" s="2466"/>
      <c r="FY40" s="2466"/>
      <c r="FZ40" s="2466"/>
      <c r="GA40" s="2466"/>
      <c r="GB40" s="2466"/>
      <c r="GC40" s="2466"/>
      <c r="GD40" s="2466"/>
      <c r="GE40" s="2466"/>
      <c r="GF40" s="2466"/>
      <c r="GG40" s="2466"/>
      <c r="GH40" s="2466"/>
      <c r="GI40" s="2466"/>
      <c r="GJ40" s="2466"/>
      <c r="GK40" s="2466"/>
      <c r="GL40" s="2466"/>
      <c r="GM40" s="2466"/>
      <c r="GN40" s="2466"/>
      <c r="GO40" s="2466"/>
      <c r="GP40" s="2466"/>
      <c r="GQ40" s="2466"/>
      <c r="GR40" s="2466"/>
      <c r="GS40" s="2466"/>
      <c r="GT40" s="2466"/>
      <c r="GU40" s="2466"/>
      <c r="GV40" s="2466"/>
      <c r="GW40" s="2466"/>
      <c r="GX40" s="2466"/>
      <c r="GY40" s="2466"/>
      <c r="GZ40" s="2466"/>
      <c r="HA40" s="2466"/>
      <c r="HB40" s="2466"/>
      <c r="HC40" s="2466"/>
      <c r="HD40" s="2466"/>
      <c r="HE40" s="2466"/>
      <c r="HF40" s="2466"/>
      <c r="HG40" s="2466"/>
      <c r="HH40" s="2466"/>
      <c r="HI40" s="2466"/>
      <c r="HJ40" s="2466"/>
      <c r="HK40" s="2466"/>
      <c r="HL40" s="2466"/>
      <c r="HM40" s="2466"/>
      <c r="HN40" s="2466"/>
      <c r="HO40" s="2466"/>
      <c r="HP40" s="2466"/>
      <c r="HQ40" s="2466"/>
      <c r="HR40" s="2466"/>
      <c r="HS40" s="2466"/>
      <c r="HT40" s="2466"/>
      <c r="HU40" s="2466"/>
      <c r="HV40" s="2466"/>
      <c r="HW40" s="2466"/>
      <c r="HX40" s="2466"/>
      <c r="HY40" s="2466"/>
      <c r="HZ40" s="2466"/>
      <c r="IA40" s="2466"/>
      <c r="IB40" s="2466"/>
      <c r="IC40" s="2466"/>
      <c r="ID40" s="2466"/>
      <c r="IE40" s="2466"/>
      <c r="IF40" s="2466"/>
      <c r="IG40" s="2466"/>
      <c r="IH40" s="2466"/>
      <c r="II40" s="2466"/>
      <c r="IJ40" s="2466"/>
      <c r="IK40" s="2466"/>
      <c r="IL40" s="2466"/>
      <c r="IM40" s="2466"/>
      <c r="IN40" s="2466"/>
      <c r="IO40" s="2466"/>
      <c r="IP40" s="2466"/>
      <c r="IQ40" s="2466"/>
      <c r="IR40" s="2466"/>
      <c r="IS40" s="2466"/>
      <c r="IT40" s="2466"/>
      <c r="IU40" s="2466"/>
      <c r="IV40" s="2466"/>
    </row>
    <row r="41" spans="1:256" ht="2.1" customHeight="1">
      <c r="A41" s="3950"/>
      <c r="B41" s="3951"/>
      <c r="C41" s="3951"/>
      <c r="D41" s="3951"/>
      <c r="E41" s="3951"/>
      <c r="F41" s="3951"/>
      <c r="G41" s="3951"/>
      <c r="H41" s="3951"/>
      <c r="I41" s="3951"/>
      <c r="J41" s="3951"/>
      <c r="K41" s="3951"/>
      <c r="L41" s="3951"/>
      <c r="M41" s="3951"/>
      <c r="N41" s="3951"/>
      <c r="O41" s="2469"/>
      <c r="P41" s="2465"/>
      <c r="Q41" s="2465"/>
      <c r="R41" s="2465"/>
      <c r="S41" s="2465"/>
      <c r="T41" s="2465"/>
      <c r="U41" s="2465"/>
      <c r="V41" s="2465"/>
      <c r="W41" s="2465"/>
      <c r="X41" s="2465"/>
      <c r="Y41" s="2465"/>
      <c r="Z41" s="2465"/>
      <c r="AA41" s="2465"/>
      <c r="AB41" s="2465"/>
      <c r="AC41" s="2465"/>
      <c r="AD41" s="2465"/>
      <c r="AE41" s="2465"/>
      <c r="AF41" s="2465"/>
      <c r="AG41" s="2465"/>
      <c r="AH41" s="2465"/>
      <c r="AI41" s="2465"/>
      <c r="AJ41" s="2465"/>
      <c r="AK41" s="2465"/>
      <c r="AL41" s="2465"/>
      <c r="AM41" s="2465"/>
      <c r="AN41" s="2465"/>
      <c r="AO41" s="2465"/>
      <c r="AP41" s="2465"/>
      <c r="AQ41" s="2465"/>
      <c r="AR41" s="2465"/>
      <c r="AS41" s="2465"/>
      <c r="AT41" s="2465"/>
      <c r="AU41" s="2465"/>
      <c r="AV41" s="2465"/>
      <c r="AW41" s="2465"/>
      <c r="AX41" s="2465"/>
      <c r="AY41" s="2465"/>
      <c r="AZ41" s="2465"/>
      <c r="BA41" s="2465"/>
      <c r="BB41" s="2465"/>
      <c r="BC41" s="2465"/>
      <c r="BD41" s="2465"/>
      <c r="BE41" s="2465"/>
      <c r="BF41" s="2465"/>
      <c r="BG41" s="2465"/>
      <c r="BH41" s="2465"/>
      <c r="BI41" s="2466"/>
      <c r="BJ41" s="2466"/>
      <c r="BK41" s="2466"/>
      <c r="BL41" s="2466"/>
      <c r="BM41" s="2466"/>
      <c r="BN41" s="2466"/>
      <c r="BO41" s="2466"/>
      <c r="BP41" s="2466"/>
      <c r="BQ41" s="2466"/>
      <c r="BR41" s="2466"/>
      <c r="BS41" s="2466"/>
      <c r="BT41" s="2466"/>
      <c r="BU41" s="2466"/>
      <c r="BV41" s="2466"/>
      <c r="BW41" s="2466"/>
      <c r="BX41" s="2466"/>
      <c r="BY41" s="2466"/>
      <c r="BZ41" s="2466"/>
      <c r="CA41" s="2466"/>
      <c r="CB41" s="2466"/>
      <c r="CC41" s="2466"/>
      <c r="CD41" s="2466"/>
      <c r="CE41" s="2466"/>
      <c r="CF41" s="2466"/>
      <c r="CG41" s="2466"/>
      <c r="CH41" s="2466"/>
      <c r="CI41" s="2466"/>
      <c r="CJ41" s="2466"/>
      <c r="CK41" s="2466"/>
      <c r="CL41" s="2466"/>
      <c r="CM41" s="2466"/>
      <c r="CN41" s="2466"/>
      <c r="CO41" s="2466"/>
      <c r="CP41" s="2466"/>
      <c r="CQ41" s="2466"/>
      <c r="CR41" s="2466"/>
      <c r="CS41" s="2466"/>
      <c r="CT41" s="2466"/>
      <c r="CU41" s="2466"/>
      <c r="CV41" s="2466"/>
      <c r="CW41" s="2466"/>
      <c r="CX41" s="2466"/>
      <c r="CY41" s="2466"/>
      <c r="CZ41" s="2466"/>
      <c r="DA41" s="2466"/>
      <c r="DB41" s="2466"/>
      <c r="DC41" s="2466"/>
      <c r="DD41" s="2466"/>
      <c r="DE41" s="2466"/>
      <c r="DF41" s="2466"/>
      <c r="DG41" s="2466"/>
      <c r="DH41" s="2466"/>
      <c r="DI41" s="2466"/>
      <c r="DJ41" s="2466"/>
      <c r="DK41" s="2466"/>
      <c r="DL41" s="2466"/>
      <c r="DM41" s="2466"/>
      <c r="DN41" s="2466"/>
      <c r="DO41" s="2466"/>
      <c r="DP41" s="2466"/>
      <c r="DQ41" s="2466"/>
      <c r="DR41" s="2466"/>
      <c r="DS41" s="2466"/>
      <c r="DT41" s="2466"/>
      <c r="DU41" s="2466"/>
      <c r="DV41" s="2466"/>
      <c r="DW41" s="2466"/>
      <c r="DX41" s="2466"/>
      <c r="DY41" s="2466"/>
      <c r="DZ41" s="2466"/>
      <c r="EA41" s="2466"/>
      <c r="EB41" s="2466"/>
      <c r="EC41" s="2466"/>
      <c r="ED41" s="2466"/>
      <c r="EE41" s="2466"/>
      <c r="EF41" s="2466"/>
      <c r="EG41" s="2466"/>
      <c r="EH41" s="2466"/>
      <c r="EI41" s="2466"/>
      <c r="EJ41" s="2466"/>
      <c r="EK41" s="2466"/>
      <c r="EL41" s="2466"/>
      <c r="EM41" s="2466"/>
      <c r="EN41" s="2466"/>
      <c r="EO41" s="2466"/>
      <c r="EP41" s="2466"/>
      <c r="EQ41" s="2466"/>
      <c r="ER41" s="2466"/>
      <c r="ES41" s="2466"/>
      <c r="ET41" s="2466"/>
      <c r="EU41" s="2466"/>
      <c r="EV41" s="2466"/>
      <c r="EW41" s="2466"/>
      <c r="EX41" s="2466"/>
      <c r="EY41" s="2466"/>
      <c r="EZ41" s="2466"/>
      <c r="FA41" s="2466"/>
      <c r="FB41" s="2466"/>
      <c r="FC41" s="2466"/>
      <c r="FD41" s="2466"/>
      <c r="FE41" s="2466"/>
      <c r="FF41" s="2466"/>
      <c r="FG41" s="2466"/>
      <c r="FH41" s="2466"/>
      <c r="FI41" s="2466"/>
      <c r="FJ41" s="2466"/>
      <c r="FK41" s="2466"/>
      <c r="FL41" s="2466"/>
      <c r="FM41" s="2466"/>
      <c r="FN41" s="2466"/>
      <c r="FO41" s="2466"/>
      <c r="FP41" s="2466"/>
      <c r="FQ41" s="2466"/>
      <c r="FR41" s="2466"/>
      <c r="FS41" s="2466"/>
      <c r="FT41" s="2466"/>
      <c r="FU41" s="2466"/>
      <c r="FV41" s="2466"/>
      <c r="FW41" s="2466"/>
      <c r="FX41" s="2466"/>
      <c r="FY41" s="2466"/>
      <c r="FZ41" s="2466"/>
      <c r="GA41" s="2466"/>
      <c r="GB41" s="2466"/>
      <c r="GC41" s="2466"/>
      <c r="GD41" s="2466"/>
      <c r="GE41" s="2466"/>
      <c r="GF41" s="2466"/>
      <c r="GG41" s="2466"/>
      <c r="GH41" s="2466"/>
      <c r="GI41" s="2466"/>
      <c r="GJ41" s="2466"/>
      <c r="GK41" s="2466"/>
      <c r="GL41" s="2466"/>
      <c r="GM41" s="2466"/>
      <c r="GN41" s="2466"/>
      <c r="GO41" s="2466"/>
      <c r="GP41" s="2466"/>
      <c r="GQ41" s="2466"/>
      <c r="GR41" s="2466"/>
      <c r="GS41" s="2466"/>
      <c r="GT41" s="2466"/>
      <c r="GU41" s="2466"/>
      <c r="GV41" s="2466"/>
      <c r="GW41" s="2466"/>
      <c r="GX41" s="2466"/>
      <c r="GY41" s="2466"/>
      <c r="GZ41" s="2466"/>
      <c r="HA41" s="2466"/>
      <c r="HB41" s="2466"/>
      <c r="HC41" s="2466"/>
      <c r="HD41" s="2466"/>
      <c r="HE41" s="2466"/>
      <c r="HF41" s="2466"/>
      <c r="HG41" s="2466"/>
      <c r="HH41" s="2466"/>
      <c r="HI41" s="2466"/>
      <c r="HJ41" s="2466"/>
      <c r="HK41" s="2466"/>
      <c r="HL41" s="2466"/>
      <c r="HM41" s="2466"/>
      <c r="HN41" s="2466"/>
      <c r="HO41" s="2466"/>
      <c r="HP41" s="2466"/>
      <c r="HQ41" s="2466"/>
      <c r="HR41" s="2466"/>
      <c r="HS41" s="2466"/>
      <c r="HT41" s="2466"/>
      <c r="HU41" s="2466"/>
      <c r="HV41" s="2466"/>
      <c r="HW41" s="2466"/>
      <c r="HX41" s="2466"/>
      <c r="HY41" s="2466"/>
      <c r="HZ41" s="2466"/>
      <c r="IA41" s="2466"/>
      <c r="IB41" s="2466"/>
      <c r="IC41" s="2466"/>
      <c r="ID41" s="2466"/>
      <c r="IE41" s="2466"/>
      <c r="IF41" s="2466"/>
      <c r="IG41" s="2466"/>
      <c r="IH41" s="2466"/>
      <c r="II41" s="2466"/>
      <c r="IJ41" s="2466"/>
      <c r="IK41" s="2466"/>
      <c r="IL41" s="2466"/>
      <c r="IM41" s="2466"/>
      <c r="IN41" s="2466"/>
      <c r="IO41" s="2466"/>
      <c r="IP41" s="2466"/>
      <c r="IQ41" s="2466"/>
      <c r="IR41" s="2466"/>
      <c r="IS41" s="2466"/>
      <c r="IT41" s="2466"/>
      <c r="IU41" s="2466"/>
      <c r="IV41" s="2466"/>
    </row>
    <row r="42" spans="1:256">
      <c r="A42" s="2471" t="s">
        <v>2073</v>
      </c>
      <c r="B42" s="2447"/>
      <c r="C42" s="2447"/>
      <c r="D42" s="2448"/>
      <c r="E42" s="2448"/>
      <c r="F42" s="2448"/>
      <c r="G42" s="2448"/>
      <c r="H42" s="2447"/>
      <c r="I42" s="2448"/>
      <c r="J42" s="2448"/>
      <c r="K42" s="2448"/>
      <c r="L42" s="2474" t="str">
        <f>IF(ISBLANK(B4), "", MAX(E11:E33,J4:J33,O4:O33,T4:T33,Y4:Y33,AD4:AD33))</f>
        <v/>
      </c>
      <c r="M42" s="2447" t="s">
        <v>117</v>
      </c>
      <c r="N42" s="2447"/>
      <c r="O42" s="2469"/>
      <c r="P42" s="2465"/>
      <c r="Q42" s="2465"/>
      <c r="R42" s="2465"/>
      <c r="S42" s="2465"/>
      <c r="T42" s="2465"/>
      <c r="U42" s="2465"/>
      <c r="V42" s="2465"/>
      <c r="W42" s="2465"/>
      <c r="X42" s="2465"/>
      <c r="Y42" s="2465"/>
      <c r="Z42" s="2465"/>
      <c r="AA42" s="2465"/>
      <c r="AB42" s="2465"/>
      <c r="AC42" s="2465"/>
      <c r="AD42" s="2465"/>
      <c r="AE42" s="2465"/>
      <c r="AF42" s="2465"/>
      <c r="AG42" s="2465"/>
      <c r="AH42" s="2465"/>
      <c r="AI42" s="2465"/>
      <c r="AJ42" s="2465"/>
      <c r="AK42" s="2465"/>
      <c r="AL42" s="2465"/>
      <c r="AM42" s="2465"/>
      <c r="AN42" s="2465"/>
      <c r="AO42" s="2465"/>
      <c r="AP42" s="2465"/>
      <c r="AQ42" s="2465"/>
      <c r="AR42" s="2465"/>
      <c r="AS42" s="2465"/>
      <c r="AT42" s="2465"/>
      <c r="AU42" s="2465"/>
      <c r="AV42" s="2465"/>
      <c r="AW42" s="2465"/>
      <c r="AX42" s="2465"/>
      <c r="AY42" s="2465"/>
      <c r="AZ42" s="2465"/>
      <c r="BA42" s="2465"/>
      <c r="BB42" s="2465"/>
      <c r="BC42" s="2465"/>
      <c r="BD42" s="2465"/>
      <c r="BE42" s="2465"/>
      <c r="BF42" s="2465"/>
      <c r="BG42" s="2465"/>
      <c r="BH42" s="2465"/>
      <c r="BI42" s="2466"/>
      <c r="BJ42" s="2466"/>
      <c r="BK42" s="2466"/>
      <c r="BL42" s="2466"/>
      <c r="BM42" s="2466"/>
      <c r="BN42" s="2466"/>
      <c r="BO42" s="2466"/>
      <c r="BP42" s="2466"/>
      <c r="BQ42" s="2466"/>
      <c r="BR42" s="2466"/>
      <c r="BS42" s="2466"/>
      <c r="BT42" s="2466"/>
      <c r="BU42" s="2466"/>
      <c r="BV42" s="2466"/>
      <c r="BW42" s="2466"/>
      <c r="BX42" s="2466"/>
      <c r="BY42" s="2466"/>
      <c r="BZ42" s="2466"/>
      <c r="CA42" s="2466"/>
      <c r="CB42" s="2466"/>
      <c r="CC42" s="2466"/>
      <c r="CD42" s="2466"/>
      <c r="CE42" s="2466"/>
      <c r="CF42" s="2466"/>
      <c r="CG42" s="2466"/>
      <c r="CH42" s="2466"/>
      <c r="CI42" s="2466"/>
      <c r="CJ42" s="2466"/>
      <c r="CK42" s="2466"/>
      <c r="CL42" s="2466"/>
      <c r="CM42" s="2466"/>
      <c r="CN42" s="2466"/>
      <c r="CO42" s="2466"/>
      <c r="CP42" s="2466"/>
      <c r="CQ42" s="2466"/>
      <c r="CR42" s="2466"/>
      <c r="CS42" s="2466"/>
      <c r="CT42" s="2466"/>
      <c r="CU42" s="2466"/>
      <c r="CV42" s="2466"/>
      <c r="CW42" s="2466"/>
      <c r="CX42" s="2466"/>
      <c r="CY42" s="2466"/>
      <c r="CZ42" s="2466"/>
      <c r="DA42" s="2466"/>
      <c r="DB42" s="2466"/>
      <c r="DC42" s="2466"/>
      <c r="DD42" s="2466"/>
      <c r="DE42" s="2466"/>
      <c r="DF42" s="2466"/>
      <c r="DG42" s="2466"/>
      <c r="DH42" s="2466"/>
      <c r="DI42" s="2466"/>
      <c r="DJ42" s="2466"/>
      <c r="DK42" s="2466"/>
      <c r="DL42" s="2466"/>
      <c r="DM42" s="2466"/>
      <c r="DN42" s="2466"/>
      <c r="DO42" s="2466"/>
      <c r="DP42" s="2466"/>
      <c r="DQ42" s="2466"/>
      <c r="DR42" s="2466"/>
      <c r="DS42" s="2466"/>
      <c r="DT42" s="2466"/>
      <c r="DU42" s="2466"/>
      <c r="DV42" s="2466"/>
      <c r="DW42" s="2466"/>
      <c r="DX42" s="2466"/>
      <c r="DY42" s="2466"/>
      <c r="DZ42" s="2466"/>
      <c r="EA42" s="2466"/>
      <c r="EB42" s="2466"/>
      <c r="EC42" s="2466"/>
      <c r="ED42" s="2466"/>
      <c r="EE42" s="2466"/>
      <c r="EF42" s="2466"/>
      <c r="EG42" s="2466"/>
      <c r="EH42" s="2466"/>
      <c r="EI42" s="2466"/>
      <c r="EJ42" s="2466"/>
      <c r="EK42" s="2466"/>
      <c r="EL42" s="2466"/>
      <c r="EM42" s="2466"/>
      <c r="EN42" s="2466"/>
      <c r="EO42" s="2466"/>
      <c r="EP42" s="2466"/>
      <c r="EQ42" s="2466"/>
      <c r="ER42" s="2466"/>
      <c r="ES42" s="2466"/>
      <c r="ET42" s="2466"/>
      <c r="EU42" s="2466"/>
      <c r="EV42" s="2466"/>
      <c r="EW42" s="2466"/>
      <c r="EX42" s="2466"/>
      <c r="EY42" s="2466"/>
      <c r="EZ42" s="2466"/>
      <c r="FA42" s="2466"/>
      <c r="FB42" s="2466"/>
      <c r="FC42" s="2466"/>
      <c r="FD42" s="2466"/>
      <c r="FE42" s="2466"/>
      <c r="FF42" s="2466"/>
      <c r="FG42" s="2466"/>
      <c r="FH42" s="2466"/>
      <c r="FI42" s="2466"/>
      <c r="FJ42" s="2466"/>
      <c r="FK42" s="2466"/>
      <c r="FL42" s="2466"/>
      <c r="FM42" s="2466"/>
      <c r="FN42" s="2466"/>
      <c r="FO42" s="2466"/>
      <c r="FP42" s="2466"/>
      <c r="FQ42" s="2466"/>
      <c r="FR42" s="2466"/>
      <c r="FS42" s="2466"/>
      <c r="FT42" s="2466"/>
      <c r="FU42" s="2466"/>
      <c r="FV42" s="2466"/>
      <c r="FW42" s="2466"/>
      <c r="FX42" s="2466"/>
      <c r="FY42" s="2466"/>
      <c r="FZ42" s="2466"/>
      <c r="GA42" s="2466"/>
      <c r="GB42" s="2466"/>
      <c r="GC42" s="2466"/>
      <c r="GD42" s="2466"/>
      <c r="GE42" s="2466"/>
      <c r="GF42" s="2466"/>
      <c r="GG42" s="2466"/>
      <c r="GH42" s="2466"/>
      <c r="GI42" s="2466"/>
      <c r="GJ42" s="2466"/>
      <c r="GK42" s="2466"/>
      <c r="GL42" s="2466"/>
      <c r="GM42" s="2466"/>
      <c r="GN42" s="2466"/>
      <c r="GO42" s="2466"/>
      <c r="GP42" s="2466"/>
      <c r="GQ42" s="2466"/>
      <c r="GR42" s="2466"/>
      <c r="GS42" s="2466"/>
      <c r="GT42" s="2466"/>
      <c r="GU42" s="2466"/>
      <c r="GV42" s="2466"/>
      <c r="GW42" s="2466"/>
      <c r="GX42" s="2466"/>
      <c r="GY42" s="2466"/>
      <c r="GZ42" s="2466"/>
      <c r="HA42" s="2466"/>
      <c r="HB42" s="2466"/>
      <c r="HC42" s="2466"/>
      <c r="HD42" s="2466"/>
      <c r="HE42" s="2466"/>
      <c r="HF42" s="2466"/>
      <c r="HG42" s="2466"/>
      <c r="HH42" s="2466"/>
      <c r="HI42" s="2466"/>
      <c r="HJ42" s="2466"/>
      <c r="HK42" s="2466"/>
      <c r="HL42" s="2466"/>
      <c r="HM42" s="2466"/>
      <c r="HN42" s="2466"/>
      <c r="HO42" s="2466"/>
      <c r="HP42" s="2466"/>
      <c r="HQ42" s="2466"/>
      <c r="HR42" s="2466"/>
      <c r="HS42" s="2466"/>
      <c r="HT42" s="2466"/>
      <c r="HU42" s="2466"/>
      <c r="HV42" s="2466"/>
      <c r="HW42" s="2466"/>
      <c r="HX42" s="2466"/>
      <c r="HY42" s="2466"/>
      <c r="HZ42" s="2466"/>
      <c r="IA42" s="2466"/>
      <c r="IB42" s="2466"/>
      <c r="IC42" s="2466"/>
      <c r="ID42" s="2466"/>
      <c r="IE42" s="2466"/>
      <c r="IF42" s="2466"/>
      <c r="IG42" s="2466"/>
      <c r="IH42" s="2466"/>
      <c r="II42" s="2466"/>
      <c r="IJ42" s="2466"/>
      <c r="IK42" s="2466"/>
      <c r="IL42" s="2466"/>
      <c r="IM42" s="2466"/>
      <c r="IN42" s="2466"/>
      <c r="IO42" s="2466"/>
      <c r="IP42" s="2466"/>
      <c r="IQ42" s="2466"/>
      <c r="IR42" s="2466"/>
      <c r="IS42" s="2466"/>
      <c r="IT42" s="2466"/>
      <c r="IU42" s="2466"/>
      <c r="IV42" s="2466"/>
    </row>
    <row r="43" spans="1:256" ht="2.1" customHeight="1">
      <c r="A43" s="3950"/>
      <c r="B43" s="3951"/>
      <c r="C43" s="3951"/>
      <c r="D43" s="3951"/>
      <c r="E43" s="3951"/>
      <c r="F43" s="3951"/>
      <c r="G43" s="3951"/>
      <c r="H43" s="3951"/>
      <c r="I43" s="3951"/>
      <c r="J43" s="3951"/>
      <c r="K43" s="3951"/>
      <c r="L43" s="3951"/>
      <c r="M43" s="3951"/>
      <c r="N43" s="3951"/>
      <c r="O43" s="2469"/>
      <c r="P43" s="2465"/>
      <c r="Q43" s="2465"/>
      <c r="R43" s="2465"/>
      <c r="S43" s="2465"/>
      <c r="T43" s="2465"/>
      <c r="U43" s="2465"/>
      <c r="V43" s="2465"/>
      <c r="W43" s="2465"/>
      <c r="X43" s="2465"/>
      <c r="Y43" s="2465"/>
      <c r="Z43" s="2465"/>
      <c r="AA43" s="2465"/>
      <c r="AB43" s="2465"/>
      <c r="AC43" s="2465"/>
      <c r="AD43" s="2465"/>
      <c r="AE43" s="2465"/>
      <c r="AF43" s="2465"/>
      <c r="AG43" s="2465"/>
      <c r="AH43" s="2465"/>
      <c r="AI43" s="2465"/>
      <c r="AJ43" s="2465"/>
      <c r="AK43" s="2465"/>
      <c r="AL43" s="2465"/>
      <c r="AM43" s="2465"/>
      <c r="AN43" s="2465"/>
      <c r="AO43" s="2465"/>
      <c r="AP43" s="2465"/>
      <c r="AQ43" s="2465"/>
      <c r="AR43" s="2465"/>
      <c r="AS43" s="2465"/>
      <c r="AT43" s="2465"/>
      <c r="AU43" s="2465"/>
      <c r="AV43" s="2465"/>
      <c r="AW43" s="2465"/>
      <c r="AX43" s="2465"/>
      <c r="AY43" s="2465"/>
      <c r="AZ43" s="2465"/>
      <c r="BA43" s="2465"/>
      <c r="BB43" s="2465"/>
      <c r="BC43" s="2465"/>
      <c r="BD43" s="2465"/>
      <c r="BE43" s="2465"/>
      <c r="BF43" s="2465"/>
      <c r="BG43" s="2465"/>
      <c r="BH43" s="2465"/>
      <c r="BI43" s="2466"/>
      <c r="BJ43" s="2466"/>
      <c r="BK43" s="2466"/>
      <c r="BL43" s="2466"/>
      <c r="BM43" s="2466"/>
      <c r="BN43" s="2466"/>
      <c r="BO43" s="2466"/>
      <c r="BP43" s="2466"/>
      <c r="BQ43" s="2466"/>
      <c r="BR43" s="2466"/>
      <c r="BS43" s="2466"/>
      <c r="BT43" s="2466"/>
      <c r="BU43" s="2466"/>
      <c r="BV43" s="2466"/>
      <c r="BW43" s="2466"/>
      <c r="BX43" s="2466"/>
      <c r="BY43" s="2466"/>
      <c r="BZ43" s="2466"/>
      <c r="CA43" s="2466"/>
      <c r="CB43" s="2466"/>
      <c r="CC43" s="2466"/>
      <c r="CD43" s="2466"/>
      <c r="CE43" s="2466"/>
      <c r="CF43" s="2466"/>
      <c r="CG43" s="2466"/>
      <c r="CH43" s="2466"/>
      <c r="CI43" s="2466"/>
      <c r="CJ43" s="2466"/>
      <c r="CK43" s="2466"/>
      <c r="CL43" s="2466"/>
      <c r="CM43" s="2466"/>
      <c r="CN43" s="2466"/>
      <c r="CO43" s="2466"/>
      <c r="CP43" s="2466"/>
      <c r="CQ43" s="2466"/>
      <c r="CR43" s="2466"/>
      <c r="CS43" s="2466"/>
      <c r="CT43" s="2466"/>
      <c r="CU43" s="2466"/>
      <c r="CV43" s="2466"/>
      <c r="CW43" s="2466"/>
      <c r="CX43" s="2466"/>
      <c r="CY43" s="2466"/>
      <c r="CZ43" s="2466"/>
      <c r="DA43" s="2466"/>
      <c r="DB43" s="2466"/>
      <c r="DC43" s="2466"/>
      <c r="DD43" s="2466"/>
      <c r="DE43" s="2466"/>
      <c r="DF43" s="2466"/>
      <c r="DG43" s="2466"/>
      <c r="DH43" s="2466"/>
      <c r="DI43" s="2466"/>
      <c r="DJ43" s="2466"/>
      <c r="DK43" s="2466"/>
      <c r="DL43" s="2466"/>
      <c r="DM43" s="2466"/>
      <c r="DN43" s="2466"/>
      <c r="DO43" s="2466"/>
      <c r="DP43" s="2466"/>
      <c r="DQ43" s="2466"/>
      <c r="DR43" s="2466"/>
      <c r="DS43" s="2466"/>
      <c r="DT43" s="2466"/>
      <c r="DU43" s="2466"/>
      <c r="DV43" s="2466"/>
      <c r="DW43" s="2466"/>
      <c r="DX43" s="2466"/>
      <c r="DY43" s="2466"/>
      <c r="DZ43" s="2466"/>
      <c r="EA43" s="2466"/>
      <c r="EB43" s="2466"/>
      <c r="EC43" s="2466"/>
      <c r="ED43" s="2466"/>
      <c r="EE43" s="2466"/>
      <c r="EF43" s="2466"/>
      <c r="EG43" s="2466"/>
      <c r="EH43" s="2466"/>
      <c r="EI43" s="2466"/>
      <c r="EJ43" s="2466"/>
      <c r="EK43" s="2466"/>
      <c r="EL43" s="2466"/>
      <c r="EM43" s="2466"/>
      <c r="EN43" s="2466"/>
      <c r="EO43" s="2466"/>
      <c r="EP43" s="2466"/>
      <c r="EQ43" s="2466"/>
      <c r="ER43" s="2466"/>
      <c r="ES43" s="2466"/>
      <c r="ET43" s="2466"/>
      <c r="EU43" s="2466"/>
      <c r="EV43" s="2466"/>
      <c r="EW43" s="2466"/>
      <c r="EX43" s="2466"/>
      <c r="EY43" s="2466"/>
      <c r="EZ43" s="2466"/>
      <c r="FA43" s="2466"/>
      <c r="FB43" s="2466"/>
      <c r="FC43" s="2466"/>
      <c r="FD43" s="2466"/>
      <c r="FE43" s="2466"/>
      <c r="FF43" s="2466"/>
      <c r="FG43" s="2466"/>
      <c r="FH43" s="2466"/>
      <c r="FI43" s="2466"/>
      <c r="FJ43" s="2466"/>
      <c r="FK43" s="2466"/>
      <c r="FL43" s="2466"/>
      <c r="FM43" s="2466"/>
      <c r="FN43" s="2466"/>
      <c r="FO43" s="2466"/>
      <c r="FP43" s="2466"/>
      <c r="FQ43" s="2466"/>
      <c r="FR43" s="2466"/>
      <c r="FS43" s="2466"/>
      <c r="FT43" s="2466"/>
      <c r="FU43" s="2466"/>
      <c r="FV43" s="2466"/>
      <c r="FW43" s="2466"/>
      <c r="FX43" s="2466"/>
      <c r="FY43" s="2466"/>
      <c r="FZ43" s="2466"/>
      <c r="GA43" s="2466"/>
      <c r="GB43" s="2466"/>
      <c r="GC43" s="2466"/>
      <c r="GD43" s="2466"/>
      <c r="GE43" s="2466"/>
      <c r="GF43" s="2466"/>
      <c r="GG43" s="2466"/>
      <c r="GH43" s="2466"/>
      <c r="GI43" s="2466"/>
      <c r="GJ43" s="2466"/>
      <c r="GK43" s="2466"/>
      <c r="GL43" s="2466"/>
      <c r="GM43" s="2466"/>
      <c r="GN43" s="2466"/>
      <c r="GO43" s="2466"/>
      <c r="GP43" s="2466"/>
      <c r="GQ43" s="2466"/>
      <c r="GR43" s="2466"/>
      <c r="GS43" s="2466"/>
      <c r="GT43" s="2466"/>
      <c r="GU43" s="2466"/>
      <c r="GV43" s="2466"/>
      <c r="GW43" s="2466"/>
      <c r="GX43" s="2466"/>
      <c r="GY43" s="2466"/>
      <c r="GZ43" s="2466"/>
      <c r="HA43" s="2466"/>
      <c r="HB43" s="2466"/>
      <c r="HC43" s="2466"/>
      <c r="HD43" s="2466"/>
      <c r="HE43" s="2466"/>
      <c r="HF43" s="2466"/>
      <c r="HG43" s="2466"/>
      <c r="HH43" s="2466"/>
      <c r="HI43" s="2466"/>
      <c r="HJ43" s="2466"/>
      <c r="HK43" s="2466"/>
      <c r="HL43" s="2466"/>
      <c r="HM43" s="2466"/>
      <c r="HN43" s="2466"/>
      <c r="HO43" s="2466"/>
      <c r="HP43" s="2466"/>
      <c r="HQ43" s="2466"/>
      <c r="HR43" s="2466"/>
      <c r="HS43" s="2466"/>
      <c r="HT43" s="2466"/>
      <c r="HU43" s="2466"/>
      <c r="HV43" s="2466"/>
      <c r="HW43" s="2466"/>
      <c r="HX43" s="2466"/>
      <c r="HY43" s="2466"/>
      <c r="HZ43" s="2466"/>
      <c r="IA43" s="2466"/>
      <c r="IB43" s="2466"/>
      <c r="IC43" s="2466"/>
      <c r="ID43" s="2466"/>
      <c r="IE43" s="2466"/>
      <c r="IF43" s="2466"/>
      <c r="IG43" s="2466"/>
      <c r="IH43" s="2466"/>
      <c r="II43" s="2466"/>
      <c r="IJ43" s="2466"/>
      <c r="IK43" s="2466"/>
      <c r="IL43" s="2466"/>
      <c r="IM43" s="2466"/>
      <c r="IN43" s="2466"/>
      <c r="IO43" s="2466"/>
      <c r="IP43" s="2466"/>
      <c r="IQ43" s="2466"/>
      <c r="IR43" s="2466"/>
      <c r="IS43" s="2466"/>
      <c r="IT43" s="2466"/>
      <c r="IU43" s="2466"/>
      <c r="IV43" s="2466"/>
    </row>
    <row r="44" spans="1:256">
      <c r="A44" s="2471" t="s">
        <v>2074</v>
      </c>
      <c r="B44" s="2447"/>
      <c r="C44" s="2447"/>
      <c r="D44" s="2448"/>
      <c r="E44" s="2448"/>
      <c r="F44" s="2448"/>
      <c r="G44" s="2448"/>
      <c r="H44" s="2447"/>
      <c r="I44" s="2448"/>
      <c r="J44" s="2448"/>
      <c r="K44" s="2448"/>
      <c r="L44" s="2475" t="str">
        <f>IF(ISBLANK(B5)," ", AVERAGE(D5:D33,I4:I33,N4:N33,S4:S33,AC4:AC33))</f>
        <v xml:space="preserve"> </v>
      </c>
      <c r="M44" s="2447" t="s">
        <v>117</v>
      </c>
      <c r="N44" s="2447"/>
      <c r="O44" s="2469"/>
      <c r="P44" s="2465"/>
      <c r="Q44" s="2465"/>
      <c r="R44" s="2465"/>
      <c r="S44" s="2465"/>
      <c r="T44" s="2465"/>
      <c r="U44" s="2465"/>
      <c r="V44" s="2465"/>
      <c r="W44" s="2465"/>
      <c r="X44" s="2465"/>
      <c r="Y44" s="2465"/>
      <c r="Z44" s="2465"/>
      <c r="AA44" s="2465"/>
      <c r="AB44" s="2465"/>
      <c r="AC44" s="2465"/>
      <c r="AD44" s="2465"/>
      <c r="AE44" s="2465"/>
      <c r="AF44" s="2465"/>
      <c r="AG44" s="2465"/>
      <c r="AH44" s="2465"/>
      <c r="AI44" s="2465"/>
      <c r="AJ44" s="2465"/>
      <c r="AK44" s="2465"/>
      <c r="AL44" s="2465"/>
      <c r="AM44" s="2465"/>
      <c r="AN44" s="2465"/>
      <c r="AO44" s="2465"/>
      <c r="AP44" s="2465"/>
      <c r="AQ44" s="2465"/>
      <c r="AR44" s="2465"/>
      <c r="AS44" s="2465"/>
      <c r="AT44" s="2465"/>
      <c r="AU44" s="2465"/>
      <c r="AV44" s="2465"/>
      <c r="AW44" s="2465"/>
      <c r="AX44" s="2465"/>
      <c r="AY44" s="2465"/>
      <c r="AZ44" s="2465"/>
      <c r="BA44" s="2465"/>
      <c r="BB44" s="2465"/>
      <c r="BC44" s="2465"/>
      <c r="BD44" s="2465"/>
      <c r="BE44" s="2465"/>
      <c r="BF44" s="2465"/>
      <c r="BG44" s="2465"/>
      <c r="BH44" s="2465"/>
      <c r="BI44" s="2466"/>
      <c r="BJ44" s="2466"/>
      <c r="BK44" s="2466"/>
      <c r="BL44" s="2466"/>
      <c r="BM44" s="2466"/>
      <c r="BN44" s="2466"/>
      <c r="BO44" s="2466"/>
      <c r="BP44" s="2466"/>
      <c r="BQ44" s="2466"/>
      <c r="BR44" s="2466"/>
      <c r="BS44" s="2466"/>
      <c r="BT44" s="2466"/>
      <c r="BU44" s="2466"/>
      <c r="BV44" s="2466"/>
      <c r="BW44" s="2466"/>
      <c r="BX44" s="2466"/>
      <c r="BY44" s="2466"/>
      <c r="BZ44" s="2466"/>
      <c r="CA44" s="2466"/>
      <c r="CB44" s="2466"/>
      <c r="CC44" s="2466"/>
      <c r="CD44" s="2466"/>
      <c r="CE44" s="2466"/>
      <c r="CF44" s="2466"/>
      <c r="CG44" s="2466"/>
      <c r="CH44" s="2466"/>
      <c r="CI44" s="2466"/>
      <c r="CJ44" s="2466"/>
      <c r="CK44" s="2466"/>
      <c r="CL44" s="2466"/>
      <c r="CM44" s="2466"/>
      <c r="CN44" s="2466"/>
      <c r="CO44" s="2466"/>
      <c r="CP44" s="2466"/>
      <c r="CQ44" s="2466"/>
      <c r="CR44" s="2466"/>
      <c r="CS44" s="2466"/>
      <c r="CT44" s="2466"/>
      <c r="CU44" s="2466"/>
      <c r="CV44" s="2466"/>
      <c r="CW44" s="2466"/>
      <c r="CX44" s="2466"/>
      <c r="CY44" s="2466"/>
      <c r="CZ44" s="2466"/>
      <c r="DA44" s="2466"/>
      <c r="DB44" s="2466"/>
      <c r="DC44" s="2466"/>
      <c r="DD44" s="2466"/>
      <c r="DE44" s="2466"/>
      <c r="DF44" s="2466"/>
      <c r="DG44" s="2466"/>
      <c r="DH44" s="2466"/>
      <c r="DI44" s="2466"/>
      <c r="DJ44" s="2466"/>
      <c r="DK44" s="2466"/>
      <c r="DL44" s="2466"/>
      <c r="DM44" s="2466"/>
      <c r="DN44" s="2466"/>
      <c r="DO44" s="2466"/>
      <c r="DP44" s="2466"/>
      <c r="DQ44" s="2466"/>
      <c r="DR44" s="2466"/>
      <c r="DS44" s="2466"/>
      <c r="DT44" s="2466"/>
      <c r="DU44" s="2466"/>
      <c r="DV44" s="2466"/>
      <c r="DW44" s="2466"/>
      <c r="DX44" s="2466"/>
      <c r="DY44" s="2466"/>
      <c r="DZ44" s="2466"/>
      <c r="EA44" s="2466"/>
      <c r="EB44" s="2466"/>
      <c r="EC44" s="2466"/>
      <c r="ED44" s="2466"/>
      <c r="EE44" s="2466"/>
      <c r="EF44" s="2466"/>
      <c r="EG44" s="2466"/>
      <c r="EH44" s="2466"/>
      <c r="EI44" s="2466"/>
      <c r="EJ44" s="2466"/>
      <c r="EK44" s="2466"/>
      <c r="EL44" s="2466"/>
      <c r="EM44" s="2466"/>
      <c r="EN44" s="2466"/>
      <c r="EO44" s="2466"/>
      <c r="EP44" s="2466"/>
      <c r="EQ44" s="2466"/>
      <c r="ER44" s="2466"/>
      <c r="ES44" s="2466"/>
      <c r="ET44" s="2466"/>
      <c r="EU44" s="2466"/>
      <c r="EV44" s="2466"/>
      <c r="EW44" s="2466"/>
      <c r="EX44" s="2466"/>
      <c r="EY44" s="2466"/>
      <c r="EZ44" s="2466"/>
      <c r="FA44" s="2466"/>
      <c r="FB44" s="2466"/>
      <c r="FC44" s="2466"/>
      <c r="FD44" s="2466"/>
      <c r="FE44" s="2466"/>
      <c r="FF44" s="2466"/>
      <c r="FG44" s="2466"/>
      <c r="FH44" s="2466"/>
      <c r="FI44" s="2466"/>
      <c r="FJ44" s="2466"/>
      <c r="FK44" s="2466"/>
      <c r="FL44" s="2466"/>
      <c r="FM44" s="2466"/>
      <c r="FN44" s="2466"/>
      <c r="FO44" s="2466"/>
      <c r="FP44" s="2466"/>
      <c r="FQ44" s="2466"/>
      <c r="FR44" s="2466"/>
      <c r="FS44" s="2466"/>
      <c r="FT44" s="2466"/>
      <c r="FU44" s="2466"/>
      <c r="FV44" s="2466"/>
      <c r="FW44" s="2466"/>
      <c r="FX44" s="2466"/>
      <c r="FY44" s="2466"/>
      <c r="FZ44" s="2466"/>
      <c r="GA44" s="2466"/>
      <c r="GB44" s="2466"/>
      <c r="GC44" s="2466"/>
      <c r="GD44" s="2466"/>
      <c r="GE44" s="2466"/>
      <c r="GF44" s="2466"/>
      <c r="GG44" s="2466"/>
      <c r="GH44" s="2466"/>
      <c r="GI44" s="2466"/>
      <c r="GJ44" s="2466"/>
      <c r="GK44" s="2466"/>
      <c r="GL44" s="2466"/>
      <c r="GM44" s="2466"/>
      <c r="GN44" s="2466"/>
      <c r="GO44" s="2466"/>
      <c r="GP44" s="2466"/>
      <c r="GQ44" s="2466"/>
      <c r="GR44" s="2466"/>
      <c r="GS44" s="2466"/>
      <c r="GT44" s="2466"/>
      <c r="GU44" s="2466"/>
      <c r="GV44" s="2466"/>
      <c r="GW44" s="2466"/>
      <c r="GX44" s="2466"/>
      <c r="GY44" s="2466"/>
      <c r="GZ44" s="2466"/>
      <c r="HA44" s="2466"/>
      <c r="HB44" s="2466"/>
      <c r="HC44" s="2466"/>
      <c r="HD44" s="2466"/>
      <c r="HE44" s="2466"/>
      <c r="HF44" s="2466"/>
      <c r="HG44" s="2466"/>
      <c r="HH44" s="2466"/>
      <c r="HI44" s="2466"/>
      <c r="HJ44" s="2466"/>
      <c r="HK44" s="2466"/>
      <c r="HL44" s="2466"/>
      <c r="HM44" s="2466"/>
      <c r="HN44" s="2466"/>
      <c r="HO44" s="2466"/>
      <c r="HP44" s="2466"/>
      <c r="HQ44" s="2466"/>
      <c r="HR44" s="2466"/>
      <c r="HS44" s="2466"/>
      <c r="HT44" s="2466"/>
      <c r="HU44" s="2466"/>
      <c r="HV44" s="2466"/>
      <c r="HW44" s="2466"/>
      <c r="HX44" s="2466"/>
      <c r="HY44" s="2466"/>
      <c r="HZ44" s="2466"/>
      <c r="IA44" s="2466"/>
      <c r="IB44" s="2466"/>
      <c r="IC44" s="2466"/>
      <c r="ID44" s="2466"/>
      <c r="IE44" s="2466"/>
      <c r="IF44" s="2466"/>
      <c r="IG44" s="2466"/>
      <c r="IH44" s="2466"/>
      <c r="II44" s="2466"/>
      <c r="IJ44" s="2466"/>
      <c r="IK44" s="2466"/>
      <c r="IL44" s="2466"/>
      <c r="IM44" s="2466"/>
      <c r="IN44" s="2466"/>
      <c r="IO44" s="2466"/>
      <c r="IP44" s="2466"/>
      <c r="IQ44" s="2466"/>
      <c r="IR44" s="2466"/>
      <c r="IS44" s="2466"/>
      <c r="IT44" s="2466"/>
      <c r="IU44" s="2466"/>
      <c r="IV44" s="2466"/>
    </row>
    <row r="45" spans="1:256" ht="3" customHeight="1">
      <c r="A45" s="2476"/>
      <c r="B45" s="2477"/>
      <c r="C45" s="2478"/>
      <c r="D45" s="2479"/>
      <c r="E45" s="2479"/>
      <c r="F45" s="2479"/>
      <c r="G45" s="2479"/>
      <c r="H45" s="2478"/>
      <c r="I45" s="2478"/>
      <c r="J45" s="2478"/>
      <c r="K45" s="2478"/>
      <c r="L45" s="2478"/>
      <c r="M45" s="2478"/>
      <c r="N45" s="2478"/>
      <c r="O45" s="2480"/>
      <c r="P45" s="2465"/>
      <c r="Q45" s="2465"/>
      <c r="R45" s="2465"/>
      <c r="S45" s="2465"/>
      <c r="T45" s="2465"/>
      <c r="U45" s="2465"/>
      <c r="V45" s="2465"/>
      <c r="W45" s="2465"/>
      <c r="X45" s="2465"/>
      <c r="Y45" s="2465"/>
      <c r="Z45" s="2465"/>
      <c r="AA45" s="2465"/>
      <c r="AB45" s="2465"/>
      <c r="AC45" s="2465"/>
      <c r="AD45" s="2465"/>
      <c r="AE45" s="2465"/>
      <c r="AF45" s="2465"/>
      <c r="AG45" s="2465"/>
      <c r="AH45" s="2465"/>
      <c r="AI45" s="2465"/>
      <c r="AJ45" s="2465"/>
      <c r="AK45" s="2465"/>
      <c r="AL45" s="2465"/>
      <c r="AM45" s="2465"/>
      <c r="AN45" s="2465"/>
      <c r="AO45" s="2465"/>
      <c r="AP45" s="2465"/>
      <c r="AQ45" s="2465"/>
      <c r="AR45" s="2465"/>
      <c r="AS45" s="2465"/>
      <c r="AT45" s="2465"/>
      <c r="AU45" s="2465"/>
      <c r="AV45" s="2465"/>
      <c r="AW45" s="2465"/>
      <c r="AX45" s="2465"/>
      <c r="AY45" s="2465"/>
      <c r="AZ45" s="2465"/>
      <c r="BA45" s="2465"/>
      <c r="BB45" s="2465"/>
      <c r="BC45" s="2465"/>
      <c r="BD45" s="2465"/>
      <c r="BE45" s="2465"/>
      <c r="BF45" s="2465"/>
      <c r="BG45" s="2465"/>
      <c r="BH45" s="2465"/>
      <c r="BI45" s="2466"/>
      <c r="BJ45" s="2466"/>
      <c r="BK45" s="2466"/>
      <c r="BL45" s="2466"/>
      <c r="BM45" s="2466"/>
      <c r="BN45" s="2466"/>
      <c r="BO45" s="2466"/>
      <c r="BP45" s="2466"/>
      <c r="BQ45" s="2466"/>
      <c r="BR45" s="2466"/>
      <c r="BS45" s="2466"/>
      <c r="BT45" s="2466"/>
      <c r="BU45" s="2466"/>
      <c r="BV45" s="2466"/>
      <c r="BW45" s="2466"/>
      <c r="BX45" s="2466"/>
      <c r="BY45" s="2466"/>
      <c r="BZ45" s="2466"/>
      <c r="CA45" s="2466"/>
      <c r="CB45" s="2466"/>
      <c r="CC45" s="2466"/>
      <c r="CD45" s="2466"/>
      <c r="CE45" s="2466"/>
      <c r="CF45" s="2466"/>
      <c r="CG45" s="2466"/>
      <c r="CH45" s="2466"/>
      <c r="CI45" s="2466"/>
      <c r="CJ45" s="2466"/>
      <c r="CK45" s="2466"/>
      <c r="CL45" s="2466"/>
      <c r="CM45" s="2466"/>
      <c r="CN45" s="2466"/>
      <c r="CO45" s="2466"/>
      <c r="CP45" s="2466"/>
      <c r="CQ45" s="2466"/>
      <c r="CR45" s="2466"/>
      <c r="CS45" s="2466"/>
      <c r="CT45" s="2466"/>
      <c r="CU45" s="2466"/>
      <c r="CV45" s="2466"/>
      <c r="CW45" s="2466"/>
      <c r="CX45" s="2466"/>
      <c r="CY45" s="2466"/>
      <c r="CZ45" s="2466"/>
      <c r="DA45" s="2466"/>
      <c r="DB45" s="2466"/>
      <c r="DC45" s="2466"/>
      <c r="DD45" s="2466"/>
      <c r="DE45" s="2466"/>
      <c r="DF45" s="2466"/>
      <c r="DG45" s="2466"/>
      <c r="DH45" s="2466"/>
      <c r="DI45" s="2466"/>
      <c r="DJ45" s="2466"/>
      <c r="DK45" s="2466"/>
      <c r="DL45" s="2466"/>
      <c r="DM45" s="2466"/>
      <c r="DN45" s="2466"/>
      <c r="DO45" s="2466"/>
      <c r="DP45" s="2466"/>
      <c r="DQ45" s="2466"/>
      <c r="DR45" s="2466"/>
      <c r="DS45" s="2466"/>
      <c r="DT45" s="2466"/>
      <c r="DU45" s="2466"/>
      <c r="DV45" s="2466"/>
      <c r="DW45" s="2466"/>
      <c r="DX45" s="2466"/>
      <c r="DY45" s="2466"/>
      <c r="DZ45" s="2466"/>
      <c r="EA45" s="2466"/>
      <c r="EB45" s="2466"/>
      <c r="EC45" s="2466"/>
      <c r="ED45" s="2466"/>
      <c r="EE45" s="2466"/>
      <c r="EF45" s="2466"/>
      <c r="EG45" s="2466"/>
      <c r="EH45" s="2466"/>
      <c r="EI45" s="2466"/>
      <c r="EJ45" s="2466"/>
      <c r="EK45" s="2466"/>
      <c r="EL45" s="2466"/>
      <c r="EM45" s="2466"/>
      <c r="EN45" s="2466"/>
      <c r="EO45" s="2466"/>
      <c r="EP45" s="2466"/>
      <c r="EQ45" s="2466"/>
      <c r="ER45" s="2466"/>
      <c r="ES45" s="2466"/>
      <c r="ET45" s="2466"/>
      <c r="EU45" s="2466"/>
      <c r="EV45" s="2466"/>
      <c r="EW45" s="2466"/>
      <c r="EX45" s="2466"/>
      <c r="EY45" s="2466"/>
      <c r="EZ45" s="2466"/>
      <c r="FA45" s="2466"/>
      <c r="FB45" s="2466"/>
      <c r="FC45" s="2466"/>
      <c r="FD45" s="2466"/>
      <c r="FE45" s="2466"/>
      <c r="FF45" s="2466"/>
      <c r="FG45" s="2466"/>
      <c r="FH45" s="2466"/>
      <c r="FI45" s="2466"/>
      <c r="FJ45" s="2466"/>
      <c r="FK45" s="2466"/>
      <c r="FL45" s="2466"/>
      <c r="FM45" s="2466"/>
      <c r="FN45" s="2466"/>
      <c r="FO45" s="2466"/>
      <c r="FP45" s="2466"/>
      <c r="FQ45" s="2466"/>
      <c r="FR45" s="2466"/>
      <c r="FS45" s="2466"/>
      <c r="FT45" s="2466"/>
      <c r="FU45" s="2466"/>
      <c r="FV45" s="2466"/>
      <c r="FW45" s="2466"/>
      <c r="FX45" s="2466"/>
      <c r="FY45" s="2466"/>
      <c r="FZ45" s="2466"/>
      <c r="GA45" s="2466"/>
      <c r="GB45" s="2466"/>
      <c r="GC45" s="2466"/>
      <c r="GD45" s="2466"/>
      <c r="GE45" s="2466"/>
      <c r="GF45" s="2466"/>
      <c r="GG45" s="2466"/>
      <c r="GH45" s="2466"/>
      <c r="GI45" s="2466"/>
      <c r="GJ45" s="2466"/>
      <c r="GK45" s="2466"/>
      <c r="GL45" s="2466"/>
      <c r="GM45" s="2466"/>
      <c r="GN45" s="2466"/>
      <c r="GO45" s="2466"/>
      <c r="GP45" s="2466"/>
      <c r="GQ45" s="2466"/>
      <c r="GR45" s="2466"/>
      <c r="GS45" s="2466"/>
      <c r="GT45" s="2466"/>
      <c r="GU45" s="2466"/>
      <c r="GV45" s="2466"/>
      <c r="GW45" s="2466"/>
      <c r="GX45" s="2466"/>
      <c r="GY45" s="2466"/>
      <c r="GZ45" s="2466"/>
      <c r="HA45" s="2466"/>
      <c r="HB45" s="2466"/>
      <c r="HC45" s="2466"/>
      <c r="HD45" s="2466"/>
      <c r="HE45" s="2466"/>
      <c r="HF45" s="2466"/>
      <c r="HG45" s="2466"/>
      <c r="HH45" s="2466"/>
      <c r="HI45" s="2466"/>
      <c r="HJ45" s="2466"/>
      <c r="HK45" s="2466"/>
      <c r="HL45" s="2466"/>
      <c r="HM45" s="2466"/>
      <c r="HN45" s="2466"/>
      <c r="HO45" s="2466"/>
      <c r="HP45" s="2466"/>
      <c r="HQ45" s="2466"/>
      <c r="HR45" s="2466"/>
      <c r="HS45" s="2466"/>
      <c r="HT45" s="2466"/>
      <c r="HU45" s="2466"/>
      <c r="HV45" s="2466"/>
      <c r="HW45" s="2466"/>
      <c r="HX45" s="2466"/>
      <c r="HY45" s="2466"/>
      <c r="HZ45" s="2466"/>
      <c r="IA45" s="2466"/>
      <c r="IB45" s="2466"/>
      <c r="IC45" s="2466"/>
      <c r="ID45" s="2466"/>
      <c r="IE45" s="2466"/>
      <c r="IF45" s="2466"/>
      <c r="IG45" s="2466"/>
      <c r="IH45" s="2466"/>
      <c r="II45" s="2466"/>
      <c r="IJ45" s="2466"/>
      <c r="IK45" s="2466"/>
      <c r="IL45" s="2466"/>
      <c r="IM45" s="2466"/>
      <c r="IN45" s="2466"/>
      <c r="IO45" s="2466"/>
      <c r="IP45" s="2466"/>
      <c r="IQ45" s="2466"/>
      <c r="IR45" s="2466"/>
      <c r="IS45" s="2466"/>
      <c r="IT45" s="2466"/>
      <c r="IU45" s="2466"/>
      <c r="IV45" s="2466"/>
    </row>
    <row r="46" spans="1:256">
      <c r="A46" s="2465"/>
      <c r="B46" s="2465"/>
      <c r="C46" s="2465"/>
      <c r="D46" s="2465"/>
      <c r="E46" s="2465"/>
      <c r="F46" s="2465"/>
      <c r="G46" s="2465"/>
      <c r="H46" s="2465"/>
      <c r="I46" s="2465"/>
      <c r="J46" s="2465"/>
      <c r="K46" s="2465"/>
      <c r="L46" s="2465"/>
      <c r="M46" s="2465"/>
      <c r="N46" s="2465"/>
      <c r="O46" s="2465"/>
      <c r="P46" s="2465"/>
      <c r="Q46" s="2465"/>
      <c r="R46" s="2465"/>
      <c r="S46" s="2465"/>
      <c r="T46" s="2465"/>
      <c r="U46" s="2465"/>
      <c r="V46" s="2465"/>
      <c r="W46" s="2465"/>
      <c r="X46" s="2465"/>
      <c r="Y46" s="2465"/>
      <c r="Z46" s="2465"/>
      <c r="AA46" s="2465"/>
      <c r="AB46" s="2465"/>
      <c r="AC46" s="2465"/>
      <c r="AD46" s="2465"/>
      <c r="AE46" s="2465"/>
      <c r="AF46" s="2465"/>
      <c r="AG46" s="2465"/>
      <c r="AH46" s="2465"/>
      <c r="AI46" s="2465"/>
      <c r="AJ46" s="2465"/>
      <c r="AK46" s="2465"/>
      <c r="AL46" s="2465"/>
      <c r="AM46" s="2465"/>
      <c r="AN46" s="2465"/>
      <c r="AO46" s="2465"/>
      <c r="AP46" s="2465"/>
      <c r="AQ46" s="2465"/>
      <c r="AR46" s="2465"/>
      <c r="AS46" s="2465"/>
      <c r="AT46" s="2465"/>
      <c r="AU46" s="2465"/>
      <c r="AV46" s="2465"/>
      <c r="AW46" s="2465"/>
      <c r="AX46" s="2465"/>
      <c r="AY46" s="2465"/>
      <c r="AZ46" s="2465"/>
      <c r="BA46" s="2465"/>
      <c r="BB46" s="2465"/>
      <c r="BC46" s="2465"/>
      <c r="BD46" s="2465"/>
      <c r="BE46" s="2465"/>
      <c r="BF46" s="2465"/>
      <c r="BG46" s="2465"/>
      <c r="BH46" s="2465"/>
      <c r="BI46" s="2466"/>
      <c r="BJ46" s="2466"/>
      <c r="BK46" s="2466"/>
      <c r="BL46" s="2466"/>
      <c r="BM46" s="2466"/>
      <c r="BN46" s="2466"/>
      <c r="BO46" s="2466"/>
      <c r="BP46" s="2466"/>
      <c r="BQ46" s="2466"/>
      <c r="BR46" s="2466"/>
      <c r="BS46" s="2466"/>
      <c r="BT46" s="2466"/>
      <c r="BU46" s="2466"/>
      <c r="BV46" s="2466"/>
      <c r="BW46" s="2466"/>
      <c r="BX46" s="2466"/>
      <c r="BY46" s="2466"/>
      <c r="BZ46" s="2466"/>
      <c r="CA46" s="2466"/>
      <c r="CB46" s="2466"/>
      <c r="CC46" s="2466"/>
      <c r="CD46" s="2466"/>
      <c r="CE46" s="2466"/>
      <c r="CF46" s="2466"/>
      <c r="CG46" s="2466"/>
      <c r="CH46" s="2466"/>
      <c r="CI46" s="2466"/>
      <c r="CJ46" s="2466"/>
      <c r="CK46" s="2466"/>
      <c r="CL46" s="2466"/>
      <c r="CM46" s="2466"/>
      <c r="CN46" s="2466"/>
      <c r="CO46" s="2466"/>
      <c r="CP46" s="2466"/>
      <c r="CQ46" s="2466"/>
      <c r="CR46" s="2466"/>
      <c r="CS46" s="2466"/>
      <c r="CT46" s="2466"/>
      <c r="CU46" s="2466"/>
      <c r="CV46" s="2466"/>
      <c r="CW46" s="2466"/>
      <c r="CX46" s="2466"/>
      <c r="CY46" s="2466"/>
      <c r="CZ46" s="2466"/>
      <c r="DA46" s="2466"/>
      <c r="DB46" s="2466"/>
      <c r="DC46" s="2466"/>
      <c r="DD46" s="2466"/>
      <c r="DE46" s="2466"/>
      <c r="DF46" s="2466"/>
      <c r="DG46" s="2466"/>
      <c r="DH46" s="2466"/>
      <c r="DI46" s="2466"/>
      <c r="DJ46" s="2466"/>
      <c r="DK46" s="2466"/>
      <c r="DL46" s="2466"/>
      <c r="DM46" s="2466"/>
      <c r="DN46" s="2466"/>
      <c r="DO46" s="2466"/>
      <c r="DP46" s="2466"/>
      <c r="DQ46" s="2466"/>
      <c r="DR46" s="2466"/>
      <c r="DS46" s="2466"/>
      <c r="DT46" s="2466"/>
      <c r="DU46" s="2466"/>
      <c r="DV46" s="2466"/>
      <c r="DW46" s="2466"/>
      <c r="DX46" s="2466"/>
      <c r="DY46" s="2466"/>
      <c r="DZ46" s="2466"/>
      <c r="EA46" s="2466"/>
      <c r="EB46" s="2466"/>
      <c r="EC46" s="2466"/>
      <c r="ED46" s="2466"/>
      <c r="EE46" s="2466"/>
      <c r="EF46" s="2466"/>
      <c r="EG46" s="2466"/>
      <c r="EH46" s="2466"/>
      <c r="EI46" s="2466"/>
      <c r="EJ46" s="2466"/>
      <c r="EK46" s="2466"/>
      <c r="EL46" s="2466"/>
      <c r="EM46" s="2466"/>
      <c r="EN46" s="2466"/>
      <c r="EO46" s="2466"/>
      <c r="EP46" s="2466"/>
      <c r="EQ46" s="2466"/>
      <c r="ER46" s="2466"/>
      <c r="ES46" s="2466"/>
      <c r="ET46" s="2466"/>
      <c r="EU46" s="2466"/>
      <c r="EV46" s="2466"/>
      <c r="EW46" s="2466"/>
      <c r="EX46" s="2466"/>
      <c r="EY46" s="2466"/>
      <c r="EZ46" s="2466"/>
      <c r="FA46" s="2466"/>
      <c r="FB46" s="2466"/>
      <c r="FC46" s="2466"/>
      <c r="FD46" s="2466"/>
      <c r="FE46" s="2466"/>
      <c r="FF46" s="2466"/>
      <c r="FG46" s="2466"/>
      <c r="FH46" s="2466"/>
      <c r="FI46" s="2466"/>
      <c r="FJ46" s="2466"/>
      <c r="FK46" s="2466"/>
      <c r="FL46" s="2466"/>
      <c r="FM46" s="2466"/>
      <c r="FN46" s="2466"/>
      <c r="FO46" s="2466"/>
      <c r="FP46" s="2466"/>
      <c r="FQ46" s="2466"/>
      <c r="FR46" s="2466"/>
      <c r="FS46" s="2466"/>
      <c r="FT46" s="2466"/>
      <c r="FU46" s="2466"/>
      <c r="FV46" s="2466"/>
      <c r="FW46" s="2466"/>
      <c r="FX46" s="2466"/>
      <c r="FY46" s="2466"/>
      <c r="FZ46" s="2466"/>
      <c r="GA46" s="2466"/>
      <c r="GB46" s="2466"/>
      <c r="GC46" s="2466"/>
      <c r="GD46" s="2466"/>
      <c r="GE46" s="2466"/>
      <c r="GF46" s="2466"/>
      <c r="GG46" s="2466"/>
      <c r="GH46" s="2466"/>
      <c r="GI46" s="2466"/>
      <c r="GJ46" s="2466"/>
      <c r="GK46" s="2466"/>
      <c r="GL46" s="2466"/>
      <c r="GM46" s="2466"/>
      <c r="GN46" s="2466"/>
      <c r="GO46" s="2466"/>
      <c r="GP46" s="2466"/>
      <c r="GQ46" s="2466"/>
      <c r="GR46" s="2466"/>
      <c r="GS46" s="2466"/>
      <c r="GT46" s="2466"/>
      <c r="GU46" s="2466"/>
      <c r="GV46" s="2466"/>
      <c r="GW46" s="2466"/>
      <c r="GX46" s="2466"/>
      <c r="GY46" s="2466"/>
      <c r="GZ46" s="2466"/>
      <c r="HA46" s="2466"/>
      <c r="HB46" s="2466"/>
      <c r="HC46" s="2466"/>
      <c r="HD46" s="2466"/>
      <c r="HE46" s="2466"/>
      <c r="HF46" s="2466"/>
      <c r="HG46" s="2466"/>
      <c r="HH46" s="2466"/>
      <c r="HI46" s="2466"/>
      <c r="HJ46" s="2466"/>
      <c r="HK46" s="2466"/>
      <c r="HL46" s="2466"/>
      <c r="HM46" s="2466"/>
      <c r="HN46" s="2466"/>
      <c r="HO46" s="2466"/>
      <c r="HP46" s="2466"/>
      <c r="HQ46" s="2466"/>
      <c r="HR46" s="2466"/>
      <c r="HS46" s="2466"/>
      <c r="HT46" s="2466"/>
      <c r="HU46" s="2466"/>
      <c r="HV46" s="2466"/>
      <c r="HW46" s="2466"/>
      <c r="HX46" s="2466"/>
      <c r="HY46" s="2466"/>
      <c r="HZ46" s="2466"/>
      <c r="IA46" s="2466"/>
      <c r="IB46" s="2466"/>
      <c r="IC46" s="2466"/>
      <c r="ID46" s="2466"/>
      <c r="IE46" s="2466"/>
      <c r="IF46" s="2466"/>
      <c r="IG46" s="2466"/>
      <c r="IH46" s="2466"/>
      <c r="II46" s="2466"/>
      <c r="IJ46" s="2466"/>
      <c r="IK46" s="2466"/>
      <c r="IL46" s="2466"/>
      <c r="IM46" s="2466"/>
      <c r="IN46" s="2466"/>
      <c r="IO46" s="2466"/>
      <c r="IP46" s="2466"/>
      <c r="IQ46" s="2466"/>
      <c r="IR46" s="2466"/>
      <c r="IS46" s="2466"/>
      <c r="IT46" s="2466"/>
      <c r="IU46" s="2466"/>
      <c r="IV46" s="2466"/>
    </row>
    <row r="47" spans="1:256" ht="9" customHeight="1">
      <c r="A47" s="2465"/>
      <c r="B47" s="2465"/>
      <c r="C47" s="2465"/>
      <c r="D47" s="2465"/>
      <c r="E47" s="2465"/>
      <c r="F47" s="2465"/>
      <c r="G47" s="2465"/>
      <c r="H47" s="2465"/>
      <c r="I47" s="2465"/>
      <c r="J47" s="2465"/>
      <c r="K47" s="2465"/>
      <c r="L47" s="2465"/>
      <c r="M47" s="2465"/>
      <c r="N47" s="2465"/>
      <c r="O47" s="2465"/>
      <c r="P47" s="2465"/>
      <c r="Q47" s="2465"/>
      <c r="R47" s="2465"/>
      <c r="S47" s="2465"/>
      <c r="T47" s="2465"/>
      <c r="U47" s="2465"/>
      <c r="V47" s="2465"/>
      <c r="W47" s="2465"/>
      <c r="X47" s="2465"/>
      <c r="Y47" s="2465"/>
      <c r="Z47" s="2465"/>
      <c r="AA47" s="2465"/>
      <c r="AB47" s="2465"/>
      <c r="AC47" s="2465"/>
      <c r="AD47" s="2465"/>
      <c r="AE47" s="2465"/>
      <c r="AF47" s="2465"/>
      <c r="AG47" s="2465"/>
      <c r="AH47" s="2465"/>
      <c r="AI47" s="2465"/>
      <c r="AJ47" s="2465"/>
      <c r="AK47" s="2465"/>
      <c r="AL47" s="2465"/>
      <c r="AM47" s="2465"/>
      <c r="AN47" s="2465"/>
      <c r="AO47" s="2465"/>
      <c r="AP47" s="2465"/>
      <c r="AQ47" s="2465"/>
      <c r="AR47" s="2465"/>
      <c r="AS47" s="2465"/>
      <c r="AT47" s="2465"/>
      <c r="AU47" s="2465"/>
      <c r="AV47" s="2465"/>
      <c r="AW47" s="2465"/>
      <c r="AX47" s="2465"/>
      <c r="AY47" s="2465"/>
      <c r="AZ47" s="2465"/>
      <c r="BA47" s="2465"/>
      <c r="BB47" s="2465"/>
      <c r="BC47" s="2465"/>
      <c r="BD47" s="2465"/>
      <c r="BE47" s="2465"/>
      <c r="BF47" s="2465"/>
      <c r="BG47" s="2465"/>
      <c r="BH47" s="2465"/>
      <c r="BI47" s="2466"/>
      <c r="BJ47" s="2466"/>
      <c r="BK47" s="2466"/>
      <c r="BL47" s="2466"/>
      <c r="BM47" s="2466"/>
      <c r="BN47" s="2466"/>
      <c r="BO47" s="2466"/>
      <c r="BP47" s="2466"/>
      <c r="BQ47" s="2466"/>
      <c r="BR47" s="2466"/>
      <c r="BS47" s="2466"/>
      <c r="BT47" s="2466"/>
      <c r="BU47" s="2466"/>
      <c r="BV47" s="2466"/>
      <c r="BW47" s="2466"/>
      <c r="BX47" s="2466"/>
      <c r="BY47" s="2466"/>
      <c r="BZ47" s="2466"/>
      <c r="CA47" s="2466"/>
      <c r="CB47" s="2466"/>
      <c r="CC47" s="2466"/>
      <c r="CD47" s="2466"/>
      <c r="CE47" s="2466"/>
      <c r="CF47" s="2466"/>
      <c r="CG47" s="2466"/>
      <c r="CH47" s="2466"/>
      <c r="CI47" s="2466"/>
      <c r="CJ47" s="2466"/>
      <c r="CK47" s="2466"/>
      <c r="CL47" s="2466"/>
      <c r="CM47" s="2466"/>
      <c r="CN47" s="2466"/>
      <c r="CO47" s="2466"/>
      <c r="CP47" s="2466"/>
      <c r="CQ47" s="2466"/>
      <c r="CR47" s="2466"/>
      <c r="CS47" s="2466"/>
      <c r="CT47" s="2466"/>
      <c r="CU47" s="2466"/>
      <c r="CV47" s="2466"/>
      <c r="CW47" s="2466"/>
      <c r="CX47" s="2466"/>
      <c r="CY47" s="2466"/>
      <c r="CZ47" s="2466"/>
      <c r="DA47" s="2466"/>
      <c r="DB47" s="2466"/>
      <c r="DC47" s="2466"/>
      <c r="DD47" s="2466"/>
      <c r="DE47" s="2466"/>
      <c r="DF47" s="2466"/>
      <c r="DG47" s="2466"/>
      <c r="DH47" s="2466"/>
      <c r="DI47" s="2466"/>
      <c r="DJ47" s="2466"/>
      <c r="DK47" s="2466"/>
      <c r="DL47" s="2466"/>
      <c r="DM47" s="2466"/>
      <c r="DN47" s="2466"/>
      <c r="DO47" s="2466"/>
      <c r="DP47" s="2466"/>
      <c r="DQ47" s="2466"/>
      <c r="DR47" s="2466"/>
      <c r="DS47" s="2466"/>
      <c r="DT47" s="2466"/>
      <c r="DU47" s="2466"/>
      <c r="DV47" s="2466"/>
      <c r="DW47" s="2466"/>
      <c r="DX47" s="2466"/>
      <c r="DY47" s="2466"/>
      <c r="DZ47" s="2466"/>
      <c r="EA47" s="2466"/>
      <c r="EB47" s="2466"/>
      <c r="EC47" s="2466"/>
      <c r="ED47" s="2466"/>
      <c r="EE47" s="2466"/>
      <c r="EF47" s="2466"/>
      <c r="EG47" s="2466"/>
      <c r="EH47" s="2466"/>
      <c r="EI47" s="2466"/>
      <c r="EJ47" s="2466"/>
      <c r="EK47" s="2466"/>
      <c r="EL47" s="2466"/>
      <c r="EM47" s="2466"/>
      <c r="EN47" s="2466"/>
      <c r="EO47" s="2466"/>
      <c r="EP47" s="2466"/>
      <c r="EQ47" s="2466"/>
      <c r="ER47" s="2466"/>
      <c r="ES47" s="2466"/>
      <c r="ET47" s="2466"/>
      <c r="EU47" s="2466"/>
      <c r="EV47" s="2466"/>
      <c r="EW47" s="2466"/>
      <c r="EX47" s="2466"/>
      <c r="EY47" s="2466"/>
      <c r="EZ47" s="2466"/>
      <c r="FA47" s="2466"/>
      <c r="FB47" s="2466"/>
      <c r="FC47" s="2466"/>
      <c r="FD47" s="2466"/>
      <c r="FE47" s="2466"/>
      <c r="FF47" s="2466"/>
      <c r="FG47" s="2466"/>
      <c r="FH47" s="2466"/>
      <c r="FI47" s="2466"/>
      <c r="FJ47" s="2466"/>
      <c r="FK47" s="2466"/>
      <c r="FL47" s="2466"/>
      <c r="FM47" s="2466"/>
      <c r="FN47" s="2466"/>
      <c r="FO47" s="2466"/>
      <c r="FP47" s="2466"/>
      <c r="FQ47" s="2466"/>
      <c r="FR47" s="2466"/>
      <c r="FS47" s="2466"/>
      <c r="FT47" s="2466"/>
      <c r="FU47" s="2466"/>
      <c r="FV47" s="2466"/>
      <c r="FW47" s="2466"/>
      <c r="FX47" s="2466"/>
      <c r="FY47" s="2466"/>
      <c r="FZ47" s="2466"/>
      <c r="GA47" s="2466"/>
      <c r="GB47" s="2466"/>
      <c r="GC47" s="2466"/>
      <c r="GD47" s="2466"/>
      <c r="GE47" s="2466"/>
      <c r="GF47" s="2466"/>
      <c r="GG47" s="2466"/>
      <c r="GH47" s="2466"/>
      <c r="GI47" s="2466"/>
      <c r="GJ47" s="2466"/>
      <c r="GK47" s="2466"/>
      <c r="GL47" s="2466"/>
      <c r="GM47" s="2466"/>
      <c r="GN47" s="2466"/>
      <c r="GO47" s="2466"/>
      <c r="GP47" s="2466"/>
      <c r="GQ47" s="2466"/>
      <c r="GR47" s="2466"/>
      <c r="GS47" s="2466"/>
      <c r="GT47" s="2466"/>
      <c r="GU47" s="2466"/>
      <c r="GV47" s="2466"/>
      <c r="GW47" s="2466"/>
      <c r="GX47" s="2466"/>
      <c r="GY47" s="2466"/>
      <c r="GZ47" s="2466"/>
      <c r="HA47" s="2466"/>
      <c r="HB47" s="2466"/>
      <c r="HC47" s="2466"/>
      <c r="HD47" s="2466"/>
      <c r="HE47" s="2466"/>
      <c r="HF47" s="2466"/>
      <c r="HG47" s="2466"/>
      <c r="HH47" s="2466"/>
      <c r="HI47" s="2466"/>
      <c r="HJ47" s="2466"/>
      <c r="HK47" s="2466"/>
      <c r="HL47" s="2466"/>
      <c r="HM47" s="2466"/>
      <c r="HN47" s="2466"/>
      <c r="HO47" s="2466"/>
      <c r="HP47" s="2466"/>
      <c r="HQ47" s="2466"/>
      <c r="HR47" s="2466"/>
      <c r="HS47" s="2466"/>
      <c r="HT47" s="2466"/>
      <c r="HU47" s="2466"/>
      <c r="HV47" s="2466"/>
      <c r="HW47" s="2466"/>
      <c r="HX47" s="2466"/>
      <c r="HY47" s="2466"/>
      <c r="HZ47" s="2466"/>
      <c r="IA47" s="2466"/>
      <c r="IB47" s="2466"/>
      <c r="IC47" s="2466"/>
      <c r="ID47" s="2466"/>
      <c r="IE47" s="2466"/>
      <c r="IF47" s="2466"/>
      <c r="IG47" s="2466"/>
      <c r="IH47" s="2466"/>
      <c r="II47" s="2466"/>
      <c r="IJ47" s="2466"/>
      <c r="IK47" s="2466"/>
      <c r="IL47" s="2466"/>
      <c r="IM47" s="2466"/>
      <c r="IN47" s="2466"/>
      <c r="IO47" s="2466"/>
      <c r="IP47" s="2466"/>
      <c r="IQ47" s="2466"/>
      <c r="IR47" s="2466"/>
      <c r="IS47" s="2466"/>
      <c r="IT47" s="2466"/>
      <c r="IU47" s="2466"/>
      <c r="IV47" s="2466"/>
    </row>
    <row r="48" spans="1:256">
      <c r="A48" s="2465"/>
      <c r="B48" s="2465"/>
      <c r="C48" s="2465"/>
      <c r="D48" s="2465"/>
      <c r="E48" s="2465"/>
      <c r="F48" s="2465"/>
      <c r="G48" s="2465"/>
      <c r="H48" s="2465"/>
      <c r="I48" s="2465"/>
      <c r="J48" s="2465"/>
      <c r="K48" s="2465"/>
      <c r="L48" s="2465"/>
      <c r="M48" s="2465"/>
      <c r="N48" s="2465"/>
      <c r="O48" s="2465"/>
      <c r="P48" s="2465"/>
      <c r="Q48" s="2465"/>
      <c r="R48" s="2465"/>
      <c r="S48" s="2465"/>
      <c r="T48" s="2465"/>
      <c r="U48" s="2465"/>
      <c r="V48" s="2465"/>
      <c r="W48" s="2465"/>
      <c r="X48" s="2465"/>
      <c r="Y48" s="2465"/>
      <c r="Z48" s="2465"/>
      <c r="AA48" s="2465"/>
      <c r="AB48" s="2465"/>
      <c r="AC48" s="2465"/>
      <c r="AD48" s="2465"/>
      <c r="AE48" s="2465"/>
      <c r="AF48" s="2465"/>
      <c r="AG48" s="2465"/>
      <c r="AH48" s="2465"/>
      <c r="AI48" s="2465"/>
      <c r="AJ48" s="2465"/>
      <c r="AK48" s="2465"/>
      <c r="AL48" s="2465"/>
      <c r="AM48" s="2465"/>
      <c r="AN48" s="2465"/>
      <c r="AO48" s="2465"/>
      <c r="AP48" s="2465"/>
      <c r="AQ48" s="2465"/>
      <c r="AR48" s="2465"/>
      <c r="AS48" s="2465"/>
      <c r="AT48" s="2465"/>
      <c r="AU48" s="2465"/>
      <c r="AV48" s="2465"/>
      <c r="AW48" s="2465"/>
      <c r="AX48" s="2465"/>
      <c r="AY48" s="2465"/>
      <c r="AZ48" s="2465"/>
      <c r="BA48" s="2465"/>
      <c r="BB48" s="2465"/>
      <c r="BC48" s="2465"/>
      <c r="BD48" s="2465"/>
      <c r="BE48" s="2465"/>
      <c r="BF48" s="2465"/>
      <c r="BG48" s="2465"/>
      <c r="BH48" s="2465"/>
      <c r="BI48" s="2466"/>
      <c r="BJ48" s="2466"/>
      <c r="BK48" s="2466"/>
      <c r="BL48" s="2466"/>
      <c r="BM48" s="2466"/>
      <c r="BN48" s="2466"/>
      <c r="BO48" s="2466"/>
      <c r="BP48" s="2466"/>
      <c r="BQ48" s="2466"/>
      <c r="BR48" s="2466"/>
      <c r="BS48" s="2466"/>
      <c r="BT48" s="2466"/>
      <c r="BU48" s="2466"/>
      <c r="BV48" s="2466"/>
      <c r="BW48" s="2466"/>
      <c r="BX48" s="2466"/>
      <c r="BY48" s="2466"/>
      <c r="BZ48" s="2466"/>
      <c r="CA48" s="2466"/>
      <c r="CB48" s="2466"/>
      <c r="CC48" s="2466"/>
      <c r="CD48" s="2466"/>
      <c r="CE48" s="2466"/>
      <c r="CF48" s="2466"/>
      <c r="CG48" s="2466"/>
      <c r="CH48" s="2466"/>
      <c r="CI48" s="2466"/>
      <c r="CJ48" s="2466"/>
      <c r="CK48" s="2466"/>
      <c r="CL48" s="2466"/>
      <c r="CM48" s="2466"/>
      <c r="CN48" s="2466"/>
      <c r="CO48" s="2466"/>
      <c r="CP48" s="2466"/>
      <c r="CQ48" s="2466"/>
      <c r="CR48" s="2466"/>
      <c r="CS48" s="2466"/>
      <c r="CT48" s="2466"/>
      <c r="CU48" s="2466"/>
      <c r="CV48" s="2466"/>
      <c r="CW48" s="2466"/>
      <c r="CX48" s="2466"/>
      <c r="CY48" s="2466"/>
      <c r="CZ48" s="2466"/>
      <c r="DA48" s="2466"/>
      <c r="DB48" s="2466"/>
      <c r="DC48" s="2466"/>
      <c r="DD48" s="2466"/>
      <c r="DE48" s="2466"/>
      <c r="DF48" s="2466"/>
      <c r="DG48" s="2466"/>
      <c r="DH48" s="2466"/>
      <c r="DI48" s="2466"/>
      <c r="DJ48" s="2466"/>
      <c r="DK48" s="2466"/>
      <c r="DL48" s="2466"/>
      <c r="DM48" s="2466"/>
      <c r="DN48" s="2466"/>
      <c r="DO48" s="2466"/>
      <c r="DP48" s="2466"/>
      <c r="DQ48" s="2466"/>
      <c r="DR48" s="2466"/>
      <c r="DS48" s="2466"/>
      <c r="DT48" s="2466"/>
      <c r="DU48" s="2466"/>
      <c r="DV48" s="2466"/>
      <c r="DW48" s="2466"/>
      <c r="DX48" s="2466"/>
      <c r="DY48" s="2466"/>
      <c r="DZ48" s="2466"/>
      <c r="EA48" s="2466"/>
      <c r="EB48" s="2466"/>
      <c r="EC48" s="2466"/>
      <c r="ED48" s="2466"/>
      <c r="EE48" s="2466"/>
      <c r="EF48" s="2466"/>
      <c r="EG48" s="2466"/>
      <c r="EH48" s="2466"/>
      <c r="EI48" s="2466"/>
      <c r="EJ48" s="2466"/>
      <c r="EK48" s="2466"/>
      <c r="EL48" s="2466"/>
      <c r="EM48" s="2466"/>
      <c r="EN48" s="2466"/>
      <c r="EO48" s="2466"/>
      <c r="EP48" s="2466"/>
      <c r="EQ48" s="2466"/>
      <c r="ER48" s="2466"/>
      <c r="ES48" s="2466"/>
      <c r="ET48" s="2466"/>
      <c r="EU48" s="2466"/>
      <c r="EV48" s="2466"/>
      <c r="EW48" s="2466"/>
      <c r="EX48" s="2466"/>
      <c r="EY48" s="2466"/>
      <c r="EZ48" s="2466"/>
      <c r="FA48" s="2466"/>
      <c r="FB48" s="2466"/>
      <c r="FC48" s="2466"/>
      <c r="FD48" s="2466"/>
      <c r="FE48" s="2466"/>
      <c r="FF48" s="2466"/>
      <c r="FG48" s="2466"/>
      <c r="FH48" s="2466"/>
      <c r="FI48" s="2466"/>
      <c r="FJ48" s="2466"/>
      <c r="FK48" s="2466"/>
      <c r="FL48" s="2466"/>
      <c r="FM48" s="2466"/>
      <c r="FN48" s="2466"/>
      <c r="FO48" s="2466"/>
      <c r="FP48" s="2466"/>
      <c r="FQ48" s="2466"/>
      <c r="FR48" s="2466"/>
      <c r="FS48" s="2466"/>
      <c r="FT48" s="2466"/>
      <c r="FU48" s="2466"/>
      <c r="FV48" s="2466"/>
      <c r="FW48" s="2466"/>
      <c r="FX48" s="2466"/>
      <c r="FY48" s="2466"/>
      <c r="FZ48" s="2466"/>
      <c r="GA48" s="2466"/>
      <c r="GB48" s="2466"/>
      <c r="GC48" s="2466"/>
      <c r="GD48" s="2466"/>
      <c r="GE48" s="2466"/>
      <c r="GF48" s="2466"/>
      <c r="GG48" s="2466"/>
      <c r="GH48" s="2466"/>
      <c r="GI48" s="2466"/>
      <c r="GJ48" s="2466"/>
      <c r="GK48" s="2466"/>
      <c r="GL48" s="2466"/>
      <c r="GM48" s="2466"/>
      <c r="GN48" s="2466"/>
      <c r="GO48" s="2466"/>
      <c r="GP48" s="2466"/>
      <c r="GQ48" s="2466"/>
      <c r="GR48" s="2466"/>
      <c r="GS48" s="2466"/>
      <c r="GT48" s="2466"/>
      <c r="GU48" s="2466"/>
      <c r="GV48" s="2466"/>
      <c r="GW48" s="2466"/>
      <c r="GX48" s="2466"/>
      <c r="GY48" s="2466"/>
      <c r="GZ48" s="2466"/>
      <c r="HA48" s="2466"/>
      <c r="HB48" s="2466"/>
      <c r="HC48" s="2466"/>
      <c r="HD48" s="2466"/>
      <c r="HE48" s="2466"/>
      <c r="HF48" s="2466"/>
      <c r="HG48" s="2466"/>
      <c r="HH48" s="2466"/>
      <c r="HI48" s="2466"/>
      <c r="HJ48" s="2466"/>
      <c r="HK48" s="2466"/>
      <c r="HL48" s="2466"/>
      <c r="HM48" s="2466"/>
      <c r="HN48" s="2466"/>
      <c r="HO48" s="2466"/>
      <c r="HP48" s="2466"/>
      <c r="HQ48" s="2466"/>
      <c r="HR48" s="2466"/>
      <c r="HS48" s="2466"/>
      <c r="HT48" s="2466"/>
      <c r="HU48" s="2466"/>
      <c r="HV48" s="2466"/>
      <c r="HW48" s="2466"/>
      <c r="HX48" s="2466"/>
      <c r="HY48" s="2466"/>
      <c r="HZ48" s="2466"/>
      <c r="IA48" s="2466"/>
      <c r="IB48" s="2466"/>
      <c r="IC48" s="2466"/>
      <c r="ID48" s="2466"/>
      <c r="IE48" s="2466"/>
      <c r="IF48" s="2466"/>
      <c r="IG48" s="2466"/>
      <c r="IH48" s="2466"/>
      <c r="II48" s="2466"/>
      <c r="IJ48" s="2466"/>
      <c r="IK48" s="2466"/>
      <c r="IL48" s="2466"/>
      <c r="IM48" s="2466"/>
      <c r="IN48" s="2466"/>
      <c r="IO48" s="2466"/>
      <c r="IP48" s="2466"/>
      <c r="IQ48" s="2466"/>
      <c r="IR48" s="2466"/>
      <c r="IS48" s="2466"/>
      <c r="IT48" s="2466"/>
      <c r="IU48" s="2466"/>
      <c r="IV48" s="2466"/>
    </row>
    <row r="49" spans="1:256">
      <c r="A49" s="2465"/>
      <c r="B49" s="2465"/>
      <c r="C49" s="2465"/>
      <c r="D49" s="2465"/>
      <c r="E49" s="2465"/>
      <c r="F49" s="2465"/>
      <c r="G49" s="2465"/>
      <c r="H49" s="2465"/>
      <c r="I49" s="2465"/>
      <c r="J49" s="2465"/>
      <c r="K49" s="2465"/>
      <c r="L49" s="2465"/>
      <c r="M49" s="2465"/>
      <c r="N49" s="2465"/>
      <c r="O49" s="2465"/>
      <c r="P49" s="2465"/>
      <c r="Q49" s="2465"/>
      <c r="R49" s="2465"/>
      <c r="S49" s="2465"/>
      <c r="T49" s="2465"/>
      <c r="U49" s="2465"/>
      <c r="V49" s="2465"/>
      <c r="W49" s="2465"/>
      <c r="X49" s="2465"/>
      <c r="Y49" s="2465"/>
      <c r="Z49" s="2465"/>
      <c r="AA49" s="2465"/>
      <c r="AB49" s="2465"/>
      <c r="AC49" s="2465"/>
      <c r="AD49" s="2465"/>
      <c r="AE49" s="2465"/>
      <c r="AF49" s="2465"/>
      <c r="AG49" s="2465"/>
      <c r="AH49" s="2465"/>
      <c r="AI49" s="2465"/>
      <c r="AJ49" s="2465"/>
      <c r="AK49" s="2465"/>
      <c r="AL49" s="2465"/>
      <c r="AM49" s="2465"/>
      <c r="AN49" s="2465"/>
      <c r="AO49" s="2465"/>
      <c r="AP49" s="2465"/>
      <c r="AQ49" s="2465"/>
      <c r="AR49" s="2465"/>
      <c r="AS49" s="2465"/>
      <c r="AT49" s="2465"/>
      <c r="AU49" s="2465"/>
      <c r="AV49" s="2465"/>
      <c r="AW49" s="2465"/>
      <c r="AX49" s="2465"/>
      <c r="AY49" s="2465"/>
      <c r="AZ49" s="2465"/>
      <c r="BA49" s="2465"/>
      <c r="BB49" s="2465"/>
      <c r="BC49" s="2465"/>
      <c r="BD49" s="2465"/>
      <c r="BE49" s="2465"/>
      <c r="BF49" s="2465"/>
      <c r="BG49" s="2465"/>
      <c r="BH49" s="2465"/>
      <c r="BI49" s="2466"/>
      <c r="BJ49" s="2466"/>
      <c r="BK49" s="2466"/>
      <c r="BL49" s="2466"/>
      <c r="BM49" s="2466"/>
      <c r="BN49" s="2466"/>
      <c r="BO49" s="2466"/>
      <c r="BP49" s="2466"/>
      <c r="BQ49" s="2466"/>
      <c r="BR49" s="2466"/>
      <c r="BS49" s="2466"/>
      <c r="BT49" s="2466"/>
      <c r="BU49" s="2466"/>
      <c r="BV49" s="2466"/>
      <c r="BW49" s="2466"/>
      <c r="BX49" s="2466"/>
      <c r="BY49" s="2466"/>
      <c r="BZ49" s="2466"/>
      <c r="CA49" s="2466"/>
      <c r="CB49" s="2466"/>
      <c r="CC49" s="2466"/>
      <c r="CD49" s="2466"/>
      <c r="CE49" s="2466"/>
      <c r="CF49" s="2466"/>
      <c r="CG49" s="2466"/>
      <c r="CH49" s="2466"/>
      <c r="CI49" s="2466"/>
      <c r="CJ49" s="2466"/>
      <c r="CK49" s="2466"/>
      <c r="CL49" s="2466"/>
      <c r="CM49" s="2466"/>
      <c r="CN49" s="2466"/>
      <c r="CO49" s="2466"/>
      <c r="CP49" s="2466"/>
      <c r="CQ49" s="2466"/>
      <c r="CR49" s="2466"/>
      <c r="CS49" s="2466"/>
      <c r="CT49" s="2466"/>
      <c r="CU49" s="2466"/>
      <c r="CV49" s="2466"/>
      <c r="CW49" s="2466"/>
      <c r="CX49" s="2466"/>
      <c r="CY49" s="2466"/>
      <c r="CZ49" s="2466"/>
      <c r="DA49" s="2466"/>
      <c r="DB49" s="2466"/>
      <c r="DC49" s="2466"/>
      <c r="DD49" s="2466"/>
      <c r="DE49" s="2466"/>
      <c r="DF49" s="2466"/>
      <c r="DG49" s="2466"/>
      <c r="DH49" s="2466"/>
      <c r="DI49" s="2466"/>
      <c r="DJ49" s="2466"/>
      <c r="DK49" s="2466"/>
      <c r="DL49" s="2466"/>
      <c r="DM49" s="2466"/>
      <c r="DN49" s="2466"/>
      <c r="DO49" s="2466"/>
      <c r="DP49" s="2466"/>
      <c r="DQ49" s="2466"/>
      <c r="DR49" s="2466"/>
      <c r="DS49" s="2466"/>
      <c r="DT49" s="2466"/>
      <c r="DU49" s="2466"/>
      <c r="DV49" s="2466"/>
      <c r="DW49" s="2466"/>
      <c r="DX49" s="2466"/>
      <c r="DY49" s="2466"/>
      <c r="DZ49" s="2466"/>
      <c r="EA49" s="2466"/>
      <c r="EB49" s="2466"/>
      <c r="EC49" s="2466"/>
      <c r="ED49" s="2466"/>
      <c r="EE49" s="2466"/>
      <c r="EF49" s="2466"/>
      <c r="EG49" s="2466"/>
      <c r="EH49" s="2466"/>
      <c r="EI49" s="2466"/>
      <c r="EJ49" s="2466"/>
      <c r="EK49" s="2466"/>
      <c r="EL49" s="2466"/>
      <c r="EM49" s="2466"/>
      <c r="EN49" s="2466"/>
      <c r="EO49" s="2466"/>
      <c r="EP49" s="2466"/>
      <c r="EQ49" s="2466"/>
      <c r="ER49" s="2466"/>
      <c r="ES49" s="2466"/>
      <c r="ET49" s="2466"/>
      <c r="EU49" s="2466"/>
      <c r="EV49" s="2466"/>
      <c r="EW49" s="2466"/>
      <c r="EX49" s="2466"/>
      <c r="EY49" s="2466"/>
      <c r="EZ49" s="2466"/>
      <c r="FA49" s="2466"/>
      <c r="FB49" s="2466"/>
      <c r="FC49" s="2466"/>
      <c r="FD49" s="2466"/>
      <c r="FE49" s="2466"/>
      <c r="FF49" s="2466"/>
      <c r="FG49" s="2466"/>
      <c r="FH49" s="2466"/>
      <c r="FI49" s="2466"/>
      <c r="FJ49" s="2466"/>
      <c r="FK49" s="2466"/>
      <c r="FL49" s="2466"/>
      <c r="FM49" s="2466"/>
      <c r="FN49" s="2466"/>
      <c r="FO49" s="2466"/>
      <c r="FP49" s="2466"/>
      <c r="FQ49" s="2466"/>
      <c r="FR49" s="2466"/>
      <c r="FS49" s="2466"/>
      <c r="FT49" s="2466"/>
      <c r="FU49" s="2466"/>
      <c r="FV49" s="2466"/>
      <c r="FW49" s="2466"/>
      <c r="FX49" s="2466"/>
      <c r="FY49" s="2466"/>
      <c r="FZ49" s="2466"/>
      <c r="GA49" s="2466"/>
      <c r="GB49" s="2466"/>
      <c r="GC49" s="2466"/>
      <c r="GD49" s="2466"/>
      <c r="GE49" s="2466"/>
      <c r="GF49" s="2466"/>
      <c r="GG49" s="2466"/>
      <c r="GH49" s="2466"/>
      <c r="GI49" s="2466"/>
      <c r="GJ49" s="2466"/>
      <c r="GK49" s="2466"/>
      <c r="GL49" s="2466"/>
      <c r="GM49" s="2466"/>
      <c r="GN49" s="2466"/>
      <c r="GO49" s="2466"/>
      <c r="GP49" s="2466"/>
      <c r="GQ49" s="2466"/>
      <c r="GR49" s="2466"/>
      <c r="GS49" s="2466"/>
      <c r="GT49" s="2466"/>
      <c r="GU49" s="2466"/>
      <c r="GV49" s="2466"/>
      <c r="GW49" s="2466"/>
      <c r="GX49" s="2466"/>
      <c r="GY49" s="2466"/>
      <c r="GZ49" s="2466"/>
      <c r="HA49" s="2466"/>
      <c r="HB49" s="2466"/>
      <c r="HC49" s="2466"/>
      <c r="HD49" s="2466"/>
      <c r="HE49" s="2466"/>
      <c r="HF49" s="2466"/>
      <c r="HG49" s="2466"/>
      <c r="HH49" s="2466"/>
      <c r="HI49" s="2466"/>
      <c r="HJ49" s="2466"/>
      <c r="HK49" s="2466"/>
      <c r="HL49" s="2466"/>
      <c r="HM49" s="2466"/>
      <c r="HN49" s="2466"/>
      <c r="HO49" s="2466"/>
      <c r="HP49" s="2466"/>
      <c r="HQ49" s="2466"/>
      <c r="HR49" s="2466"/>
      <c r="HS49" s="2466"/>
      <c r="HT49" s="2466"/>
      <c r="HU49" s="2466"/>
      <c r="HV49" s="2466"/>
      <c r="HW49" s="2466"/>
      <c r="HX49" s="2466"/>
      <c r="HY49" s="2466"/>
      <c r="HZ49" s="2466"/>
      <c r="IA49" s="2466"/>
      <c r="IB49" s="2466"/>
      <c r="IC49" s="2466"/>
      <c r="ID49" s="2466"/>
      <c r="IE49" s="2466"/>
      <c r="IF49" s="2466"/>
      <c r="IG49" s="2466"/>
      <c r="IH49" s="2466"/>
      <c r="II49" s="2466"/>
      <c r="IJ49" s="2466"/>
      <c r="IK49" s="2466"/>
      <c r="IL49" s="2466"/>
      <c r="IM49" s="2466"/>
      <c r="IN49" s="2466"/>
      <c r="IO49" s="2466"/>
      <c r="IP49" s="2466"/>
      <c r="IQ49" s="2466"/>
      <c r="IR49" s="2466"/>
      <c r="IS49" s="2466"/>
      <c r="IT49" s="2466"/>
      <c r="IU49" s="2466"/>
      <c r="IV49" s="2466"/>
    </row>
    <row r="50" spans="1:256">
      <c r="A50" s="2465"/>
      <c r="B50" s="2465"/>
      <c r="C50" s="2465"/>
      <c r="D50" s="2465"/>
      <c r="E50" s="2465"/>
      <c r="F50" s="2465"/>
      <c r="G50" s="2465"/>
      <c r="H50" s="2465"/>
      <c r="I50" s="2465"/>
      <c r="J50" s="2465"/>
      <c r="K50" s="2465"/>
      <c r="L50" s="2465"/>
      <c r="M50" s="2465"/>
      <c r="N50" s="2465"/>
      <c r="O50" s="2465"/>
      <c r="P50" s="2465"/>
      <c r="Q50" s="2465"/>
      <c r="R50" s="2465"/>
      <c r="S50" s="2465"/>
      <c r="T50" s="2465"/>
      <c r="U50" s="2465"/>
      <c r="V50" s="2465"/>
      <c r="W50" s="2465"/>
      <c r="X50" s="2465"/>
      <c r="Y50" s="2465"/>
      <c r="Z50" s="2465"/>
      <c r="AA50" s="2465"/>
      <c r="AB50" s="2465"/>
      <c r="AC50" s="2465"/>
      <c r="AD50" s="2465"/>
      <c r="AE50" s="2465"/>
      <c r="AF50" s="2465"/>
      <c r="AG50" s="2465"/>
      <c r="AH50" s="2465"/>
      <c r="AI50" s="2465"/>
      <c r="AJ50" s="2465"/>
      <c r="AK50" s="2465"/>
      <c r="AL50" s="2465"/>
      <c r="AM50" s="2465"/>
      <c r="AN50" s="2465"/>
      <c r="AO50" s="2465"/>
      <c r="AP50" s="2465"/>
      <c r="AQ50" s="2465"/>
      <c r="AR50" s="2465"/>
      <c r="AS50" s="2465"/>
      <c r="AT50" s="2465"/>
      <c r="AU50" s="2465"/>
      <c r="AV50" s="2465"/>
      <c r="AW50" s="2465"/>
      <c r="AX50" s="2465"/>
      <c r="AY50" s="2465"/>
      <c r="AZ50" s="2465"/>
      <c r="BA50" s="2465"/>
      <c r="BB50" s="2465"/>
      <c r="BC50" s="2465"/>
      <c r="BD50" s="2465"/>
      <c r="BE50" s="2465"/>
      <c r="BF50" s="2465"/>
      <c r="BG50" s="2465"/>
      <c r="BH50" s="2465"/>
      <c r="BI50" s="2466"/>
      <c r="BJ50" s="2466"/>
      <c r="BK50" s="2466"/>
      <c r="BL50" s="2466"/>
      <c r="BM50" s="2466"/>
      <c r="BN50" s="2466"/>
      <c r="BO50" s="2466"/>
      <c r="BP50" s="2466"/>
      <c r="BQ50" s="2466"/>
      <c r="BR50" s="2466"/>
      <c r="BS50" s="2466"/>
      <c r="BT50" s="2466"/>
      <c r="BU50" s="2466"/>
      <c r="BV50" s="2466"/>
      <c r="BW50" s="2466"/>
      <c r="BX50" s="2466"/>
      <c r="BY50" s="2466"/>
      <c r="BZ50" s="2466"/>
      <c r="CA50" s="2466"/>
      <c r="CB50" s="2466"/>
      <c r="CC50" s="2466"/>
      <c r="CD50" s="2466"/>
      <c r="CE50" s="2466"/>
      <c r="CF50" s="2466"/>
      <c r="CG50" s="2466"/>
      <c r="CH50" s="2466"/>
      <c r="CI50" s="2466"/>
      <c r="CJ50" s="2466"/>
      <c r="CK50" s="2466"/>
      <c r="CL50" s="2466"/>
      <c r="CM50" s="2466"/>
      <c r="CN50" s="2466"/>
      <c r="CO50" s="2466"/>
      <c r="CP50" s="2466"/>
      <c r="CQ50" s="2466"/>
      <c r="CR50" s="2466"/>
      <c r="CS50" s="2466"/>
      <c r="CT50" s="2466"/>
      <c r="CU50" s="2466"/>
      <c r="CV50" s="2466"/>
      <c r="CW50" s="2466"/>
      <c r="CX50" s="2466"/>
      <c r="CY50" s="2466"/>
      <c r="CZ50" s="2466"/>
      <c r="DA50" s="2466"/>
      <c r="DB50" s="2466"/>
      <c r="DC50" s="2466"/>
      <c r="DD50" s="2466"/>
      <c r="DE50" s="2466"/>
      <c r="DF50" s="2466"/>
      <c r="DG50" s="2466"/>
      <c r="DH50" s="2466"/>
      <c r="DI50" s="2466"/>
      <c r="DJ50" s="2466"/>
      <c r="DK50" s="2466"/>
      <c r="DL50" s="2466"/>
      <c r="DM50" s="2466"/>
      <c r="DN50" s="2466"/>
      <c r="DO50" s="2466"/>
      <c r="DP50" s="2466"/>
      <c r="DQ50" s="2466"/>
      <c r="DR50" s="2466"/>
      <c r="DS50" s="2466"/>
      <c r="DT50" s="2466"/>
      <c r="DU50" s="2466"/>
      <c r="DV50" s="2466"/>
      <c r="DW50" s="2466"/>
      <c r="DX50" s="2466"/>
      <c r="DY50" s="2466"/>
      <c r="DZ50" s="2466"/>
      <c r="EA50" s="2466"/>
      <c r="EB50" s="2466"/>
      <c r="EC50" s="2466"/>
      <c r="ED50" s="2466"/>
      <c r="EE50" s="2466"/>
      <c r="EF50" s="2466"/>
      <c r="EG50" s="2466"/>
      <c r="EH50" s="2466"/>
      <c r="EI50" s="2466"/>
      <c r="EJ50" s="2466"/>
      <c r="EK50" s="2466"/>
      <c r="EL50" s="2466"/>
      <c r="EM50" s="2466"/>
      <c r="EN50" s="2466"/>
      <c r="EO50" s="2466"/>
      <c r="EP50" s="2466"/>
      <c r="EQ50" s="2466"/>
      <c r="ER50" s="2466"/>
      <c r="ES50" s="2466"/>
      <c r="ET50" s="2466"/>
      <c r="EU50" s="2466"/>
      <c r="EV50" s="2466"/>
      <c r="EW50" s="2466"/>
      <c r="EX50" s="2466"/>
      <c r="EY50" s="2466"/>
      <c r="EZ50" s="2466"/>
      <c r="FA50" s="2466"/>
      <c r="FB50" s="2466"/>
      <c r="FC50" s="2466"/>
      <c r="FD50" s="2466"/>
      <c r="FE50" s="2466"/>
      <c r="FF50" s="2466"/>
      <c r="FG50" s="2466"/>
      <c r="FH50" s="2466"/>
      <c r="FI50" s="2466"/>
      <c r="FJ50" s="2466"/>
      <c r="FK50" s="2466"/>
      <c r="FL50" s="2466"/>
      <c r="FM50" s="2466"/>
      <c r="FN50" s="2466"/>
      <c r="FO50" s="2466"/>
      <c r="FP50" s="2466"/>
      <c r="FQ50" s="2466"/>
      <c r="FR50" s="2466"/>
      <c r="FS50" s="2466"/>
      <c r="FT50" s="2466"/>
      <c r="FU50" s="2466"/>
      <c r="FV50" s="2466"/>
      <c r="FW50" s="2466"/>
      <c r="FX50" s="2466"/>
      <c r="FY50" s="2466"/>
      <c r="FZ50" s="2466"/>
      <c r="GA50" s="2466"/>
      <c r="GB50" s="2466"/>
      <c r="GC50" s="2466"/>
      <c r="GD50" s="2466"/>
      <c r="GE50" s="2466"/>
      <c r="GF50" s="2466"/>
      <c r="GG50" s="2466"/>
      <c r="GH50" s="2466"/>
      <c r="GI50" s="2466"/>
      <c r="GJ50" s="2466"/>
      <c r="GK50" s="2466"/>
      <c r="GL50" s="2466"/>
      <c r="GM50" s="2466"/>
      <c r="GN50" s="2466"/>
      <c r="GO50" s="2466"/>
      <c r="GP50" s="2466"/>
      <c r="GQ50" s="2466"/>
      <c r="GR50" s="2466"/>
      <c r="GS50" s="2466"/>
      <c r="GT50" s="2466"/>
      <c r="GU50" s="2466"/>
      <c r="GV50" s="2466"/>
      <c r="GW50" s="2466"/>
      <c r="GX50" s="2466"/>
      <c r="GY50" s="2466"/>
      <c r="GZ50" s="2466"/>
      <c r="HA50" s="2466"/>
      <c r="HB50" s="2466"/>
      <c r="HC50" s="2466"/>
      <c r="HD50" s="2466"/>
      <c r="HE50" s="2466"/>
      <c r="HF50" s="2466"/>
      <c r="HG50" s="2466"/>
      <c r="HH50" s="2466"/>
      <c r="HI50" s="2466"/>
      <c r="HJ50" s="2466"/>
      <c r="HK50" s="2466"/>
      <c r="HL50" s="2466"/>
      <c r="HM50" s="2466"/>
      <c r="HN50" s="2466"/>
      <c r="HO50" s="2466"/>
      <c r="HP50" s="2466"/>
      <c r="HQ50" s="2466"/>
      <c r="HR50" s="2466"/>
      <c r="HS50" s="2466"/>
      <c r="HT50" s="2466"/>
      <c r="HU50" s="2466"/>
      <c r="HV50" s="2466"/>
      <c r="HW50" s="2466"/>
      <c r="HX50" s="2466"/>
      <c r="HY50" s="2466"/>
      <c r="HZ50" s="2466"/>
      <c r="IA50" s="2466"/>
      <c r="IB50" s="2466"/>
      <c r="IC50" s="2466"/>
      <c r="ID50" s="2466"/>
      <c r="IE50" s="2466"/>
      <c r="IF50" s="2466"/>
      <c r="IG50" s="2466"/>
      <c r="IH50" s="2466"/>
      <c r="II50" s="2466"/>
      <c r="IJ50" s="2466"/>
      <c r="IK50" s="2466"/>
      <c r="IL50" s="2466"/>
      <c r="IM50" s="2466"/>
      <c r="IN50" s="2466"/>
      <c r="IO50" s="2466"/>
      <c r="IP50" s="2466"/>
      <c r="IQ50" s="2466"/>
      <c r="IR50" s="2466"/>
      <c r="IS50" s="2466"/>
      <c r="IT50" s="2466"/>
      <c r="IU50" s="2466"/>
      <c r="IV50" s="2466"/>
    </row>
    <row r="51" spans="1:256">
      <c r="A51" s="2465"/>
      <c r="B51" s="2465"/>
      <c r="C51" s="2465"/>
      <c r="D51" s="2465"/>
      <c r="E51" s="2465"/>
      <c r="F51" s="2465"/>
      <c r="G51" s="2465"/>
      <c r="H51" s="2465"/>
      <c r="I51" s="2465"/>
      <c r="J51" s="2465"/>
      <c r="K51" s="2465"/>
      <c r="L51" s="2465"/>
      <c r="M51" s="2465"/>
      <c r="N51" s="2465"/>
      <c r="O51" s="2465"/>
      <c r="P51" s="2465"/>
      <c r="Q51" s="2465"/>
      <c r="R51" s="2465"/>
      <c r="S51" s="2465"/>
      <c r="T51" s="2465"/>
      <c r="U51" s="2465"/>
      <c r="V51" s="2465"/>
      <c r="W51" s="2465"/>
      <c r="X51" s="2465"/>
      <c r="Y51" s="2465"/>
      <c r="Z51" s="2465"/>
      <c r="AA51" s="2465"/>
      <c r="AB51" s="2465"/>
      <c r="AC51" s="2465"/>
      <c r="AD51" s="2465"/>
      <c r="AE51" s="2465"/>
      <c r="AF51" s="2465"/>
      <c r="AG51" s="2465"/>
      <c r="AH51" s="2465"/>
      <c r="AI51" s="2465"/>
      <c r="AJ51" s="2465"/>
      <c r="AK51" s="2465"/>
      <c r="AL51" s="2465"/>
      <c r="AM51" s="2465"/>
      <c r="AN51" s="2465"/>
      <c r="AO51" s="2465"/>
      <c r="AP51" s="2465"/>
      <c r="AQ51" s="2465"/>
      <c r="AR51" s="2465"/>
      <c r="AS51" s="2465"/>
      <c r="AT51" s="2465"/>
      <c r="AU51" s="2465"/>
      <c r="AV51" s="2465"/>
      <c r="AW51" s="2465"/>
      <c r="AX51" s="2465"/>
      <c r="AY51" s="2465"/>
      <c r="AZ51" s="2465"/>
      <c r="BA51" s="2465"/>
      <c r="BB51" s="2465"/>
      <c r="BC51" s="2465"/>
      <c r="BD51" s="2465"/>
      <c r="BE51" s="2465"/>
      <c r="BF51" s="2465"/>
      <c r="BG51" s="2465"/>
      <c r="BH51" s="2465"/>
      <c r="BI51" s="2466"/>
      <c r="BJ51" s="2466"/>
      <c r="BK51" s="2466"/>
      <c r="BL51" s="2466"/>
      <c r="BM51" s="2466"/>
      <c r="BN51" s="2466"/>
      <c r="BO51" s="2466"/>
      <c r="BP51" s="2466"/>
      <c r="BQ51" s="2466"/>
      <c r="BR51" s="2466"/>
      <c r="BS51" s="2466"/>
      <c r="BT51" s="2466"/>
      <c r="BU51" s="2466"/>
      <c r="BV51" s="2466"/>
      <c r="BW51" s="2466"/>
      <c r="BX51" s="2466"/>
      <c r="BY51" s="2466"/>
      <c r="BZ51" s="2466"/>
      <c r="CA51" s="2466"/>
      <c r="CB51" s="2466"/>
      <c r="CC51" s="2466"/>
      <c r="CD51" s="2466"/>
      <c r="CE51" s="2466"/>
      <c r="CF51" s="2466"/>
      <c r="CG51" s="2466"/>
      <c r="CH51" s="2466"/>
      <c r="CI51" s="2466"/>
      <c r="CJ51" s="2466"/>
      <c r="CK51" s="2466"/>
      <c r="CL51" s="2466"/>
      <c r="CM51" s="2466"/>
      <c r="CN51" s="2466"/>
      <c r="CO51" s="2466"/>
      <c r="CP51" s="2466"/>
      <c r="CQ51" s="2466"/>
      <c r="CR51" s="2466"/>
      <c r="CS51" s="2466"/>
      <c r="CT51" s="2466"/>
      <c r="CU51" s="2466"/>
      <c r="CV51" s="2466"/>
      <c r="CW51" s="2466"/>
      <c r="CX51" s="2466"/>
      <c r="CY51" s="2466"/>
      <c r="CZ51" s="2466"/>
      <c r="DA51" s="2466"/>
      <c r="DB51" s="2466"/>
      <c r="DC51" s="2466"/>
      <c r="DD51" s="2466"/>
      <c r="DE51" s="2466"/>
      <c r="DF51" s="2466"/>
      <c r="DG51" s="2466"/>
      <c r="DH51" s="2466"/>
      <c r="DI51" s="2466"/>
      <c r="DJ51" s="2466"/>
      <c r="DK51" s="2466"/>
      <c r="DL51" s="2466"/>
      <c r="DM51" s="2466"/>
      <c r="DN51" s="2466"/>
      <c r="DO51" s="2466"/>
      <c r="DP51" s="2466"/>
      <c r="DQ51" s="2466"/>
      <c r="DR51" s="2466"/>
      <c r="DS51" s="2466"/>
      <c r="DT51" s="2466"/>
      <c r="DU51" s="2466"/>
      <c r="DV51" s="2466"/>
      <c r="DW51" s="2466"/>
      <c r="DX51" s="2466"/>
      <c r="DY51" s="2466"/>
      <c r="DZ51" s="2466"/>
      <c r="EA51" s="2466"/>
      <c r="EB51" s="2466"/>
      <c r="EC51" s="2466"/>
      <c r="ED51" s="2466"/>
      <c r="EE51" s="2466"/>
      <c r="EF51" s="2466"/>
      <c r="EG51" s="2466"/>
      <c r="EH51" s="2466"/>
      <c r="EI51" s="2466"/>
      <c r="EJ51" s="2466"/>
      <c r="EK51" s="2466"/>
      <c r="EL51" s="2466"/>
      <c r="EM51" s="2466"/>
      <c r="EN51" s="2466"/>
      <c r="EO51" s="2466"/>
      <c r="EP51" s="2466"/>
      <c r="EQ51" s="2466"/>
      <c r="ER51" s="2466"/>
      <c r="ES51" s="2466"/>
      <c r="ET51" s="2466"/>
      <c r="EU51" s="2466"/>
      <c r="EV51" s="2466"/>
      <c r="EW51" s="2466"/>
      <c r="EX51" s="2466"/>
      <c r="EY51" s="2466"/>
      <c r="EZ51" s="2466"/>
      <c r="FA51" s="2466"/>
      <c r="FB51" s="2466"/>
      <c r="FC51" s="2466"/>
      <c r="FD51" s="2466"/>
      <c r="FE51" s="2466"/>
      <c r="FF51" s="2466"/>
      <c r="FG51" s="2466"/>
      <c r="FH51" s="2466"/>
      <c r="FI51" s="2466"/>
      <c r="FJ51" s="2466"/>
      <c r="FK51" s="2466"/>
      <c r="FL51" s="2466"/>
      <c r="FM51" s="2466"/>
      <c r="FN51" s="2466"/>
      <c r="FO51" s="2466"/>
      <c r="FP51" s="2466"/>
      <c r="FQ51" s="2466"/>
      <c r="FR51" s="2466"/>
      <c r="FS51" s="2466"/>
      <c r="FT51" s="2466"/>
      <c r="FU51" s="2466"/>
      <c r="FV51" s="2466"/>
      <c r="FW51" s="2466"/>
      <c r="FX51" s="2466"/>
      <c r="FY51" s="2466"/>
      <c r="FZ51" s="2466"/>
      <c r="GA51" s="2466"/>
      <c r="GB51" s="2466"/>
      <c r="GC51" s="2466"/>
      <c r="GD51" s="2466"/>
      <c r="GE51" s="2466"/>
      <c r="GF51" s="2466"/>
      <c r="GG51" s="2466"/>
      <c r="GH51" s="2466"/>
      <c r="GI51" s="2466"/>
      <c r="GJ51" s="2466"/>
      <c r="GK51" s="2466"/>
      <c r="GL51" s="2466"/>
      <c r="GM51" s="2466"/>
      <c r="GN51" s="2466"/>
      <c r="GO51" s="2466"/>
      <c r="GP51" s="2466"/>
      <c r="GQ51" s="2466"/>
      <c r="GR51" s="2466"/>
      <c r="GS51" s="2466"/>
      <c r="GT51" s="2466"/>
      <c r="GU51" s="2466"/>
      <c r="GV51" s="2466"/>
      <c r="GW51" s="2466"/>
      <c r="GX51" s="2466"/>
      <c r="GY51" s="2466"/>
      <c r="GZ51" s="2466"/>
      <c r="HA51" s="2466"/>
      <c r="HB51" s="2466"/>
      <c r="HC51" s="2466"/>
      <c r="HD51" s="2466"/>
      <c r="HE51" s="2466"/>
      <c r="HF51" s="2466"/>
      <c r="HG51" s="2466"/>
      <c r="HH51" s="2466"/>
      <c r="HI51" s="2466"/>
      <c r="HJ51" s="2466"/>
      <c r="HK51" s="2466"/>
      <c r="HL51" s="2466"/>
      <c r="HM51" s="2466"/>
      <c r="HN51" s="2466"/>
      <c r="HO51" s="2466"/>
      <c r="HP51" s="2466"/>
      <c r="HQ51" s="2466"/>
      <c r="HR51" s="2466"/>
      <c r="HS51" s="2466"/>
      <c r="HT51" s="2466"/>
      <c r="HU51" s="2466"/>
      <c r="HV51" s="2466"/>
      <c r="HW51" s="2466"/>
      <c r="HX51" s="2466"/>
      <c r="HY51" s="2466"/>
      <c r="HZ51" s="2466"/>
      <c r="IA51" s="2466"/>
      <c r="IB51" s="2466"/>
      <c r="IC51" s="2466"/>
      <c r="ID51" s="2466"/>
      <c r="IE51" s="2466"/>
      <c r="IF51" s="2466"/>
      <c r="IG51" s="2466"/>
      <c r="IH51" s="2466"/>
      <c r="II51" s="2466"/>
      <c r="IJ51" s="2466"/>
      <c r="IK51" s="2466"/>
      <c r="IL51" s="2466"/>
      <c r="IM51" s="2466"/>
      <c r="IN51" s="2466"/>
      <c r="IO51" s="2466"/>
      <c r="IP51" s="2466"/>
      <c r="IQ51" s="2466"/>
      <c r="IR51" s="2466"/>
      <c r="IS51" s="2466"/>
      <c r="IT51" s="2466"/>
      <c r="IU51" s="2466"/>
      <c r="IV51" s="2466"/>
    </row>
    <row r="52" spans="1:256">
      <c r="A52" s="2465"/>
      <c r="B52" s="2465"/>
      <c r="C52" s="2465"/>
      <c r="D52" s="2465"/>
      <c r="E52" s="2465"/>
      <c r="F52" s="2465"/>
      <c r="G52" s="2465"/>
      <c r="H52" s="2465"/>
      <c r="I52" s="2465"/>
      <c r="J52" s="2465"/>
      <c r="K52" s="2465"/>
      <c r="L52" s="2465"/>
      <c r="M52" s="2465"/>
      <c r="N52" s="2465"/>
      <c r="O52" s="2465"/>
      <c r="P52" s="2465"/>
      <c r="Q52" s="2465"/>
      <c r="R52" s="2465"/>
      <c r="S52" s="2465"/>
      <c r="T52" s="2465"/>
      <c r="U52" s="2465"/>
      <c r="V52" s="2465"/>
      <c r="W52" s="2465"/>
      <c r="X52" s="2465"/>
      <c r="Y52" s="2465"/>
      <c r="Z52" s="2465"/>
      <c r="AA52" s="2465"/>
      <c r="AB52" s="2465"/>
      <c r="AC52" s="2465"/>
      <c r="AD52" s="2465"/>
      <c r="AE52" s="2465"/>
      <c r="AF52" s="2465"/>
      <c r="AG52" s="2465"/>
      <c r="AH52" s="2465"/>
      <c r="AI52" s="2465"/>
      <c r="AJ52" s="2465"/>
      <c r="AK52" s="2465"/>
      <c r="AL52" s="2465"/>
      <c r="AM52" s="2465"/>
      <c r="AN52" s="2465"/>
      <c r="AO52" s="2465"/>
      <c r="AP52" s="2465"/>
      <c r="AQ52" s="2465"/>
      <c r="AR52" s="2465"/>
      <c r="AS52" s="2465"/>
      <c r="AT52" s="2465"/>
      <c r="AU52" s="2465"/>
      <c r="AV52" s="2465"/>
      <c r="AW52" s="2465"/>
      <c r="AX52" s="2465"/>
      <c r="AY52" s="2465"/>
      <c r="AZ52" s="2465"/>
      <c r="BA52" s="2465"/>
      <c r="BB52" s="2465"/>
      <c r="BC52" s="2465"/>
      <c r="BD52" s="2465"/>
      <c r="BE52" s="2465"/>
      <c r="BF52" s="2465"/>
      <c r="BG52" s="2465"/>
      <c r="BH52" s="2465"/>
      <c r="BI52" s="2466"/>
      <c r="BJ52" s="2466"/>
      <c r="BK52" s="2466"/>
      <c r="BL52" s="2466"/>
      <c r="BM52" s="2466"/>
      <c r="BN52" s="2466"/>
      <c r="BO52" s="2466"/>
      <c r="BP52" s="2466"/>
      <c r="BQ52" s="2466"/>
      <c r="BR52" s="2466"/>
      <c r="BS52" s="2466"/>
      <c r="BT52" s="2466"/>
      <c r="BU52" s="2466"/>
      <c r="BV52" s="2466"/>
      <c r="BW52" s="2466"/>
      <c r="BX52" s="2466"/>
      <c r="BY52" s="2466"/>
      <c r="BZ52" s="2466"/>
      <c r="CA52" s="2466"/>
      <c r="CB52" s="2466"/>
      <c r="CC52" s="2466"/>
      <c r="CD52" s="2466"/>
      <c r="CE52" s="2466"/>
      <c r="CF52" s="2466"/>
      <c r="CG52" s="2466"/>
      <c r="CH52" s="2466"/>
      <c r="CI52" s="2466"/>
      <c r="CJ52" s="2466"/>
      <c r="CK52" s="2466"/>
      <c r="CL52" s="2466"/>
      <c r="CM52" s="2466"/>
      <c r="CN52" s="2466"/>
      <c r="CO52" s="2466"/>
      <c r="CP52" s="2466"/>
      <c r="CQ52" s="2466"/>
      <c r="CR52" s="2466"/>
      <c r="CS52" s="2466"/>
      <c r="CT52" s="2466"/>
      <c r="CU52" s="2466"/>
      <c r="CV52" s="2466"/>
      <c r="CW52" s="2466"/>
      <c r="CX52" s="2466"/>
      <c r="CY52" s="2466"/>
      <c r="CZ52" s="2466"/>
      <c r="DA52" s="2466"/>
      <c r="DB52" s="2466"/>
      <c r="DC52" s="2466"/>
      <c r="DD52" s="2466"/>
      <c r="DE52" s="2466"/>
      <c r="DF52" s="2466"/>
      <c r="DG52" s="2466"/>
      <c r="DH52" s="2466"/>
      <c r="DI52" s="2466"/>
      <c r="DJ52" s="2466"/>
      <c r="DK52" s="2466"/>
      <c r="DL52" s="2466"/>
      <c r="DM52" s="2466"/>
      <c r="DN52" s="2466"/>
      <c r="DO52" s="2466"/>
      <c r="DP52" s="2466"/>
      <c r="DQ52" s="2466"/>
      <c r="DR52" s="2466"/>
      <c r="DS52" s="2466"/>
      <c r="DT52" s="2466"/>
      <c r="DU52" s="2466"/>
      <c r="DV52" s="2466"/>
      <c r="DW52" s="2466"/>
      <c r="DX52" s="2466"/>
      <c r="DY52" s="2466"/>
      <c r="DZ52" s="2466"/>
      <c r="EA52" s="2466"/>
      <c r="EB52" s="2466"/>
      <c r="EC52" s="2466"/>
      <c r="ED52" s="2466"/>
      <c r="EE52" s="2466"/>
      <c r="EF52" s="2466"/>
      <c r="EG52" s="2466"/>
      <c r="EH52" s="2466"/>
      <c r="EI52" s="2466"/>
      <c r="EJ52" s="2466"/>
      <c r="EK52" s="2466"/>
      <c r="EL52" s="2466"/>
      <c r="EM52" s="2466"/>
      <c r="EN52" s="2466"/>
      <c r="EO52" s="2466"/>
      <c r="EP52" s="2466"/>
      <c r="EQ52" s="2466"/>
      <c r="ER52" s="2466"/>
      <c r="ES52" s="2466"/>
      <c r="ET52" s="2466"/>
      <c r="EU52" s="2466"/>
      <c r="EV52" s="2466"/>
      <c r="EW52" s="2466"/>
      <c r="EX52" s="2466"/>
      <c r="EY52" s="2466"/>
      <c r="EZ52" s="2466"/>
      <c r="FA52" s="2466"/>
      <c r="FB52" s="2466"/>
      <c r="FC52" s="2466"/>
      <c r="FD52" s="2466"/>
      <c r="FE52" s="2466"/>
      <c r="FF52" s="2466"/>
      <c r="FG52" s="2466"/>
      <c r="FH52" s="2466"/>
      <c r="FI52" s="2466"/>
      <c r="FJ52" s="2466"/>
      <c r="FK52" s="2466"/>
      <c r="FL52" s="2466"/>
      <c r="FM52" s="2466"/>
      <c r="FN52" s="2466"/>
      <c r="FO52" s="2466"/>
      <c r="FP52" s="2466"/>
      <c r="FQ52" s="2466"/>
      <c r="FR52" s="2466"/>
      <c r="FS52" s="2466"/>
      <c r="FT52" s="2466"/>
      <c r="FU52" s="2466"/>
      <c r="FV52" s="2466"/>
      <c r="FW52" s="2466"/>
      <c r="FX52" s="2466"/>
      <c r="FY52" s="2466"/>
      <c r="FZ52" s="2466"/>
      <c r="GA52" s="2466"/>
      <c r="GB52" s="2466"/>
      <c r="GC52" s="2466"/>
      <c r="GD52" s="2466"/>
      <c r="GE52" s="2466"/>
      <c r="GF52" s="2466"/>
      <c r="GG52" s="2466"/>
      <c r="GH52" s="2466"/>
      <c r="GI52" s="2466"/>
      <c r="GJ52" s="2466"/>
      <c r="GK52" s="2466"/>
      <c r="GL52" s="2466"/>
      <c r="GM52" s="2466"/>
      <c r="GN52" s="2466"/>
      <c r="GO52" s="2466"/>
      <c r="GP52" s="2466"/>
      <c r="GQ52" s="2466"/>
      <c r="GR52" s="2466"/>
      <c r="GS52" s="2466"/>
      <c r="GT52" s="2466"/>
      <c r="GU52" s="2466"/>
      <c r="GV52" s="2466"/>
      <c r="GW52" s="2466"/>
      <c r="GX52" s="2466"/>
      <c r="GY52" s="2466"/>
      <c r="GZ52" s="2466"/>
      <c r="HA52" s="2466"/>
      <c r="HB52" s="2466"/>
      <c r="HC52" s="2466"/>
      <c r="HD52" s="2466"/>
      <c r="HE52" s="2466"/>
      <c r="HF52" s="2466"/>
      <c r="HG52" s="2466"/>
      <c r="HH52" s="2466"/>
      <c r="HI52" s="2466"/>
      <c r="HJ52" s="2466"/>
      <c r="HK52" s="2466"/>
      <c r="HL52" s="2466"/>
      <c r="HM52" s="2466"/>
      <c r="HN52" s="2466"/>
      <c r="HO52" s="2466"/>
      <c r="HP52" s="2466"/>
      <c r="HQ52" s="2466"/>
      <c r="HR52" s="2466"/>
      <c r="HS52" s="2466"/>
      <c r="HT52" s="2466"/>
      <c r="HU52" s="2466"/>
      <c r="HV52" s="2466"/>
      <c r="HW52" s="2466"/>
      <c r="HX52" s="2466"/>
      <c r="HY52" s="2466"/>
      <c r="HZ52" s="2466"/>
      <c r="IA52" s="2466"/>
      <c r="IB52" s="2466"/>
      <c r="IC52" s="2466"/>
      <c r="ID52" s="2466"/>
      <c r="IE52" s="2466"/>
      <c r="IF52" s="2466"/>
      <c r="IG52" s="2466"/>
      <c r="IH52" s="2466"/>
      <c r="II52" s="2466"/>
      <c r="IJ52" s="2466"/>
      <c r="IK52" s="2466"/>
      <c r="IL52" s="2466"/>
      <c r="IM52" s="2466"/>
      <c r="IN52" s="2466"/>
      <c r="IO52" s="2466"/>
      <c r="IP52" s="2466"/>
      <c r="IQ52" s="2466"/>
      <c r="IR52" s="2466"/>
      <c r="IS52" s="2466"/>
      <c r="IT52" s="2466"/>
      <c r="IU52" s="2466"/>
      <c r="IV52" s="2466"/>
    </row>
    <row r="53" spans="1:256">
      <c r="A53" s="2465"/>
      <c r="B53" s="2465"/>
      <c r="C53" s="2465"/>
      <c r="D53" s="2465"/>
      <c r="E53" s="2465"/>
      <c r="F53" s="2465"/>
      <c r="G53" s="2465"/>
      <c r="H53" s="2465"/>
      <c r="I53" s="2465"/>
      <c r="J53" s="2465"/>
      <c r="K53" s="2465"/>
      <c r="L53" s="2465"/>
      <c r="M53" s="2465"/>
      <c r="N53" s="2465"/>
      <c r="O53" s="2465"/>
      <c r="P53" s="2465"/>
      <c r="Q53" s="2465"/>
      <c r="R53" s="2465"/>
      <c r="S53" s="2465"/>
      <c r="T53" s="2465"/>
      <c r="U53" s="2465"/>
      <c r="V53" s="2465"/>
      <c r="W53" s="2465"/>
      <c r="X53" s="2465"/>
      <c r="Y53" s="2465"/>
      <c r="Z53" s="2465"/>
      <c r="AA53" s="2465"/>
      <c r="AB53" s="2465"/>
      <c r="AC53" s="2465"/>
      <c r="AD53" s="2465"/>
      <c r="AE53" s="2465"/>
      <c r="AF53" s="2465"/>
      <c r="AG53" s="2465"/>
      <c r="AH53" s="2465"/>
      <c r="AI53" s="2465"/>
      <c r="AJ53" s="2465"/>
      <c r="AK53" s="2465"/>
      <c r="AL53" s="2465"/>
      <c r="AM53" s="2465"/>
      <c r="AN53" s="2465"/>
      <c r="AO53" s="2465"/>
      <c r="AP53" s="2465"/>
      <c r="AQ53" s="2465"/>
      <c r="AR53" s="2465"/>
      <c r="AS53" s="2465"/>
      <c r="AT53" s="2465"/>
      <c r="AU53" s="2465"/>
      <c r="AV53" s="2465"/>
      <c r="AW53" s="2465"/>
      <c r="AX53" s="2465"/>
      <c r="AY53" s="2465"/>
      <c r="AZ53" s="2465"/>
      <c r="BA53" s="2465"/>
      <c r="BB53" s="2465"/>
      <c r="BC53" s="2465"/>
      <c r="BD53" s="2465"/>
      <c r="BE53" s="2465"/>
      <c r="BF53" s="2465"/>
      <c r="BG53" s="2465"/>
      <c r="BH53" s="2465"/>
      <c r="BI53" s="2466"/>
      <c r="BJ53" s="2466"/>
      <c r="BK53" s="2466"/>
      <c r="BL53" s="2466"/>
      <c r="BM53" s="2466"/>
      <c r="BN53" s="2466"/>
      <c r="BO53" s="2466"/>
      <c r="BP53" s="2466"/>
      <c r="BQ53" s="2466"/>
      <c r="BR53" s="2466"/>
      <c r="BS53" s="2466"/>
      <c r="BT53" s="2466"/>
      <c r="BU53" s="2466"/>
      <c r="BV53" s="2466"/>
      <c r="BW53" s="2466"/>
      <c r="BX53" s="2466"/>
      <c r="BY53" s="2466"/>
      <c r="BZ53" s="2466"/>
      <c r="CA53" s="2466"/>
      <c r="CB53" s="2466"/>
      <c r="CC53" s="2466"/>
      <c r="CD53" s="2466"/>
      <c r="CE53" s="2466"/>
      <c r="CF53" s="2466"/>
      <c r="CG53" s="2466"/>
      <c r="CH53" s="2466"/>
      <c r="CI53" s="2466"/>
      <c r="CJ53" s="2466"/>
      <c r="CK53" s="2466"/>
      <c r="CL53" s="2466"/>
      <c r="CM53" s="2466"/>
      <c r="CN53" s="2466"/>
      <c r="CO53" s="2466"/>
      <c r="CP53" s="2466"/>
      <c r="CQ53" s="2466"/>
      <c r="CR53" s="2466"/>
      <c r="CS53" s="2466"/>
      <c r="CT53" s="2466"/>
      <c r="CU53" s="2466"/>
      <c r="CV53" s="2466"/>
      <c r="CW53" s="2466"/>
      <c r="CX53" s="2466"/>
      <c r="CY53" s="2466"/>
      <c r="CZ53" s="2466"/>
      <c r="DA53" s="2466"/>
      <c r="DB53" s="2466"/>
      <c r="DC53" s="2466"/>
      <c r="DD53" s="2466"/>
      <c r="DE53" s="2466"/>
      <c r="DF53" s="2466"/>
      <c r="DG53" s="2466"/>
      <c r="DH53" s="2466"/>
      <c r="DI53" s="2466"/>
      <c r="DJ53" s="2466"/>
      <c r="DK53" s="2466"/>
      <c r="DL53" s="2466"/>
      <c r="DM53" s="2466"/>
      <c r="DN53" s="2466"/>
      <c r="DO53" s="2466"/>
      <c r="DP53" s="2466"/>
      <c r="DQ53" s="2466"/>
      <c r="DR53" s="2466"/>
      <c r="DS53" s="2466"/>
      <c r="DT53" s="2466"/>
      <c r="DU53" s="2466"/>
      <c r="DV53" s="2466"/>
      <c r="DW53" s="2466"/>
      <c r="DX53" s="2466"/>
      <c r="DY53" s="2466"/>
      <c r="DZ53" s="2466"/>
      <c r="EA53" s="2466"/>
      <c r="EB53" s="2466"/>
      <c r="EC53" s="2466"/>
      <c r="ED53" s="2466"/>
      <c r="EE53" s="2466"/>
      <c r="EF53" s="2466"/>
      <c r="EG53" s="2466"/>
      <c r="EH53" s="2466"/>
      <c r="EI53" s="2466"/>
      <c r="EJ53" s="2466"/>
      <c r="EK53" s="2466"/>
      <c r="EL53" s="2466"/>
      <c r="EM53" s="2466"/>
      <c r="EN53" s="2466"/>
      <c r="EO53" s="2466"/>
      <c r="EP53" s="2466"/>
      <c r="EQ53" s="2466"/>
      <c r="ER53" s="2466"/>
      <c r="ES53" s="2466"/>
      <c r="ET53" s="2466"/>
      <c r="EU53" s="2466"/>
      <c r="EV53" s="2466"/>
      <c r="EW53" s="2466"/>
      <c r="EX53" s="2466"/>
      <c r="EY53" s="2466"/>
      <c r="EZ53" s="2466"/>
      <c r="FA53" s="2466"/>
      <c r="FB53" s="2466"/>
      <c r="FC53" s="2466"/>
      <c r="FD53" s="2466"/>
      <c r="FE53" s="2466"/>
      <c r="FF53" s="2466"/>
      <c r="FG53" s="2466"/>
      <c r="FH53" s="2466"/>
      <c r="FI53" s="2466"/>
      <c r="FJ53" s="2466"/>
      <c r="FK53" s="2466"/>
      <c r="FL53" s="2466"/>
      <c r="FM53" s="2466"/>
      <c r="FN53" s="2466"/>
      <c r="FO53" s="2466"/>
      <c r="FP53" s="2466"/>
      <c r="FQ53" s="2466"/>
      <c r="FR53" s="2466"/>
      <c r="FS53" s="2466"/>
      <c r="FT53" s="2466"/>
      <c r="FU53" s="2466"/>
      <c r="FV53" s="2466"/>
      <c r="FW53" s="2466"/>
      <c r="FX53" s="2466"/>
      <c r="FY53" s="2466"/>
      <c r="FZ53" s="2466"/>
      <c r="GA53" s="2466"/>
      <c r="GB53" s="2466"/>
      <c r="GC53" s="2466"/>
      <c r="GD53" s="2466"/>
      <c r="GE53" s="2466"/>
      <c r="GF53" s="2466"/>
      <c r="GG53" s="2466"/>
      <c r="GH53" s="2466"/>
      <c r="GI53" s="2466"/>
      <c r="GJ53" s="2466"/>
      <c r="GK53" s="2466"/>
      <c r="GL53" s="2466"/>
      <c r="GM53" s="2466"/>
      <c r="GN53" s="2466"/>
      <c r="GO53" s="2466"/>
      <c r="GP53" s="2466"/>
      <c r="GQ53" s="2466"/>
      <c r="GR53" s="2466"/>
      <c r="GS53" s="2466"/>
      <c r="GT53" s="2466"/>
      <c r="GU53" s="2466"/>
      <c r="GV53" s="2466"/>
      <c r="GW53" s="2466"/>
      <c r="GX53" s="2466"/>
      <c r="GY53" s="2466"/>
      <c r="GZ53" s="2466"/>
      <c r="HA53" s="2466"/>
      <c r="HB53" s="2466"/>
      <c r="HC53" s="2466"/>
      <c r="HD53" s="2466"/>
      <c r="HE53" s="2466"/>
      <c r="HF53" s="2466"/>
      <c r="HG53" s="2466"/>
      <c r="HH53" s="2466"/>
      <c r="HI53" s="2466"/>
      <c r="HJ53" s="2466"/>
      <c r="HK53" s="2466"/>
      <c r="HL53" s="2466"/>
      <c r="HM53" s="2466"/>
      <c r="HN53" s="2466"/>
      <c r="HO53" s="2466"/>
      <c r="HP53" s="2466"/>
      <c r="HQ53" s="2466"/>
      <c r="HR53" s="2466"/>
      <c r="HS53" s="2466"/>
      <c r="HT53" s="2466"/>
      <c r="HU53" s="2466"/>
      <c r="HV53" s="2466"/>
      <c r="HW53" s="2466"/>
      <c r="HX53" s="2466"/>
      <c r="HY53" s="2466"/>
      <c r="HZ53" s="2466"/>
      <c r="IA53" s="2466"/>
      <c r="IB53" s="2466"/>
      <c r="IC53" s="2466"/>
      <c r="ID53" s="2466"/>
      <c r="IE53" s="2466"/>
      <c r="IF53" s="2466"/>
      <c r="IG53" s="2466"/>
      <c r="IH53" s="2466"/>
      <c r="II53" s="2466"/>
      <c r="IJ53" s="2466"/>
      <c r="IK53" s="2466"/>
      <c r="IL53" s="2466"/>
      <c r="IM53" s="2466"/>
      <c r="IN53" s="2466"/>
      <c r="IO53" s="2466"/>
      <c r="IP53" s="2466"/>
      <c r="IQ53" s="2466"/>
      <c r="IR53" s="2466"/>
      <c r="IS53" s="2466"/>
      <c r="IT53" s="2466"/>
      <c r="IU53" s="2466"/>
      <c r="IV53" s="2466"/>
    </row>
    <row r="54" spans="1:256">
      <c r="A54" s="2465"/>
      <c r="B54" s="2465"/>
      <c r="C54" s="2465"/>
      <c r="D54" s="2465"/>
      <c r="E54" s="2465"/>
      <c r="F54" s="2465"/>
      <c r="G54" s="2465"/>
      <c r="H54" s="2465"/>
      <c r="I54" s="2465"/>
      <c r="J54" s="2465"/>
      <c r="K54" s="2465"/>
      <c r="L54" s="2465"/>
      <c r="M54" s="2465"/>
      <c r="N54" s="2465"/>
      <c r="O54" s="2465"/>
      <c r="P54" s="2465"/>
      <c r="Q54" s="2465"/>
      <c r="R54" s="2465"/>
      <c r="S54" s="2465"/>
      <c r="T54" s="2465"/>
      <c r="U54" s="2465"/>
      <c r="V54" s="2465"/>
      <c r="W54" s="2465"/>
      <c r="X54" s="2465"/>
      <c r="Y54" s="2465"/>
      <c r="Z54" s="2465"/>
      <c r="AA54" s="2465"/>
      <c r="AB54" s="2465"/>
      <c r="AC54" s="2465"/>
      <c r="AD54" s="2465"/>
      <c r="AE54" s="2465"/>
      <c r="AF54" s="2465"/>
      <c r="AG54" s="2465"/>
      <c r="AH54" s="2465"/>
      <c r="AI54" s="2465"/>
      <c r="AJ54" s="2465"/>
      <c r="AK54" s="2465"/>
      <c r="AL54" s="2465"/>
      <c r="AM54" s="2465"/>
      <c r="AN54" s="2465"/>
      <c r="AO54" s="2465"/>
      <c r="AP54" s="2465"/>
      <c r="AQ54" s="2465"/>
      <c r="AR54" s="2465"/>
      <c r="AS54" s="2465"/>
      <c r="AT54" s="2465"/>
      <c r="AU54" s="2465"/>
      <c r="AV54" s="2465"/>
      <c r="AW54" s="2465"/>
      <c r="AX54" s="2465"/>
      <c r="AY54" s="2465"/>
      <c r="AZ54" s="2465"/>
      <c r="BA54" s="2465"/>
      <c r="BB54" s="2465"/>
      <c r="BC54" s="2465"/>
      <c r="BD54" s="2465"/>
      <c r="BE54" s="2465"/>
      <c r="BF54" s="2465"/>
      <c r="BG54" s="2465"/>
      <c r="BH54" s="2465"/>
      <c r="BI54" s="2466"/>
      <c r="BJ54" s="2466"/>
      <c r="BK54" s="2466"/>
      <c r="BL54" s="2466"/>
      <c r="BM54" s="2466"/>
      <c r="BN54" s="2466"/>
      <c r="BO54" s="2466"/>
      <c r="BP54" s="2466"/>
      <c r="BQ54" s="2466"/>
      <c r="BR54" s="2466"/>
      <c r="BS54" s="2466"/>
      <c r="BT54" s="2466"/>
      <c r="BU54" s="2466"/>
      <c r="BV54" s="2466"/>
      <c r="BW54" s="2466"/>
      <c r="BX54" s="2466"/>
      <c r="BY54" s="2466"/>
      <c r="BZ54" s="2466"/>
      <c r="CA54" s="2466"/>
      <c r="CB54" s="2466"/>
      <c r="CC54" s="2466"/>
      <c r="CD54" s="2466"/>
      <c r="CE54" s="2466"/>
      <c r="CF54" s="2466"/>
      <c r="CG54" s="2466"/>
      <c r="CH54" s="2466"/>
      <c r="CI54" s="2466"/>
      <c r="CJ54" s="2466"/>
      <c r="CK54" s="2466"/>
      <c r="CL54" s="2466"/>
      <c r="CM54" s="2466"/>
      <c r="CN54" s="2466"/>
      <c r="CO54" s="2466"/>
      <c r="CP54" s="2466"/>
      <c r="CQ54" s="2466"/>
      <c r="CR54" s="2466"/>
      <c r="CS54" s="2466"/>
      <c r="CT54" s="2466"/>
      <c r="CU54" s="2466"/>
      <c r="CV54" s="2466"/>
      <c r="CW54" s="2466"/>
      <c r="CX54" s="2466"/>
      <c r="CY54" s="2466"/>
      <c r="CZ54" s="2466"/>
      <c r="DA54" s="2466"/>
      <c r="DB54" s="2466"/>
      <c r="DC54" s="2466"/>
      <c r="DD54" s="2466"/>
      <c r="DE54" s="2466"/>
      <c r="DF54" s="2466"/>
      <c r="DG54" s="2466"/>
      <c r="DH54" s="2466"/>
      <c r="DI54" s="2466"/>
      <c r="DJ54" s="2466"/>
      <c r="DK54" s="2466"/>
      <c r="DL54" s="2466"/>
      <c r="DM54" s="2466"/>
      <c r="DN54" s="2466"/>
      <c r="DO54" s="2466"/>
      <c r="DP54" s="2466"/>
      <c r="DQ54" s="2466"/>
      <c r="DR54" s="2466"/>
      <c r="DS54" s="2466"/>
      <c r="DT54" s="2466"/>
      <c r="DU54" s="2466"/>
      <c r="DV54" s="2466"/>
      <c r="DW54" s="2466"/>
      <c r="DX54" s="2466"/>
      <c r="DY54" s="2466"/>
      <c r="DZ54" s="2466"/>
      <c r="EA54" s="2466"/>
      <c r="EB54" s="2466"/>
      <c r="EC54" s="2466"/>
      <c r="ED54" s="2466"/>
      <c r="EE54" s="2466"/>
      <c r="EF54" s="2466"/>
      <c r="EG54" s="2466"/>
      <c r="EH54" s="2466"/>
      <c r="EI54" s="2466"/>
      <c r="EJ54" s="2466"/>
      <c r="EK54" s="2466"/>
      <c r="EL54" s="2466"/>
      <c r="EM54" s="2466"/>
      <c r="EN54" s="2466"/>
      <c r="EO54" s="2466"/>
      <c r="EP54" s="2466"/>
      <c r="EQ54" s="2466"/>
      <c r="ER54" s="2466"/>
      <c r="ES54" s="2466"/>
      <c r="ET54" s="2466"/>
      <c r="EU54" s="2466"/>
      <c r="EV54" s="2466"/>
      <c r="EW54" s="2466"/>
      <c r="EX54" s="2466"/>
      <c r="EY54" s="2466"/>
      <c r="EZ54" s="2466"/>
      <c r="FA54" s="2466"/>
      <c r="FB54" s="2466"/>
      <c r="FC54" s="2466"/>
      <c r="FD54" s="2466"/>
      <c r="FE54" s="2466"/>
      <c r="FF54" s="2466"/>
      <c r="FG54" s="2466"/>
      <c r="FH54" s="2466"/>
      <c r="FI54" s="2466"/>
      <c r="FJ54" s="2466"/>
      <c r="FK54" s="2466"/>
      <c r="FL54" s="2466"/>
      <c r="FM54" s="2466"/>
      <c r="FN54" s="2466"/>
      <c r="FO54" s="2466"/>
      <c r="FP54" s="2466"/>
      <c r="FQ54" s="2466"/>
      <c r="FR54" s="2466"/>
      <c r="FS54" s="2466"/>
      <c r="FT54" s="2466"/>
      <c r="FU54" s="2466"/>
      <c r="FV54" s="2466"/>
      <c r="FW54" s="2466"/>
      <c r="FX54" s="2466"/>
      <c r="FY54" s="2466"/>
      <c r="FZ54" s="2466"/>
      <c r="GA54" s="2466"/>
      <c r="GB54" s="2466"/>
      <c r="GC54" s="2466"/>
      <c r="GD54" s="2466"/>
      <c r="GE54" s="2466"/>
      <c r="GF54" s="2466"/>
      <c r="GG54" s="2466"/>
      <c r="GH54" s="2466"/>
      <c r="GI54" s="2466"/>
      <c r="GJ54" s="2466"/>
      <c r="GK54" s="2466"/>
      <c r="GL54" s="2466"/>
      <c r="GM54" s="2466"/>
      <c r="GN54" s="2466"/>
      <c r="GO54" s="2466"/>
      <c r="GP54" s="2466"/>
      <c r="GQ54" s="2466"/>
      <c r="GR54" s="2466"/>
      <c r="GS54" s="2466"/>
      <c r="GT54" s="2466"/>
      <c r="GU54" s="2466"/>
      <c r="GV54" s="2466"/>
      <c r="GW54" s="2466"/>
      <c r="GX54" s="2466"/>
      <c r="GY54" s="2466"/>
      <c r="GZ54" s="2466"/>
      <c r="HA54" s="2466"/>
      <c r="HB54" s="2466"/>
      <c r="HC54" s="2466"/>
      <c r="HD54" s="2466"/>
      <c r="HE54" s="2466"/>
      <c r="HF54" s="2466"/>
      <c r="HG54" s="2466"/>
      <c r="HH54" s="2466"/>
      <c r="HI54" s="2466"/>
      <c r="HJ54" s="2466"/>
      <c r="HK54" s="2466"/>
      <c r="HL54" s="2466"/>
      <c r="HM54" s="2466"/>
      <c r="HN54" s="2466"/>
      <c r="HO54" s="2466"/>
      <c r="HP54" s="2466"/>
      <c r="HQ54" s="2466"/>
      <c r="HR54" s="2466"/>
      <c r="HS54" s="2466"/>
      <c r="HT54" s="2466"/>
      <c r="HU54" s="2466"/>
      <c r="HV54" s="2466"/>
      <c r="HW54" s="2466"/>
      <c r="HX54" s="2466"/>
      <c r="HY54" s="2466"/>
      <c r="HZ54" s="2466"/>
      <c r="IA54" s="2466"/>
      <c r="IB54" s="2466"/>
      <c r="IC54" s="2466"/>
      <c r="ID54" s="2466"/>
      <c r="IE54" s="2466"/>
      <c r="IF54" s="2466"/>
      <c r="IG54" s="2466"/>
      <c r="IH54" s="2466"/>
      <c r="II54" s="2466"/>
      <c r="IJ54" s="2466"/>
      <c r="IK54" s="2466"/>
      <c r="IL54" s="2466"/>
      <c r="IM54" s="2466"/>
      <c r="IN54" s="2466"/>
      <c r="IO54" s="2466"/>
      <c r="IP54" s="2466"/>
      <c r="IQ54" s="2466"/>
      <c r="IR54" s="2466"/>
      <c r="IS54" s="2466"/>
      <c r="IT54" s="2466"/>
      <c r="IU54" s="2466"/>
      <c r="IV54" s="2466"/>
    </row>
    <row r="55" spans="1:256">
      <c r="A55" s="2465"/>
      <c r="B55" s="2465"/>
      <c r="C55" s="2465"/>
      <c r="D55" s="2465"/>
      <c r="E55" s="2465"/>
      <c r="F55" s="2465"/>
      <c r="G55" s="2465"/>
      <c r="H55" s="2465"/>
      <c r="I55" s="2465"/>
      <c r="J55" s="2465"/>
      <c r="K55" s="2465"/>
      <c r="L55" s="2465"/>
      <c r="M55" s="2465"/>
      <c r="N55" s="2465"/>
      <c r="O55" s="2465"/>
      <c r="P55" s="2465"/>
      <c r="Q55" s="2465"/>
      <c r="R55" s="2465"/>
      <c r="S55" s="2465"/>
      <c r="T55" s="2465"/>
      <c r="U55" s="2465"/>
      <c r="V55" s="2465"/>
      <c r="W55" s="2465"/>
      <c r="X55" s="2465"/>
      <c r="Y55" s="2465"/>
      <c r="Z55" s="2465"/>
      <c r="AA55" s="2465"/>
      <c r="AB55" s="2465"/>
      <c r="AC55" s="2465"/>
      <c r="AD55" s="2465"/>
      <c r="AE55" s="2465"/>
      <c r="AF55" s="2465"/>
      <c r="AG55" s="2465"/>
      <c r="AH55" s="2465"/>
      <c r="AI55" s="2465"/>
      <c r="AJ55" s="2465"/>
      <c r="AK55" s="2465"/>
      <c r="AL55" s="2465"/>
      <c r="AM55" s="2465"/>
      <c r="AN55" s="2465"/>
      <c r="AO55" s="2465"/>
      <c r="AP55" s="2465"/>
      <c r="AQ55" s="2465"/>
      <c r="AR55" s="2465"/>
      <c r="AS55" s="2465"/>
      <c r="AT55" s="2465"/>
      <c r="AU55" s="2465"/>
      <c r="AV55" s="2465"/>
      <c r="AW55" s="2465"/>
      <c r="AX55" s="2465"/>
      <c r="AY55" s="2465"/>
      <c r="AZ55" s="2465"/>
      <c r="BA55" s="2465"/>
      <c r="BB55" s="2465"/>
      <c r="BC55" s="2465"/>
      <c r="BD55" s="2465"/>
      <c r="BE55" s="2465"/>
      <c r="BF55" s="2465"/>
      <c r="BG55" s="2465"/>
      <c r="BH55" s="2465"/>
      <c r="BI55" s="2466"/>
      <c r="BJ55" s="2466"/>
      <c r="BK55" s="2466"/>
      <c r="BL55" s="2466"/>
      <c r="BM55" s="2466"/>
      <c r="BN55" s="2466"/>
      <c r="BO55" s="2466"/>
      <c r="BP55" s="2466"/>
      <c r="BQ55" s="2466"/>
      <c r="BR55" s="2466"/>
      <c r="BS55" s="2466"/>
      <c r="BT55" s="2466"/>
      <c r="BU55" s="2466"/>
      <c r="BV55" s="2466"/>
      <c r="BW55" s="2466"/>
      <c r="BX55" s="2466"/>
      <c r="BY55" s="2466"/>
      <c r="BZ55" s="2466"/>
      <c r="CA55" s="2466"/>
      <c r="CB55" s="2466"/>
      <c r="CC55" s="2466"/>
      <c r="CD55" s="2466"/>
      <c r="CE55" s="2466"/>
      <c r="CF55" s="2466"/>
      <c r="CG55" s="2466"/>
      <c r="CH55" s="2466"/>
      <c r="CI55" s="2466"/>
      <c r="CJ55" s="2466"/>
      <c r="CK55" s="2466"/>
      <c r="CL55" s="2466"/>
      <c r="CM55" s="2466"/>
      <c r="CN55" s="2466"/>
      <c r="CO55" s="2466"/>
      <c r="CP55" s="2466"/>
      <c r="CQ55" s="2466"/>
      <c r="CR55" s="2466"/>
      <c r="CS55" s="2466"/>
      <c r="CT55" s="2466"/>
      <c r="CU55" s="2466"/>
      <c r="CV55" s="2466"/>
      <c r="CW55" s="2466"/>
      <c r="CX55" s="2466"/>
      <c r="CY55" s="2466"/>
      <c r="CZ55" s="2466"/>
      <c r="DA55" s="2466"/>
      <c r="DB55" s="2466"/>
      <c r="DC55" s="2466"/>
      <c r="DD55" s="2466"/>
      <c r="DE55" s="2466"/>
      <c r="DF55" s="2466"/>
      <c r="DG55" s="2466"/>
      <c r="DH55" s="2466"/>
      <c r="DI55" s="2466"/>
      <c r="DJ55" s="2466"/>
      <c r="DK55" s="2466"/>
      <c r="DL55" s="2466"/>
      <c r="DM55" s="2466"/>
      <c r="DN55" s="2466"/>
      <c r="DO55" s="2466"/>
      <c r="DP55" s="2466"/>
      <c r="DQ55" s="2466"/>
      <c r="DR55" s="2466"/>
      <c r="DS55" s="2466"/>
      <c r="DT55" s="2466"/>
      <c r="DU55" s="2466"/>
      <c r="DV55" s="2466"/>
      <c r="DW55" s="2466"/>
      <c r="DX55" s="2466"/>
      <c r="DY55" s="2466"/>
      <c r="DZ55" s="2466"/>
      <c r="EA55" s="2466"/>
      <c r="EB55" s="2466"/>
      <c r="EC55" s="2466"/>
      <c r="ED55" s="2466"/>
      <c r="EE55" s="2466"/>
      <c r="EF55" s="2466"/>
      <c r="EG55" s="2466"/>
      <c r="EH55" s="2466"/>
      <c r="EI55" s="2466"/>
      <c r="EJ55" s="2466"/>
      <c r="EK55" s="2466"/>
      <c r="EL55" s="2466"/>
      <c r="EM55" s="2466"/>
      <c r="EN55" s="2466"/>
      <c r="EO55" s="2466"/>
      <c r="EP55" s="2466"/>
      <c r="EQ55" s="2466"/>
      <c r="ER55" s="2466"/>
      <c r="ES55" s="2466"/>
      <c r="ET55" s="2466"/>
      <c r="EU55" s="2466"/>
      <c r="EV55" s="2466"/>
      <c r="EW55" s="2466"/>
      <c r="EX55" s="2466"/>
      <c r="EY55" s="2466"/>
      <c r="EZ55" s="2466"/>
      <c r="FA55" s="2466"/>
      <c r="FB55" s="2466"/>
      <c r="FC55" s="2466"/>
      <c r="FD55" s="2466"/>
      <c r="FE55" s="2466"/>
      <c r="FF55" s="2466"/>
      <c r="FG55" s="2466"/>
      <c r="FH55" s="2466"/>
      <c r="FI55" s="2466"/>
      <c r="FJ55" s="2466"/>
      <c r="FK55" s="2466"/>
      <c r="FL55" s="2466"/>
      <c r="FM55" s="2466"/>
      <c r="FN55" s="2466"/>
      <c r="FO55" s="2466"/>
      <c r="FP55" s="2466"/>
      <c r="FQ55" s="2466"/>
      <c r="FR55" s="2466"/>
      <c r="FS55" s="2466"/>
      <c r="FT55" s="2466"/>
      <c r="FU55" s="2466"/>
      <c r="FV55" s="2466"/>
      <c r="FW55" s="2466"/>
      <c r="FX55" s="2466"/>
      <c r="FY55" s="2466"/>
      <c r="FZ55" s="2466"/>
      <c r="GA55" s="2466"/>
      <c r="GB55" s="2466"/>
      <c r="GC55" s="2466"/>
      <c r="GD55" s="2466"/>
      <c r="GE55" s="2466"/>
      <c r="GF55" s="2466"/>
      <c r="GG55" s="2466"/>
      <c r="GH55" s="2466"/>
      <c r="GI55" s="2466"/>
      <c r="GJ55" s="2466"/>
      <c r="GK55" s="2466"/>
      <c r="GL55" s="2466"/>
      <c r="GM55" s="2466"/>
      <c r="GN55" s="2466"/>
      <c r="GO55" s="2466"/>
      <c r="GP55" s="2466"/>
      <c r="GQ55" s="2466"/>
      <c r="GR55" s="2466"/>
      <c r="GS55" s="2466"/>
      <c r="GT55" s="2466"/>
      <c r="GU55" s="2466"/>
      <c r="GV55" s="2466"/>
      <c r="GW55" s="2466"/>
      <c r="GX55" s="2466"/>
      <c r="GY55" s="2466"/>
      <c r="GZ55" s="2466"/>
      <c r="HA55" s="2466"/>
      <c r="HB55" s="2466"/>
      <c r="HC55" s="2466"/>
      <c r="HD55" s="2466"/>
      <c r="HE55" s="2466"/>
      <c r="HF55" s="2466"/>
      <c r="HG55" s="2466"/>
      <c r="HH55" s="2466"/>
      <c r="HI55" s="2466"/>
      <c r="HJ55" s="2466"/>
      <c r="HK55" s="2466"/>
      <c r="HL55" s="2466"/>
      <c r="HM55" s="2466"/>
      <c r="HN55" s="2466"/>
      <c r="HO55" s="2466"/>
      <c r="HP55" s="2466"/>
      <c r="HQ55" s="2466"/>
      <c r="HR55" s="2466"/>
      <c r="HS55" s="2466"/>
      <c r="HT55" s="2466"/>
      <c r="HU55" s="2466"/>
      <c r="HV55" s="2466"/>
      <c r="HW55" s="2466"/>
      <c r="HX55" s="2466"/>
      <c r="HY55" s="2466"/>
      <c r="HZ55" s="2466"/>
      <c r="IA55" s="2466"/>
      <c r="IB55" s="2466"/>
      <c r="IC55" s="2466"/>
      <c r="ID55" s="2466"/>
      <c r="IE55" s="2466"/>
      <c r="IF55" s="2466"/>
      <c r="IG55" s="2466"/>
      <c r="IH55" s="2466"/>
      <c r="II55" s="2466"/>
      <c r="IJ55" s="2466"/>
      <c r="IK55" s="2466"/>
      <c r="IL55" s="2466"/>
      <c r="IM55" s="2466"/>
      <c r="IN55" s="2466"/>
      <c r="IO55" s="2466"/>
      <c r="IP55" s="2466"/>
      <c r="IQ55" s="2466"/>
      <c r="IR55" s="2466"/>
      <c r="IS55" s="2466"/>
      <c r="IT55" s="2466"/>
      <c r="IU55" s="2466"/>
      <c r="IV55" s="2466"/>
    </row>
    <row r="56" spans="1:256">
      <c r="A56" s="2465"/>
      <c r="B56" s="2465"/>
      <c r="C56" s="2465"/>
      <c r="D56" s="2465"/>
      <c r="E56" s="2465"/>
      <c r="F56" s="2465"/>
      <c r="G56" s="2465"/>
      <c r="H56" s="2465"/>
      <c r="I56" s="2465"/>
      <c r="J56" s="2465"/>
      <c r="K56" s="2465"/>
      <c r="L56" s="2465"/>
      <c r="M56" s="2465"/>
      <c r="N56" s="2465"/>
      <c r="O56" s="2465"/>
      <c r="P56" s="2465"/>
      <c r="Q56" s="2465"/>
      <c r="R56" s="2465"/>
      <c r="S56" s="2465"/>
      <c r="T56" s="2465"/>
      <c r="U56" s="2465"/>
      <c r="V56" s="2465"/>
      <c r="W56" s="2465"/>
      <c r="X56" s="2465"/>
      <c r="Y56" s="2465"/>
      <c r="Z56" s="2465"/>
      <c r="AA56" s="2465"/>
      <c r="AB56" s="2465"/>
      <c r="AC56" s="2465"/>
      <c r="AD56" s="2465"/>
      <c r="AE56" s="2465"/>
      <c r="AF56" s="2465"/>
      <c r="AG56" s="2465"/>
      <c r="AH56" s="2465"/>
      <c r="AI56" s="2465"/>
      <c r="AJ56" s="2465"/>
      <c r="AK56" s="2465"/>
      <c r="AL56" s="2465"/>
      <c r="AM56" s="2465"/>
      <c r="AN56" s="2465"/>
      <c r="AO56" s="2465"/>
      <c r="AP56" s="2465"/>
      <c r="AQ56" s="2465"/>
      <c r="AR56" s="2465"/>
      <c r="AS56" s="2465"/>
      <c r="AT56" s="2465"/>
      <c r="AU56" s="2465"/>
      <c r="AV56" s="2465"/>
      <c r="AW56" s="2465"/>
      <c r="AX56" s="2465"/>
      <c r="AY56" s="2465"/>
      <c r="AZ56" s="2465"/>
      <c r="BA56" s="2465"/>
      <c r="BB56" s="2465"/>
      <c r="BC56" s="2465"/>
      <c r="BD56" s="2465"/>
      <c r="BE56" s="2465"/>
      <c r="BF56" s="2465"/>
      <c r="BG56" s="2465"/>
      <c r="BH56" s="2465"/>
      <c r="BI56" s="2466"/>
      <c r="BJ56" s="2466"/>
      <c r="BK56" s="2466"/>
      <c r="BL56" s="2466"/>
      <c r="BM56" s="2466"/>
      <c r="BN56" s="2466"/>
      <c r="BO56" s="2466"/>
      <c r="BP56" s="2466"/>
      <c r="BQ56" s="2466"/>
      <c r="BR56" s="2466"/>
      <c r="BS56" s="2466"/>
      <c r="BT56" s="2466"/>
      <c r="BU56" s="2466"/>
      <c r="BV56" s="2466"/>
      <c r="BW56" s="2466"/>
      <c r="BX56" s="2466"/>
      <c r="BY56" s="2466"/>
      <c r="BZ56" s="2466"/>
      <c r="CA56" s="2466"/>
      <c r="CB56" s="2466"/>
      <c r="CC56" s="2466"/>
      <c r="CD56" s="2466"/>
      <c r="CE56" s="2466"/>
      <c r="CF56" s="2466"/>
      <c r="CG56" s="2466"/>
      <c r="CH56" s="2466"/>
      <c r="CI56" s="2466"/>
      <c r="CJ56" s="2466"/>
      <c r="CK56" s="2466"/>
      <c r="CL56" s="2466"/>
      <c r="CM56" s="2466"/>
      <c r="CN56" s="2466"/>
      <c r="CO56" s="2466"/>
      <c r="CP56" s="2466"/>
      <c r="CQ56" s="2466"/>
      <c r="CR56" s="2466"/>
      <c r="CS56" s="2466"/>
      <c r="CT56" s="2466"/>
      <c r="CU56" s="2466"/>
      <c r="CV56" s="2466"/>
      <c r="CW56" s="2466"/>
      <c r="CX56" s="2466"/>
      <c r="CY56" s="2466"/>
      <c r="CZ56" s="2466"/>
      <c r="DA56" s="2466"/>
      <c r="DB56" s="2466"/>
      <c r="DC56" s="2466"/>
      <c r="DD56" s="2466"/>
      <c r="DE56" s="2466"/>
      <c r="DF56" s="2466"/>
      <c r="DG56" s="2466"/>
      <c r="DH56" s="2466"/>
      <c r="DI56" s="2466"/>
      <c r="DJ56" s="2466"/>
      <c r="DK56" s="2466"/>
      <c r="DL56" s="2466"/>
      <c r="DM56" s="2466"/>
      <c r="DN56" s="2466"/>
      <c r="DO56" s="2466"/>
      <c r="DP56" s="2466"/>
      <c r="DQ56" s="2466"/>
      <c r="DR56" s="2466"/>
      <c r="DS56" s="2466"/>
      <c r="DT56" s="2466"/>
      <c r="DU56" s="2466"/>
      <c r="DV56" s="2466"/>
      <c r="DW56" s="2466"/>
      <c r="DX56" s="2466"/>
      <c r="DY56" s="2466"/>
      <c r="DZ56" s="2466"/>
      <c r="EA56" s="2466"/>
      <c r="EB56" s="2466"/>
      <c r="EC56" s="2466"/>
      <c r="ED56" s="2466"/>
      <c r="EE56" s="2466"/>
      <c r="EF56" s="2466"/>
      <c r="EG56" s="2466"/>
      <c r="EH56" s="2466"/>
      <c r="EI56" s="2466"/>
      <c r="EJ56" s="2466"/>
      <c r="EK56" s="2466"/>
      <c r="EL56" s="2466"/>
      <c r="EM56" s="2466"/>
      <c r="EN56" s="2466"/>
      <c r="EO56" s="2466"/>
      <c r="EP56" s="2466"/>
      <c r="EQ56" s="2466"/>
      <c r="ER56" s="2466"/>
      <c r="ES56" s="2466"/>
      <c r="ET56" s="2466"/>
      <c r="EU56" s="2466"/>
      <c r="EV56" s="2466"/>
      <c r="EW56" s="2466"/>
      <c r="EX56" s="2466"/>
      <c r="EY56" s="2466"/>
      <c r="EZ56" s="2466"/>
      <c r="FA56" s="2466"/>
      <c r="FB56" s="2466"/>
      <c r="FC56" s="2466"/>
      <c r="FD56" s="2466"/>
      <c r="FE56" s="2466"/>
      <c r="FF56" s="2466"/>
      <c r="FG56" s="2466"/>
      <c r="FH56" s="2466"/>
      <c r="FI56" s="2466"/>
      <c r="FJ56" s="2466"/>
      <c r="FK56" s="2466"/>
      <c r="FL56" s="2466"/>
      <c r="FM56" s="2466"/>
      <c r="FN56" s="2466"/>
      <c r="FO56" s="2466"/>
      <c r="FP56" s="2466"/>
      <c r="FQ56" s="2466"/>
      <c r="FR56" s="2466"/>
      <c r="FS56" s="2466"/>
      <c r="FT56" s="2466"/>
      <c r="FU56" s="2466"/>
      <c r="FV56" s="2466"/>
      <c r="FW56" s="2466"/>
      <c r="FX56" s="2466"/>
      <c r="FY56" s="2466"/>
      <c r="FZ56" s="2466"/>
      <c r="GA56" s="2466"/>
      <c r="GB56" s="2466"/>
      <c r="GC56" s="2466"/>
      <c r="GD56" s="2466"/>
      <c r="GE56" s="2466"/>
      <c r="GF56" s="2466"/>
      <c r="GG56" s="2466"/>
      <c r="GH56" s="2466"/>
      <c r="GI56" s="2466"/>
      <c r="GJ56" s="2466"/>
      <c r="GK56" s="2466"/>
      <c r="GL56" s="2466"/>
      <c r="GM56" s="2466"/>
      <c r="GN56" s="2466"/>
      <c r="GO56" s="2466"/>
      <c r="GP56" s="2466"/>
      <c r="GQ56" s="2466"/>
      <c r="GR56" s="2466"/>
      <c r="GS56" s="2466"/>
      <c r="GT56" s="2466"/>
      <c r="GU56" s="2466"/>
      <c r="GV56" s="2466"/>
      <c r="GW56" s="2466"/>
      <c r="GX56" s="2466"/>
      <c r="GY56" s="2466"/>
      <c r="GZ56" s="2466"/>
      <c r="HA56" s="2466"/>
      <c r="HB56" s="2466"/>
      <c r="HC56" s="2466"/>
      <c r="HD56" s="2466"/>
      <c r="HE56" s="2466"/>
      <c r="HF56" s="2466"/>
      <c r="HG56" s="2466"/>
      <c r="HH56" s="2466"/>
      <c r="HI56" s="2466"/>
      <c r="HJ56" s="2466"/>
      <c r="HK56" s="2466"/>
      <c r="HL56" s="2466"/>
      <c r="HM56" s="2466"/>
      <c r="HN56" s="2466"/>
      <c r="HO56" s="2466"/>
      <c r="HP56" s="2466"/>
      <c r="HQ56" s="2466"/>
      <c r="HR56" s="2466"/>
      <c r="HS56" s="2466"/>
      <c r="HT56" s="2466"/>
      <c r="HU56" s="2466"/>
      <c r="HV56" s="2466"/>
      <c r="HW56" s="2466"/>
      <c r="HX56" s="2466"/>
      <c r="HY56" s="2466"/>
      <c r="HZ56" s="2466"/>
      <c r="IA56" s="2466"/>
      <c r="IB56" s="2466"/>
      <c r="IC56" s="2466"/>
      <c r="ID56" s="2466"/>
      <c r="IE56" s="2466"/>
      <c r="IF56" s="2466"/>
      <c r="IG56" s="2466"/>
      <c r="IH56" s="2466"/>
      <c r="II56" s="2466"/>
      <c r="IJ56" s="2466"/>
      <c r="IK56" s="2466"/>
      <c r="IL56" s="2466"/>
      <c r="IM56" s="2466"/>
      <c r="IN56" s="2466"/>
      <c r="IO56" s="2466"/>
      <c r="IP56" s="2466"/>
      <c r="IQ56" s="2466"/>
      <c r="IR56" s="2466"/>
      <c r="IS56" s="2466"/>
      <c r="IT56" s="2466"/>
      <c r="IU56" s="2466"/>
      <c r="IV56" s="2466"/>
    </row>
    <row r="57" spans="1:256">
      <c r="A57" s="2465"/>
      <c r="B57" s="2465"/>
      <c r="C57" s="2465"/>
      <c r="D57" s="2465"/>
      <c r="E57" s="2465"/>
      <c r="F57" s="2465"/>
      <c r="G57" s="2465"/>
      <c r="H57" s="2465"/>
      <c r="I57" s="2465"/>
      <c r="J57" s="2465"/>
      <c r="K57" s="2465"/>
      <c r="L57" s="2465"/>
      <c r="M57" s="2465"/>
      <c r="N57" s="2465"/>
      <c r="O57" s="2465"/>
      <c r="P57" s="2465"/>
      <c r="Q57" s="2465"/>
      <c r="R57" s="2465"/>
      <c r="S57" s="2465"/>
      <c r="T57" s="2465"/>
      <c r="U57" s="2465"/>
      <c r="V57" s="2465"/>
      <c r="W57" s="2465"/>
      <c r="X57" s="2465"/>
      <c r="Y57" s="2465"/>
      <c r="Z57" s="2465"/>
      <c r="AA57" s="2465"/>
      <c r="AB57" s="2465"/>
      <c r="AC57" s="2465"/>
      <c r="AD57" s="2465"/>
      <c r="AE57" s="2465"/>
      <c r="AF57" s="2465"/>
      <c r="AG57" s="2465"/>
      <c r="AH57" s="2465"/>
      <c r="AI57" s="2465"/>
      <c r="AJ57" s="2465"/>
      <c r="AK57" s="2465"/>
      <c r="AL57" s="2465"/>
      <c r="AM57" s="2465"/>
      <c r="AN57" s="2465"/>
      <c r="AO57" s="2465"/>
      <c r="AP57" s="2465"/>
      <c r="AQ57" s="2465"/>
      <c r="AR57" s="2465"/>
      <c r="AS57" s="2465"/>
      <c r="AT57" s="2465"/>
      <c r="AU57" s="2465"/>
      <c r="AV57" s="2465"/>
      <c r="AW57" s="2465"/>
      <c r="AX57" s="2465"/>
      <c r="AY57" s="2465"/>
      <c r="AZ57" s="2465"/>
      <c r="BA57" s="2465"/>
      <c r="BB57" s="2465"/>
      <c r="BC57" s="2465"/>
      <c r="BD57" s="2465"/>
      <c r="BE57" s="2465"/>
      <c r="BF57" s="2465"/>
      <c r="BG57" s="2465"/>
      <c r="BH57" s="2465"/>
      <c r="BI57" s="2466"/>
      <c r="BJ57" s="2466"/>
      <c r="BK57" s="2466"/>
      <c r="BL57" s="2466"/>
      <c r="BM57" s="2466"/>
      <c r="BN57" s="2466"/>
      <c r="BO57" s="2466"/>
      <c r="BP57" s="2466"/>
      <c r="BQ57" s="2466"/>
      <c r="BR57" s="2466"/>
      <c r="BS57" s="2466"/>
      <c r="BT57" s="2466"/>
      <c r="BU57" s="2466"/>
      <c r="BV57" s="2466"/>
      <c r="BW57" s="2466"/>
      <c r="BX57" s="2466"/>
      <c r="BY57" s="2466"/>
      <c r="BZ57" s="2466"/>
      <c r="CA57" s="2466"/>
      <c r="CB57" s="2466"/>
      <c r="CC57" s="2466"/>
      <c r="CD57" s="2466"/>
      <c r="CE57" s="2466"/>
      <c r="CF57" s="2466"/>
      <c r="CG57" s="2466"/>
      <c r="CH57" s="2466"/>
      <c r="CI57" s="2466"/>
      <c r="CJ57" s="2466"/>
      <c r="CK57" s="2466"/>
      <c r="CL57" s="2466"/>
      <c r="CM57" s="2466"/>
      <c r="CN57" s="2466"/>
      <c r="CO57" s="2466"/>
      <c r="CP57" s="2466"/>
      <c r="CQ57" s="2466"/>
      <c r="CR57" s="2466"/>
      <c r="CS57" s="2466"/>
      <c r="CT57" s="2466"/>
      <c r="CU57" s="2466"/>
      <c r="CV57" s="2466"/>
      <c r="CW57" s="2466"/>
      <c r="CX57" s="2466"/>
      <c r="CY57" s="2466"/>
      <c r="CZ57" s="2466"/>
      <c r="DA57" s="2466"/>
      <c r="DB57" s="2466"/>
      <c r="DC57" s="2466"/>
      <c r="DD57" s="2466"/>
      <c r="DE57" s="2466"/>
      <c r="DF57" s="2466"/>
      <c r="DG57" s="2466"/>
      <c r="DH57" s="2466"/>
      <c r="DI57" s="2466"/>
      <c r="DJ57" s="2466"/>
      <c r="DK57" s="2466"/>
      <c r="DL57" s="2466"/>
      <c r="DM57" s="2466"/>
      <c r="DN57" s="2466"/>
      <c r="DO57" s="2466"/>
      <c r="DP57" s="2466"/>
      <c r="DQ57" s="2466"/>
      <c r="DR57" s="2466"/>
      <c r="DS57" s="2466"/>
      <c r="DT57" s="2466"/>
      <c r="DU57" s="2466"/>
      <c r="DV57" s="2466"/>
      <c r="DW57" s="2466"/>
      <c r="DX57" s="2466"/>
      <c r="DY57" s="2466"/>
      <c r="DZ57" s="2466"/>
      <c r="EA57" s="2466"/>
      <c r="EB57" s="2466"/>
      <c r="EC57" s="2466"/>
      <c r="ED57" s="2466"/>
      <c r="EE57" s="2466"/>
      <c r="EF57" s="2466"/>
      <c r="EG57" s="2466"/>
      <c r="EH57" s="2466"/>
      <c r="EI57" s="2466"/>
      <c r="EJ57" s="2466"/>
      <c r="EK57" s="2466"/>
      <c r="EL57" s="2466"/>
      <c r="EM57" s="2466"/>
      <c r="EN57" s="2466"/>
      <c r="EO57" s="2466"/>
      <c r="EP57" s="2466"/>
      <c r="EQ57" s="2466"/>
      <c r="ER57" s="2466"/>
      <c r="ES57" s="2466"/>
      <c r="ET57" s="2466"/>
      <c r="EU57" s="2466"/>
      <c r="EV57" s="2466"/>
      <c r="EW57" s="2466"/>
      <c r="EX57" s="2466"/>
      <c r="EY57" s="2466"/>
      <c r="EZ57" s="2466"/>
      <c r="FA57" s="2466"/>
      <c r="FB57" s="2466"/>
      <c r="FC57" s="2466"/>
      <c r="FD57" s="2466"/>
      <c r="FE57" s="2466"/>
      <c r="FF57" s="2466"/>
      <c r="FG57" s="2466"/>
      <c r="FH57" s="2466"/>
      <c r="FI57" s="2466"/>
      <c r="FJ57" s="2466"/>
      <c r="FK57" s="2466"/>
      <c r="FL57" s="2466"/>
      <c r="FM57" s="2466"/>
      <c r="FN57" s="2466"/>
      <c r="FO57" s="2466"/>
      <c r="FP57" s="2466"/>
      <c r="FQ57" s="2466"/>
      <c r="FR57" s="2466"/>
      <c r="FS57" s="2466"/>
      <c r="FT57" s="2466"/>
      <c r="FU57" s="2466"/>
      <c r="FV57" s="2466"/>
      <c r="FW57" s="2466"/>
      <c r="FX57" s="2466"/>
      <c r="FY57" s="2466"/>
      <c r="FZ57" s="2466"/>
      <c r="GA57" s="2466"/>
      <c r="GB57" s="2466"/>
      <c r="GC57" s="2466"/>
      <c r="GD57" s="2466"/>
      <c r="GE57" s="2466"/>
      <c r="GF57" s="2466"/>
      <c r="GG57" s="2466"/>
      <c r="GH57" s="2466"/>
      <c r="GI57" s="2466"/>
      <c r="GJ57" s="2466"/>
      <c r="GK57" s="2466"/>
      <c r="GL57" s="2466"/>
      <c r="GM57" s="2466"/>
      <c r="GN57" s="2466"/>
      <c r="GO57" s="2466"/>
      <c r="GP57" s="2466"/>
      <c r="GQ57" s="2466"/>
      <c r="GR57" s="2466"/>
      <c r="GS57" s="2466"/>
      <c r="GT57" s="2466"/>
      <c r="GU57" s="2466"/>
      <c r="GV57" s="2466"/>
      <c r="GW57" s="2466"/>
      <c r="GX57" s="2466"/>
      <c r="GY57" s="2466"/>
      <c r="GZ57" s="2466"/>
      <c r="HA57" s="2466"/>
      <c r="HB57" s="2466"/>
      <c r="HC57" s="2466"/>
      <c r="HD57" s="2466"/>
      <c r="HE57" s="2466"/>
      <c r="HF57" s="2466"/>
      <c r="HG57" s="2466"/>
      <c r="HH57" s="2466"/>
      <c r="HI57" s="2466"/>
      <c r="HJ57" s="2466"/>
      <c r="HK57" s="2466"/>
      <c r="HL57" s="2466"/>
      <c r="HM57" s="2466"/>
      <c r="HN57" s="2466"/>
      <c r="HO57" s="2466"/>
      <c r="HP57" s="2466"/>
      <c r="HQ57" s="2466"/>
      <c r="HR57" s="2466"/>
      <c r="HS57" s="2466"/>
      <c r="HT57" s="2466"/>
      <c r="HU57" s="2466"/>
      <c r="HV57" s="2466"/>
      <c r="HW57" s="2466"/>
      <c r="HX57" s="2466"/>
      <c r="HY57" s="2466"/>
      <c r="HZ57" s="2466"/>
      <c r="IA57" s="2466"/>
      <c r="IB57" s="2466"/>
      <c r="IC57" s="2466"/>
      <c r="ID57" s="2466"/>
      <c r="IE57" s="2466"/>
      <c r="IF57" s="2466"/>
      <c r="IG57" s="2466"/>
      <c r="IH57" s="2466"/>
      <c r="II57" s="2466"/>
      <c r="IJ57" s="2466"/>
      <c r="IK57" s="2466"/>
      <c r="IL57" s="2466"/>
      <c r="IM57" s="2466"/>
      <c r="IN57" s="2466"/>
      <c r="IO57" s="2466"/>
      <c r="IP57" s="2466"/>
      <c r="IQ57" s="2466"/>
      <c r="IR57" s="2466"/>
      <c r="IS57" s="2466"/>
      <c r="IT57" s="2466"/>
      <c r="IU57" s="2466"/>
      <c r="IV57" s="2466"/>
    </row>
    <row r="58" spans="1:256">
      <c r="A58" s="2465"/>
      <c r="B58" s="2465"/>
      <c r="C58" s="2465"/>
      <c r="D58" s="2465"/>
      <c r="E58" s="2465"/>
      <c r="F58" s="2465"/>
      <c r="G58" s="2465"/>
      <c r="H58" s="2465"/>
      <c r="I58" s="2465"/>
      <c r="J58" s="2465"/>
      <c r="K58" s="2465"/>
      <c r="L58" s="2465"/>
      <c r="M58" s="2465"/>
      <c r="N58" s="2465"/>
      <c r="O58" s="2465"/>
      <c r="P58" s="2465"/>
      <c r="Q58" s="2465"/>
      <c r="R58" s="2465"/>
      <c r="S58" s="2465"/>
      <c r="T58" s="2465"/>
      <c r="U58" s="2465"/>
      <c r="V58" s="2465"/>
      <c r="W58" s="2465"/>
      <c r="X58" s="2465"/>
      <c r="Y58" s="2465"/>
      <c r="Z58" s="2465"/>
      <c r="AA58" s="2465"/>
      <c r="AB58" s="2465"/>
      <c r="AC58" s="2465"/>
      <c r="AD58" s="2465"/>
      <c r="AE58" s="2465"/>
      <c r="AF58" s="2465"/>
      <c r="AG58" s="2465"/>
      <c r="AH58" s="2465"/>
      <c r="AI58" s="2465"/>
      <c r="AJ58" s="2465"/>
      <c r="AK58" s="2465"/>
      <c r="AL58" s="2465"/>
      <c r="AM58" s="2465"/>
      <c r="AN58" s="2465"/>
      <c r="AO58" s="2465"/>
      <c r="AP58" s="2465"/>
      <c r="AQ58" s="2465"/>
      <c r="AR58" s="2465"/>
      <c r="AS58" s="2465"/>
      <c r="AT58" s="2465"/>
      <c r="AU58" s="2465"/>
      <c r="AV58" s="2465"/>
      <c r="AW58" s="2465"/>
      <c r="AX58" s="2465"/>
      <c r="AY58" s="2465"/>
      <c r="AZ58" s="2465"/>
      <c r="BA58" s="2465"/>
      <c r="BB58" s="2465"/>
      <c r="BC58" s="2465"/>
      <c r="BD58" s="2465"/>
      <c r="BE58" s="2465"/>
      <c r="BF58" s="2465"/>
      <c r="BG58" s="2465"/>
      <c r="BH58" s="2465"/>
      <c r="BI58" s="2466"/>
      <c r="BJ58" s="2466"/>
      <c r="BK58" s="2466"/>
      <c r="BL58" s="2466"/>
      <c r="BM58" s="2466"/>
      <c r="BN58" s="2466"/>
      <c r="BO58" s="2466"/>
      <c r="BP58" s="2466"/>
      <c r="BQ58" s="2466"/>
      <c r="BR58" s="2466"/>
      <c r="BS58" s="2466"/>
      <c r="BT58" s="2466"/>
      <c r="BU58" s="2466"/>
      <c r="BV58" s="2466"/>
      <c r="BW58" s="2466"/>
      <c r="BX58" s="2466"/>
      <c r="BY58" s="2466"/>
      <c r="BZ58" s="2466"/>
      <c r="CA58" s="2466"/>
      <c r="CB58" s="2466"/>
      <c r="CC58" s="2466"/>
      <c r="CD58" s="2466"/>
      <c r="CE58" s="2466"/>
      <c r="CF58" s="2466"/>
      <c r="CG58" s="2466"/>
      <c r="CH58" s="2466"/>
      <c r="CI58" s="2466"/>
      <c r="CJ58" s="2466"/>
      <c r="CK58" s="2466"/>
      <c r="CL58" s="2466"/>
      <c r="CM58" s="2466"/>
      <c r="CN58" s="2466"/>
      <c r="CO58" s="2466"/>
      <c r="CP58" s="2466"/>
      <c r="CQ58" s="2466"/>
      <c r="CR58" s="2466"/>
      <c r="CS58" s="2466"/>
      <c r="CT58" s="2466"/>
      <c r="CU58" s="2466"/>
      <c r="CV58" s="2466"/>
      <c r="CW58" s="2466"/>
      <c r="CX58" s="2466"/>
      <c r="CY58" s="2466"/>
      <c r="CZ58" s="2466"/>
      <c r="DA58" s="2466"/>
      <c r="DB58" s="2466"/>
      <c r="DC58" s="2466"/>
      <c r="DD58" s="2466"/>
      <c r="DE58" s="2466"/>
      <c r="DF58" s="2466"/>
      <c r="DG58" s="2466"/>
      <c r="DH58" s="2466"/>
      <c r="DI58" s="2466"/>
      <c r="DJ58" s="2466"/>
      <c r="DK58" s="2466"/>
      <c r="DL58" s="2466"/>
      <c r="DM58" s="2466"/>
      <c r="DN58" s="2466"/>
      <c r="DO58" s="2466"/>
      <c r="DP58" s="2466"/>
      <c r="DQ58" s="2466"/>
      <c r="DR58" s="2466"/>
      <c r="DS58" s="2466"/>
      <c r="DT58" s="2466"/>
      <c r="DU58" s="2466"/>
      <c r="DV58" s="2466"/>
      <c r="DW58" s="2466"/>
      <c r="DX58" s="2466"/>
      <c r="DY58" s="2466"/>
      <c r="DZ58" s="2466"/>
      <c r="EA58" s="2466"/>
      <c r="EB58" s="2466"/>
      <c r="EC58" s="2466"/>
      <c r="ED58" s="2466"/>
      <c r="EE58" s="2466"/>
      <c r="EF58" s="2466"/>
      <c r="EG58" s="2466"/>
      <c r="EH58" s="2466"/>
      <c r="EI58" s="2466"/>
      <c r="EJ58" s="2466"/>
      <c r="EK58" s="2466"/>
      <c r="EL58" s="2466"/>
      <c r="EM58" s="2466"/>
      <c r="EN58" s="2466"/>
      <c r="EO58" s="2466"/>
      <c r="EP58" s="2466"/>
      <c r="EQ58" s="2466"/>
      <c r="ER58" s="2466"/>
      <c r="ES58" s="2466"/>
      <c r="ET58" s="2466"/>
      <c r="EU58" s="2466"/>
      <c r="EV58" s="2466"/>
      <c r="EW58" s="2466"/>
      <c r="EX58" s="2466"/>
      <c r="EY58" s="2466"/>
      <c r="EZ58" s="2466"/>
      <c r="FA58" s="2466"/>
      <c r="FB58" s="2466"/>
      <c r="FC58" s="2466"/>
      <c r="FD58" s="2466"/>
      <c r="FE58" s="2466"/>
      <c r="FF58" s="2466"/>
      <c r="FG58" s="2466"/>
      <c r="FH58" s="2466"/>
      <c r="FI58" s="2466"/>
      <c r="FJ58" s="2466"/>
      <c r="FK58" s="2466"/>
      <c r="FL58" s="2466"/>
      <c r="FM58" s="2466"/>
      <c r="FN58" s="2466"/>
      <c r="FO58" s="2466"/>
      <c r="FP58" s="2466"/>
      <c r="FQ58" s="2466"/>
      <c r="FR58" s="2466"/>
      <c r="FS58" s="2466"/>
      <c r="FT58" s="2466"/>
      <c r="FU58" s="2466"/>
      <c r="FV58" s="2466"/>
      <c r="FW58" s="2466"/>
      <c r="FX58" s="2466"/>
      <c r="FY58" s="2466"/>
      <c r="FZ58" s="2466"/>
      <c r="GA58" s="2466"/>
      <c r="GB58" s="2466"/>
      <c r="GC58" s="2466"/>
      <c r="GD58" s="2466"/>
      <c r="GE58" s="2466"/>
      <c r="GF58" s="2466"/>
      <c r="GG58" s="2466"/>
      <c r="GH58" s="2466"/>
      <c r="GI58" s="2466"/>
      <c r="GJ58" s="2466"/>
      <c r="GK58" s="2466"/>
      <c r="GL58" s="2466"/>
      <c r="GM58" s="2466"/>
      <c r="GN58" s="2466"/>
      <c r="GO58" s="2466"/>
      <c r="GP58" s="2466"/>
      <c r="GQ58" s="2466"/>
      <c r="GR58" s="2466"/>
      <c r="GS58" s="2466"/>
      <c r="GT58" s="2466"/>
      <c r="GU58" s="2466"/>
      <c r="GV58" s="2466"/>
      <c r="GW58" s="2466"/>
      <c r="GX58" s="2466"/>
      <c r="GY58" s="2466"/>
      <c r="GZ58" s="2466"/>
      <c r="HA58" s="2466"/>
      <c r="HB58" s="2466"/>
      <c r="HC58" s="2466"/>
      <c r="HD58" s="2466"/>
      <c r="HE58" s="2466"/>
      <c r="HF58" s="2466"/>
      <c r="HG58" s="2466"/>
      <c r="HH58" s="2466"/>
      <c r="HI58" s="2466"/>
      <c r="HJ58" s="2466"/>
      <c r="HK58" s="2466"/>
      <c r="HL58" s="2466"/>
      <c r="HM58" s="2466"/>
      <c r="HN58" s="2466"/>
      <c r="HO58" s="2466"/>
      <c r="HP58" s="2466"/>
      <c r="HQ58" s="2466"/>
      <c r="HR58" s="2466"/>
      <c r="HS58" s="2466"/>
      <c r="HT58" s="2466"/>
      <c r="HU58" s="2466"/>
      <c r="HV58" s="2466"/>
      <c r="HW58" s="2466"/>
      <c r="HX58" s="2466"/>
      <c r="HY58" s="2466"/>
      <c r="HZ58" s="2466"/>
      <c r="IA58" s="2466"/>
      <c r="IB58" s="2466"/>
      <c r="IC58" s="2466"/>
      <c r="ID58" s="2466"/>
      <c r="IE58" s="2466"/>
      <c r="IF58" s="2466"/>
      <c r="IG58" s="2466"/>
      <c r="IH58" s="2466"/>
      <c r="II58" s="2466"/>
      <c r="IJ58" s="2466"/>
      <c r="IK58" s="2466"/>
      <c r="IL58" s="2466"/>
      <c r="IM58" s="2466"/>
      <c r="IN58" s="2466"/>
      <c r="IO58" s="2466"/>
      <c r="IP58" s="2466"/>
      <c r="IQ58" s="2466"/>
      <c r="IR58" s="2466"/>
      <c r="IS58" s="2466"/>
      <c r="IT58" s="2466"/>
      <c r="IU58" s="2466"/>
      <c r="IV58" s="2466"/>
    </row>
    <row r="59" spans="1:256">
      <c r="A59" s="2465"/>
      <c r="B59" s="2465"/>
      <c r="C59" s="2465"/>
      <c r="D59" s="2465"/>
      <c r="E59" s="2465"/>
      <c r="F59" s="2465"/>
      <c r="G59" s="2465"/>
      <c r="H59" s="2465"/>
      <c r="I59" s="2465"/>
      <c r="J59" s="2465"/>
      <c r="K59" s="2465"/>
      <c r="L59" s="2465"/>
      <c r="M59" s="2465"/>
      <c r="N59" s="2465"/>
      <c r="O59" s="2465"/>
      <c r="P59" s="2465"/>
      <c r="Q59" s="2465"/>
      <c r="R59" s="2465"/>
      <c r="S59" s="2465"/>
      <c r="T59" s="2465"/>
      <c r="U59" s="2465"/>
      <c r="V59" s="2465"/>
      <c r="W59" s="2465"/>
      <c r="X59" s="2465"/>
      <c r="Y59" s="2465"/>
      <c r="Z59" s="2465"/>
      <c r="AA59" s="2465"/>
      <c r="AB59" s="2465"/>
      <c r="AC59" s="2465"/>
      <c r="AD59" s="2465"/>
      <c r="AE59" s="2465"/>
      <c r="AF59" s="2465"/>
      <c r="AG59" s="2465"/>
      <c r="AH59" s="2465"/>
      <c r="AI59" s="2465"/>
      <c r="AJ59" s="2465"/>
      <c r="AK59" s="2465"/>
      <c r="AL59" s="2465"/>
      <c r="AM59" s="2465"/>
      <c r="AN59" s="2465"/>
      <c r="AO59" s="2465"/>
      <c r="AP59" s="2465"/>
      <c r="AQ59" s="2465"/>
      <c r="AR59" s="2465"/>
      <c r="AS59" s="2465"/>
      <c r="AT59" s="2465"/>
      <c r="AU59" s="2465"/>
      <c r="AV59" s="2465"/>
      <c r="AW59" s="2465"/>
      <c r="AX59" s="2465"/>
      <c r="AY59" s="2465"/>
      <c r="AZ59" s="2465"/>
      <c r="BA59" s="2465"/>
      <c r="BB59" s="2465"/>
      <c r="BC59" s="2465"/>
      <c r="BD59" s="2465"/>
      <c r="BE59" s="2465"/>
      <c r="BF59" s="2465"/>
      <c r="BG59" s="2465"/>
      <c r="BH59" s="2465"/>
      <c r="BI59" s="2466"/>
      <c r="BJ59" s="2466"/>
      <c r="BK59" s="2466"/>
      <c r="BL59" s="2466"/>
      <c r="BM59" s="2466"/>
      <c r="BN59" s="2466"/>
      <c r="BO59" s="2466"/>
      <c r="BP59" s="2466"/>
      <c r="BQ59" s="2466"/>
      <c r="BR59" s="2466"/>
      <c r="BS59" s="2466"/>
      <c r="BT59" s="2466"/>
      <c r="BU59" s="2466"/>
      <c r="BV59" s="2466"/>
      <c r="BW59" s="2466"/>
      <c r="BX59" s="2466"/>
      <c r="BY59" s="2466"/>
      <c r="BZ59" s="2466"/>
      <c r="CA59" s="2466"/>
      <c r="CB59" s="2466"/>
      <c r="CC59" s="2466"/>
      <c r="CD59" s="2466"/>
      <c r="CE59" s="2466"/>
      <c r="CF59" s="2466"/>
      <c r="CG59" s="2466"/>
      <c r="CH59" s="2466"/>
      <c r="CI59" s="2466"/>
      <c r="CJ59" s="2466"/>
      <c r="CK59" s="2466"/>
      <c r="CL59" s="2466"/>
      <c r="CM59" s="2466"/>
      <c r="CN59" s="2466"/>
      <c r="CO59" s="2466"/>
      <c r="CP59" s="2466"/>
      <c r="CQ59" s="2466"/>
      <c r="CR59" s="2466"/>
      <c r="CS59" s="2466"/>
      <c r="CT59" s="2466"/>
      <c r="CU59" s="2466"/>
      <c r="CV59" s="2466"/>
      <c r="CW59" s="2466"/>
      <c r="CX59" s="2466"/>
      <c r="CY59" s="2466"/>
      <c r="CZ59" s="2466"/>
      <c r="DA59" s="2466"/>
      <c r="DB59" s="2466"/>
      <c r="DC59" s="2466"/>
      <c r="DD59" s="2466"/>
      <c r="DE59" s="2466"/>
      <c r="DF59" s="2466"/>
      <c r="DG59" s="2466"/>
      <c r="DH59" s="2466"/>
      <c r="DI59" s="2466"/>
      <c r="DJ59" s="2466"/>
      <c r="DK59" s="2466"/>
      <c r="DL59" s="2466"/>
      <c r="DM59" s="2466"/>
      <c r="DN59" s="2466"/>
      <c r="DO59" s="2466"/>
      <c r="DP59" s="2466"/>
      <c r="DQ59" s="2466"/>
      <c r="DR59" s="2466"/>
      <c r="DS59" s="2466"/>
      <c r="DT59" s="2466"/>
      <c r="DU59" s="2466"/>
      <c r="DV59" s="2466"/>
      <c r="DW59" s="2466"/>
      <c r="DX59" s="2466"/>
      <c r="DY59" s="2466"/>
      <c r="DZ59" s="2466"/>
      <c r="EA59" s="2466"/>
      <c r="EB59" s="2466"/>
      <c r="EC59" s="2466"/>
      <c r="ED59" s="2466"/>
      <c r="EE59" s="2466"/>
      <c r="EF59" s="2466"/>
      <c r="EG59" s="2466"/>
      <c r="EH59" s="2466"/>
      <c r="EI59" s="2466"/>
      <c r="EJ59" s="2466"/>
      <c r="EK59" s="2466"/>
      <c r="EL59" s="2466"/>
      <c r="EM59" s="2466"/>
      <c r="EN59" s="2466"/>
      <c r="EO59" s="2466"/>
      <c r="EP59" s="2466"/>
      <c r="EQ59" s="2466"/>
      <c r="ER59" s="2466"/>
      <c r="ES59" s="2466"/>
      <c r="ET59" s="2466"/>
      <c r="EU59" s="2466"/>
      <c r="EV59" s="2466"/>
      <c r="EW59" s="2466"/>
      <c r="EX59" s="2466"/>
      <c r="EY59" s="2466"/>
      <c r="EZ59" s="2466"/>
      <c r="FA59" s="2466"/>
      <c r="FB59" s="2466"/>
      <c r="FC59" s="2466"/>
      <c r="FD59" s="2466"/>
      <c r="FE59" s="2466"/>
      <c r="FF59" s="2466"/>
      <c r="FG59" s="2466"/>
      <c r="FH59" s="2466"/>
      <c r="FI59" s="2466"/>
      <c r="FJ59" s="2466"/>
      <c r="FK59" s="2466"/>
      <c r="FL59" s="2466"/>
      <c r="FM59" s="2466"/>
      <c r="FN59" s="2466"/>
      <c r="FO59" s="2466"/>
      <c r="FP59" s="2466"/>
      <c r="FQ59" s="2466"/>
      <c r="FR59" s="2466"/>
      <c r="FS59" s="2466"/>
      <c r="FT59" s="2466"/>
      <c r="FU59" s="2466"/>
      <c r="FV59" s="2466"/>
      <c r="FW59" s="2466"/>
      <c r="FX59" s="2466"/>
      <c r="FY59" s="2466"/>
      <c r="FZ59" s="2466"/>
      <c r="GA59" s="2466"/>
      <c r="GB59" s="2466"/>
      <c r="GC59" s="2466"/>
      <c r="GD59" s="2466"/>
      <c r="GE59" s="2466"/>
      <c r="GF59" s="2466"/>
      <c r="GG59" s="2466"/>
      <c r="GH59" s="2466"/>
      <c r="GI59" s="2466"/>
      <c r="GJ59" s="2466"/>
      <c r="GK59" s="2466"/>
      <c r="GL59" s="2466"/>
      <c r="GM59" s="2466"/>
      <c r="GN59" s="2466"/>
      <c r="GO59" s="2466"/>
      <c r="GP59" s="2466"/>
      <c r="GQ59" s="2466"/>
      <c r="GR59" s="2466"/>
      <c r="GS59" s="2466"/>
      <c r="GT59" s="2466"/>
      <c r="GU59" s="2466"/>
      <c r="GV59" s="2466"/>
      <c r="GW59" s="2466"/>
      <c r="GX59" s="2466"/>
      <c r="GY59" s="2466"/>
      <c r="GZ59" s="2466"/>
      <c r="HA59" s="2466"/>
      <c r="HB59" s="2466"/>
      <c r="HC59" s="2466"/>
      <c r="HD59" s="2466"/>
      <c r="HE59" s="2466"/>
      <c r="HF59" s="2466"/>
      <c r="HG59" s="2466"/>
      <c r="HH59" s="2466"/>
      <c r="HI59" s="2466"/>
      <c r="HJ59" s="2466"/>
      <c r="HK59" s="2466"/>
      <c r="HL59" s="2466"/>
      <c r="HM59" s="2466"/>
      <c r="HN59" s="2466"/>
      <c r="HO59" s="2466"/>
      <c r="HP59" s="2466"/>
      <c r="HQ59" s="2466"/>
      <c r="HR59" s="2466"/>
      <c r="HS59" s="2466"/>
      <c r="HT59" s="2466"/>
      <c r="HU59" s="2466"/>
      <c r="HV59" s="2466"/>
      <c r="HW59" s="2466"/>
      <c r="HX59" s="2466"/>
      <c r="HY59" s="2466"/>
      <c r="HZ59" s="2466"/>
      <c r="IA59" s="2466"/>
      <c r="IB59" s="2466"/>
      <c r="IC59" s="2466"/>
      <c r="ID59" s="2466"/>
      <c r="IE59" s="2466"/>
      <c r="IF59" s="2466"/>
      <c r="IG59" s="2466"/>
      <c r="IH59" s="2466"/>
      <c r="II59" s="2466"/>
      <c r="IJ59" s="2466"/>
      <c r="IK59" s="2466"/>
      <c r="IL59" s="2466"/>
      <c r="IM59" s="2466"/>
      <c r="IN59" s="2466"/>
      <c r="IO59" s="2466"/>
      <c r="IP59" s="2466"/>
      <c r="IQ59" s="2466"/>
      <c r="IR59" s="2466"/>
      <c r="IS59" s="2466"/>
      <c r="IT59" s="2466"/>
      <c r="IU59" s="2466"/>
      <c r="IV59" s="2466"/>
    </row>
    <row r="60" spans="1:256">
      <c r="A60" s="2465"/>
      <c r="B60" s="2465"/>
      <c r="C60" s="2465"/>
      <c r="D60" s="2465"/>
      <c r="E60" s="2465"/>
      <c r="F60" s="2465"/>
      <c r="G60" s="2465"/>
      <c r="H60" s="2465"/>
      <c r="I60" s="2465"/>
      <c r="J60" s="2465"/>
      <c r="K60" s="2465"/>
      <c r="L60" s="2465"/>
      <c r="M60" s="2465"/>
      <c r="N60" s="2465"/>
      <c r="O60" s="2465"/>
      <c r="P60" s="2465"/>
      <c r="Q60" s="2465"/>
      <c r="R60" s="2465"/>
      <c r="S60" s="2465"/>
      <c r="T60" s="2465"/>
      <c r="U60" s="2465"/>
      <c r="V60" s="2465"/>
      <c r="W60" s="2465"/>
      <c r="X60" s="2465"/>
      <c r="Y60" s="2465"/>
      <c r="Z60" s="2465"/>
      <c r="AA60" s="2465"/>
      <c r="AB60" s="2465"/>
      <c r="AC60" s="2465"/>
      <c r="AD60" s="2465"/>
      <c r="AE60" s="2465"/>
      <c r="AF60" s="2465"/>
      <c r="AG60" s="2465"/>
      <c r="AH60" s="2465"/>
      <c r="AI60" s="2465"/>
      <c r="AJ60" s="2465"/>
      <c r="AK60" s="2465"/>
      <c r="AL60" s="2465"/>
      <c r="AM60" s="2465"/>
      <c r="AN60" s="2465"/>
      <c r="AO60" s="2465"/>
      <c r="AP60" s="2465"/>
      <c r="AQ60" s="2465"/>
      <c r="AR60" s="2465"/>
      <c r="AS60" s="2465"/>
      <c r="AT60" s="2465"/>
      <c r="AU60" s="2465"/>
      <c r="AV60" s="2465"/>
      <c r="AW60" s="2465"/>
      <c r="AX60" s="2465"/>
      <c r="AY60" s="2465"/>
      <c r="AZ60" s="2465"/>
      <c r="BA60" s="2465"/>
      <c r="BB60" s="2465"/>
      <c r="BC60" s="2465"/>
      <c r="BD60" s="2465"/>
      <c r="BE60" s="2465"/>
      <c r="BF60" s="2465"/>
      <c r="BG60" s="2465"/>
      <c r="BH60" s="2465"/>
      <c r="BI60" s="2466"/>
      <c r="BJ60" s="2466"/>
      <c r="BK60" s="2466"/>
      <c r="BL60" s="2466"/>
      <c r="BM60" s="2466"/>
      <c r="BN60" s="2466"/>
      <c r="BO60" s="2466"/>
      <c r="BP60" s="2466"/>
      <c r="BQ60" s="2466"/>
      <c r="BR60" s="2466"/>
      <c r="BS60" s="2466"/>
      <c r="BT60" s="2466"/>
      <c r="BU60" s="2466"/>
      <c r="BV60" s="2466"/>
      <c r="BW60" s="2466"/>
      <c r="BX60" s="2466"/>
      <c r="BY60" s="2466"/>
      <c r="BZ60" s="2466"/>
      <c r="CA60" s="2466"/>
      <c r="CB60" s="2466"/>
      <c r="CC60" s="2466"/>
      <c r="CD60" s="2466"/>
      <c r="CE60" s="2466"/>
      <c r="CF60" s="2466"/>
      <c r="CG60" s="2466"/>
      <c r="CH60" s="2466"/>
      <c r="CI60" s="2466"/>
      <c r="CJ60" s="2466"/>
      <c r="CK60" s="2466"/>
      <c r="CL60" s="2466"/>
      <c r="CM60" s="2466"/>
      <c r="CN60" s="2466"/>
      <c r="CO60" s="2466"/>
      <c r="CP60" s="2466"/>
      <c r="CQ60" s="2466"/>
      <c r="CR60" s="2466"/>
      <c r="CS60" s="2466"/>
      <c r="CT60" s="2466"/>
      <c r="CU60" s="2466"/>
      <c r="CV60" s="2466"/>
      <c r="CW60" s="2466"/>
      <c r="CX60" s="2466"/>
      <c r="CY60" s="2466"/>
      <c r="CZ60" s="2466"/>
      <c r="DA60" s="2466"/>
      <c r="DB60" s="2466"/>
      <c r="DC60" s="2466"/>
      <c r="DD60" s="2466"/>
      <c r="DE60" s="2466"/>
      <c r="DF60" s="2466"/>
      <c r="DG60" s="2466"/>
      <c r="DH60" s="2466"/>
      <c r="DI60" s="2466"/>
      <c r="DJ60" s="2466"/>
      <c r="DK60" s="2466"/>
      <c r="DL60" s="2466"/>
      <c r="DM60" s="2466"/>
      <c r="DN60" s="2466"/>
      <c r="DO60" s="2466"/>
      <c r="DP60" s="2466"/>
      <c r="DQ60" s="2466"/>
      <c r="DR60" s="2466"/>
      <c r="DS60" s="2466"/>
      <c r="DT60" s="2466"/>
      <c r="DU60" s="2466"/>
      <c r="DV60" s="2466"/>
      <c r="DW60" s="2466"/>
      <c r="DX60" s="2466"/>
      <c r="DY60" s="2466"/>
      <c r="DZ60" s="2466"/>
      <c r="EA60" s="2466"/>
      <c r="EB60" s="2466"/>
      <c r="EC60" s="2466"/>
      <c r="ED60" s="2466"/>
      <c r="EE60" s="2466"/>
      <c r="EF60" s="2466"/>
      <c r="EG60" s="2466"/>
      <c r="EH60" s="2466"/>
      <c r="EI60" s="2466"/>
      <c r="EJ60" s="2466"/>
      <c r="EK60" s="2466"/>
      <c r="EL60" s="2466"/>
      <c r="EM60" s="2466"/>
      <c r="EN60" s="2466"/>
      <c r="EO60" s="2466"/>
      <c r="EP60" s="2466"/>
      <c r="EQ60" s="2466"/>
      <c r="ER60" s="2466"/>
      <c r="ES60" s="2466"/>
      <c r="ET60" s="2466"/>
      <c r="EU60" s="2466"/>
      <c r="EV60" s="2466"/>
      <c r="EW60" s="2466"/>
      <c r="EX60" s="2466"/>
      <c r="EY60" s="2466"/>
      <c r="EZ60" s="2466"/>
      <c r="FA60" s="2466"/>
      <c r="FB60" s="2466"/>
      <c r="FC60" s="2466"/>
      <c r="FD60" s="2466"/>
      <c r="FE60" s="2466"/>
      <c r="FF60" s="2466"/>
      <c r="FG60" s="2466"/>
      <c r="FH60" s="2466"/>
      <c r="FI60" s="2466"/>
      <c r="FJ60" s="2466"/>
      <c r="FK60" s="2466"/>
      <c r="FL60" s="2466"/>
      <c r="FM60" s="2466"/>
      <c r="FN60" s="2466"/>
      <c r="FO60" s="2466"/>
      <c r="FP60" s="2466"/>
      <c r="FQ60" s="2466"/>
      <c r="FR60" s="2466"/>
      <c r="FS60" s="2466"/>
      <c r="FT60" s="2466"/>
      <c r="FU60" s="2466"/>
      <c r="FV60" s="2466"/>
      <c r="FW60" s="2466"/>
      <c r="FX60" s="2466"/>
      <c r="FY60" s="2466"/>
      <c r="FZ60" s="2466"/>
      <c r="GA60" s="2466"/>
      <c r="GB60" s="2466"/>
      <c r="GC60" s="2466"/>
      <c r="GD60" s="2466"/>
      <c r="GE60" s="2466"/>
      <c r="GF60" s="2466"/>
      <c r="GG60" s="2466"/>
      <c r="GH60" s="2466"/>
      <c r="GI60" s="2466"/>
      <c r="GJ60" s="2466"/>
      <c r="GK60" s="2466"/>
      <c r="GL60" s="2466"/>
      <c r="GM60" s="2466"/>
      <c r="GN60" s="2466"/>
      <c r="GO60" s="2466"/>
      <c r="GP60" s="2466"/>
      <c r="GQ60" s="2466"/>
      <c r="GR60" s="2466"/>
      <c r="GS60" s="2466"/>
      <c r="GT60" s="2466"/>
      <c r="GU60" s="2466"/>
      <c r="GV60" s="2466"/>
      <c r="GW60" s="2466"/>
      <c r="GX60" s="2466"/>
      <c r="GY60" s="2466"/>
      <c r="GZ60" s="2466"/>
      <c r="HA60" s="2466"/>
      <c r="HB60" s="2466"/>
      <c r="HC60" s="2466"/>
      <c r="HD60" s="2466"/>
      <c r="HE60" s="2466"/>
      <c r="HF60" s="2466"/>
      <c r="HG60" s="2466"/>
      <c r="HH60" s="2466"/>
      <c r="HI60" s="2466"/>
      <c r="HJ60" s="2466"/>
      <c r="HK60" s="2466"/>
      <c r="HL60" s="2466"/>
      <c r="HM60" s="2466"/>
      <c r="HN60" s="2466"/>
      <c r="HO60" s="2466"/>
      <c r="HP60" s="2466"/>
      <c r="HQ60" s="2466"/>
      <c r="HR60" s="2466"/>
      <c r="HS60" s="2466"/>
      <c r="HT60" s="2466"/>
      <c r="HU60" s="2466"/>
      <c r="HV60" s="2466"/>
      <c r="HW60" s="2466"/>
      <c r="HX60" s="2466"/>
      <c r="HY60" s="2466"/>
      <c r="HZ60" s="2466"/>
      <c r="IA60" s="2466"/>
      <c r="IB60" s="2466"/>
      <c r="IC60" s="2466"/>
      <c r="ID60" s="2466"/>
      <c r="IE60" s="2466"/>
      <c r="IF60" s="2466"/>
      <c r="IG60" s="2466"/>
      <c r="IH60" s="2466"/>
      <c r="II60" s="2466"/>
      <c r="IJ60" s="2466"/>
      <c r="IK60" s="2466"/>
      <c r="IL60" s="2466"/>
      <c r="IM60" s="2466"/>
      <c r="IN60" s="2466"/>
      <c r="IO60" s="2466"/>
      <c r="IP60" s="2466"/>
      <c r="IQ60" s="2466"/>
      <c r="IR60" s="2466"/>
      <c r="IS60" s="2466"/>
      <c r="IT60" s="2466"/>
      <c r="IU60" s="2466"/>
      <c r="IV60" s="2466"/>
    </row>
    <row r="61" spans="1:256">
      <c r="A61" s="2465"/>
      <c r="B61" s="2465"/>
      <c r="C61" s="2465"/>
      <c r="D61" s="2465"/>
      <c r="E61" s="2465"/>
      <c r="F61" s="2465"/>
      <c r="G61" s="2465"/>
      <c r="H61" s="2465"/>
      <c r="I61" s="2465"/>
      <c r="J61" s="2465"/>
      <c r="K61" s="2465"/>
      <c r="L61" s="2465"/>
      <c r="M61" s="2465"/>
      <c r="N61" s="2465"/>
      <c r="O61" s="2465"/>
      <c r="P61" s="2465"/>
      <c r="Q61" s="2465"/>
      <c r="R61" s="2465"/>
      <c r="S61" s="2465"/>
      <c r="T61" s="2465"/>
      <c r="U61" s="2465"/>
      <c r="V61" s="2465"/>
      <c r="W61" s="2465"/>
      <c r="X61" s="2465"/>
      <c r="Y61" s="2465"/>
      <c r="Z61" s="2465"/>
      <c r="AA61" s="2465"/>
      <c r="AB61" s="2465"/>
      <c r="AC61" s="2465"/>
      <c r="AD61" s="2465"/>
      <c r="AE61" s="2465"/>
      <c r="AF61" s="2465"/>
      <c r="AG61" s="2465"/>
      <c r="AH61" s="2465"/>
      <c r="AI61" s="2465"/>
      <c r="AJ61" s="2465"/>
      <c r="AK61" s="2465"/>
      <c r="AL61" s="2465"/>
      <c r="AM61" s="2465"/>
      <c r="AN61" s="2465"/>
      <c r="AO61" s="2465"/>
      <c r="AP61" s="2465"/>
      <c r="AQ61" s="2465"/>
      <c r="AR61" s="2465"/>
      <c r="AS61" s="2465"/>
      <c r="AT61" s="2465"/>
      <c r="AU61" s="2465"/>
      <c r="AV61" s="2465"/>
      <c r="AW61" s="2465"/>
      <c r="AX61" s="2465"/>
      <c r="AY61" s="2465"/>
      <c r="AZ61" s="2465"/>
      <c r="BA61" s="2465"/>
      <c r="BB61" s="2465"/>
      <c r="BC61" s="2465"/>
      <c r="BD61" s="2465"/>
      <c r="BE61" s="2465"/>
      <c r="BF61" s="2465"/>
      <c r="BG61" s="2465"/>
      <c r="BH61" s="2465"/>
      <c r="BI61" s="2466"/>
      <c r="BJ61" s="2466"/>
      <c r="BK61" s="2466"/>
      <c r="BL61" s="2466"/>
      <c r="BM61" s="2466"/>
      <c r="BN61" s="2466"/>
      <c r="BO61" s="2466"/>
      <c r="BP61" s="2466"/>
      <c r="BQ61" s="2466"/>
      <c r="BR61" s="2466"/>
      <c r="BS61" s="2466"/>
      <c r="BT61" s="2466"/>
      <c r="BU61" s="2466"/>
      <c r="BV61" s="2466"/>
      <c r="BW61" s="2466"/>
      <c r="BX61" s="2466"/>
      <c r="BY61" s="2466"/>
      <c r="BZ61" s="2466"/>
      <c r="CA61" s="2466"/>
      <c r="CB61" s="2466"/>
      <c r="CC61" s="2466"/>
      <c r="CD61" s="2466"/>
      <c r="CE61" s="2466"/>
      <c r="CF61" s="2466"/>
      <c r="CG61" s="2466"/>
      <c r="CH61" s="2466"/>
      <c r="CI61" s="2466"/>
      <c r="CJ61" s="2466"/>
      <c r="CK61" s="2466"/>
      <c r="CL61" s="2466"/>
      <c r="CM61" s="2466"/>
      <c r="CN61" s="2466"/>
      <c r="CO61" s="2466"/>
      <c r="CP61" s="2466"/>
      <c r="CQ61" s="2466"/>
      <c r="CR61" s="2466"/>
      <c r="CS61" s="2466"/>
      <c r="CT61" s="2466"/>
      <c r="CU61" s="2466"/>
      <c r="CV61" s="2466"/>
      <c r="CW61" s="2466"/>
      <c r="CX61" s="2466"/>
      <c r="CY61" s="2466"/>
      <c r="CZ61" s="2466"/>
      <c r="DA61" s="2466"/>
      <c r="DB61" s="2466"/>
      <c r="DC61" s="2466"/>
      <c r="DD61" s="2466"/>
      <c r="DE61" s="2466"/>
      <c r="DF61" s="2466"/>
      <c r="DG61" s="2466"/>
      <c r="DH61" s="2466"/>
      <c r="DI61" s="2466"/>
      <c r="DJ61" s="2466"/>
      <c r="DK61" s="2466"/>
      <c r="DL61" s="2466"/>
      <c r="DM61" s="2466"/>
      <c r="DN61" s="2466"/>
      <c r="DO61" s="2466"/>
      <c r="DP61" s="2466"/>
      <c r="DQ61" s="2466"/>
      <c r="DR61" s="2466"/>
      <c r="DS61" s="2466"/>
      <c r="DT61" s="2466"/>
      <c r="DU61" s="2466"/>
      <c r="DV61" s="2466"/>
      <c r="DW61" s="2466"/>
      <c r="DX61" s="2466"/>
      <c r="DY61" s="2466"/>
      <c r="DZ61" s="2466"/>
      <c r="EA61" s="2466"/>
      <c r="EB61" s="2466"/>
      <c r="EC61" s="2466"/>
      <c r="ED61" s="2466"/>
      <c r="EE61" s="2466"/>
      <c r="EF61" s="2466"/>
      <c r="EG61" s="2466"/>
      <c r="EH61" s="2466"/>
      <c r="EI61" s="2466"/>
      <c r="EJ61" s="2466"/>
      <c r="EK61" s="2466"/>
      <c r="EL61" s="2466"/>
      <c r="EM61" s="2466"/>
      <c r="EN61" s="2466"/>
      <c r="EO61" s="2466"/>
      <c r="EP61" s="2466"/>
      <c r="EQ61" s="2466"/>
      <c r="ER61" s="2466"/>
      <c r="ES61" s="2466"/>
      <c r="ET61" s="2466"/>
      <c r="EU61" s="2466"/>
      <c r="EV61" s="2466"/>
      <c r="EW61" s="2466"/>
      <c r="EX61" s="2466"/>
      <c r="EY61" s="2466"/>
      <c r="EZ61" s="2466"/>
      <c r="FA61" s="2466"/>
      <c r="FB61" s="2466"/>
      <c r="FC61" s="2466"/>
      <c r="FD61" s="2466"/>
      <c r="FE61" s="2466"/>
      <c r="FF61" s="2466"/>
      <c r="FG61" s="2466"/>
      <c r="FH61" s="2466"/>
      <c r="FI61" s="2466"/>
      <c r="FJ61" s="2466"/>
      <c r="FK61" s="2466"/>
      <c r="FL61" s="2466"/>
      <c r="FM61" s="2466"/>
      <c r="FN61" s="2466"/>
      <c r="FO61" s="2466"/>
      <c r="FP61" s="2466"/>
      <c r="FQ61" s="2466"/>
      <c r="FR61" s="2466"/>
      <c r="FS61" s="2466"/>
      <c r="FT61" s="2466"/>
      <c r="FU61" s="2466"/>
      <c r="FV61" s="2466"/>
      <c r="FW61" s="2466"/>
      <c r="FX61" s="2466"/>
      <c r="FY61" s="2466"/>
      <c r="FZ61" s="2466"/>
      <c r="GA61" s="2466"/>
      <c r="GB61" s="2466"/>
      <c r="GC61" s="2466"/>
      <c r="GD61" s="2466"/>
      <c r="GE61" s="2466"/>
      <c r="GF61" s="2466"/>
      <c r="GG61" s="2466"/>
      <c r="GH61" s="2466"/>
      <c r="GI61" s="2466"/>
      <c r="GJ61" s="2466"/>
      <c r="GK61" s="2466"/>
      <c r="GL61" s="2466"/>
      <c r="GM61" s="2466"/>
      <c r="GN61" s="2466"/>
      <c r="GO61" s="2466"/>
      <c r="GP61" s="2466"/>
      <c r="GQ61" s="2466"/>
      <c r="GR61" s="2466"/>
      <c r="GS61" s="2466"/>
      <c r="GT61" s="2466"/>
      <c r="GU61" s="2466"/>
      <c r="GV61" s="2466"/>
      <c r="GW61" s="2466"/>
      <c r="GX61" s="2466"/>
      <c r="GY61" s="2466"/>
      <c r="GZ61" s="2466"/>
      <c r="HA61" s="2466"/>
      <c r="HB61" s="2466"/>
      <c r="HC61" s="2466"/>
      <c r="HD61" s="2466"/>
      <c r="HE61" s="2466"/>
      <c r="HF61" s="2466"/>
      <c r="HG61" s="2466"/>
      <c r="HH61" s="2466"/>
      <c r="HI61" s="2466"/>
      <c r="HJ61" s="2466"/>
      <c r="HK61" s="2466"/>
      <c r="HL61" s="2466"/>
      <c r="HM61" s="2466"/>
      <c r="HN61" s="2466"/>
      <c r="HO61" s="2466"/>
      <c r="HP61" s="2466"/>
      <c r="HQ61" s="2466"/>
      <c r="HR61" s="2466"/>
      <c r="HS61" s="2466"/>
      <c r="HT61" s="2466"/>
      <c r="HU61" s="2466"/>
      <c r="HV61" s="2466"/>
      <c r="HW61" s="2466"/>
      <c r="HX61" s="2466"/>
      <c r="HY61" s="2466"/>
      <c r="HZ61" s="2466"/>
      <c r="IA61" s="2466"/>
      <c r="IB61" s="2466"/>
      <c r="IC61" s="2466"/>
      <c r="ID61" s="2466"/>
      <c r="IE61" s="2466"/>
      <c r="IF61" s="2466"/>
      <c r="IG61" s="2466"/>
      <c r="IH61" s="2466"/>
      <c r="II61" s="2466"/>
      <c r="IJ61" s="2466"/>
      <c r="IK61" s="2466"/>
      <c r="IL61" s="2466"/>
      <c r="IM61" s="2466"/>
      <c r="IN61" s="2466"/>
      <c r="IO61" s="2466"/>
      <c r="IP61" s="2466"/>
      <c r="IQ61" s="2466"/>
      <c r="IR61" s="2466"/>
      <c r="IS61" s="2466"/>
      <c r="IT61" s="2466"/>
      <c r="IU61" s="2466"/>
      <c r="IV61" s="2466"/>
    </row>
    <row r="62" spans="1:256">
      <c r="A62" s="2465"/>
      <c r="B62" s="2465"/>
      <c r="C62" s="2465"/>
      <c r="D62" s="2465"/>
      <c r="E62" s="2465"/>
      <c r="F62" s="2465"/>
      <c r="G62" s="2465"/>
      <c r="H62" s="2465"/>
      <c r="I62" s="2465"/>
      <c r="J62" s="2465"/>
      <c r="K62" s="2465"/>
      <c r="L62" s="2465"/>
      <c r="M62" s="2465"/>
      <c r="N62" s="2465"/>
      <c r="O62" s="2465"/>
      <c r="P62" s="2465"/>
      <c r="Q62" s="2465"/>
      <c r="R62" s="2465"/>
      <c r="S62" s="2465"/>
      <c r="T62" s="2465"/>
      <c r="U62" s="2465"/>
      <c r="V62" s="2465"/>
      <c r="W62" s="2465"/>
      <c r="X62" s="2465"/>
      <c r="Y62" s="2465"/>
      <c r="Z62" s="2465"/>
      <c r="AA62" s="2465"/>
      <c r="AB62" s="2465"/>
      <c r="AC62" s="2465"/>
      <c r="AD62" s="2465"/>
      <c r="AE62" s="2465"/>
      <c r="AF62" s="2465"/>
      <c r="AG62" s="2465"/>
      <c r="AH62" s="2465"/>
      <c r="AI62" s="2465"/>
      <c r="AJ62" s="2465"/>
      <c r="AK62" s="2465"/>
      <c r="AL62" s="2465"/>
      <c r="AM62" s="2465"/>
      <c r="AN62" s="2465"/>
      <c r="AO62" s="2465"/>
      <c r="AP62" s="2465"/>
      <c r="AQ62" s="2465"/>
      <c r="AR62" s="2465"/>
      <c r="AS62" s="2465"/>
      <c r="AT62" s="2465"/>
      <c r="AU62" s="2465"/>
      <c r="AV62" s="2465"/>
      <c r="AW62" s="2465"/>
      <c r="AX62" s="2465"/>
      <c r="AY62" s="2465"/>
      <c r="AZ62" s="2465"/>
      <c r="BA62" s="2465"/>
      <c r="BB62" s="2465"/>
      <c r="BC62" s="2465"/>
      <c r="BD62" s="2465"/>
      <c r="BE62" s="2465"/>
      <c r="BF62" s="2465"/>
      <c r="BG62" s="2465"/>
      <c r="BH62" s="2465"/>
      <c r="BI62" s="2466"/>
      <c r="BJ62" s="2466"/>
      <c r="BK62" s="2466"/>
      <c r="BL62" s="2466"/>
      <c r="BM62" s="2466"/>
      <c r="BN62" s="2466"/>
      <c r="BO62" s="2466"/>
      <c r="BP62" s="2466"/>
      <c r="BQ62" s="2466"/>
      <c r="BR62" s="2466"/>
      <c r="BS62" s="2466"/>
      <c r="BT62" s="2466"/>
      <c r="BU62" s="2466"/>
      <c r="BV62" s="2466"/>
      <c r="BW62" s="2466"/>
      <c r="BX62" s="2466"/>
      <c r="BY62" s="2466"/>
      <c r="BZ62" s="2466"/>
      <c r="CA62" s="2466"/>
      <c r="CB62" s="2466"/>
      <c r="CC62" s="2466"/>
      <c r="CD62" s="2466"/>
      <c r="CE62" s="2466"/>
      <c r="CF62" s="2466"/>
      <c r="CG62" s="2466"/>
      <c r="CH62" s="2466"/>
      <c r="CI62" s="2466"/>
      <c r="CJ62" s="2466"/>
      <c r="CK62" s="2466"/>
      <c r="CL62" s="2466"/>
      <c r="CM62" s="2466"/>
      <c r="CN62" s="2466"/>
      <c r="CO62" s="2466"/>
      <c r="CP62" s="2466"/>
      <c r="CQ62" s="2466"/>
      <c r="CR62" s="2466"/>
      <c r="CS62" s="2466"/>
      <c r="CT62" s="2466"/>
      <c r="CU62" s="2466"/>
      <c r="CV62" s="2466"/>
      <c r="CW62" s="2466"/>
      <c r="CX62" s="2466"/>
      <c r="CY62" s="2466"/>
      <c r="CZ62" s="2466"/>
      <c r="DA62" s="2466"/>
      <c r="DB62" s="2466"/>
      <c r="DC62" s="2466"/>
      <c r="DD62" s="2466"/>
      <c r="DE62" s="2466"/>
      <c r="DF62" s="2466"/>
      <c r="DG62" s="2466"/>
      <c r="DH62" s="2466"/>
      <c r="DI62" s="2466"/>
      <c r="DJ62" s="2466"/>
      <c r="DK62" s="2466"/>
      <c r="DL62" s="2466"/>
      <c r="DM62" s="2466"/>
      <c r="DN62" s="2466"/>
      <c r="DO62" s="2466"/>
      <c r="DP62" s="2466"/>
      <c r="DQ62" s="2466"/>
      <c r="DR62" s="2466"/>
      <c r="DS62" s="2466"/>
      <c r="DT62" s="2466"/>
      <c r="DU62" s="2466"/>
      <c r="DV62" s="2466"/>
      <c r="DW62" s="2466"/>
      <c r="DX62" s="2466"/>
      <c r="DY62" s="2466"/>
      <c r="DZ62" s="2466"/>
      <c r="EA62" s="2466"/>
      <c r="EB62" s="2466"/>
      <c r="EC62" s="2466"/>
      <c r="ED62" s="2466"/>
      <c r="EE62" s="2466"/>
      <c r="EF62" s="2466"/>
      <c r="EG62" s="2466"/>
      <c r="EH62" s="2466"/>
      <c r="EI62" s="2466"/>
      <c r="EJ62" s="2466"/>
      <c r="EK62" s="2466"/>
      <c r="EL62" s="2466"/>
      <c r="EM62" s="2466"/>
      <c r="EN62" s="2466"/>
      <c r="EO62" s="2466"/>
      <c r="EP62" s="2466"/>
      <c r="EQ62" s="2466"/>
      <c r="ER62" s="2466"/>
      <c r="ES62" s="2466"/>
      <c r="ET62" s="2466"/>
      <c r="EU62" s="2466"/>
      <c r="EV62" s="2466"/>
      <c r="EW62" s="2466"/>
      <c r="EX62" s="2466"/>
      <c r="EY62" s="2466"/>
      <c r="EZ62" s="2466"/>
      <c r="FA62" s="2466"/>
      <c r="FB62" s="2466"/>
      <c r="FC62" s="2466"/>
      <c r="FD62" s="2466"/>
      <c r="FE62" s="2466"/>
      <c r="FF62" s="2466"/>
      <c r="FG62" s="2466"/>
      <c r="FH62" s="2466"/>
      <c r="FI62" s="2466"/>
      <c r="FJ62" s="2466"/>
      <c r="FK62" s="2466"/>
      <c r="FL62" s="2466"/>
      <c r="FM62" s="2466"/>
      <c r="FN62" s="2466"/>
      <c r="FO62" s="2466"/>
      <c r="FP62" s="2466"/>
      <c r="FQ62" s="2466"/>
      <c r="FR62" s="2466"/>
      <c r="FS62" s="2466"/>
      <c r="FT62" s="2466"/>
      <c r="FU62" s="2466"/>
      <c r="FV62" s="2466"/>
      <c r="FW62" s="2466"/>
      <c r="FX62" s="2466"/>
      <c r="FY62" s="2466"/>
      <c r="FZ62" s="2466"/>
      <c r="GA62" s="2466"/>
      <c r="GB62" s="2466"/>
      <c r="GC62" s="2466"/>
      <c r="GD62" s="2466"/>
      <c r="GE62" s="2466"/>
      <c r="GF62" s="2466"/>
      <c r="GG62" s="2466"/>
      <c r="GH62" s="2466"/>
      <c r="GI62" s="2466"/>
      <c r="GJ62" s="2466"/>
      <c r="GK62" s="2466"/>
      <c r="GL62" s="2466"/>
      <c r="GM62" s="2466"/>
      <c r="GN62" s="2466"/>
      <c r="GO62" s="2466"/>
      <c r="GP62" s="2466"/>
      <c r="GQ62" s="2466"/>
      <c r="GR62" s="2466"/>
      <c r="GS62" s="2466"/>
      <c r="GT62" s="2466"/>
      <c r="GU62" s="2466"/>
      <c r="GV62" s="2466"/>
      <c r="GW62" s="2466"/>
      <c r="GX62" s="2466"/>
      <c r="GY62" s="2466"/>
      <c r="GZ62" s="2466"/>
      <c r="HA62" s="2466"/>
      <c r="HB62" s="2466"/>
      <c r="HC62" s="2466"/>
      <c r="HD62" s="2466"/>
      <c r="HE62" s="2466"/>
      <c r="HF62" s="2466"/>
      <c r="HG62" s="2466"/>
      <c r="HH62" s="2466"/>
      <c r="HI62" s="2466"/>
      <c r="HJ62" s="2466"/>
      <c r="HK62" s="2466"/>
      <c r="HL62" s="2466"/>
      <c r="HM62" s="2466"/>
      <c r="HN62" s="2466"/>
      <c r="HO62" s="2466"/>
      <c r="HP62" s="2466"/>
      <c r="HQ62" s="2466"/>
      <c r="HR62" s="2466"/>
      <c r="HS62" s="2466"/>
      <c r="HT62" s="2466"/>
      <c r="HU62" s="2466"/>
      <c r="HV62" s="2466"/>
      <c r="HW62" s="2466"/>
      <c r="HX62" s="2466"/>
      <c r="HY62" s="2466"/>
      <c r="HZ62" s="2466"/>
      <c r="IA62" s="2466"/>
      <c r="IB62" s="2466"/>
      <c r="IC62" s="2466"/>
      <c r="ID62" s="2466"/>
      <c r="IE62" s="2466"/>
      <c r="IF62" s="2466"/>
      <c r="IG62" s="2466"/>
      <c r="IH62" s="2466"/>
      <c r="II62" s="2466"/>
      <c r="IJ62" s="2466"/>
      <c r="IK62" s="2466"/>
      <c r="IL62" s="2466"/>
      <c r="IM62" s="2466"/>
      <c r="IN62" s="2466"/>
      <c r="IO62" s="2466"/>
      <c r="IP62" s="2466"/>
      <c r="IQ62" s="2466"/>
      <c r="IR62" s="2466"/>
      <c r="IS62" s="2466"/>
      <c r="IT62" s="2466"/>
      <c r="IU62" s="2466"/>
      <c r="IV62" s="2466"/>
    </row>
    <row r="63" spans="1:256">
      <c r="A63" s="2465"/>
      <c r="B63" s="2465"/>
      <c r="C63" s="2465"/>
      <c r="D63" s="2465"/>
      <c r="E63" s="2465"/>
      <c r="F63" s="2465"/>
      <c r="G63" s="2465"/>
      <c r="H63" s="2465"/>
      <c r="I63" s="2465"/>
      <c r="J63" s="2465"/>
      <c r="K63" s="2465"/>
      <c r="L63" s="2465"/>
      <c r="M63" s="2465"/>
      <c r="N63" s="2465"/>
      <c r="O63" s="2465"/>
      <c r="P63" s="2465"/>
      <c r="Q63" s="2465"/>
      <c r="R63" s="2465"/>
      <c r="S63" s="2465"/>
      <c r="T63" s="2465"/>
      <c r="U63" s="2465"/>
      <c r="V63" s="2465"/>
      <c r="W63" s="2465"/>
      <c r="X63" s="2465"/>
      <c r="Y63" s="2465"/>
      <c r="Z63" s="2465"/>
      <c r="AA63" s="2465"/>
      <c r="AB63" s="2465"/>
      <c r="AC63" s="2465"/>
      <c r="AD63" s="2465"/>
      <c r="AE63" s="2465"/>
      <c r="AF63" s="2465"/>
      <c r="AG63" s="2465"/>
      <c r="AH63" s="2465"/>
      <c r="AI63" s="2465"/>
      <c r="AJ63" s="2465"/>
      <c r="AK63" s="2465"/>
      <c r="AL63" s="2465"/>
      <c r="AM63" s="2465"/>
      <c r="AN63" s="2465"/>
      <c r="AO63" s="2465"/>
      <c r="AP63" s="2465"/>
      <c r="AQ63" s="2465"/>
      <c r="AR63" s="2465"/>
      <c r="AS63" s="2465"/>
      <c r="AT63" s="2465"/>
      <c r="AU63" s="2465"/>
      <c r="AV63" s="2465"/>
      <c r="AW63" s="2465"/>
      <c r="AX63" s="2465"/>
      <c r="AY63" s="2465"/>
      <c r="AZ63" s="2465"/>
      <c r="BA63" s="2465"/>
      <c r="BB63" s="2465"/>
      <c r="BC63" s="2465"/>
      <c r="BD63" s="2465"/>
      <c r="BE63" s="2465"/>
      <c r="BF63" s="2465"/>
      <c r="BG63" s="2465"/>
      <c r="BH63" s="2465"/>
      <c r="BI63" s="2466"/>
      <c r="BJ63" s="2466"/>
      <c r="BK63" s="2466"/>
      <c r="BL63" s="2466"/>
      <c r="BM63" s="2466"/>
      <c r="BN63" s="2466"/>
      <c r="BO63" s="2466"/>
      <c r="BP63" s="2466"/>
      <c r="BQ63" s="2466"/>
      <c r="BR63" s="2466"/>
      <c r="BS63" s="2466"/>
      <c r="BT63" s="2466"/>
      <c r="BU63" s="2466"/>
      <c r="BV63" s="2466"/>
      <c r="BW63" s="2466"/>
      <c r="BX63" s="2466"/>
      <c r="BY63" s="2466"/>
      <c r="BZ63" s="2466"/>
      <c r="CA63" s="2466"/>
      <c r="CB63" s="2466"/>
      <c r="CC63" s="2466"/>
      <c r="CD63" s="2466"/>
      <c r="CE63" s="2466"/>
      <c r="CF63" s="2466"/>
      <c r="CG63" s="2466"/>
      <c r="CH63" s="2466"/>
      <c r="CI63" s="2466"/>
      <c r="CJ63" s="2466"/>
      <c r="CK63" s="2466"/>
      <c r="CL63" s="2466"/>
      <c r="CM63" s="2466"/>
      <c r="CN63" s="2466"/>
      <c r="CO63" s="2466"/>
      <c r="CP63" s="2466"/>
      <c r="CQ63" s="2466"/>
      <c r="CR63" s="2466"/>
      <c r="CS63" s="2466"/>
      <c r="CT63" s="2466"/>
      <c r="CU63" s="2466"/>
      <c r="CV63" s="2466"/>
      <c r="CW63" s="2466"/>
      <c r="CX63" s="2466"/>
      <c r="CY63" s="2466"/>
      <c r="CZ63" s="2466"/>
      <c r="DA63" s="2466"/>
      <c r="DB63" s="2466"/>
      <c r="DC63" s="2466"/>
      <c r="DD63" s="2466"/>
      <c r="DE63" s="2466"/>
      <c r="DF63" s="2466"/>
      <c r="DG63" s="2466"/>
      <c r="DH63" s="2466"/>
      <c r="DI63" s="2466"/>
      <c r="DJ63" s="2466"/>
      <c r="DK63" s="2466"/>
      <c r="DL63" s="2466"/>
      <c r="DM63" s="2466"/>
      <c r="DN63" s="2466"/>
      <c r="DO63" s="2466"/>
      <c r="DP63" s="2466"/>
      <c r="DQ63" s="2466"/>
      <c r="DR63" s="2466"/>
      <c r="DS63" s="2466"/>
      <c r="DT63" s="2466"/>
      <c r="DU63" s="2466"/>
      <c r="DV63" s="2466"/>
      <c r="DW63" s="2466"/>
      <c r="DX63" s="2466"/>
      <c r="DY63" s="2466"/>
      <c r="DZ63" s="2466"/>
      <c r="EA63" s="2466"/>
      <c r="EB63" s="2466"/>
      <c r="EC63" s="2466"/>
      <c r="ED63" s="2466"/>
      <c r="EE63" s="2466"/>
      <c r="EF63" s="2466"/>
      <c r="EG63" s="2466"/>
      <c r="EH63" s="2466"/>
      <c r="EI63" s="2466"/>
      <c r="EJ63" s="2466"/>
      <c r="EK63" s="2466"/>
      <c r="EL63" s="2466"/>
      <c r="EM63" s="2466"/>
      <c r="EN63" s="2466"/>
      <c r="EO63" s="2466"/>
      <c r="EP63" s="2466"/>
      <c r="EQ63" s="2466"/>
      <c r="ER63" s="2466"/>
      <c r="ES63" s="2466"/>
      <c r="ET63" s="2466"/>
      <c r="EU63" s="2466"/>
      <c r="EV63" s="2466"/>
      <c r="EW63" s="2466"/>
      <c r="EX63" s="2466"/>
      <c r="EY63" s="2466"/>
      <c r="EZ63" s="2466"/>
      <c r="FA63" s="2466"/>
      <c r="FB63" s="2466"/>
      <c r="FC63" s="2466"/>
      <c r="FD63" s="2466"/>
      <c r="FE63" s="2466"/>
      <c r="FF63" s="2466"/>
      <c r="FG63" s="2466"/>
      <c r="FH63" s="2466"/>
      <c r="FI63" s="2466"/>
      <c r="FJ63" s="2466"/>
      <c r="FK63" s="2466"/>
      <c r="FL63" s="2466"/>
      <c r="FM63" s="2466"/>
      <c r="FN63" s="2466"/>
      <c r="FO63" s="2466"/>
      <c r="FP63" s="2466"/>
      <c r="FQ63" s="2466"/>
      <c r="FR63" s="2466"/>
      <c r="FS63" s="2466"/>
      <c r="FT63" s="2466"/>
      <c r="FU63" s="2466"/>
      <c r="FV63" s="2466"/>
      <c r="FW63" s="2466"/>
      <c r="FX63" s="2466"/>
      <c r="FY63" s="2466"/>
      <c r="FZ63" s="2466"/>
      <c r="GA63" s="2466"/>
      <c r="GB63" s="2466"/>
      <c r="GC63" s="2466"/>
      <c r="GD63" s="2466"/>
      <c r="GE63" s="2466"/>
      <c r="GF63" s="2466"/>
      <c r="GG63" s="2466"/>
      <c r="GH63" s="2466"/>
      <c r="GI63" s="2466"/>
      <c r="GJ63" s="2466"/>
      <c r="GK63" s="2466"/>
      <c r="GL63" s="2466"/>
      <c r="GM63" s="2466"/>
      <c r="GN63" s="2466"/>
      <c r="GO63" s="2466"/>
      <c r="GP63" s="2466"/>
      <c r="GQ63" s="2466"/>
      <c r="GR63" s="2466"/>
      <c r="GS63" s="2466"/>
      <c r="GT63" s="2466"/>
      <c r="GU63" s="2466"/>
      <c r="GV63" s="2466"/>
      <c r="GW63" s="2466"/>
      <c r="GX63" s="2466"/>
      <c r="GY63" s="2466"/>
      <c r="GZ63" s="2466"/>
      <c r="HA63" s="2466"/>
      <c r="HB63" s="2466"/>
      <c r="HC63" s="2466"/>
      <c r="HD63" s="2466"/>
      <c r="HE63" s="2466"/>
      <c r="HF63" s="2466"/>
      <c r="HG63" s="2466"/>
      <c r="HH63" s="2466"/>
      <c r="HI63" s="2466"/>
      <c r="HJ63" s="2466"/>
      <c r="HK63" s="2466"/>
      <c r="HL63" s="2466"/>
      <c r="HM63" s="2466"/>
      <c r="HN63" s="2466"/>
      <c r="HO63" s="2466"/>
      <c r="HP63" s="2466"/>
      <c r="HQ63" s="2466"/>
      <c r="HR63" s="2466"/>
      <c r="HS63" s="2466"/>
      <c r="HT63" s="2466"/>
      <c r="HU63" s="2466"/>
      <c r="HV63" s="2466"/>
      <c r="HW63" s="2466"/>
      <c r="HX63" s="2466"/>
      <c r="HY63" s="2466"/>
      <c r="HZ63" s="2466"/>
      <c r="IA63" s="2466"/>
      <c r="IB63" s="2466"/>
      <c r="IC63" s="2466"/>
      <c r="ID63" s="2466"/>
      <c r="IE63" s="2466"/>
      <c r="IF63" s="2466"/>
      <c r="IG63" s="2466"/>
      <c r="IH63" s="2466"/>
      <c r="II63" s="2466"/>
      <c r="IJ63" s="2466"/>
      <c r="IK63" s="2466"/>
      <c r="IL63" s="2466"/>
      <c r="IM63" s="2466"/>
      <c r="IN63" s="2466"/>
      <c r="IO63" s="2466"/>
      <c r="IP63" s="2466"/>
      <c r="IQ63" s="2466"/>
      <c r="IR63" s="2466"/>
      <c r="IS63" s="2466"/>
      <c r="IT63" s="2466"/>
      <c r="IU63" s="2466"/>
      <c r="IV63" s="2466"/>
    </row>
    <row r="64" spans="1:256">
      <c r="A64" s="2465"/>
      <c r="B64" s="2465"/>
      <c r="C64" s="2465"/>
      <c r="D64" s="2465"/>
      <c r="E64" s="2465"/>
      <c r="F64" s="2465"/>
      <c r="G64" s="2465"/>
      <c r="H64" s="2465"/>
      <c r="I64" s="2465"/>
      <c r="J64" s="2465"/>
      <c r="K64" s="2465"/>
      <c r="L64" s="2465"/>
      <c r="M64" s="2465"/>
      <c r="N64" s="2465"/>
      <c r="O64" s="2465"/>
      <c r="P64" s="2465"/>
      <c r="Q64" s="2465"/>
      <c r="R64" s="2465"/>
      <c r="S64" s="2465"/>
      <c r="T64" s="2465"/>
      <c r="U64" s="2465"/>
      <c r="V64" s="2465"/>
      <c r="W64" s="2465"/>
      <c r="X64" s="2465"/>
      <c r="Y64" s="2465"/>
      <c r="Z64" s="2465"/>
      <c r="AA64" s="2465"/>
      <c r="AB64" s="2465"/>
      <c r="AC64" s="2465"/>
      <c r="AD64" s="2465"/>
      <c r="AE64" s="2465"/>
      <c r="AF64" s="2465"/>
      <c r="AG64" s="2465"/>
      <c r="AH64" s="2465"/>
      <c r="AI64" s="2465"/>
      <c r="AJ64" s="2465"/>
      <c r="AK64" s="2465"/>
      <c r="AL64" s="2465"/>
      <c r="AM64" s="2465"/>
      <c r="AN64" s="2465"/>
      <c r="AO64" s="2465"/>
      <c r="AP64" s="2465"/>
      <c r="AQ64" s="2465"/>
      <c r="AR64" s="2465"/>
      <c r="AS64" s="2465"/>
      <c r="AT64" s="2465"/>
      <c r="AU64" s="2465"/>
      <c r="AV64" s="2465"/>
      <c r="AW64" s="2465"/>
      <c r="AX64" s="2465"/>
      <c r="AY64" s="2465"/>
      <c r="AZ64" s="2465"/>
      <c r="BA64" s="2465"/>
      <c r="BB64" s="2465"/>
      <c r="BC64" s="2465"/>
      <c r="BD64" s="2465"/>
      <c r="BE64" s="2465"/>
      <c r="BF64" s="2465"/>
      <c r="BG64" s="2465"/>
      <c r="BH64" s="2465"/>
      <c r="BI64" s="2466"/>
      <c r="BJ64" s="2466"/>
      <c r="BK64" s="2466"/>
      <c r="BL64" s="2466"/>
      <c r="BM64" s="2466"/>
      <c r="BN64" s="2466"/>
      <c r="BO64" s="2466"/>
      <c r="BP64" s="2466"/>
      <c r="BQ64" s="2466"/>
      <c r="BR64" s="2466"/>
      <c r="BS64" s="2466"/>
      <c r="BT64" s="2466"/>
      <c r="BU64" s="2466"/>
      <c r="BV64" s="2466"/>
      <c r="BW64" s="2466"/>
      <c r="BX64" s="2466"/>
      <c r="BY64" s="2466"/>
      <c r="BZ64" s="2466"/>
      <c r="CA64" s="2466"/>
      <c r="CB64" s="2466"/>
      <c r="CC64" s="2466"/>
      <c r="CD64" s="2466"/>
      <c r="CE64" s="2466"/>
      <c r="CF64" s="2466"/>
      <c r="CG64" s="2466"/>
      <c r="CH64" s="2466"/>
      <c r="CI64" s="2466"/>
      <c r="CJ64" s="2466"/>
      <c r="CK64" s="2466"/>
      <c r="CL64" s="2466"/>
      <c r="CM64" s="2466"/>
      <c r="CN64" s="2466"/>
      <c r="CO64" s="2466"/>
      <c r="CP64" s="2466"/>
      <c r="CQ64" s="2466"/>
      <c r="CR64" s="2466"/>
      <c r="CS64" s="2466"/>
      <c r="CT64" s="2466"/>
      <c r="CU64" s="2466"/>
      <c r="CV64" s="2466"/>
      <c r="CW64" s="2466"/>
      <c r="CX64" s="2466"/>
      <c r="CY64" s="2466"/>
      <c r="CZ64" s="2466"/>
      <c r="DA64" s="2466"/>
      <c r="DB64" s="2466"/>
      <c r="DC64" s="2466"/>
      <c r="DD64" s="2466"/>
      <c r="DE64" s="2466"/>
      <c r="DF64" s="2466"/>
      <c r="DG64" s="2466"/>
      <c r="DH64" s="2466"/>
      <c r="DI64" s="2466"/>
      <c r="DJ64" s="2466"/>
      <c r="DK64" s="2466"/>
      <c r="DL64" s="2466"/>
      <c r="DM64" s="2466"/>
      <c r="DN64" s="2466"/>
      <c r="DO64" s="2466"/>
      <c r="DP64" s="2466"/>
      <c r="DQ64" s="2466"/>
      <c r="DR64" s="2466"/>
      <c r="DS64" s="2466"/>
      <c r="DT64" s="2466"/>
      <c r="DU64" s="2466"/>
      <c r="DV64" s="2466"/>
      <c r="DW64" s="2466"/>
      <c r="DX64" s="2466"/>
      <c r="DY64" s="2466"/>
      <c r="DZ64" s="2466"/>
      <c r="EA64" s="2466"/>
      <c r="EB64" s="2466"/>
      <c r="EC64" s="2466"/>
      <c r="ED64" s="2466"/>
      <c r="EE64" s="2466"/>
      <c r="EF64" s="2466"/>
      <c r="EG64" s="2466"/>
      <c r="EH64" s="2466"/>
      <c r="EI64" s="2466"/>
      <c r="EJ64" s="2466"/>
      <c r="EK64" s="2466"/>
      <c r="EL64" s="2466"/>
      <c r="EM64" s="2466"/>
      <c r="EN64" s="2466"/>
      <c r="EO64" s="2466"/>
      <c r="EP64" s="2466"/>
      <c r="EQ64" s="2466"/>
      <c r="ER64" s="2466"/>
      <c r="ES64" s="2466"/>
      <c r="ET64" s="2466"/>
      <c r="EU64" s="2466"/>
      <c r="EV64" s="2466"/>
      <c r="EW64" s="2466"/>
      <c r="EX64" s="2466"/>
      <c r="EY64" s="2466"/>
      <c r="EZ64" s="2466"/>
      <c r="FA64" s="2466"/>
      <c r="FB64" s="2466"/>
      <c r="FC64" s="2466"/>
      <c r="FD64" s="2466"/>
      <c r="FE64" s="2466"/>
      <c r="FF64" s="2466"/>
      <c r="FG64" s="2466"/>
      <c r="FH64" s="2466"/>
      <c r="FI64" s="2466"/>
      <c r="FJ64" s="2466"/>
      <c r="FK64" s="2466"/>
      <c r="FL64" s="2466"/>
      <c r="FM64" s="2466"/>
      <c r="FN64" s="2466"/>
      <c r="FO64" s="2466"/>
      <c r="FP64" s="2466"/>
      <c r="FQ64" s="2466"/>
      <c r="FR64" s="2466"/>
      <c r="FS64" s="2466"/>
      <c r="FT64" s="2466"/>
      <c r="FU64" s="2466"/>
      <c r="FV64" s="2466"/>
      <c r="FW64" s="2466"/>
      <c r="FX64" s="2466"/>
      <c r="FY64" s="2466"/>
      <c r="FZ64" s="2466"/>
      <c r="GA64" s="2466"/>
      <c r="GB64" s="2466"/>
      <c r="GC64" s="2466"/>
      <c r="GD64" s="2466"/>
      <c r="GE64" s="2466"/>
      <c r="GF64" s="2466"/>
      <c r="GG64" s="2466"/>
      <c r="GH64" s="2466"/>
      <c r="GI64" s="2466"/>
      <c r="GJ64" s="2466"/>
      <c r="GK64" s="2466"/>
      <c r="GL64" s="2466"/>
      <c r="GM64" s="2466"/>
      <c r="GN64" s="2466"/>
      <c r="GO64" s="2466"/>
      <c r="GP64" s="2466"/>
      <c r="GQ64" s="2466"/>
      <c r="GR64" s="2466"/>
      <c r="GS64" s="2466"/>
      <c r="GT64" s="2466"/>
      <c r="GU64" s="2466"/>
      <c r="GV64" s="2466"/>
      <c r="GW64" s="2466"/>
      <c r="GX64" s="2466"/>
      <c r="GY64" s="2466"/>
      <c r="GZ64" s="2466"/>
      <c r="HA64" s="2466"/>
      <c r="HB64" s="2466"/>
      <c r="HC64" s="2466"/>
      <c r="HD64" s="2466"/>
      <c r="HE64" s="2466"/>
      <c r="HF64" s="2466"/>
      <c r="HG64" s="2466"/>
      <c r="HH64" s="2466"/>
      <c r="HI64" s="2466"/>
      <c r="HJ64" s="2466"/>
      <c r="HK64" s="2466"/>
      <c r="HL64" s="2466"/>
      <c r="HM64" s="2466"/>
      <c r="HN64" s="2466"/>
      <c r="HO64" s="2466"/>
      <c r="HP64" s="2466"/>
      <c r="HQ64" s="2466"/>
      <c r="HR64" s="2466"/>
      <c r="HS64" s="2466"/>
      <c r="HT64" s="2466"/>
      <c r="HU64" s="2466"/>
      <c r="HV64" s="2466"/>
      <c r="HW64" s="2466"/>
      <c r="HX64" s="2466"/>
      <c r="HY64" s="2466"/>
      <c r="HZ64" s="2466"/>
      <c r="IA64" s="2466"/>
      <c r="IB64" s="2466"/>
      <c r="IC64" s="2466"/>
      <c r="ID64" s="2466"/>
      <c r="IE64" s="2466"/>
      <c r="IF64" s="2466"/>
      <c r="IG64" s="2466"/>
      <c r="IH64" s="2466"/>
      <c r="II64" s="2466"/>
      <c r="IJ64" s="2466"/>
      <c r="IK64" s="2466"/>
      <c r="IL64" s="2466"/>
      <c r="IM64" s="2466"/>
      <c r="IN64" s="2466"/>
      <c r="IO64" s="2466"/>
      <c r="IP64" s="2466"/>
      <c r="IQ64" s="2466"/>
      <c r="IR64" s="2466"/>
      <c r="IS64" s="2466"/>
      <c r="IT64" s="2466"/>
      <c r="IU64" s="2466"/>
      <c r="IV64" s="2466"/>
    </row>
    <row r="65" spans="1:256">
      <c r="A65" s="2465"/>
      <c r="B65" s="2465"/>
      <c r="C65" s="2465"/>
      <c r="D65" s="2465"/>
      <c r="E65" s="2465"/>
      <c r="F65" s="2465"/>
      <c r="G65" s="2465"/>
      <c r="H65" s="2465"/>
      <c r="I65" s="2465"/>
      <c r="J65" s="2465"/>
      <c r="K65" s="2465"/>
      <c r="L65" s="2465"/>
      <c r="M65" s="2465"/>
      <c r="N65" s="2465"/>
      <c r="O65" s="2466"/>
      <c r="P65" s="2466"/>
      <c r="Q65" s="2466"/>
      <c r="R65" s="2466"/>
      <c r="S65" s="2466"/>
      <c r="T65" s="2466"/>
      <c r="U65" s="2466"/>
      <c r="V65" s="2466"/>
      <c r="W65" s="2466"/>
      <c r="X65" s="2466"/>
      <c r="Y65" s="2466"/>
      <c r="Z65" s="2466"/>
      <c r="AA65" s="2466"/>
      <c r="AB65" s="2466"/>
      <c r="AC65" s="2466"/>
      <c r="AD65" s="2466"/>
      <c r="AE65" s="2466"/>
      <c r="AF65" s="2466"/>
      <c r="AG65" s="2466"/>
      <c r="AH65" s="2466"/>
      <c r="AI65" s="2466"/>
      <c r="AJ65" s="2466"/>
      <c r="AK65" s="2466"/>
      <c r="AL65" s="2466"/>
      <c r="AM65" s="2466"/>
      <c r="AN65" s="2466"/>
      <c r="AO65" s="2466"/>
      <c r="AP65" s="2466"/>
      <c r="AQ65" s="2466"/>
      <c r="AR65" s="2466"/>
      <c r="AS65" s="2466"/>
      <c r="AT65" s="2466"/>
      <c r="AU65" s="2466"/>
      <c r="AV65" s="2466"/>
      <c r="AW65" s="2466"/>
      <c r="AX65" s="2466"/>
      <c r="AY65" s="2466"/>
      <c r="AZ65" s="2466"/>
      <c r="BA65" s="2466"/>
      <c r="BB65" s="2466"/>
      <c r="BC65" s="2466"/>
      <c r="BD65" s="2466"/>
      <c r="BE65" s="2466"/>
      <c r="BF65" s="2466"/>
      <c r="BG65" s="2466"/>
      <c r="BH65" s="2466"/>
      <c r="BI65" s="2466"/>
      <c r="BJ65" s="2466"/>
      <c r="BK65" s="2466"/>
      <c r="BL65" s="2466"/>
      <c r="BM65" s="2466"/>
      <c r="BN65" s="2466"/>
      <c r="BO65" s="2466"/>
      <c r="BP65" s="2466"/>
      <c r="BQ65" s="2466"/>
      <c r="BR65" s="2466"/>
      <c r="BS65" s="2466"/>
      <c r="BT65" s="2466"/>
      <c r="BU65" s="2466"/>
      <c r="BV65" s="2466"/>
      <c r="BW65" s="2466"/>
      <c r="BX65" s="2466"/>
      <c r="BY65" s="2466"/>
      <c r="BZ65" s="2466"/>
      <c r="CA65" s="2466"/>
      <c r="CB65" s="2466"/>
      <c r="CC65" s="2466"/>
      <c r="CD65" s="2466"/>
      <c r="CE65" s="2466"/>
      <c r="CF65" s="2466"/>
      <c r="CG65" s="2466"/>
      <c r="CH65" s="2466"/>
      <c r="CI65" s="2466"/>
      <c r="CJ65" s="2466"/>
      <c r="CK65" s="2466"/>
      <c r="CL65" s="2466"/>
      <c r="CM65" s="2466"/>
      <c r="CN65" s="2466"/>
      <c r="CO65" s="2466"/>
      <c r="CP65" s="2466"/>
      <c r="CQ65" s="2466"/>
      <c r="CR65" s="2466"/>
      <c r="CS65" s="2466"/>
      <c r="CT65" s="2466"/>
      <c r="CU65" s="2466"/>
      <c r="CV65" s="2466"/>
      <c r="CW65" s="2466"/>
      <c r="CX65" s="2466"/>
      <c r="CY65" s="2466"/>
      <c r="CZ65" s="2466"/>
      <c r="DA65" s="2466"/>
      <c r="DB65" s="2466"/>
      <c r="DC65" s="2466"/>
      <c r="DD65" s="2466"/>
      <c r="DE65" s="2466"/>
      <c r="DF65" s="2466"/>
      <c r="DG65" s="2466"/>
      <c r="DH65" s="2466"/>
      <c r="DI65" s="2466"/>
      <c r="DJ65" s="2466"/>
      <c r="DK65" s="2466"/>
      <c r="DL65" s="2466"/>
      <c r="DM65" s="2466"/>
      <c r="DN65" s="2466"/>
      <c r="DO65" s="2466"/>
      <c r="DP65" s="2466"/>
      <c r="DQ65" s="2466"/>
      <c r="DR65" s="2466"/>
      <c r="DS65" s="2466"/>
      <c r="DT65" s="2466"/>
      <c r="DU65" s="2466"/>
      <c r="DV65" s="2466"/>
      <c r="DW65" s="2466"/>
      <c r="DX65" s="2466"/>
      <c r="DY65" s="2466"/>
      <c r="DZ65" s="2466"/>
      <c r="EA65" s="2466"/>
      <c r="EB65" s="2466"/>
      <c r="EC65" s="2466"/>
      <c r="ED65" s="2466"/>
      <c r="EE65" s="2466"/>
      <c r="EF65" s="2466"/>
      <c r="EG65" s="2466"/>
      <c r="EH65" s="2466"/>
      <c r="EI65" s="2466"/>
      <c r="EJ65" s="2466"/>
      <c r="EK65" s="2466"/>
      <c r="EL65" s="2466"/>
      <c r="EM65" s="2466"/>
      <c r="EN65" s="2466"/>
      <c r="EO65" s="2466"/>
      <c r="EP65" s="2466"/>
      <c r="EQ65" s="2466"/>
      <c r="ER65" s="2466"/>
      <c r="ES65" s="2466"/>
      <c r="ET65" s="2466"/>
      <c r="EU65" s="2466"/>
      <c r="EV65" s="2466"/>
      <c r="EW65" s="2466"/>
      <c r="EX65" s="2466"/>
      <c r="EY65" s="2466"/>
      <c r="EZ65" s="2466"/>
      <c r="FA65" s="2466"/>
      <c r="FB65" s="2466"/>
      <c r="FC65" s="2466"/>
      <c r="FD65" s="2466"/>
      <c r="FE65" s="2466"/>
      <c r="FF65" s="2466"/>
      <c r="FG65" s="2466"/>
      <c r="FH65" s="2466"/>
      <c r="FI65" s="2466"/>
      <c r="FJ65" s="2466"/>
      <c r="FK65" s="2466"/>
      <c r="FL65" s="2466"/>
      <c r="FM65" s="2466"/>
      <c r="FN65" s="2466"/>
      <c r="FO65" s="2466"/>
      <c r="FP65" s="2466"/>
      <c r="FQ65" s="2466"/>
      <c r="FR65" s="2466"/>
      <c r="FS65" s="2466"/>
      <c r="FT65" s="2466"/>
      <c r="FU65" s="2466"/>
      <c r="FV65" s="2466"/>
      <c r="FW65" s="2466"/>
      <c r="FX65" s="2466"/>
      <c r="FY65" s="2466"/>
      <c r="FZ65" s="2466"/>
      <c r="GA65" s="2466"/>
      <c r="GB65" s="2466"/>
      <c r="GC65" s="2466"/>
      <c r="GD65" s="2466"/>
      <c r="GE65" s="2466"/>
      <c r="GF65" s="2466"/>
      <c r="GG65" s="2466"/>
      <c r="GH65" s="2466"/>
      <c r="GI65" s="2466"/>
      <c r="GJ65" s="2466"/>
      <c r="GK65" s="2466"/>
      <c r="GL65" s="2466"/>
      <c r="GM65" s="2466"/>
      <c r="GN65" s="2466"/>
      <c r="GO65" s="2466"/>
      <c r="GP65" s="2466"/>
      <c r="GQ65" s="2466"/>
      <c r="GR65" s="2466"/>
      <c r="GS65" s="2466"/>
      <c r="GT65" s="2466"/>
      <c r="GU65" s="2466"/>
      <c r="GV65" s="2466"/>
      <c r="GW65" s="2466"/>
      <c r="GX65" s="2466"/>
      <c r="GY65" s="2466"/>
      <c r="GZ65" s="2466"/>
      <c r="HA65" s="2466"/>
      <c r="HB65" s="2466"/>
      <c r="HC65" s="2466"/>
      <c r="HD65" s="2466"/>
      <c r="HE65" s="2466"/>
      <c r="HF65" s="2466"/>
      <c r="HG65" s="2466"/>
      <c r="HH65" s="2466"/>
      <c r="HI65" s="2466"/>
      <c r="HJ65" s="2466"/>
      <c r="HK65" s="2466"/>
      <c r="HL65" s="2466"/>
      <c r="HM65" s="2466"/>
      <c r="HN65" s="2466"/>
      <c r="HO65" s="2466"/>
      <c r="HP65" s="2466"/>
      <c r="HQ65" s="2466"/>
      <c r="HR65" s="2466"/>
      <c r="HS65" s="2466"/>
      <c r="HT65" s="2466"/>
      <c r="HU65" s="2466"/>
      <c r="HV65" s="2466"/>
      <c r="HW65" s="2466"/>
      <c r="HX65" s="2466"/>
      <c r="HY65" s="2466"/>
      <c r="HZ65" s="2466"/>
      <c r="IA65" s="2466"/>
      <c r="IB65" s="2466"/>
      <c r="IC65" s="2466"/>
      <c r="ID65" s="2466"/>
      <c r="IE65" s="2466"/>
      <c r="IF65" s="2466"/>
      <c r="IG65" s="2466"/>
      <c r="IH65" s="2466"/>
      <c r="II65" s="2466"/>
      <c r="IJ65" s="2466"/>
      <c r="IK65" s="2466"/>
      <c r="IL65" s="2466"/>
      <c r="IM65" s="2466"/>
      <c r="IN65" s="2466"/>
      <c r="IO65" s="2466"/>
      <c r="IP65" s="2466"/>
      <c r="IQ65" s="2466"/>
      <c r="IR65" s="2466"/>
      <c r="IS65" s="2466"/>
      <c r="IT65" s="2466"/>
      <c r="IU65" s="2466"/>
      <c r="IV65" s="2466"/>
    </row>
    <row r="66" spans="1:256">
      <c r="A66" s="2465"/>
      <c r="B66" s="2465"/>
      <c r="C66" s="2465"/>
      <c r="D66" s="2465"/>
      <c r="E66" s="2465"/>
      <c r="F66" s="2465"/>
      <c r="G66" s="2465"/>
      <c r="H66" s="2465"/>
      <c r="I66" s="2465"/>
      <c r="J66" s="2465"/>
      <c r="K66" s="2465"/>
      <c r="L66" s="2465"/>
      <c r="M66" s="2465"/>
      <c r="N66" s="2465"/>
      <c r="O66" s="2466"/>
      <c r="P66" s="2466"/>
      <c r="Q66" s="2466"/>
      <c r="R66" s="2466"/>
      <c r="S66" s="2466"/>
      <c r="T66" s="2466"/>
      <c r="U66" s="2466"/>
      <c r="V66" s="2466"/>
      <c r="W66" s="2466"/>
      <c r="X66" s="2466"/>
      <c r="Y66" s="2466"/>
      <c r="Z66" s="2466"/>
      <c r="AA66" s="2466"/>
      <c r="AB66" s="2466"/>
      <c r="AC66" s="2466"/>
      <c r="AD66" s="2466"/>
      <c r="AE66" s="2466"/>
      <c r="AF66" s="2466"/>
      <c r="AG66" s="2466"/>
      <c r="AH66" s="2466"/>
      <c r="AI66" s="2466"/>
      <c r="AJ66" s="2466"/>
      <c r="AK66" s="2466"/>
      <c r="AL66" s="2466"/>
      <c r="AM66" s="2466"/>
      <c r="AN66" s="2466"/>
      <c r="AO66" s="2466"/>
      <c r="AP66" s="2466"/>
      <c r="AQ66" s="2466"/>
      <c r="AR66" s="2466"/>
      <c r="AS66" s="2466"/>
      <c r="AT66" s="2466"/>
      <c r="AU66" s="2466"/>
      <c r="AV66" s="2466"/>
      <c r="AW66" s="2466"/>
      <c r="AX66" s="2466"/>
      <c r="AY66" s="2466"/>
      <c r="AZ66" s="2466"/>
      <c r="BA66" s="2466"/>
      <c r="BB66" s="2466"/>
      <c r="BC66" s="2466"/>
      <c r="BD66" s="2466"/>
      <c r="BE66" s="2466"/>
      <c r="BF66" s="2466"/>
      <c r="BG66" s="2466"/>
      <c r="BH66" s="2466"/>
      <c r="BI66" s="2466"/>
      <c r="BJ66" s="2466"/>
      <c r="BK66" s="2466"/>
      <c r="BL66" s="2466"/>
      <c r="BM66" s="2466"/>
      <c r="BN66" s="2466"/>
      <c r="BO66" s="2466"/>
      <c r="BP66" s="2466"/>
      <c r="BQ66" s="2466"/>
      <c r="BR66" s="2466"/>
      <c r="BS66" s="2466"/>
      <c r="BT66" s="2466"/>
      <c r="BU66" s="2466"/>
      <c r="BV66" s="2466"/>
      <c r="BW66" s="2466"/>
      <c r="BX66" s="2466"/>
      <c r="BY66" s="2466"/>
      <c r="BZ66" s="2466"/>
      <c r="CA66" s="2466"/>
      <c r="CB66" s="2466"/>
      <c r="CC66" s="2466"/>
      <c r="CD66" s="2466"/>
      <c r="CE66" s="2466"/>
      <c r="CF66" s="2466"/>
      <c r="CG66" s="2466"/>
      <c r="CH66" s="2466"/>
      <c r="CI66" s="2466"/>
      <c r="CJ66" s="2466"/>
      <c r="CK66" s="2466"/>
      <c r="CL66" s="2466"/>
      <c r="CM66" s="2466"/>
      <c r="CN66" s="2466"/>
      <c r="CO66" s="2466"/>
      <c r="CP66" s="2466"/>
      <c r="CQ66" s="2466"/>
      <c r="CR66" s="2466"/>
      <c r="CS66" s="2466"/>
      <c r="CT66" s="2466"/>
      <c r="CU66" s="2466"/>
      <c r="CV66" s="2466"/>
      <c r="CW66" s="2466"/>
      <c r="CX66" s="2466"/>
      <c r="CY66" s="2466"/>
      <c r="CZ66" s="2466"/>
      <c r="DA66" s="2466"/>
      <c r="DB66" s="2466"/>
      <c r="DC66" s="2466"/>
      <c r="DD66" s="2466"/>
      <c r="DE66" s="2466"/>
      <c r="DF66" s="2466"/>
      <c r="DG66" s="2466"/>
      <c r="DH66" s="2466"/>
      <c r="DI66" s="2466"/>
      <c r="DJ66" s="2466"/>
      <c r="DK66" s="2466"/>
      <c r="DL66" s="2466"/>
      <c r="DM66" s="2466"/>
      <c r="DN66" s="2466"/>
      <c r="DO66" s="2466"/>
      <c r="DP66" s="2466"/>
      <c r="DQ66" s="2466"/>
      <c r="DR66" s="2466"/>
      <c r="DS66" s="2466"/>
      <c r="DT66" s="2466"/>
      <c r="DU66" s="2466"/>
      <c r="DV66" s="2466"/>
      <c r="DW66" s="2466"/>
      <c r="DX66" s="2466"/>
      <c r="DY66" s="2466"/>
      <c r="DZ66" s="2466"/>
      <c r="EA66" s="2466"/>
      <c r="EB66" s="2466"/>
      <c r="EC66" s="2466"/>
      <c r="ED66" s="2466"/>
      <c r="EE66" s="2466"/>
      <c r="EF66" s="2466"/>
      <c r="EG66" s="2466"/>
      <c r="EH66" s="2466"/>
      <c r="EI66" s="2466"/>
      <c r="EJ66" s="2466"/>
      <c r="EK66" s="2466"/>
      <c r="EL66" s="2466"/>
      <c r="EM66" s="2466"/>
      <c r="EN66" s="2466"/>
      <c r="EO66" s="2466"/>
      <c r="EP66" s="2466"/>
      <c r="EQ66" s="2466"/>
      <c r="ER66" s="2466"/>
      <c r="ES66" s="2466"/>
      <c r="ET66" s="2466"/>
      <c r="EU66" s="2466"/>
      <c r="EV66" s="2466"/>
      <c r="EW66" s="2466"/>
      <c r="EX66" s="2466"/>
      <c r="EY66" s="2466"/>
      <c r="EZ66" s="2466"/>
      <c r="FA66" s="2466"/>
      <c r="FB66" s="2466"/>
      <c r="FC66" s="2466"/>
      <c r="FD66" s="2466"/>
      <c r="FE66" s="2466"/>
      <c r="FF66" s="2466"/>
      <c r="FG66" s="2466"/>
      <c r="FH66" s="2466"/>
      <c r="FI66" s="2466"/>
      <c r="FJ66" s="2466"/>
      <c r="FK66" s="2466"/>
      <c r="FL66" s="2466"/>
      <c r="FM66" s="2466"/>
      <c r="FN66" s="2466"/>
      <c r="FO66" s="2466"/>
      <c r="FP66" s="2466"/>
      <c r="FQ66" s="2466"/>
      <c r="FR66" s="2466"/>
      <c r="FS66" s="2466"/>
      <c r="FT66" s="2466"/>
      <c r="FU66" s="2466"/>
      <c r="FV66" s="2466"/>
      <c r="FW66" s="2466"/>
      <c r="FX66" s="2466"/>
      <c r="FY66" s="2466"/>
      <c r="FZ66" s="2466"/>
      <c r="GA66" s="2466"/>
      <c r="GB66" s="2466"/>
      <c r="GC66" s="2466"/>
      <c r="GD66" s="2466"/>
      <c r="GE66" s="2466"/>
      <c r="GF66" s="2466"/>
      <c r="GG66" s="2466"/>
      <c r="GH66" s="2466"/>
      <c r="GI66" s="2466"/>
      <c r="GJ66" s="2466"/>
      <c r="GK66" s="2466"/>
      <c r="GL66" s="2466"/>
      <c r="GM66" s="2466"/>
      <c r="GN66" s="2466"/>
      <c r="GO66" s="2466"/>
      <c r="GP66" s="2466"/>
      <c r="GQ66" s="2466"/>
      <c r="GR66" s="2466"/>
      <c r="GS66" s="2466"/>
      <c r="GT66" s="2466"/>
      <c r="GU66" s="2466"/>
      <c r="GV66" s="2466"/>
      <c r="GW66" s="2466"/>
      <c r="GX66" s="2466"/>
      <c r="GY66" s="2466"/>
      <c r="GZ66" s="2466"/>
      <c r="HA66" s="2466"/>
      <c r="HB66" s="2466"/>
      <c r="HC66" s="2466"/>
      <c r="HD66" s="2466"/>
      <c r="HE66" s="2466"/>
      <c r="HF66" s="2466"/>
      <c r="HG66" s="2466"/>
      <c r="HH66" s="2466"/>
      <c r="HI66" s="2466"/>
      <c r="HJ66" s="2466"/>
      <c r="HK66" s="2466"/>
      <c r="HL66" s="2466"/>
      <c r="HM66" s="2466"/>
      <c r="HN66" s="2466"/>
      <c r="HO66" s="2466"/>
      <c r="HP66" s="2466"/>
      <c r="HQ66" s="2466"/>
      <c r="HR66" s="2466"/>
      <c r="HS66" s="2466"/>
      <c r="HT66" s="2466"/>
      <c r="HU66" s="2466"/>
      <c r="HV66" s="2466"/>
      <c r="HW66" s="2466"/>
      <c r="HX66" s="2466"/>
      <c r="HY66" s="2466"/>
      <c r="HZ66" s="2466"/>
      <c r="IA66" s="2466"/>
      <c r="IB66" s="2466"/>
      <c r="IC66" s="2466"/>
      <c r="ID66" s="2466"/>
      <c r="IE66" s="2466"/>
      <c r="IF66" s="2466"/>
      <c r="IG66" s="2466"/>
      <c r="IH66" s="2466"/>
      <c r="II66" s="2466"/>
      <c r="IJ66" s="2466"/>
      <c r="IK66" s="2466"/>
      <c r="IL66" s="2466"/>
      <c r="IM66" s="2466"/>
      <c r="IN66" s="2466"/>
      <c r="IO66" s="2466"/>
      <c r="IP66" s="2466"/>
      <c r="IQ66" s="2466"/>
      <c r="IR66" s="2466"/>
      <c r="IS66" s="2466"/>
      <c r="IT66" s="2466"/>
      <c r="IU66" s="2466"/>
      <c r="IV66" s="2466"/>
    </row>
    <row r="67" spans="1:256">
      <c r="A67" s="2465"/>
      <c r="B67" s="2465"/>
      <c r="C67" s="2465"/>
      <c r="D67" s="2465"/>
      <c r="E67" s="2465"/>
      <c r="F67" s="2465"/>
      <c r="G67" s="2465"/>
      <c r="H67" s="2465"/>
      <c r="I67" s="2465"/>
      <c r="J67" s="2465"/>
      <c r="K67" s="2465"/>
      <c r="L67" s="2465"/>
      <c r="M67" s="2465"/>
      <c r="N67" s="2465"/>
      <c r="O67" s="2466"/>
      <c r="P67" s="2466"/>
      <c r="Q67" s="2466"/>
      <c r="R67" s="2466"/>
      <c r="S67" s="2466"/>
      <c r="T67" s="2466"/>
      <c r="U67" s="2466"/>
      <c r="V67" s="2466"/>
      <c r="W67" s="2466"/>
      <c r="X67" s="2466"/>
      <c r="Y67" s="2466"/>
      <c r="Z67" s="2466"/>
      <c r="AA67" s="2466"/>
      <c r="AB67" s="2466"/>
      <c r="AC67" s="2466"/>
      <c r="AD67" s="2466"/>
      <c r="AE67" s="2466"/>
      <c r="AF67" s="2466"/>
      <c r="AG67" s="2466"/>
      <c r="AH67" s="2466"/>
      <c r="AI67" s="2466"/>
      <c r="AJ67" s="2466"/>
      <c r="AK67" s="2466"/>
      <c r="AL67" s="2466"/>
      <c r="AM67" s="2466"/>
      <c r="AN67" s="2466"/>
      <c r="AO67" s="2466"/>
      <c r="AP67" s="2466"/>
      <c r="AQ67" s="2466"/>
      <c r="AR67" s="2466"/>
      <c r="AS67" s="2466"/>
      <c r="AT67" s="2466"/>
      <c r="AU67" s="2466"/>
      <c r="AV67" s="2466"/>
      <c r="AW67" s="2466"/>
      <c r="AX67" s="2466"/>
      <c r="AY67" s="2466"/>
      <c r="AZ67" s="2466"/>
      <c r="BA67" s="2466"/>
      <c r="BB67" s="2466"/>
      <c r="BC67" s="2466"/>
      <c r="BD67" s="2466"/>
      <c r="BE67" s="2466"/>
      <c r="BF67" s="2466"/>
      <c r="BG67" s="2466"/>
      <c r="BH67" s="2466"/>
      <c r="BI67" s="2466"/>
      <c r="BJ67" s="2466"/>
      <c r="BK67" s="2466"/>
      <c r="BL67" s="2466"/>
      <c r="BM67" s="2466"/>
      <c r="BN67" s="2466"/>
      <c r="BO67" s="2466"/>
      <c r="BP67" s="2466"/>
      <c r="BQ67" s="2466"/>
      <c r="BR67" s="2466"/>
      <c r="BS67" s="2466"/>
      <c r="BT67" s="2466"/>
      <c r="BU67" s="2466"/>
      <c r="BV67" s="2466"/>
      <c r="BW67" s="2466"/>
      <c r="BX67" s="2466"/>
      <c r="BY67" s="2466"/>
      <c r="BZ67" s="2466"/>
      <c r="CA67" s="2466"/>
      <c r="CB67" s="2466"/>
      <c r="CC67" s="2466"/>
      <c r="CD67" s="2466"/>
      <c r="CE67" s="2466"/>
      <c r="CF67" s="2466"/>
      <c r="CG67" s="2466"/>
      <c r="CH67" s="2466"/>
      <c r="CI67" s="2466"/>
      <c r="CJ67" s="2466"/>
      <c r="CK67" s="2466"/>
      <c r="CL67" s="2466"/>
      <c r="CM67" s="2466"/>
      <c r="CN67" s="2466"/>
      <c r="CO67" s="2466"/>
      <c r="CP67" s="2466"/>
      <c r="CQ67" s="2466"/>
      <c r="CR67" s="2466"/>
      <c r="CS67" s="2466"/>
      <c r="CT67" s="2466"/>
      <c r="CU67" s="2466"/>
      <c r="CV67" s="2466"/>
      <c r="CW67" s="2466"/>
      <c r="CX67" s="2466"/>
      <c r="CY67" s="2466"/>
      <c r="CZ67" s="2466"/>
      <c r="DA67" s="2466"/>
      <c r="DB67" s="2466"/>
      <c r="DC67" s="2466"/>
      <c r="DD67" s="2466"/>
      <c r="DE67" s="2466"/>
      <c r="DF67" s="2466"/>
      <c r="DG67" s="2466"/>
      <c r="DH67" s="2466"/>
      <c r="DI67" s="2466"/>
      <c r="DJ67" s="2466"/>
      <c r="DK67" s="2466"/>
      <c r="DL67" s="2466"/>
      <c r="DM67" s="2466"/>
      <c r="DN67" s="2466"/>
      <c r="DO67" s="2466"/>
      <c r="DP67" s="2466"/>
      <c r="DQ67" s="2466"/>
      <c r="DR67" s="2466"/>
      <c r="DS67" s="2466"/>
      <c r="DT67" s="2466"/>
      <c r="DU67" s="2466"/>
      <c r="DV67" s="2466"/>
      <c r="DW67" s="2466"/>
      <c r="DX67" s="2466"/>
      <c r="DY67" s="2466"/>
      <c r="DZ67" s="2466"/>
      <c r="EA67" s="2466"/>
      <c r="EB67" s="2466"/>
      <c r="EC67" s="2466"/>
      <c r="ED67" s="2466"/>
      <c r="EE67" s="2466"/>
      <c r="EF67" s="2466"/>
      <c r="EG67" s="2466"/>
      <c r="EH67" s="2466"/>
      <c r="EI67" s="2466"/>
      <c r="EJ67" s="2466"/>
      <c r="EK67" s="2466"/>
      <c r="EL67" s="2466"/>
      <c r="EM67" s="2466"/>
      <c r="EN67" s="2466"/>
      <c r="EO67" s="2466"/>
      <c r="EP67" s="2466"/>
      <c r="EQ67" s="2466"/>
      <c r="ER67" s="2466"/>
      <c r="ES67" s="2466"/>
      <c r="ET67" s="2466"/>
      <c r="EU67" s="2466"/>
      <c r="EV67" s="2466"/>
      <c r="EW67" s="2466"/>
      <c r="EX67" s="2466"/>
      <c r="EY67" s="2466"/>
      <c r="EZ67" s="2466"/>
      <c r="FA67" s="2466"/>
      <c r="FB67" s="2466"/>
      <c r="FC67" s="2466"/>
      <c r="FD67" s="2466"/>
      <c r="FE67" s="2466"/>
      <c r="FF67" s="2466"/>
      <c r="FG67" s="2466"/>
      <c r="FH67" s="2466"/>
      <c r="FI67" s="2466"/>
      <c r="FJ67" s="2466"/>
      <c r="FK67" s="2466"/>
      <c r="FL67" s="2466"/>
      <c r="FM67" s="2466"/>
      <c r="FN67" s="2466"/>
      <c r="FO67" s="2466"/>
      <c r="FP67" s="2466"/>
      <c r="FQ67" s="2466"/>
      <c r="FR67" s="2466"/>
      <c r="FS67" s="2466"/>
      <c r="FT67" s="2466"/>
      <c r="FU67" s="2466"/>
      <c r="FV67" s="2466"/>
      <c r="FW67" s="2466"/>
      <c r="FX67" s="2466"/>
      <c r="FY67" s="2466"/>
      <c r="FZ67" s="2466"/>
      <c r="GA67" s="2466"/>
      <c r="GB67" s="2466"/>
      <c r="GC67" s="2466"/>
      <c r="GD67" s="2466"/>
      <c r="GE67" s="2466"/>
      <c r="GF67" s="2466"/>
      <c r="GG67" s="2466"/>
      <c r="GH67" s="2466"/>
      <c r="GI67" s="2466"/>
      <c r="GJ67" s="2466"/>
      <c r="GK67" s="2466"/>
      <c r="GL67" s="2466"/>
      <c r="GM67" s="2466"/>
      <c r="GN67" s="2466"/>
      <c r="GO67" s="2466"/>
      <c r="GP67" s="2466"/>
      <c r="GQ67" s="2466"/>
      <c r="GR67" s="2466"/>
      <c r="GS67" s="2466"/>
      <c r="GT67" s="2466"/>
      <c r="GU67" s="2466"/>
      <c r="GV67" s="2466"/>
      <c r="GW67" s="2466"/>
      <c r="GX67" s="2466"/>
      <c r="GY67" s="2466"/>
      <c r="GZ67" s="2466"/>
      <c r="HA67" s="2466"/>
      <c r="HB67" s="2466"/>
      <c r="HC67" s="2466"/>
      <c r="HD67" s="2466"/>
      <c r="HE67" s="2466"/>
      <c r="HF67" s="2466"/>
      <c r="HG67" s="2466"/>
      <c r="HH67" s="2466"/>
      <c r="HI67" s="2466"/>
      <c r="HJ67" s="2466"/>
      <c r="HK67" s="2466"/>
      <c r="HL67" s="2466"/>
      <c r="HM67" s="2466"/>
      <c r="HN67" s="2466"/>
      <c r="HO67" s="2466"/>
      <c r="HP67" s="2466"/>
      <c r="HQ67" s="2466"/>
      <c r="HR67" s="2466"/>
      <c r="HS67" s="2466"/>
      <c r="HT67" s="2466"/>
      <c r="HU67" s="2466"/>
      <c r="HV67" s="2466"/>
      <c r="HW67" s="2466"/>
      <c r="HX67" s="2466"/>
      <c r="HY67" s="2466"/>
      <c r="HZ67" s="2466"/>
      <c r="IA67" s="2466"/>
      <c r="IB67" s="2466"/>
      <c r="IC67" s="2466"/>
      <c r="ID67" s="2466"/>
      <c r="IE67" s="2466"/>
      <c r="IF67" s="2466"/>
      <c r="IG67" s="2466"/>
      <c r="IH67" s="2466"/>
      <c r="II67" s="2466"/>
      <c r="IJ67" s="2466"/>
      <c r="IK67" s="2466"/>
      <c r="IL67" s="2466"/>
      <c r="IM67" s="2466"/>
      <c r="IN67" s="2466"/>
      <c r="IO67" s="2466"/>
      <c r="IP67" s="2466"/>
      <c r="IQ67" s="2466"/>
      <c r="IR67" s="2466"/>
      <c r="IS67" s="2466"/>
      <c r="IT67" s="2466"/>
      <c r="IU67" s="2466"/>
      <c r="IV67" s="2466"/>
    </row>
    <row r="68" spans="1:256">
      <c r="A68" s="2465"/>
      <c r="B68" s="2465"/>
      <c r="C68" s="2465"/>
      <c r="D68" s="2465"/>
      <c r="E68" s="2465"/>
      <c r="F68" s="2465"/>
      <c r="G68" s="2465"/>
      <c r="H68" s="2465"/>
      <c r="I68" s="2465"/>
      <c r="J68" s="2465"/>
      <c r="K68" s="2465"/>
      <c r="L68" s="2465"/>
      <c r="M68" s="2465"/>
      <c r="N68" s="2465"/>
      <c r="O68" s="2466"/>
      <c r="P68" s="2466"/>
      <c r="Q68" s="2466"/>
      <c r="R68" s="2466"/>
      <c r="S68" s="2466"/>
      <c r="T68" s="2466"/>
      <c r="U68" s="2466"/>
      <c r="V68" s="2466"/>
      <c r="W68" s="2466"/>
      <c r="X68" s="2466"/>
      <c r="Y68" s="2466"/>
      <c r="Z68" s="2466"/>
      <c r="AA68" s="2466"/>
      <c r="AB68" s="2466"/>
      <c r="AC68" s="2466"/>
      <c r="AD68" s="2466"/>
      <c r="AE68" s="2466"/>
      <c r="AF68" s="2466"/>
      <c r="AG68" s="2466"/>
      <c r="AH68" s="2466"/>
      <c r="AI68" s="2466"/>
      <c r="AJ68" s="2466"/>
      <c r="AK68" s="2466"/>
      <c r="AL68" s="2466"/>
      <c r="AM68" s="2466"/>
      <c r="AN68" s="2466"/>
      <c r="AO68" s="2466"/>
      <c r="AP68" s="2466"/>
      <c r="AQ68" s="2466"/>
      <c r="AR68" s="2466"/>
      <c r="AS68" s="2466"/>
      <c r="AT68" s="2466"/>
      <c r="AU68" s="2466"/>
      <c r="AV68" s="2466"/>
      <c r="AW68" s="2466"/>
      <c r="AX68" s="2466"/>
      <c r="AY68" s="2466"/>
      <c r="AZ68" s="2466"/>
      <c r="BA68" s="2466"/>
      <c r="BB68" s="2466"/>
      <c r="BC68" s="2466"/>
      <c r="BD68" s="2466"/>
      <c r="BE68" s="2466"/>
      <c r="BF68" s="2466"/>
      <c r="BG68" s="2466"/>
      <c r="BH68" s="2466"/>
      <c r="BI68" s="2466"/>
      <c r="BJ68" s="2466"/>
      <c r="BK68" s="2466"/>
      <c r="BL68" s="2466"/>
      <c r="BM68" s="2466"/>
      <c r="BN68" s="2466"/>
      <c r="BO68" s="2466"/>
      <c r="BP68" s="2466"/>
      <c r="BQ68" s="2466"/>
      <c r="BR68" s="2466"/>
      <c r="BS68" s="2466"/>
      <c r="BT68" s="2466"/>
      <c r="BU68" s="2466"/>
      <c r="BV68" s="2466"/>
      <c r="BW68" s="2466"/>
      <c r="BX68" s="2466"/>
      <c r="BY68" s="2466"/>
      <c r="BZ68" s="2466"/>
      <c r="CA68" s="2466"/>
      <c r="CB68" s="2466"/>
      <c r="CC68" s="2466"/>
      <c r="CD68" s="2466"/>
      <c r="CE68" s="2466"/>
      <c r="CF68" s="2466"/>
      <c r="CG68" s="2466"/>
      <c r="CH68" s="2466"/>
      <c r="CI68" s="2466"/>
      <c r="CJ68" s="2466"/>
      <c r="CK68" s="2466"/>
      <c r="CL68" s="2466"/>
      <c r="CM68" s="2466"/>
      <c r="CN68" s="2466"/>
      <c r="CO68" s="2466"/>
      <c r="CP68" s="2466"/>
      <c r="CQ68" s="2466"/>
      <c r="CR68" s="2466"/>
      <c r="CS68" s="2466"/>
      <c r="CT68" s="2466"/>
      <c r="CU68" s="2466"/>
      <c r="CV68" s="2466"/>
      <c r="CW68" s="2466"/>
      <c r="CX68" s="2466"/>
      <c r="CY68" s="2466"/>
      <c r="CZ68" s="2466"/>
      <c r="DA68" s="2466"/>
      <c r="DB68" s="2466"/>
      <c r="DC68" s="2466"/>
      <c r="DD68" s="2466"/>
      <c r="DE68" s="2466"/>
      <c r="DF68" s="2466"/>
      <c r="DG68" s="2466"/>
      <c r="DH68" s="2466"/>
      <c r="DI68" s="2466"/>
      <c r="DJ68" s="2466"/>
      <c r="DK68" s="2466"/>
      <c r="DL68" s="2466"/>
      <c r="DM68" s="2466"/>
      <c r="DN68" s="2466"/>
      <c r="DO68" s="2466"/>
      <c r="DP68" s="2466"/>
      <c r="DQ68" s="2466"/>
      <c r="DR68" s="2466"/>
      <c r="DS68" s="2466"/>
      <c r="DT68" s="2466"/>
      <c r="DU68" s="2466"/>
      <c r="DV68" s="2466"/>
      <c r="DW68" s="2466"/>
      <c r="DX68" s="2466"/>
      <c r="DY68" s="2466"/>
      <c r="DZ68" s="2466"/>
      <c r="EA68" s="2466"/>
      <c r="EB68" s="2466"/>
      <c r="EC68" s="2466"/>
      <c r="ED68" s="2466"/>
      <c r="EE68" s="2466"/>
      <c r="EF68" s="2466"/>
      <c r="EG68" s="2466"/>
      <c r="EH68" s="2466"/>
      <c r="EI68" s="2466"/>
      <c r="EJ68" s="2466"/>
      <c r="EK68" s="2466"/>
      <c r="EL68" s="2466"/>
      <c r="EM68" s="2466"/>
      <c r="EN68" s="2466"/>
      <c r="EO68" s="2466"/>
      <c r="EP68" s="2466"/>
      <c r="EQ68" s="2466"/>
      <c r="ER68" s="2466"/>
      <c r="ES68" s="2466"/>
      <c r="ET68" s="2466"/>
      <c r="EU68" s="2466"/>
      <c r="EV68" s="2466"/>
      <c r="EW68" s="2466"/>
      <c r="EX68" s="2466"/>
      <c r="EY68" s="2466"/>
      <c r="EZ68" s="2466"/>
      <c r="FA68" s="2466"/>
      <c r="FB68" s="2466"/>
      <c r="FC68" s="2466"/>
      <c r="FD68" s="2466"/>
      <c r="FE68" s="2466"/>
      <c r="FF68" s="2466"/>
      <c r="FG68" s="2466"/>
      <c r="FH68" s="2466"/>
      <c r="FI68" s="2466"/>
      <c r="FJ68" s="2466"/>
      <c r="FK68" s="2466"/>
      <c r="FL68" s="2466"/>
      <c r="FM68" s="2466"/>
      <c r="FN68" s="2466"/>
      <c r="FO68" s="2466"/>
      <c r="FP68" s="2466"/>
      <c r="FQ68" s="2466"/>
      <c r="FR68" s="2466"/>
      <c r="FS68" s="2466"/>
      <c r="FT68" s="2466"/>
      <c r="FU68" s="2466"/>
      <c r="FV68" s="2466"/>
      <c r="FW68" s="2466"/>
      <c r="FX68" s="2466"/>
      <c r="FY68" s="2466"/>
      <c r="FZ68" s="2466"/>
      <c r="GA68" s="2466"/>
      <c r="GB68" s="2466"/>
      <c r="GC68" s="2466"/>
      <c r="GD68" s="2466"/>
      <c r="GE68" s="2466"/>
      <c r="GF68" s="2466"/>
      <c r="GG68" s="2466"/>
      <c r="GH68" s="2466"/>
      <c r="GI68" s="2466"/>
      <c r="GJ68" s="2466"/>
      <c r="GK68" s="2466"/>
      <c r="GL68" s="2466"/>
      <c r="GM68" s="2466"/>
      <c r="GN68" s="2466"/>
      <c r="GO68" s="2466"/>
      <c r="GP68" s="2466"/>
      <c r="GQ68" s="2466"/>
      <c r="GR68" s="2466"/>
      <c r="GS68" s="2466"/>
      <c r="GT68" s="2466"/>
      <c r="GU68" s="2466"/>
      <c r="GV68" s="2466"/>
      <c r="GW68" s="2466"/>
      <c r="GX68" s="2466"/>
      <c r="GY68" s="2466"/>
      <c r="GZ68" s="2466"/>
      <c r="HA68" s="2466"/>
      <c r="HB68" s="2466"/>
      <c r="HC68" s="2466"/>
      <c r="HD68" s="2466"/>
      <c r="HE68" s="2466"/>
      <c r="HF68" s="2466"/>
      <c r="HG68" s="2466"/>
      <c r="HH68" s="2466"/>
      <c r="HI68" s="2466"/>
      <c r="HJ68" s="2466"/>
      <c r="HK68" s="2466"/>
      <c r="HL68" s="2466"/>
      <c r="HM68" s="2466"/>
      <c r="HN68" s="2466"/>
      <c r="HO68" s="2466"/>
      <c r="HP68" s="2466"/>
      <c r="HQ68" s="2466"/>
      <c r="HR68" s="2466"/>
      <c r="HS68" s="2466"/>
      <c r="HT68" s="2466"/>
      <c r="HU68" s="2466"/>
      <c r="HV68" s="2466"/>
      <c r="HW68" s="2466"/>
      <c r="HX68" s="2466"/>
      <c r="HY68" s="2466"/>
      <c r="HZ68" s="2466"/>
      <c r="IA68" s="2466"/>
      <c r="IB68" s="2466"/>
      <c r="IC68" s="2466"/>
      <c r="ID68" s="2466"/>
      <c r="IE68" s="2466"/>
      <c r="IF68" s="2466"/>
      <c r="IG68" s="2466"/>
      <c r="IH68" s="2466"/>
      <c r="II68" s="2466"/>
      <c r="IJ68" s="2466"/>
      <c r="IK68" s="2466"/>
      <c r="IL68" s="2466"/>
      <c r="IM68" s="2466"/>
      <c r="IN68" s="2466"/>
      <c r="IO68" s="2466"/>
      <c r="IP68" s="2466"/>
      <c r="IQ68" s="2466"/>
      <c r="IR68" s="2466"/>
      <c r="IS68" s="2466"/>
      <c r="IT68" s="2466"/>
      <c r="IU68" s="2466"/>
      <c r="IV68" s="2466"/>
    </row>
    <row r="69" spans="1:256">
      <c r="A69" s="2465"/>
      <c r="B69" s="2465"/>
      <c r="C69" s="2465"/>
      <c r="D69" s="2465"/>
      <c r="E69" s="2465"/>
      <c r="F69" s="2465"/>
      <c r="G69" s="2465"/>
      <c r="H69" s="2465"/>
      <c r="I69" s="2465"/>
      <c r="J69" s="2465"/>
      <c r="K69" s="2465"/>
      <c r="L69" s="2465"/>
      <c r="M69" s="2465"/>
      <c r="N69" s="2465"/>
      <c r="O69" s="2466"/>
      <c r="P69" s="2466"/>
      <c r="Q69" s="2466"/>
      <c r="R69" s="2466"/>
      <c r="S69" s="2466"/>
      <c r="T69" s="2466"/>
      <c r="U69" s="2466"/>
      <c r="V69" s="2466"/>
      <c r="W69" s="2466"/>
      <c r="X69" s="2466"/>
      <c r="Y69" s="2466"/>
      <c r="Z69" s="2466"/>
      <c r="AA69" s="2466"/>
      <c r="AB69" s="2466"/>
      <c r="AC69" s="2466"/>
      <c r="AD69" s="2466"/>
      <c r="AE69" s="2466"/>
      <c r="AF69" s="2466"/>
      <c r="AG69" s="2466"/>
      <c r="AH69" s="2466"/>
      <c r="AI69" s="2466"/>
      <c r="AJ69" s="2466"/>
      <c r="AK69" s="2466"/>
      <c r="AL69" s="2466"/>
      <c r="AM69" s="2466"/>
      <c r="AN69" s="2466"/>
      <c r="AO69" s="2466"/>
      <c r="AP69" s="2466"/>
      <c r="AQ69" s="2466"/>
      <c r="AR69" s="2466"/>
      <c r="AS69" s="2466"/>
      <c r="AT69" s="2466"/>
      <c r="AU69" s="2466"/>
      <c r="AV69" s="2466"/>
      <c r="AW69" s="2466"/>
      <c r="AX69" s="2466"/>
      <c r="AY69" s="2466"/>
      <c r="AZ69" s="2466"/>
      <c r="BA69" s="2466"/>
      <c r="BB69" s="2466"/>
      <c r="BC69" s="2466"/>
      <c r="BD69" s="2466"/>
      <c r="BE69" s="2466"/>
      <c r="BF69" s="2466"/>
      <c r="BG69" s="2466"/>
      <c r="BH69" s="2466"/>
      <c r="BI69" s="2466"/>
      <c r="BJ69" s="2466"/>
      <c r="BK69" s="2466"/>
      <c r="BL69" s="2466"/>
      <c r="BM69" s="2466"/>
      <c r="BN69" s="2466"/>
      <c r="BO69" s="2466"/>
      <c r="BP69" s="2466"/>
      <c r="BQ69" s="2466"/>
      <c r="BR69" s="2466"/>
      <c r="BS69" s="2466"/>
      <c r="BT69" s="2466"/>
      <c r="BU69" s="2466"/>
      <c r="BV69" s="2466"/>
      <c r="BW69" s="2466"/>
      <c r="BX69" s="2466"/>
      <c r="BY69" s="2466"/>
      <c r="BZ69" s="2466"/>
      <c r="CA69" s="2466"/>
      <c r="CB69" s="2466"/>
      <c r="CC69" s="2466"/>
      <c r="CD69" s="2466"/>
      <c r="CE69" s="2466"/>
      <c r="CF69" s="2466"/>
      <c r="CG69" s="2466"/>
      <c r="CH69" s="2466"/>
      <c r="CI69" s="2466"/>
      <c r="CJ69" s="2466"/>
      <c r="CK69" s="2466"/>
      <c r="CL69" s="2466"/>
      <c r="CM69" s="2466"/>
      <c r="CN69" s="2466"/>
      <c r="CO69" s="2466"/>
      <c r="CP69" s="2466"/>
      <c r="CQ69" s="2466"/>
      <c r="CR69" s="2466"/>
      <c r="CS69" s="2466"/>
      <c r="CT69" s="2466"/>
      <c r="CU69" s="2466"/>
      <c r="CV69" s="2466"/>
      <c r="CW69" s="2466"/>
      <c r="CX69" s="2466"/>
      <c r="CY69" s="2466"/>
      <c r="CZ69" s="2466"/>
      <c r="DA69" s="2466"/>
      <c r="DB69" s="2466"/>
      <c r="DC69" s="2466"/>
      <c r="DD69" s="2466"/>
      <c r="DE69" s="2466"/>
      <c r="DF69" s="2466"/>
      <c r="DG69" s="2466"/>
      <c r="DH69" s="2466"/>
      <c r="DI69" s="2466"/>
      <c r="DJ69" s="2466"/>
      <c r="DK69" s="2466"/>
      <c r="DL69" s="2466"/>
      <c r="DM69" s="2466"/>
      <c r="DN69" s="2466"/>
      <c r="DO69" s="2466"/>
      <c r="DP69" s="2466"/>
      <c r="DQ69" s="2466"/>
      <c r="DR69" s="2466"/>
      <c r="DS69" s="2466"/>
      <c r="DT69" s="2466"/>
      <c r="DU69" s="2466"/>
      <c r="DV69" s="2466"/>
      <c r="DW69" s="2466"/>
      <c r="DX69" s="2466"/>
      <c r="DY69" s="2466"/>
      <c r="DZ69" s="2466"/>
      <c r="EA69" s="2466"/>
      <c r="EB69" s="2466"/>
      <c r="EC69" s="2466"/>
      <c r="ED69" s="2466"/>
      <c r="EE69" s="2466"/>
      <c r="EF69" s="2466"/>
      <c r="EG69" s="2466"/>
      <c r="EH69" s="2466"/>
      <c r="EI69" s="2466"/>
      <c r="EJ69" s="2466"/>
      <c r="EK69" s="2466"/>
      <c r="EL69" s="2466"/>
      <c r="EM69" s="2466"/>
      <c r="EN69" s="2466"/>
      <c r="EO69" s="2466"/>
      <c r="EP69" s="2466"/>
      <c r="EQ69" s="2466"/>
      <c r="ER69" s="2466"/>
      <c r="ES69" s="2466"/>
      <c r="ET69" s="2466"/>
      <c r="EU69" s="2466"/>
      <c r="EV69" s="2466"/>
      <c r="EW69" s="2466"/>
      <c r="EX69" s="2466"/>
      <c r="EY69" s="2466"/>
      <c r="EZ69" s="2466"/>
      <c r="FA69" s="2466"/>
      <c r="FB69" s="2466"/>
      <c r="FC69" s="2466"/>
      <c r="FD69" s="2466"/>
      <c r="FE69" s="2466"/>
      <c r="FF69" s="2466"/>
      <c r="FG69" s="2466"/>
      <c r="FH69" s="2466"/>
      <c r="FI69" s="2466"/>
      <c r="FJ69" s="2466"/>
      <c r="FK69" s="2466"/>
      <c r="FL69" s="2466"/>
      <c r="FM69" s="2466"/>
      <c r="FN69" s="2466"/>
      <c r="FO69" s="2466"/>
      <c r="FP69" s="2466"/>
      <c r="FQ69" s="2466"/>
      <c r="FR69" s="2466"/>
      <c r="FS69" s="2466"/>
      <c r="FT69" s="2466"/>
      <c r="FU69" s="2466"/>
      <c r="FV69" s="2466"/>
      <c r="FW69" s="2466"/>
      <c r="FX69" s="2466"/>
      <c r="FY69" s="2466"/>
      <c r="FZ69" s="2466"/>
      <c r="GA69" s="2466"/>
      <c r="GB69" s="2466"/>
      <c r="GC69" s="2466"/>
      <c r="GD69" s="2466"/>
      <c r="GE69" s="2466"/>
      <c r="GF69" s="2466"/>
      <c r="GG69" s="2466"/>
      <c r="GH69" s="2466"/>
      <c r="GI69" s="2466"/>
      <c r="GJ69" s="2466"/>
      <c r="GK69" s="2466"/>
      <c r="GL69" s="2466"/>
      <c r="GM69" s="2466"/>
      <c r="GN69" s="2466"/>
      <c r="GO69" s="2466"/>
      <c r="GP69" s="2466"/>
      <c r="GQ69" s="2466"/>
      <c r="GR69" s="2466"/>
      <c r="GS69" s="2466"/>
      <c r="GT69" s="2466"/>
      <c r="GU69" s="2466"/>
      <c r="GV69" s="2466"/>
      <c r="GW69" s="2466"/>
      <c r="GX69" s="2466"/>
      <c r="GY69" s="2466"/>
      <c r="GZ69" s="2466"/>
      <c r="HA69" s="2466"/>
      <c r="HB69" s="2466"/>
      <c r="HC69" s="2466"/>
      <c r="HD69" s="2466"/>
      <c r="HE69" s="2466"/>
      <c r="HF69" s="2466"/>
      <c r="HG69" s="2466"/>
      <c r="HH69" s="2466"/>
      <c r="HI69" s="2466"/>
      <c r="HJ69" s="2466"/>
      <c r="HK69" s="2466"/>
      <c r="HL69" s="2466"/>
      <c r="HM69" s="2466"/>
      <c r="HN69" s="2466"/>
      <c r="HO69" s="2466"/>
      <c r="HP69" s="2466"/>
      <c r="HQ69" s="2466"/>
      <c r="HR69" s="2466"/>
      <c r="HS69" s="2466"/>
      <c r="HT69" s="2466"/>
      <c r="HU69" s="2466"/>
      <c r="HV69" s="2466"/>
      <c r="HW69" s="2466"/>
      <c r="HX69" s="2466"/>
      <c r="HY69" s="2466"/>
      <c r="HZ69" s="2466"/>
      <c r="IA69" s="2466"/>
      <c r="IB69" s="2466"/>
      <c r="IC69" s="2466"/>
      <c r="ID69" s="2466"/>
      <c r="IE69" s="2466"/>
      <c r="IF69" s="2466"/>
      <c r="IG69" s="2466"/>
      <c r="IH69" s="2466"/>
      <c r="II69" s="2466"/>
      <c r="IJ69" s="2466"/>
      <c r="IK69" s="2466"/>
      <c r="IL69" s="2466"/>
      <c r="IM69" s="2466"/>
      <c r="IN69" s="2466"/>
      <c r="IO69" s="2466"/>
      <c r="IP69" s="2466"/>
      <c r="IQ69" s="2466"/>
      <c r="IR69" s="2466"/>
      <c r="IS69" s="2466"/>
      <c r="IT69" s="2466"/>
      <c r="IU69" s="2466"/>
      <c r="IV69" s="2466"/>
    </row>
    <row r="70" spans="1:256">
      <c r="A70" s="2465"/>
      <c r="B70" s="2465"/>
      <c r="C70" s="2465"/>
      <c r="D70" s="2465"/>
      <c r="E70" s="2465"/>
      <c r="F70" s="2465"/>
      <c r="G70" s="2465"/>
      <c r="H70" s="2465"/>
      <c r="I70" s="2465"/>
      <c r="J70" s="2465"/>
      <c r="K70" s="2465"/>
      <c r="L70" s="2465"/>
      <c r="M70" s="2465"/>
      <c r="N70" s="2465"/>
      <c r="O70" s="2466"/>
      <c r="P70" s="2466"/>
      <c r="Q70" s="2466"/>
      <c r="R70" s="2466"/>
      <c r="S70" s="2466"/>
      <c r="T70" s="2466"/>
      <c r="U70" s="2466"/>
      <c r="V70" s="2466"/>
      <c r="W70" s="2466"/>
      <c r="X70" s="2466"/>
      <c r="Y70" s="2466"/>
      <c r="Z70" s="2466"/>
      <c r="AA70" s="2466"/>
      <c r="AB70" s="2466"/>
      <c r="AC70" s="2466"/>
      <c r="AD70" s="2466"/>
      <c r="AE70" s="2466"/>
      <c r="AF70" s="2466"/>
      <c r="AG70" s="2466"/>
      <c r="AH70" s="2466"/>
      <c r="AI70" s="2466"/>
      <c r="AJ70" s="2466"/>
      <c r="AK70" s="2466"/>
      <c r="AL70" s="2466"/>
      <c r="AM70" s="2466"/>
      <c r="AN70" s="2466"/>
      <c r="AO70" s="2466"/>
      <c r="AP70" s="2466"/>
      <c r="AQ70" s="2466"/>
      <c r="AR70" s="2466"/>
      <c r="AS70" s="2466"/>
      <c r="AT70" s="2466"/>
      <c r="AU70" s="2466"/>
      <c r="AV70" s="2466"/>
      <c r="AW70" s="2466"/>
      <c r="AX70" s="2466"/>
      <c r="AY70" s="2466"/>
      <c r="AZ70" s="2466"/>
      <c r="BA70" s="2466"/>
      <c r="BB70" s="2466"/>
      <c r="BC70" s="2466"/>
      <c r="BD70" s="2466"/>
      <c r="BE70" s="2466"/>
      <c r="BF70" s="2466"/>
      <c r="BG70" s="2466"/>
      <c r="BH70" s="2466"/>
      <c r="BI70" s="2466"/>
      <c r="BJ70" s="2466"/>
      <c r="BK70" s="2466"/>
      <c r="BL70" s="2466"/>
      <c r="BM70" s="2466"/>
      <c r="BN70" s="2466"/>
      <c r="BO70" s="2466"/>
      <c r="BP70" s="2466"/>
      <c r="BQ70" s="2466"/>
      <c r="BR70" s="2466"/>
      <c r="BS70" s="2466"/>
      <c r="BT70" s="2466"/>
      <c r="BU70" s="2466"/>
      <c r="BV70" s="2466"/>
      <c r="BW70" s="2466"/>
      <c r="BX70" s="2466"/>
      <c r="BY70" s="2466"/>
      <c r="BZ70" s="2466"/>
      <c r="CA70" s="2466"/>
      <c r="CB70" s="2466"/>
      <c r="CC70" s="2466"/>
      <c r="CD70" s="2466"/>
      <c r="CE70" s="2466"/>
      <c r="CF70" s="2466"/>
      <c r="CG70" s="2466"/>
      <c r="CH70" s="2466"/>
      <c r="CI70" s="2466"/>
      <c r="CJ70" s="2466"/>
      <c r="CK70" s="2466"/>
      <c r="CL70" s="2466"/>
      <c r="CM70" s="2466"/>
      <c r="CN70" s="2466"/>
      <c r="CO70" s="2466"/>
      <c r="CP70" s="2466"/>
      <c r="CQ70" s="2466"/>
      <c r="CR70" s="2466"/>
      <c r="CS70" s="2466"/>
      <c r="CT70" s="2466"/>
      <c r="CU70" s="2466"/>
      <c r="CV70" s="2466"/>
      <c r="CW70" s="2466"/>
      <c r="CX70" s="2466"/>
      <c r="CY70" s="2466"/>
      <c r="CZ70" s="2466"/>
      <c r="DA70" s="2466"/>
      <c r="DB70" s="2466"/>
      <c r="DC70" s="2466"/>
      <c r="DD70" s="2466"/>
      <c r="DE70" s="2466"/>
      <c r="DF70" s="2466"/>
      <c r="DG70" s="2466"/>
      <c r="DH70" s="2466"/>
      <c r="DI70" s="2466"/>
      <c r="DJ70" s="2466"/>
      <c r="DK70" s="2466"/>
      <c r="DL70" s="2466"/>
      <c r="DM70" s="2466"/>
      <c r="DN70" s="2466"/>
      <c r="DO70" s="2466"/>
      <c r="DP70" s="2466"/>
      <c r="DQ70" s="2466"/>
      <c r="DR70" s="2466"/>
      <c r="DS70" s="2466"/>
      <c r="DT70" s="2466"/>
      <c r="DU70" s="2466"/>
      <c r="DV70" s="2466"/>
      <c r="DW70" s="2466"/>
      <c r="DX70" s="2466"/>
      <c r="DY70" s="2466"/>
      <c r="DZ70" s="2466"/>
      <c r="EA70" s="2466"/>
      <c r="EB70" s="2466"/>
      <c r="EC70" s="2466"/>
      <c r="ED70" s="2466"/>
      <c r="EE70" s="2466"/>
      <c r="EF70" s="2466"/>
      <c r="EG70" s="2466"/>
      <c r="EH70" s="2466"/>
      <c r="EI70" s="2466"/>
      <c r="EJ70" s="2466"/>
      <c r="EK70" s="2466"/>
      <c r="EL70" s="2466"/>
      <c r="EM70" s="2466"/>
      <c r="EN70" s="2466"/>
      <c r="EO70" s="2466"/>
      <c r="EP70" s="2466"/>
      <c r="EQ70" s="2466"/>
      <c r="ER70" s="2466"/>
      <c r="ES70" s="2466"/>
      <c r="ET70" s="2466"/>
      <c r="EU70" s="2466"/>
      <c r="EV70" s="2466"/>
      <c r="EW70" s="2466"/>
      <c r="EX70" s="2466"/>
      <c r="EY70" s="2466"/>
      <c r="EZ70" s="2466"/>
      <c r="FA70" s="2466"/>
      <c r="FB70" s="2466"/>
      <c r="FC70" s="2466"/>
      <c r="FD70" s="2466"/>
      <c r="FE70" s="2466"/>
      <c r="FF70" s="2466"/>
      <c r="FG70" s="2466"/>
      <c r="FH70" s="2466"/>
      <c r="FI70" s="2466"/>
      <c r="FJ70" s="2466"/>
      <c r="FK70" s="2466"/>
      <c r="FL70" s="2466"/>
      <c r="FM70" s="2466"/>
      <c r="FN70" s="2466"/>
      <c r="FO70" s="2466"/>
      <c r="FP70" s="2466"/>
      <c r="FQ70" s="2466"/>
      <c r="FR70" s="2466"/>
      <c r="FS70" s="2466"/>
      <c r="FT70" s="2466"/>
      <c r="FU70" s="2466"/>
      <c r="FV70" s="2466"/>
      <c r="FW70" s="2466"/>
      <c r="FX70" s="2466"/>
      <c r="FY70" s="2466"/>
      <c r="FZ70" s="2466"/>
      <c r="GA70" s="2466"/>
      <c r="GB70" s="2466"/>
      <c r="GC70" s="2466"/>
      <c r="GD70" s="2466"/>
      <c r="GE70" s="2466"/>
      <c r="GF70" s="2466"/>
      <c r="GG70" s="2466"/>
      <c r="GH70" s="2466"/>
      <c r="GI70" s="2466"/>
      <c r="GJ70" s="2466"/>
      <c r="GK70" s="2466"/>
      <c r="GL70" s="2466"/>
      <c r="GM70" s="2466"/>
      <c r="GN70" s="2466"/>
      <c r="GO70" s="2466"/>
      <c r="GP70" s="2466"/>
      <c r="GQ70" s="2466"/>
      <c r="GR70" s="2466"/>
      <c r="GS70" s="2466"/>
      <c r="GT70" s="2466"/>
      <c r="GU70" s="2466"/>
      <c r="GV70" s="2466"/>
      <c r="GW70" s="2466"/>
      <c r="GX70" s="2466"/>
      <c r="GY70" s="2466"/>
      <c r="GZ70" s="2466"/>
      <c r="HA70" s="2466"/>
      <c r="HB70" s="2466"/>
      <c r="HC70" s="2466"/>
      <c r="HD70" s="2466"/>
      <c r="HE70" s="2466"/>
      <c r="HF70" s="2466"/>
      <c r="HG70" s="2466"/>
      <c r="HH70" s="2466"/>
      <c r="HI70" s="2466"/>
      <c r="HJ70" s="2466"/>
      <c r="HK70" s="2466"/>
      <c r="HL70" s="2466"/>
      <c r="HM70" s="2466"/>
      <c r="HN70" s="2466"/>
      <c r="HO70" s="2466"/>
      <c r="HP70" s="2466"/>
      <c r="HQ70" s="2466"/>
      <c r="HR70" s="2466"/>
      <c r="HS70" s="2466"/>
      <c r="HT70" s="2466"/>
      <c r="HU70" s="2466"/>
      <c r="HV70" s="2466"/>
      <c r="HW70" s="2466"/>
      <c r="HX70" s="2466"/>
      <c r="HY70" s="2466"/>
      <c r="HZ70" s="2466"/>
      <c r="IA70" s="2466"/>
      <c r="IB70" s="2466"/>
      <c r="IC70" s="2466"/>
      <c r="ID70" s="2466"/>
      <c r="IE70" s="2466"/>
      <c r="IF70" s="2466"/>
      <c r="IG70" s="2466"/>
      <c r="IH70" s="2466"/>
      <c r="II70" s="2466"/>
      <c r="IJ70" s="2466"/>
      <c r="IK70" s="2466"/>
      <c r="IL70" s="2466"/>
      <c r="IM70" s="2466"/>
      <c r="IN70" s="2466"/>
      <c r="IO70" s="2466"/>
      <c r="IP70" s="2466"/>
      <c r="IQ70" s="2466"/>
      <c r="IR70" s="2466"/>
      <c r="IS70" s="2466"/>
      <c r="IT70" s="2466"/>
      <c r="IU70" s="2466"/>
      <c r="IV70" s="2466"/>
    </row>
    <row r="71" spans="1:256">
      <c r="A71" s="2465"/>
      <c r="B71" s="2465"/>
      <c r="C71" s="2465"/>
      <c r="D71" s="2465"/>
      <c r="E71" s="2465"/>
      <c r="F71" s="2465"/>
      <c r="G71" s="2465"/>
      <c r="H71" s="2465"/>
      <c r="I71" s="2465"/>
      <c r="J71" s="2465"/>
      <c r="K71" s="2465"/>
      <c r="L71" s="2465"/>
      <c r="M71" s="2465"/>
      <c r="N71" s="2465"/>
      <c r="O71" s="2466"/>
      <c r="P71" s="2466"/>
      <c r="Q71" s="2466"/>
      <c r="R71" s="2466"/>
      <c r="S71" s="2466"/>
      <c r="T71" s="2466"/>
      <c r="U71" s="2466"/>
      <c r="V71" s="2466"/>
      <c r="W71" s="2466"/>
      <c r="X71" s="2466"/>
      <c r="Y71" s="2466"/>
      <c r="Z71" s="2466"/>
      <c r="AA71" s="2466"/>
      <c r="AB71" s="2466"/>
      <c r="AC71" s="2466"/>
      <c r="AD71" s="2466"/>
      <c r="AE71" s="2466"/>
      <c r="AF71" s="2466"/>
      <c r="AG71" s="2466"/>
      <c r="AH71" s="2466"/>
      <c r="AI71" s="2466"/>
      <c r="AJ71" s="2466"/>
      <c r="AK71" s="2466"/>
      <c r="AL71" s="2466"/>
      <c r="AM71" s="2466"/>
      <c r="AN71" s="2466"/>
      <c r="AO71" s="2466"/>
      <c r="AP71" s="2466"/>
      <c r="AQ71" s="2466"/>
      <c r="AR71" s="2466"/>
      <c r="AS71" s="2466"/>
      <c r="AT71" s="2466"/>
      <c r="AU71" s="2466"/>
      <c r="AV71" s="2466"/>
      <c r="AW71" s="2466"/>
      <c r="AX71" s="2466"/>
      <c r="AY71" s="2466"/>
      <c r="AZ71" s="2466"/>
      <c r="BA71" s="2466"/>
      <c r="BB71" s="2466"/>
      <c r="BC71" s="2466"/>
      <c r="BD71" s="2466"/>
      <c r="BE71" s="2466"/>
      <c r="BF71" s="2466"/>
      <c r="BG71" s="2466"/>
      <c r="BH71" s="2466"/>
      <c r="BI71" s="2466"/>
      <c r="BJ71" s="2466"/>
      <c r="BK71" s="2466"/>
      <c r="BL71" s="2466"/>
      <c r="BM71" s="2466"/>
      <c r="BN71" s="2466"/>
      <c r="BO71" s="2466"/>
      <c r="BP71" s="2466"/>
      <c r="BQ71" s="2466"/>
      <c r="BR71" s="2466"/>
      <c r="BS71" s="2466"/>
      <c r="BT71" s="2466"/>
      <c r="BU71" s="2466"/>
      <c r="BV71" s="2466"/>
      <c r="BW71" s="2466"/>
      <c r="BX71" s="2466"/>
      <c r="BY71" s="2466"/>
      <c r="BZ71" s="2466"/>
      <c r="CA71" s="2466"/>
      <c r="CB71" s="2466"/>
      <c r="CC71" s="2466"/>
      <c r="CD71" s="2466"/>
      <c r="CE71" s="2466"/>
      <c r="CF71" s="2466"/>
      <c r="CG71" s="2466"/>
      <c r="CH71" s="2466"/>
      <c r="CI71" s="2466"/>
      <c r="CJ71" s="2466"/>
      <c r="CK71" s="2466"/>
      <c r="CL71" s="2466"/>
      <c r="CM71" s="2466"/>
      <c r="CN71" s="2466"/>
      <c r="CO71" s="2466"/>
      <c r="CP71" s="2466"/>
      <c r="CQ71" s="2466"/>
      <c r="CR71" s="2466"/>
      <c r="CS71" s="2466"/>
      <c r="CT71" s="2466"/>
      <c r="CU71" s="2466"/>
      <c r="CV71" s="2466"/>
      <c r="CW71" s="2466"/>
      <c r="CX71" s="2466"/>
      <c r="CY71" s="2466"/>
      <c r="CZ71" s="2466"/>
      <c r="DA71" s="2466"/>
      <c r="DB71" s="2466"/>
      <c r="DC71" s="2466"/>
      <c r="DD71" s="2466"/>
      <c r="DE71" s="2466"/>
      <c r="DF71" s="2466"/>
      <c r="DG71" s="2466"/>
      <c r="DH71" s="2466"/>
      <c r="DI71" s="2466"/>
      <c r="DJ71" s="2466"/>
      <c r="DK71" s="2466"/>
      <c r="DL71" s="2466"/>
      <c r="DM71" s="2466"/>
      <c r="DN71" s="2466"/>
      <c r="DO71" s="2466"/>
      <c r="DP71" s="2466"/>
      <c r="DQ71" s="2466"/>
      <c r="DR71" s="2466"/>
      <c r="DS71" s="2466"/>
      <c r="DT71" s="2466"/>
      <c r="DU71" s="2466"/>
      <c r="DV71" s="2466"/>
      <c r="DW71" s="2466"/>
      <c r="DX71" s="2466"/>
      <c r="DY71" s="2466"/>
      <c r="DZ71" s="2466"/>
      <c r="EA71" s="2466"/>
      <c r="EB71" s="2466"/>
      <c r="EC71" s="2466"/>
      <c r="ED71" s="2466"/>
      <c r="EE71" s="2466"/>
      <c r="EF71" s="2466"/>
      <c r="EG71" s="2466"/>
      <c r="EH71" s="2466"/>
      <c r="EI71" s="2466"/>
      <c r="EJ71" s="2466"/>
      <c r="EK71" s="2466"/>
      <c r="EL71" s="2466"/>
      <c r="EM71" s="2466"/>
      <c r="EN71" s="2466"/>
      <c r="EO71" s="2466"/>
      <c r="EP71" s="2466"/>
      <c r="EQ71" s="2466"/>
      <c r="ER71" s="2466"/>
      <c r="ES71" s="2466"/>
      <c r="ET71" s="2466"/>
      <c r="EU71" s="2466"/>
      <c r="EV71" s="2466"/>
      <c r="EW71" s="2466"/>
      <c r="EX71" s="2466"/>
      <c r="EY71" s="2466"/>
      <c r="EZ71" s="2466"/>
      <c r="FA71" s="2466"/>
      <c r="FB71" s="2466"/>
      <c r="FC71" s="2466"/>
      <c r="FD71" s="2466"/>
      <c r="FE71" s="2466"/>
      <c r="FF71" s="2466"/>
      <c r="FG71" s="2466"/>
      <c r="FH71" s="2466"/>
      <c r="FI71" s="2466"/>
      <c r="FJ71" s="2466"/>
      <c r="FK71" s="2466"/>
      <c r="FL71" s="2466"/>
      <c r="FM71" s="2466"/>
      <c r="FN71" s="2466"/>
      <c r="FO71" s="2466"/>
      <c r="FP71" s="2466"/>
      <c r="FQ71" s="2466"/>
      <c r="FR71" s="2466"/>
      <c r="FS71" s="2466"/>
      <c r="FT71" s="2466"/>
      <c r="FU71" s="2466"/>
      <c r="FV71" s="2466"/>
      <c r="FW71" s="2466"/>
      <c r="FX71" s="2466"/>
      <c r="FY71" s="2466"/>
      <c r="FZ71" s="2466"/>
      <c r="GA71" s="2466"/>
      <c r="GB71" s="2466"/>
      <c r="GC71" s="2466"/>
      <c r="GD71" s="2466"/>
      <c r="GE71" s="2466"/>
      <c r="GF71" s="2466"/>
      <c r="GG71" s="2466"/>
      <c r="GH71" s="2466"/>
      <c r="GI71" s="2466"/>
      <c r="GJ71" s="2466"/>
      <c r="GK71" s="2466"/>
      <c r="GL71" s="2466"/>
      <c r="GM71" s="2466"/>
      <c r="GN71" s="2466"/>
      <c r="GO71" s="2466"/>
      <c r="GP71" s="2466"/>
      <c r="GQ71" s="2466"/>
      <c r="GR71" s="2466"/>
      <c r="GS71" s="2466"/>
      <c r="GT71" s="2466"/>
      <c r="GU71" s="2466"/>
      <c r="GV71" s="2466"/>
      <c r="GW71" s="2466"/>
      <c r="GX71" s="2466"/>
      <c r="GY71" s="2466"/>
      <c r="GZ71" s="2466"/>
      <c r="HA71" s="2466"/>
      <c r="HB71" s="2466"/>
      <c r="HC71" s="2466"/>
      <c r="HD71" s="2466"/>
      <c r="HE71" s="2466"/>
      <c r="HF71" s="2466"/>
      <c r="HG71" s="2466"/>
      <c r="HH71" s="2466"/>
      <c r="HI71" s="2466"/>
      <c r="HJ71" s="2466"/>
      <c r="HK71" s="2466"/>
      <c r="HL71" s="2466"/>
      <c r="HM71" s="2466"/>
      <c r="HN71" s="2466"/>
      <c r="HO71" s="2466"/>
      <c r="HP71" s="2466"/>
      <c r="HQ71" s="2466"/>
      <c r="HR71" s="2466"/>
      <c r="HS71" s="2466"/>
      <c r="HT71" s="2466"/>
      <c r="HU71" s="2466"/>
      <c r="HV71" s="2466"/>
      <c r="HW71" s="2466"/>
      <c r="HX71" s="2466"/>
      <c r="HY71" s="2466"/>
      <c r="HZ71" s="2466"/>
      <c r="IA71" s="2466"/>
      <c r="IB71" s="2466"/>
      <c r="IC71" s="2466"/>
      <c r="ID71" s="2466"/>
      <c r="IE71" s="2466"/>
      <c r="IF71" s="2466"/>
      <c r="IG71" s="2466"/>
      <c r="IH71" s="2466"/>
      <c r="II71" s="2466"/>
      <c r="IJ71" s="2466"/>
      <c r="IK71" s="2466"/>
      <c r="IL71" s="2466"/>
      <c r="IM71" s="2466"/>
      <c r="IN71" s="2466"/>
      <c r="IO71" s="2466"/>
      <c r="IP71" s="2466"/>
      <c r="IQ71" s="2466"/>
      <c r="IR71" s="2466"/>
      <c r="IS71" s="2466"/>
      <c r="IT71" s="2466"/>
      <c r="IU71" s="2466"/>
      <c r="IV71" s="2466"/>
    </row>
    <row r="72" spans="1:256">
      <c r="A72" s="2465"/>
      <c r="B72" s="2465"/>
      <c r="C72" s="2465"/>
      <c r="D72" s="2465"/>
      <c r="E72" s="2465"/>
      <c r="F72" s="2465"/>
      <c r="G72" s="2465"/>
      <c r="H72" s="2465"/>
      <c r="I72" s="2465"/>
      <c r="J72" s="2465"/>
      <c r="K72" s="2465"/>
      <c r="L72" s="2465"/>
      <c r="M72" s="2465"/>
      <c r="N72" s="2465"/>
      <c r="O72" s="2466"/>
      <c r="P72" s="2466"/>
      <c r="Q72" s="2466"/>
      <c r="R72" s="2466"/>
      <c r="S72" s="2466"/>
      <c r="T72" s="2466"/>
      <c r="U72" s="2466"/>
      <c r="V72" s="2466"/>
      <c r="W72" s="2466"/>
      <c r="X72" s="2466"/>
      <c r="Y72" s="2466"/>
      <c r="Z72" s="2466"/>
      <c r="AA72" s="2466"/>
      <c r="AB72" s="2466"/>
      <c r="AC72" s="2466"/>
      <c r="AD72" s="2466"/>
      <c r="AE72" s="2466"/>
      <c r="AF72" s="2466"/>
      <c r="AG72" s="2466"/>
      <c r="AH72" s="2466"/>
      <c r="AI72" s="2466"/>
      <c r="AJ72" s="2466"/>
      <c r="AK72" s="2466"/>
      <c r="AL72" s="2466"/>
      <c r="AM72" s="2466"/>
      <c r="AN72" s="2466"/>
      <c r="AO72" s="2466"/>
      <c r="AP72" s="2466"/>
      <c r="AQ72" s="2466"/>
      <c r="AR72" s="2466"/>
      <c r="AS72" s="2466"/>
      <c r="AT72" s="2466"/>
      <c r="AU72" s="2466"/>
      <c r="AV72" s="2466"/>
      <c r="AW72" s="2466"/>
      <c r="AX72" s="2466"/>
      <c r="AY72" s="2466"/>
      <c r="AZ72" s="2466"/>
      <c r="BA72" s="2466"/>
      <c r="BB72" s="2466"/>
      <c r="BC72" s="2466"/>
      <c r="BD72" s="2466"/>
      <c r="BE72" s="2466"/>
      <c r="BF72" s="2466"/>
      <c r="BG72" s="2466"/>
      <c r="BH72" s="2466"/>
      <c r="BI72" s="2466"/>
      <c r="BJ72" s="2466"/>
      <c r="BK72" s="2466"/>
      <c r="BL72" s="2466"/>
      <c r="BM72" s="2466"/>
      <c r="BN72" s="2466"/>
      <c r="BO72" s="2466"/>
      <c r="BP72" s="2466"/>
      <c r="BQ72" s="2466"/>
      <c r="BR72" s="2466"/>
      <c r="BS72" s="2466"/>
      <c r="BT72" s="2466"/>
      <c r="BU72" s="2466"/>
      <c r="BV72" s="2466"/>
      <c r="BW72" s="2466"/>
      <c r="BX72" s="2466"/>
      <c r="BY72" s="2466"/>
      <c r="BZ72" s="2466"/>
      <c r="CA72" s="2466"/>
      <c r="CB72" s="2466"/>
      <c r="CC72" s="2466"/>
      <c r="CD72" s="2466"/>
      <c r="CE72" s="2466"/>
      <c r="CF72" s="2466"/>
      <c r="CG72" s="2466"/>
      <c r="CH72" s="2466"/>
      <c r="CI72" s="2466"/>
      <c r="CJ72" s="2466"/>
      <c r="CK72" s="2466"/>
      <c r="CL72" s="2466"/>
      <c r="CM72" s="2466"/>
      <c r="CN72" s="2466"/>
      <c r="CO72" s="2466"/>
      <c r="CP72" s="2466"/>
      <c r="CQ72" s="2466"/>
      <c r="CR72" s="2466"/>
      <c r="CS72" s="2466"/>
      <c r="CT72" s="2466"/>
      <c r="CU72" s="2466"/>
      <c r="CV72" s="2466"/>
      <c r="CW72" s="2466"/>
      <c r="CX72" s="2466"/>
      <c r="CY72" s="2466"/>
      <c r="CZ72" s="2466"/>
      <c r="DA72" s="2466"/>
      <c r="DB72" s="2466"/>
      <c r="DC72" s="2466"/>
      <c r="DD72" s="2466"/>
      <c r="DE72" s="2466"/>
      <c r="DF72" s="2466"/>
      <c r="DG72" s="2466"/>
      <c r="DH72" s="2466"/>
      <c r="DI72" s="2466"/>
      <c r="DJ72" s="2466"/>
      <c r="DK72" s="2466"/>
      <c r="DL72" s="2466"/>
      <c r="DM72" s="2466"/>
      <c r="DN72" s="2466"/>
      <c r="DO72" s="2466"/>
      <c r="DP72" s="2466"/>
      <c r="DQ72" s="2466"/>
      <c r="DR72" s="2466"/>
      <c r="DS72" s="2466"/>
      <c r="DT72" s="2466"/>
      <c r="DU72" s="2466"/>
      <c r="DV72" s="2466"/>
      <c r="DW72" s="2466"/>
      <c r="DX72" s="2466"/>
      <c r="DY72" s="2466"/>
      <c r="DZ72" s="2466"/>
      <c r="EA72" s="2466"/>
      <c r="EB72" s="2466"/>
      <c r="EC72" s="2466"/>
      <c r="ED72" s="2466"/>
      <c r="EE72" s="2466"/>
      <c r="EF72" s="2466"/>
      <c r="EG72" s="2466"/>
      <c r="EH72" s="2466"/>
      <c r="EI72" s="2466"/>
      <c r="EJ72" s="2466"/>
      <c r="EK72" s="2466"/>
      <c r="EL72" s="2466"/>
      <c r="EM72" s="2466"/>
      <c r="EN72" s="2466"/>
      <c r="EO72" s="2466"/>
      <c r="EP72" s="2466"/>
      <c r="EQ72" s="2466"/>
      <c r="ER72" s="2466"/>
      <c r="ES72" s="2466"/>
      <c r="ET72" s="2466"/>
      <c r="EU72" s="2466"/>
      <c r="EV72" s="2466"/>
      <c r="EW72" s="2466"/>
      <c r="EX72" s="2466"/>
      <c r="EY72" s="2466"/>
      <c r="EZ72" s="2466"/>
      <c r="FA72" s="2466"/>
      <c r="FB72" s="2466"/>
      <c r="FC72" s="2466"/>
      <c r="FD72" s="2466"/>
      <c r="FE72" s="2466"/>
      <c r="FF72" s="2466"/>
      <c r="FG72" s="2466"/>
      <c r="FH72" s="2466"/>
      <c r="FI72" s="2466"/>
      <c r="FJ72" s="2466"/>
      <c r="FK72" s="2466"/>
      <c r="FL72" s="2466"/>
      <c r="FM72" s="2466"/>
      <c r="FN72" s="2466"/>
      <c r="FO72" s="2466"/>
      <c r="FP72" s="2466"/>
      <c r="FQ72" s="2466"/>
      <c r="FR72" s="2466"/>
      <c r="FS72" s="2466"/>
      <c r="FT72" s="2466"/>
      <c r="FU72" s="2466"/>
      <c r="FV72" s="2466"/>
      <c r="FW72" s="2466"/>
      <c r="FX72" s="2466"/>
      <c r="FY72" s="2466"/>
      <c r="FZ72" s="2466"/>
      <c r="GA72" s="2466"/>
      <c r="GB72" s="2466"/>
      <c r="GC72" s="2466"/>
      <c r="GD72" s="2466"/>
      <c r="GE72" s="2466"/>
      <c r="GF72" s="2466"/>
      <c r="GG72" s="2466"/>
      <c r="GH72" s="2466"/>
      <c r="GI72" s="2466"/>
      <c r="GJ72" s="2466"/>
      <c r="GK72" s="2466"/>
      <c r="GL72" s="2466"/>
      <c r="GM72" s="2466"/>
      <c r="GN72" s="2466"/>
      <c r="GO72" s="2466"/>
      <c r="GP72" s="2466"/>
      <c r="GQ72" s="2466"/>
      <c r="GR72" s="2466"/>
      <c r="GS72" s="2466"/>
      <c r="GT72" s="2466"/>
      <c r="GU72" s="2466"/>
      <c r="GV72" s="2466"/>
      <c r="GW72" s="2466"/>
      <c r="GX72" s="2466"/>
      <c r="GY72" s="2466"/>
      <c r="GZ72" s="2466"/>
      <c r="HA72" s="2466"/>
      <c r="HB72" s="2466"/>
      <c r="HC72" s="2466"/>
      <c r="HD72" s="2466"/>
      <c r="HE72" s="2466"/>
      <c r="HF72" s="2466"/>
      <c r="HG72" s="2466"/>
      <c r="HH72" s="2466"/>
      <c r="HI72" s="2466"/>
      <c r="HJ72" s="2466"/>
      <c r="HK72" s="2466"/>
      <c r="HL72" s="2466"/>
      <c r="HM72" s="2466"/>
      <c r="HN72" s="2466"/>
      <c r="HO72" s="2466"/>
      <c r="HP72" s="2466"/>
      <c r="HQ72" s="2466"/>
      <c r="HR72" s="2466"/>
      <c r="HS72" s="2466"/>
      <c r="HT72" s="2466"/>
      <c r="HU72" s="2466"/>
      <c r="HV72" s="2466"/>
      <c r="HW72" s="2466"/>
      <c r="HX72" s="2466"/>
      <c r="HY72" s="2466"/>
      <c r="HZ72" s="2466"/>
      <c r="IA72" s="2466"/>
      <c r="IB72" s="2466"/>
      <c r="IC72" s="2466"/>
      <c r="ID72" s="2466"/>
      <c r="IE72" s="2466"/>
      <c r="IF72" s="2466"/>
      <c r="IG72" s="2466"/>
      <c r="IH72" s="2466"/>
      <c r="II72" s="2466"/>
      <c r="IJ72" s="2466"/>
      <c r="IK72" s="2466"/>
      <c r="IL72" s="2466"/>
      <c r="IM72" s="2466"/>
      <c r="IN72" s="2466"/>
      <c r="IO72" s="2466"/>
      <c r="IP72" s="2466"/>
      <c r="IQ72" s="2466"/>
      <c r="IR72" s="2466"/>
      <c r="IS72" s="2466"/>
      <c r="IT72" s="2466"/>
      <c r="IU72" s="2466"/>
      <c r="IV72" s="2466"/>
    </row>
    <row r="73" spans="1:256">
      <c r="O73" s="2466"/>
      <c r="P73" s="2466"/>
      <c r="Q73" s="2466"/>
      <c r="R73" s="2466"/>
      <c r="S73" s="2466"/>
      <c r="T73" s="2466"/>
      <c r="U73" s="2466"/>
      <c r="V73" s="2466"/>
      <c r="W73" s="2466"/>
      <c r="X73" s="2466"/>
      <c r="Y73" s="2466"/>
      <c r="Z73" s="2466"/>
      <c r="AA73" s="2466"/>
      <c r="AB73" s="2466"/>
      <c r="AC73" s="2466"/>
      <c r="AD73" s="2466"/>
      <c r="AE73" s="2466"/>
      <c r="AF73" s="2466"/>
      <c r="AG73" s="2466"/>
      <c r="AH73" s="2466"/>
      <c r="AI73" s="2466"/>
      <c r="AJ73" s="2466"/>
      <c r="AK73" s="2466"/>
      <c r="AL73" s="2466"/>
      <c r="AM73" s="2466"/>
      <c r="AN73" s="2466"/>
      <c r="AO73" s="2466"/>
      <c r="AP73" s="2466"/>
      <c r="AQ73" s="2466"/>
      <c r="AR73" s="2466"/>
      <c r="AS73" s="2466"/>
      <c r="AT73" s="2466"/>
      <c r="AU73" s="2466"/>
      <c r="AV73" s="2466"/>
      <c r="AW73" s="2466"/>
      <c r="AX73" s="2466"/>
      <c r="AY73" s="2466"/>
      <c r="AZ73" s="2466"/>
      <c r="BA73" s="2466"/>
      <c r="BB73" s="2466"/>
      <c r="BC73" s="2466"/>
      <c r="BD73" s="2466"/>
      <c r="BE73" s="2466"/>
      <c r="BF73" s="2466"/>
      <c r="BG73" s="2466"/>
      <c r="BH73" s="2466"/>
      <c r="BI73" s="2466"/>
      <c r="BJ73" s="2466"/>
      <c r="BK73" s="2466"/>
      <c r="BL73" s="2466"/>
      <c r="BM73" s="2466"/>
      <c r="BN73" s="2466"/>
      <c r="BO73" s="2466"/>
      <c r="BP73" s="2466"/>
      <c r="BQ73" s="2466"/>
      <c r="BR73" s="2466"/>
      <c r="BS73" s="2466"/>
      <c r="BT73" s="2466"/>
      <c r="BU73" s="2466"/>
      <c r="BV73" s="2466"/>
      <c r="BW73" s="2466"/>
      <c r="BX73" s="2466"/>
      <c r="BY73" s="2466"/>
      <c r="BZ73" s="2466"/>
      <c r="CA73" s="2466"/>
      <c r="CB73" s="2466"/>
      <c r="CC73" s="2466"/>
      <c r="CD73" s="2466"/>
      <c r="CE73" s="2466"/>
      <c r="CF73" s="2466"/>
      <c r="CG73" s="2466"/>
      <c r="CH73" s="2466"/>
      <c r="CI73" s="2466"/>
      <c r="CJ73" s="2466"/>
      <c r="CK73" s="2466"/>
      <c r="CL73" s="2466"/>
      <c r="CM73" s="2466"/>
      <c r="CN73" s="2466"/>
      <c r="CO73" s="2466"/>
      <c r="CP73" s="2466"/>
      <c r="CQ73" s="2466"/>
      <c r="CR73" s="2466"/>
      <c r="CS73" s="2466"/>
      <c r="CT73" s="2466"/>
      <c r="CU73" s="2466"/>
      <c r="CV73" s="2466"/>
      <c r="CW73" s="2466"/>
      <c r="CX73" s="2466"/>
      <c r="CY73" s="2466"/>
      <c r="CZ73" s="2466"/>
      <c r="DA73" s="2466"/>
      <c r="DB73" s="2466"/>
      <c r="DC73" s="2466"/>
      <c r="DD73" s="2466"/>
      <c r="DE73" s="2466"/>
      <c r="DF73" s="2466"/>
      <c r="DG73" s="2466"/>
      <c r="DH73" s="2466"/>
      <c r="DI73" s="2466"/>
      <c r="DJ73" s="2466"/>
      <c r="DK73" s="2466"/>
      <c r="DL73" s="2466"/>
      <c r="DM73" s="2466"/>
      <c r="DN73" s="2466"/>
      <c r="DO73" s="2466"/>
      <c r="DP73" s="2466"/>
      <c r="DQ73" s="2466"/>
      <c r="DR73" s="2466"/>
      <c r="DS73" s="2466"/>
      <c r="DT73" s="2466"/>
      <c r="DU73" s="2466"/>
      <c r="DV73" s="2466"/>
      <c r="DW73" s="2466"/>
      <c r="DX73" s="2466"/>
      <c r="DY73" s="2466"/>
      <c r="DZ73" s="2466"/>
      <c r="EA73" s="2466"/>
      <c r="EB73" s="2466"/>
      <c r="EC73" s="2466"/>
      <c r="ED73" s="2466"/>
      <c r="EE73" s="2466"/>
      <c r="EF73" s="2466"/>
      <c r="EG73" s="2466"/>
      <c r="EH73" s="2466"/>
      <c r="EI73" s="2466"/>
      <c r="EJ73" s="2466"/>
      <c r="EK73" s="2466"/>
      <c r="EL73" s="2466"/>
      <c r="EM73" s="2466"/>
      <c r="EN73" s="2466"/>
      <c r="EO73" s="2466"/>
      <c r="EP73" s="2466"/>
      <c r="EQ73" s="2466"/>
      <c r="ER73" s="2466"/>
      <c r="ES73" s="2466"/>
      <c r="ET73" s="2466"/>
      <c r="EU73" s="2466"/>
      <c r="EV73" s="2466"/>
      <c r="EW73" s="2466"/>
      <c r="EX73" s="2466"/>
      <c r="EY73" s="2466"/>
      <c r="EZ73" s="2466"/>
      <c r="FA73" s="2466"/>
      <c r="FB73" s="2466"/>
      <c r="FC73" s="2466"/>
      <c r="FD73" s="2466"/>
      <c r="FE73" s="2466"/>
      <c r="FF73" s="2466"/>
      <c r="FG73" s="2466"/>
      <c r="FH73" s="2466"/>
      <c r="FI73" s="2466"/>
      <c r="FJ73" s="2466"/>
      <c r="FK73" s="2466"/>
      <c r="FL73" s="2466"/>
      <c r="FM73" s="2466"/>
      <c r="FN73" s="2466"/>
      <c r="FO73" s="2466"/>
      <c r="FP73" s="2466"/>
      <c r="FQ73" s="2466"/>
      <c r="FR73" s="2466"/>
      <c r="FS73" s="2466"/>
      <c r="FT73" s="2466"/>
      <c r="FU73" s="2466"/>
      <c r="FV73" s="2466"/>
      <c r="FW73" s="2466"/>
      <c r="FX73" s="2466"/>
      <c r="FY73" s="2466"/>
      <c r="FZ73" s="2466"/>
      <c r="GA73" s="2466"/>
      <c r="GB73" s="2466"/>
      <c r="GC73" s="2466"/>
      <c r="GD73" s="2466"/>
      <c r="GE73" s="2466"/>
      <c r="GF73" s="2466"/>
      <c r="GG73" s="2466"/>
      <c r="GH73" s="2466"/>
      <c r="GI73" s="2466"/>
      <c r="GJ73" s="2466"/>
      <c r="GK73" s="2466"/>
      <c r="GL73" s="2466"/>
      <c r="GM73" s="2466"/>
      <c r="GN73" s="2466"/>
      <c r="GO73" s="2466"/>
      <c r="GP73" s="2466"/>
      <c r="GQ73" s="2466"/>
      <c r="GR73" s="2466"/>
      <c r="GS73" s="2466"/>
      <c r="GT73" s="2466"/>
      <c r="GU73" s="2466"/>
      <c r="GV73" s="2466"/>
      <c r="GW73" s="2466"/>
      <c r="GX73" s="2466"/>
      <c r="GY73" s="2466"/>
      <c r="GZ73" s="2466"/>
      <c r="HA73" s="2466"/>
      <c r="HB73" s="2466"/>
      <c r="HC73" s="2466"/>
      <c r="HD73" s="2466"/>
      <c r="HE73" s="2466"/>
      <c r="HF73" s="2466"/>
      <c r="HG73" s="2466"/>
      <c r="HH73" s="2466"/>
      <c r="HI73" s="2466"/>
      <c r="HJ73" s="2466"/>
      <c r="HK73" s="2466"/>
      <c r="HL73" s="2466"/>
      <c r="HM73" s="2466"/>
      <c r="HN73" s="2466"/>
      <c r="HO73" s="2466"/>
      <c r="HP73" s="2466"/>
      <c r="HQ73" s="2466"/>
      <c r="HR73" s="2466"/>
      <c r="HS73" s="2466"/>
      <c r="HT73" s="2466"/>
      <c r="HU73" s="2466"/>
      <c r="HV73" s="2466"/>
      <c r="HW73" s="2466"/>
      <c r="HX73" s="2466"/>
      <c r="HY73" s="2466"/>
      <c r="HZ73" s="2466"/>
      <c r="IA73" s="2466"/>
      <c r="IB73" s="2466"/>
      <c r="IC73" s="2466"/>
      <c r="ID73" s="2466"/>
      <c r="IE73" s="2466"/>
      <c r="IF73" s="2466"/>
      <c r="IG73" s="2466"/>
      <c r="IH73" s="2466"/>
      <c r="II73" s="2466"/>
      <c r="IJ73" s="2466"/>
      <c r="IK73" s="2466"/>
      <c r="IL73" s="2466"/>
      <c r="IM73" s="2466"/>
      <c r="IN73" s="2466"/>
      <c r="IO73" s="2466"/>
      <c r="IP73" s="2466"/>
      <c r="IQ73" s="2466"/>
      <c r="IR73" s="2466"/>
      <c r="IS73" s="2466"/>
      <c r="IT73" s="2466"/>
      <c r="IU73" s="2466"/>
      <c r="IV73" s="2466"/>
    </row>
    <row r="74" spans="1:256">
      <c r="O74" s="2466"/>
      <c r="P74" s="2466"/>
      <c r="Q74" s="2466"/>
      <c r="R74" s="2466"/>
      <c r="S74" s="2466"/>
      <c r="T74" s="2466"/>
      <c r="U74" s="2466"/>
      <c r="V74" s="2466"/>
      <c r="W74" s="2466"/>
      <c r="X74" s="2466"/>
      <c r="Y74" s="2466"/>
      <c r="Z74" s="2466"/>
      <c r="AA74" s="2466"/>
      <c r="AB74" s="2466"/>
      <c r="AC74" s="2466"/>
      <c r="AD74" s="2466"/>
      <c r="AE74" s="2466"/>
      <c r="AF74" s="2466"/>
      <c r="AG74" s="2466"/>
      <c r="AH74" s="2466"/>
      <c r="AI74" s="2466"/>
      <c r="AJ74" s="2466"/>
      <c r="AK74" s="2466"/>
      <c r="AL74" s="2466"/>
      <c r="AM74" s="2466"/>
      <c r="AN74" s="2466"/>
      <c r="AO74" s="2466"/>
      <c r="AP74" s="2466"/>
      <c r="AQ74" s="2466"/>
      <c r="AR74" s="2466"/>
      <c r="AS74" s="2466"/>
      <c r="AT74" s="2466"/>
      <c r="AU74" s="2466"/>
      <c r="AV74" s="2466"/>
      <c r="AW74" s="2466"/>
      <c r="AX74" s="2466"/>
      <c r="AY74" s="2466"/>
      <c r="AZ74" s="2466"/>
      <c r="BA74" s="2466"/>
      <c r="BB74" s="2466"/>
      <c r="BC74" s="2466"/>
      <c r="BD74" s="2466"/>
      <c r="BE74" s="2466"/>
      <c r="BF74" s="2466"/>
      <c r="BG74" s="2466"/>
      <c r="BH74" s="2466"/>
      <c r="BI74" s="2466"/>
      <c r="BJ74" s="2466"/>
      <c r="BK74" s="2466"/>
      <c r="BL74" s="2466"/>
      <c r="BM74" s="2466"/>
      <c r="BN74" s="2466"/>
      <c r="BO74" s="2466"/>
      <c r="BP74" s="2466"/>
      <c r="BQ74" s="2466"/>
      <c r="BR74" s="2466"/>
      <c r="BS74" s="2466"/>
      <c r="BT74" s="2466"/>
      <c r="BU74" s="2466"/>
      <c r="BV74" s="2466"/>
      <c r="BW74" s="2466"/>
      <c r="BX74" s="2466"/>
      <c r="BY74" s="2466"/>
      <c r="BZ74" s="2466"/>
      <c r="CA74" s="2466"/>
      <c r="CB74" s="2466"/>
      <c r="CC74" s="2466"/>
      <c r="CD74" s="2466"/>
      <c r="CE74" s="2466"/>
      <c r="CF74" s="2466"/>
      <c r="CG74" s="2466"/>
      <c r="CH74" s="2466"/>
      <c r="CI74" s="2466"/>
      <c r="CJ74" s="2466"/>
      <c r="CK74" s="2466"/>
      <c r="CL74" s="2466"/>
      <c r="CM74" s="2466"/>
      <c r="CN74" s="2466"/>
      <c r="CO74" s="2466"/>
      <c r="CP74" s="2466"/>
      <c r="CQ74" s="2466"/>
      <c r="CR74" s="2466"/>
      <c r="CS74" s="2466"/>
      <c r="CT74" s="2466"/>
      <c r="CU74" s="2466"/>
      <c r="CV74" s="2466"/>
      <c r="CW74" s="2466"/>
      <c r="CX74" s="2466"/>
      <c r="CY74" s="2466"/>
      <c r="CZ74" s="2466"/>
      <c r="DA74" s="2466"/>
      <c r="DB74" s="2466"/>
      <c r="DC74" s="2466"/>
      <c r="DD74" s="2466"/>
      <c r="DE74" s="2466"/>
      <c r="DF74" s="2466"/>
      <c r="DG74" s="2466"/>
      <c r="DH74" s="2466"/>
      <c r="DI74" s="2466"/>
      <c r="DJ74" s="2466"/>
      <c r="DK74" s="2466"/>
      <c r="DL74" s="2466"/>
      <c r="DM74" s="2466"/>
      <c r="DN74" s="2466"/>
      <c r="DO74" s="2466"/>
      <c r="DP74" s="2466"/>
      <c r="DQ74" s="2466"/>
      <c r="DR74" s="2466"/>
      <c r="DS74" s="2466"/>
      <c r="DT74" s="2466"/>
      <c r="DU74" s="2466"/>
      <c r="DV74" s="2466"/>
      <c r="DW74" s="2466"/>
      <c r="DX74" s="2466"/>
      <c r="DY74" s="2466"/>
      <c r="DZ74" s="2466"/>
      <c r="EA74" s="2466"/>
      <c r="EB74" s="2466"/>
      <c r="EC74" s="2466"/>
      <c r="ED74" s="2466"/>
      <c r="EE74" s="2466"/>
      <c r="EF74" s="2466"/>
      <c r="EG74" s="2466"/>
      <c r="EH74" s="2466"/>
      <c r="EI74" s="2466"/>
      <c r="EJ74" s="2466"/>
      <c r="EK74" s="2466"/>
      <c r="EL74" s="2466"/>
      <c r="EM74" s="2466"/>
      <c r="EN74" s="2466"/>
      <c r="EO74" s="2466"/>
      <c r="EP74" s="2466"/>
      <c r="EQ74" s="2466"/>
      <c r="ER74" s="2466"/>
      <c r="ES74" s="2466"/>
      <c r="ET74" s="2466"/>
      <c r="EU74" s="2466"/>
      <c r="EV74" s="2466"/>
      <c r="EW74" s="2466"/>
      <c r="EX74" s="2466"/>
      <c r="EY74" s="2466"/>
      <c r="EZ74" s="2466"/>
      <c r="FA74" s="2466"/>
      <c r="FB74" s="2466"/>
      <c r="FC74" s="2466"/>
      <c r="FD74" s="2466"/>
      <c r="FE74" s="2466"/>
      <c r="FF74" s="2466"/>
      <c r="FG74" s="2466"/>
      <c r="FH74" s="2466"/>
      <c r="FI74" s="2466"/>
      <c r="FJ74" s="2466"/>
      <c r="FK74" s="2466"/>
      <c r="FL74" s="2466"/>
      <c r="FM74" s="2466"/>
      <c r="FN74" s="2466"/>
      <c r="FO74" s="2466"/>
      <c r="FP74" s="2466"/>
      <c r="FQ74" s="2466"/>
      <c r="FR74" s="2466"/>
      <c r="FS74" s="2466"/>
      <c r="FT74" s="2466"/>
      <c r="FU74" s="2466"/>
      <c r="FV74" s="2466"/>
      <c r="FW74" s="2466"/>
      <c r="FX74" s="2466"/>
      <c r="FY74" s="2466"/>
      <c r="FZ74" s="2466"/>
      <c r="GA74" s="2466"/>
      <c r="GB74" s="2466"/>
      <c r="GC74" s="2466"/>
      <c r="GD74" s="2466"/>
      <c r="GE74" s="2466"/>
      <c r="GF74" s="2466"/>
      <c r="GG74" s="2466"/>
      <c r="GH74" s="2466"/>
      <c r="GI74" s="2466"/>
      <c r="GJ74" s="2466"/>
      <c r="GK74" s="2466"/>
      <c r="GL74" s="2466"/>
      <c r="GM74" s="2466"/>
      <c r="GN74" s="2466"/>
      <c r="GO74" s="2466"/>
      <c r="GP74" s="2466"/>
      <c r="GQ74" s="2466"/>
      <c r="GR74" s="2466"/>
      <c r="GS74" s="2466"/>
      <c r="GT74" s="2466"/>
      <c r="GU74" s="2466"/>
      <c r="GV74" s="2466"/>
      <c r="GW74" s="2466"/>
      <c r="GX74" s="2466"/>
      <c r="GY74" s="2466"/>
      <c r="GZ74" s="2466"/>
      <c r="HA74" s="2466"/>
      <c r="HB74" s="2466"/>
      <c r="HC74" s="2466"/>
      <c r="HD74" s="2466"/>
      <c r="HE74" s="2466"/>
      <c r="HF74" s="2466"/>
      <c r="HG74" s="2466"/>
      <c r="HH74" s="2466"/>
      <c r="HI74" s="2466"/>
      <c r="HJ74" s="2466"/>
      <c r="HK74" s="2466"/>
      <c r="HL74" s="2466"/>
      <c r="HM74" s="2466"/>
      <c r="HN74" s="2466"/>
      <c r="HO74" s="2466"/>
      <c r="HP74" s="2466"/>
      <c r="HQ74" s="2466"/>
      <c r="HR74" s="2466"/>
      <c r="HS74" s="2466"/>
      <c r="HT74" s="2466"/>
      <c r="HU74" s="2466"/>
      <c r="HV74" s="2466"/>
      <c r="HW74" s="2466"/>
      <c r="HX74" s="2466"/>
      <c r="HY74" s="2466"/>
      <c r="HZ74" s="2466"/>
      <c r="IA74" s="2466"/>
      <c r="IB74" s="2466"/>
      <c r="IC74" s="2466"/>
      <c r="ID74" s="2466"/>
      <c r="IE74" s="2466"/>
      <c r="IF74" s="2466"/>
      <c r="IG74" s="2466"/>
      <c r="IH74" s="2466"/>
      <c r="II74" s="2466"/>
      <c r="IJ74" s="2466"/>
      <c r="IK74" s="2466"/>
      <c r="IL74" s="2466"/>
      <c r="IM74" s="2466"/>
      <c r="IN74" s="2466"/>
      <c r="IO74" s="2466"/>
      <c r="IP74" s="2466"/>
      <c r="IQ74" s="2466"/>
      <c r="IR74" s="2466"/>
      <c r="IS74" s="2466"/>
      <c r="IT74" s="2466"/>
      <c r="IU74" s="2466"/>
      <c r="IV74" s="2466"/>
    </row>
    <row r="75" spans="1:256">
      <c r="O75" s="2466"/>
      <c r="P75" s="2466"/>
      <c r="Q75" s="2466"/>
      <c r="R75" s="2466"/>
      <c r="S75" s="2466"/>
      <c r="T75" s="2466"/>
      <c r="U75" s="2466"/>
      <c r="V75" s="2466"/>
      <c r="W75" s="2466"/>
      <c r="X75" s="2466"/>
      <c r="Y75" s="2466"/>
      <c r="Z75" s="2466"/>
      <c r="AA75" s="2466"/>
      <c r="AB75" s="2466"/>
      <c r="AC75" s="2466"/>
      <c r="AD75" s="2466"/>
      <c r="AE75" s="2466"/>
      <c r="AF75" s="2466"/>
      <c r="AG75" s="2466"/>
      <c r="AH75" s="2466"/>
      <c r="AI75" s="2466"/>
      <c r="AJ75" s="2466"/>
      <c r="AK75" s="2466"/>
      <c r="AL75" s="2466"/>
      <c r="AM75" s="2466"/>
      <c r="AN75" s="2466"/>
      <c r="AO75" s="2466"/>
      <c r="AP75" s="2466"/>
      <c r="AQ75" s="2466"/>
      <c r="AR75" s="2466"/>
      <c r="AS75" s="2466"/>
      <c r="AT75" s="2466"/>
      <c r="AU75" s="2466"/>
      <c r="AV75" s="2466"/>
      <c r="AW75" s="2466"/>
      <c r="AX75" s="2466"/>
      <c r="AY75" s="2466"/>
      <c r="AZ75" s="2466"/>
      <c r="BA75" s="2466"/>
      <c r="BB75" s="2466"/>
      <c r="BC75" s="2466"/>
      <c r="BD75" s="2466"/>
      <c r="BE75" s="2466"/>
      <c r="BF75" s="2466"/>
      <c r="BG75" s="2466"/>
      <c r="BH75" s="2466"/>
      <c r="BI75" s="2466"/>
      <c r="BJ75" s="2466"/>
      <c r="BK75" s="2466"/>
      <c r="BL75" s="2466"/>
      <c r="BM75" s="2466"/>
      <c r="BN75" s="2466"/>
      <c r="BO75" s="2466"/>
      <c r="BP75" s="2466"/>
      <c r="BQ75" s="2466"/>
      <c r="BR75" s="2466"/>
      <c r="BS75" s="2466"/>
      <c r="BT75" s="2466"/>
      <c r="BU75" s="2466"/>
      <c r="BV75" s="2466"/>
      <c r="BW75" s="2466"/>
      <c r="BX75" s="2466"/>
      <c r="BY75" s="2466"/>
      <c r="BZ75" s="2466"/>
      <c r="CA75" s="2466"/>
      <c r="CB75" s="2466"/>
      <c r="CC75" s="2466"/>
      <c r="CD75" s="2466"/>
      <c r="CE75" s="2466"/>
      <c r="CF75" s="2466"/>
      <c r="CG75" s="2466"/>
      <c r="CH75" s="2466"/>
      <c r="CI75" s="2466"/>
      <c r="CJ75" s="2466"/>
      <c r="CK75" s="2466"/>
      <c r="CL75" s="2466"/>
      <c r="CM75" s="2466"/>
      <c r="CN75" s="2466"/>
      <c r="CO75" s="2466"/>
      <c r="CP75" s="2466"/>
      <c r="CQ75" s="2466"/>
      <c r="CR75" s="2466"/>
      <c r="CS75" s="2466"/>
      <c r="CT75" s="2466"/>
      <c r="CU75" s="2466"/>
      <c r="CV75" s="2466"/>
      <c r="CW75" s="2466"/>
      <c r="CX75" s="2466"/>
      <c r="CY75" s="2466"/>
      <c r="CZ75" s="2466"/>
      <c r="DA75" s="2466"/>
      <c r="DB75" s="2466"/>
      <c r="DC75" s="2466"/>
      <c r="DD75" s="2466"/>
      <c r="DE75" s="2466"/>
      <c r="DF75" s="2466"/>
      <c r="DG75" s="2466"/>
      <c r="DH75" s="2466"/>
      <c r="DI75" s="2466"/>
      <c r="DJ75" s="2466"/>
      <c r="DK75" s="2466"/>
      <c r="DL75" s="2466"/>
      <c r="DM75" s="2466"/>
      <c r="DN75" s="2466"/>
      <c r="DO75" s="2466"/>
      <c r="DP75" s="2466"/>
      <c r="DQ75" s="2466"/>
      <c r="DR75" s="2466"/>
      <c r="DS75" s="2466"/>
      <c r="DT75" s="2466"/>
      <c r="DU75" s="2466"/>
      <c r="DV75" s="2466"/>
      <c r="DW75" s="2466"/>
      <c r="DX75" s="2466"/>
      <c r="DY75" s="2466"/>
      <c r="DZ75" s="2466"/>
      <c r="EA75" s="2466"/>
      <c r="EB75" s="2466"/>
      <c r="EC75" s="2466"/>
      <c r="ED75" s="2466"/>
      <c r="EE75" s="2466"/>
      <c r="EF75" s="2466"/>
      <c r="EG75" s="2466"/>
      <c r="EH75" s="2466"/>
      <c r="EI75" s="2466"/>
      <c r="EJ75" s="2466"/>
      <c r="EK75" s="2466"/>
      <c r="EL75" s="2466"/>
      <c r="EM75" s="2466"/>
      <c r="EN75" s="2466"/>
      <c r="EO75" s="2466"/>
      <c r="EP75" s="2466"/>
      <c r="EQ75" s="2466"/>
      <c r="ER75" s="2466"/>
      <c r="ES75" s="2466"/>
      <c r="ET75" s="2466"/>
      <c r="EU75" s="2466"/>
      <c r="EV75" s="2466"/>
      <c r="EW75" s="2466"/>
      <c r="EX75" s="2466"/>
      <c r="EY75" s="2466"/>
      <c r="EZ75" s="2466"/>
      <c r="FA75" s="2466"/>
      <c r="FB75" s="2466"/>
      <c r="FC75" s="2466"/>
      <c r="FD75" s="2466"/>
      <c r="FE75" s="2466"/>
      <c r="FF75" s="2466"/>
      <c r="FG75" s="2466"/>
      <c r="FH75" s="2466"/>
      <c r="FI75" s="2466"/>
      <c r="FJ75" s="2466"/>
      <c r="FK75" s="2466"/>
      <c r="FL75" s="2466"/>
      <c r="FM75" s="2466"/>
      <c r="FN75" s="2466"/>
      <c r="FO75" s="2466"/>
      <c r="FP75" s="2466"/>
      <c r="FQ75" s="2466"/>
      <c r="FR75" s="2466"/>
      <c r="FS75" s="2466"/>
      <c r="FT75" s="2466"/>
      <c r="FU75" s="2466"/>
      <c r="FV75" s="2466"/>
      <c r="FW75" s="2466"/>
      <c r="FX75" s="2466"/>
      <c r="FY75" s="2466"/>
      <c r="FZ75" s="2466"/>
      <c r="GA75" s="2466"/>
      <c r="GB75" s="2466"/>
      <c r="GC75" s="2466"/>
      <c r="GD75" s="2466"/>
      <c r="GE75" s="2466"/>
      <c r="GF75" s="2466"/>
      <c r="GG75" s="2466"/>
      <c r="GH75" s="2466"/>
      <c r="GI75" s="2466"/>
      <c r="GJ75" s="2466"/>
      <c r="GK75" s="2466"/>
      <c r="GL75" s="2466"/>
      <c r="GM75" s="2466"/>
      <c r="GN75" s="2466"/>
      <c r="GO75" s="2466"/>
      <c r="GP75" s="2466"/>
      <c r="GQ75" s="2466"/>
      <c r="GR75" s="2466"/>
      <c r="GS75" s="2466"/>
      <c r="GT75" s="2466"/>
      <c r="GU75" s="2466"/>
      <c r="GV75" s="2466"/>
      <c r="GW75" s="2466"/>
      <c r="GX75" s="2466"/>
      <c r="GY75" s="2466"/>
      <c r="GZ75" s="2466"/>
      <c r="HA75" s="2466"/>
      <c r="HB75" s="2466"/>
      <c r="HC75" s="2466"/>
      <c r="HD75" s="2466"/>
      <c r="HE75" s="2466"/>
      <c r="HF75" s="2466"/>
      <c r="HG75" s="2466"/>
      <c r="HH75" s="2466"/>
      <c r="HI75" s="2466"/>
      <c r="HJ75" s="2466"/>
      <c r="HK75" s="2466"/>
      <c r="HL75" s="2466"/>
      <c r="HM75" s="2466"/>
      <c r="HN75" s="2466"/>
      <c r="HO75" s="2466"/>
      <c r="HP75" s="2466"/>
      <c r="HQ75" s="2466"/>
      <c r="HR75" s="2466"/>
      <c r="HS75" s="2466"/>
      <c r="HT75" s="2466"/>
      <c r="HU75" s="2466"/>
      <c r="HV75" s="2466"/>
      <c r="HW75" s="2466"/>
      <c r="HX75" s="2466"/>
      <c r="HY75" s="2466"/>
      <c r="HZ75" s="2466"/>
      <c r="IA75" s="2466"/>
      <c r="IB75" s="2466"/>
      <c r="IC75" s="2466"/>
      <c r="ID75" s="2466"/>
      <c r="IE75" s="2466"/>
      <c r="IF75" s="2466"/>
      <c r="IG75" s="2466"/>
      <c r="IH75" s="2466"/>
      <c r="II75" s="2466"/>
      <c r="IJ75" s="2466"/>
      <c r="IK75" s="2466"/>
      <c r="IL75" s="2466"/>
      <c r="IM75" s="2466"/>
      <c r="IN75" s="2466"/>
      <c r="IO75" s="2466"/>
      <c r="IP75" s="2466"/>
      <c r="IQ75" s="2466"/>
      <c r="IR75" s="2466"/>
      <c r="IS75" s="2466"/>
      <c r="IT75" s="2466"/>
      <c r="IU75" s="2466"/>
      <c r="IV75" s="2466"/>
    </row>
    <row r="76" spans="1:256">
      <c r="O76" s="2466"/>
      <c r="P76" s="2466"/>
      <c r="Q76" s="2466"/>
      <c r="R76" s="2466"/>
      <c r="S76" s="2466"/>
      <c r="T76" s="2466"/>
      <c r="U76" s="2466"/>
      <c r="V76" s="2466"/>
      <c r="W76" s="2466"/>
      <c r="X76" s="2466"/>
      <c r="Y76" s="2466"/>
      <c r="Z76" s="2466"/>
      <c r="AA76" s="2466"/>
      <c r="AB76" s="2466"/>
      <c r="AC76" s="2466"/>
      <c r="AD76" s="2466"/>
      <c r="AE76" s="2466"/>
      <c r="AF76" s="2466"/>
      <c r="AG76" s="2466"/>
      <c r="AH76" s="2466"/>
      <c r="AI76" s="2466"/>
      <c r="AJ76" s="2466"/>
      <c r="AK76" s="2466"/>
      <c r="AL76" s="2466"/>
      <c r="AM76" s="2466"/>
      <c r="AN76" s="2466"/>
      <c r="AO76" s="2466"/>
      <c r="AP76" s="2466"/>
      <c r="AQ76" s="2466"/>
      <c r="AR76" s="2466"/>
      <c r="AS76" s="2466"/>
      <c r="AT76" s="2466"/>
      <c r="AU76" s="2466"/>
      <c r="AV76" s="2466"/>
      <c r="AW76" s="2466"/>
      <c r="AX76" s="2466"/>
      <c r="AY76" s="2466"/>
      <c r="AZ76" s="2466"/>
      <c r="BA76" s="2466"/>
      <c r="BB76" s="2466"/>
      <c r="BC76" s="2466"/>
      <c r="BD76" s="2466"/>
      <c r="BE76" s="2466"/>
      <c r="BF76" s="2466"/>
      <c r="BG76" s="2466"/>
      <c r="BH76" s="2466"/>
      <c r="BI76" s="2466"/>
      <c r="BJ76" s="2466"/>
      <c r="BK76" s="2466"/>
      <c r="BL76" s="2466"/>
      <c r="BM76" s="2466"/>
      <c r="BN76" s="2466"/>
      <c r="BO76" s="2466"/>
      <c r="BP76" s="2466"/>
      <c r="BQ76" s="2466"/>
      <c r="BR76" s="2466"/>
      <c r="BS76" s="2466"/>
      <c r="BT76" s="2466"/>
      <c r="BU76" s="2466"/>
      <c r="BV76" s="2466"/>
      <c r="BW76" s="2466"/>
      <c r="BX76" s="2466"/>
      <c r="BY76" s="2466"/>
      <c r="BZ76" s="2466"/>
      <c r="CA76" s="2466"/>
      <c r="CB76" s="2466"/>
      <c r="CC76" s="2466"/>
      <c r="CD76" s="2466"/>
      <c r="CE76" s="2466"/>
      <c r="CF76" s="2466"/>
      <c r="CG76" s="2466"/>
      <c r="CH76" s="2466"/>
      <c r="CI76" s="2466"/>
      <c r="CJ76" s="2466"/>
      <c r="CK76" s="2466"/>
      <c r="CL76" s="2466"/>
      <c r="CM76" s="2466"/>
      <c r="CN76" s="2466"/>
      <c r="CO76" s="2466"/>
      <c r="CP76" s="2466"/>
      <c r="CQ76" s="2466"/>
      <c r="CR76" s="2466"/>
      <c r="CS76" s="2466"/>
      <c r="CT76" s="2466"/>
      <c r="CU76" s="2466"/>
      <c r="CV76" s="2466"/>
      <c r="CW76" s="2466"/>
      <c r="CX76" s="2466"/>
      <c r="CY76" s="2466"/>
      <c r="CZ76" s="2466"/>
      <c r="DA76" s="2466"/>
      <c r="DB76" s="2466"/>
      <c r="DC76" s="2466"/>
      <c r="DD76" s="2466"/>
      <c r="DE76" s="2466"/>
      <c r="DF76" s="2466"/>
      <c r="DG76" s="2466"/>
      <c r="DH76" s="2466"/>
      <c r="DI76" s="2466"/>
      <c r="DJ76" s="2466"/>
      <c r="DK76" s="2466"/>
      <c r="DL76" s="2466"/>
      <c r="DM76" s="2466"/>
      <c r="DN76" s="2466"/>
      <c r="DO76" s="2466"/>
      <c r="DP76" s="2466"/>
      <c r="DQ76" s="2466"/>
      <c r="DR76" s="2466"/>
      <c r="DS76" s="2466"/>
      <c r="DT76" s="2466"/>
      <c r="DU76" s="2466"/>
      <c r="DV76" s="2466"/>
      <c r="DW76" s="2466"/>
      <c r="DX76" s="2466"/>
      <c r="DY76" s="2466"/>
      <c r="DZ76" s="2466"/>
      <c r="EA76" s="2466"/>
      <c r="EB76" s="2466"/>
      <c r="EC76" s="2466"/>
      <c r="ED76" s="2466"/>
      <c r="EE76" s="2466"/>
      <c r="EF76" s="2466"/>
      <c r="EG76" s="2466"/>
      <c r="EH76" s="2466"/>
      <c r="EI76" s="2466"/>
      <c r="EJ76" s="2466"/>
      <c r="EK76" s="2466"/>
      <c r="EL76" s="2466"/>
      <c r="EM76" s="2466"/>
      <c r="EN76" s="2466"/>
      <c r="EO76" s="2466"/>
      <c r="EP76" s="2466"/>
      <c r="EQ76" s="2466"/>
      <c r="ER76" s="2466"/>
      <c r="ES76" s="2466"/>
      <c r="ET76" s="2466"/>
      <c r="EU76" s="2466"/>
      <c r="EV76" s="2466"/>
      <c r="EW76" s="2466"/>
      <c r="EX76" s="2466"/>
      <c r="EY76" s="2466"/>
      <c r="EZ76" s="2466"/>
      <c r="FA76" s="2466"/>
      <c r="FB76" s="2466"/>
      <c r="FC76" s="2466"/>
      <c r="FD76" s="2466"/>
      <c r="FE76" s="2466"/>
      <c r="FF76" s="2466"/>
      <c r="FG76" s="2466"/>
      <c r="FH76" s="2466"/>
      <c r="FI76" s="2466"/>
      <c r="FJ76" s="2466"/>
      <c r="FK76" s="2466"/>
      <c r="FL76" s="2466"/>
      <c r="FM76" s="2466"/>
      <c r="FN76" s="2466"/>
      <c r="FO76" s="2466"/>
      <c r="FP76" s="2466"/>
      <c r="FQ76" s="2466"/>
      <c r="FR76" s="2466"/>
      <c r="FS76" s="2466"/>
      <c r="FT76" s="2466"/>
      <c r="FU76" s="2466"/>
      <c r="FV76" s="2466"/>
      <c r="FW76" s="2466"/>
      <c r="FX76" s="2466"/>
      <c r="FY76" s="2466"/>
      <c r="FZ76" s="2466"/>
      <c r="GA76" s="2466"/>
      <c r="GB76" s="2466"/>
      <c r="GC76" s="2466"/>
      <c r="GD76" s="2466"/>
      <c r="GE76" s="2466"/>
      <c r="GF76" s="2466"/>
      <c r="GG76" s="2466"/>
      <c r="GH76" s="2466"/>
      <c r="GI76" s="2466"/>
      <c r="GJ76" s="2466"/>
      <c r="GK76" s="2466"/>
      <c r="GL76" s="2466"/>
      <c r="GM76" s="2466"/>
      <c r="GN76" s="2466"/>
      <c r="GO76" s="2466"/>
      <c r="GP76" s="2466"/>
      <c r="GQ76" s="2466"/>
      <c r="GR76" s="2466"/>
      <c r="GS76" s="2466"/>
      <c r="GT76" s="2466"/>
      <c r="GU76" s="2466"/>
      <c r="GV76" s="2466"/>
      <c r="GW76" s="2466"/>
      <c r="GX76" s="2466"/>
      <c r="GY76" s="2466"/>
      <c r="GZ76" s="2466"/>
      <c r="HA76" s="2466"/>
      <c r="HB76" s="2466"/>
      <c r="HC76" s="2466"/>
      <c r="HD76" s="2466"/>
      <c r="HE76" s="2466"/>
      <c r="HF76" s="2466"/>
      <c r="HG76" s="2466"/>
      <c r="HH76" s="2466"/>
      <c r="HI76" s="2466"/>
      <c r="HJ76" s="2466"/>
      <c r="HK76" s="2466"/>
      <c r="HL76" s="2466"/>
      <c r="HM76" s="2466"/>
      <c r="HN76" s="2466"/>
      <c r="HO76" s="2466"/>
      <c r="HP76" s="2466"/>
      <c r="HQ76" s="2466"/>
      <c r="HR76" s="2466"/>
      <c r="HS76" s="2466"/>
      <c r="HT76" s="2466"/>
      <c r="HU76" s="2466"/>
      <c r="HV76" s="2466"/>
      <c r="HW76" s="2466"/>
      <c r="HX76" s="2466"/>
      <c r="HY76" s="2466"/>
      <c r="HZ76" s="2466"/>
      <c r="IA76" s="2466"/>
      <c r="IB76" s="2466"/>
      <c r="IC76" s="2466"/>
      <c r="ID76" s="2466"/>
      <c r="IE76" s="2466"/>
      <c r="IF76" s="2466"/>
      <c r="IG76" s="2466"/>
      <c r="IH76" s="2466"/>
      <c r="II76" s="2466"/>
      <c r="IJ76" s="2466"/>
      <c r="IK76" s="2466"/>
      <c r="IL76" s="2466"/>
      <c r="IM76" s="2466"/>
      <c r="IN76" s="2466"/>
      <c r="IO76" s="2466"/>
      <c r="IP76" s="2466"/>
      <c r="IQ76" s="2466"/>
      <c r="IR76" s="2466"/>
      <c r="IS76" s="2466"/>
      <c r="IT76" s="2466"/>
      <c r="IU76" s="2466"/>
      <c r="IV76" s="2466"/>
    </row>
  </sheetData>
  <sheetProtection sheet="1"/>
  <mergeCells count="7">
    <mergeCell ref="A41:N41"/>
    <mergeCell ref="A43:N43"/>
    <mergeCell ref="D1:K1"/>
    <mergeCell ref="M2:O2"/>
    <mergeCell ref="A35:O35"/>
    <mergeCell ref="A36:O36"/>
    <mergeCell ref="A39:N39"/>
  </mergeCells>
  <printOptions horizontalCentered="1"/>
  <pageMargins left="0.25" right="0.25" top="0.17" bottom="0.17" header="0.5" footer="0.5"/>
  <pageSetup orientation="portrait" blackAndWhite="1"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10"/>
    <pageSetUpPr fitToPage="1"/>
  </sheetPr>
  <dimension ref="A1:BM49"/>
  <sheetViews>
    <sheetView showGridLines="0" view="pageBreakPreview" zoomScaleNormal="100" zoomScaleSheetLayoutView="100" workbookViewId="0">
      <selection activeCell="B4" sqref="B4"/>
    </sheetView>
  </sheetViews>
  <sheetFormatPr defaultColWidth="8.88671875" defaultRowHeight="13.2"/>
  <cols>
    <col min="1" max="1" width="12.44140625" customWidth="1"/>
    <col min="2" max="2" width="39.44140625" customWidth="1"/>
    <col min="3" max="3" width="36.44140625" customWidth="1"/>
    <col min="4" max="4" width="9.44140625" customWidth="1"/>
    <col min="5" max="5" width="14" customWidth="1"/>
    <col min="6" max="6" width="15.44140625" customWidth="1"/>
    <col min="39" max="39" width="41.44140625" style="383" bestFit="1" customWidth="1"/>
    <col min="40" max="40" width="50.44140625" style="168" bestFit="1" customWidth="1"/>
  </cols>
  <sheetData>
    <row r="1" spans="1:65" s="101" customFormat="1" ht="42.75" customHeight="1">
      <c r="B1" s="3963" t="s">
        <v>1765</v>
      </c>
      <c r="C1" s="3963"/>
      <c r="D1" s="3963"/>
      <c r="E1" s="476"/>
      <c r="F1" s="477"/>
      <c r="G1" s="180"/>
      <c r="H1" s="180"/>
      <c r="I1" s="180"/>
      <c r="J1" s="180"/>
      <c r="K1" s="180"/>
      <c r="L1" s="180"/>
      <c r="M1" s="180"/>
      <c r="N1" s="180"/>
      <c r="O1" s="180"/>
      <c r="P1" s="180"/>
      <c r="Q1" s="180"/>
      <c r="R1" s="180"/>
      <c r="S1" s="180"/>
      <c r="T1" s="180"/>
      <c r="U1" s="180"/>
      <c r="V1" s="180"/>
      <c r="W1" s="180"/>
      <c r="X1" s="180"/>
      <c r="Y1" s="180"/>
      <c r="Z1" s="180"/>
      <c r="AA1" s="180"/>
      <c r="AB1" s="180"/>
      <c r="AC1" s="180"/>
      <c r="AD1" s="180"/>
      <c r="AE1" s="180"/>
      <c r="AF1" s="180"/>
      <c r="AG1" s="180"/>
      <c r="AH1" s="180"/>
      <c r="AI1" s="180"/>
      <c r="AJ1" s="180"/>
      <c r="AK1" s="180"/>
      <c r="AL1" s="478"/>
      <c r="AM1" s="387"/>
      <c r="AN1" s="478"/>
      <c r="AO1" s="478"/>
      <c r="AP1" s="478"/>
      <c r="AQ1" s="478"/>
      <c r="AR1" s="478"/>
      <c r="AS1" s="478"/>
      <c r="AT1" s="478"/>
      <c r="AU1" s="479"/>
      <c r="AV1" s="479"/>
      <c r="AW1" s="479"/>
      <c r="AX1" s="479"/>
      <c r="AY1" s="479"/>
      <c r="AZ1" s="479"/>
      <c r="BA1" s="479"/>
      <c r="BB1" s="479"/>
      <c r="BC1" s="479"/>
      <c r="BD1" s="479"/>
      <c r="BE1" s="479"/>
      <c r="BF1" s="479"/>
      <c r="BG1" s="479"/>
      <c r="BH1" s="479"/>
      <c r="BI1" s="479"/>
      <c r="BJ1" s="479"/>
      <c r="BK1" s="479"/>
      <c r="BL1" s="479"/>
      <c r="BM1" s="479"/>
    </row>
    <row r="2" spans="1:65" s="101" customFormat="1" ht="12.6" customHeight="1" thickBot="1">
      <c r="B2" s="1875"/>
      <c r="C2" s="1875"/>
      <c r="D2" s="1875"/>
      <c r="E2" s="476"/>
      <c r="F2" s="710" t="str">
        <f>'Drop-Down Lists'!J40</f>
        <v>v 04.01.2021</v>
      </c>
      <c r="G2" s="180"/>
      <c r="H2" s="180"/>
      <c r="I2" s="180"/>
      <c r="J2" s="180"/>
      <c r="K2" s="180"/>
      <c r="L2" s="180"/>
      <c r="M2" s="180"/>
      <c r="N2" s="180"/>
      <c r="O2" s="180"/>
      <c r="P2" s="180"/>
      <c r="Q2" s="180"/>
      <c r="R2" s="180"/>
      <c r="S2" s="180"/>
      <c r="T2" s="180"/>
      <c r="U2" s="180"/>
      <c r="V2" s="180"/>
      <c r="W2" s="180"/>
      <c r="X2" s="180"/>
      <c r="Y2" s="180"/>
      <c r="Z2" s="180"/>
      <c r="AA2" s="180"/>
      <c r="AB2" s="180"/>
      <c r="AC2" s="180"/>
      <c r="AD2" s="180"/>
      <c r="AE2" s="180"/>
      <c r="AF2" s="180"/>
      <c r="AG2" s="180"/>
      <c r="AH2" s="180"/>
      <c r="AI2" s="180"/>
      <c r="AJ2" s="180"/>
      <c r="AK2" s="180"/>
      <c r="AL2" s="478"/>
      <c r="AM2" s="387"/>
      <c r="AN2" s="478"/>
      <c r="AO2" s="478"/>
      <c r="AP2" s="478"/>
      <c r="AQ2" s="478"/>
      <c r="AR2" s="478"/>
      <c r="AS2" s="478"/>
      <c r="AT2" s="478"/>
      <c r="AU2" s="479"/>
      <c r="AV2" s="479"/>
      <c r="AW2" s="479"/>
      <c r="AX2" s="479"/>
      <c r="AY2" s="479"/>
      <c r="AZ2" s="479"/>
      <c r="BA2" s="479"/>
      <c r="BB2" s="479"/>
      <c r="BC2" s="479"/>
      <c r="BD2" s="479"/>
      <c r="BE2" s="479"/>
      <c r="BF2" s="479"/>
      <c r="BG2" s="479"/>
      <c r="BH2" s="479"/>
      <c r="BI2" s="479"/>
      <c r="BJ2" s="479"/>
      <c r="BK2" s="479"/>
      <c r="BL2" s="479"/>
      <c r="BM2" s="479"/>
    </row>
    <row r="3" spans="1:65" ht="43.2">
      <c r="A3" s="1876" t="s">
        <v>450</v>
      </c>
      <c r="B3" s="1877" t="s">
        <v>698</v>
      </c>
      <c r="C3" s="1878" t="s">
        <v>370</v>
      </c>
      <c r="D3" s="1878" t="s">
        <v>481</v>
      </c>
      <c r="E3" s="1879" t="s">
        <v>614</v>
      </c>
      <c r="F3" s="1880" t="s">
        <v>480</v>
      </c>
      <c r="G3" s="183"/>
      <c r="H3" s="183"/>
      <c r="I3" s="183"/>
      <c r="J3" s="183"/>
      <c r="K3" s="183"/>
      <c r="L3" s="183"/>
      <c r="M3" s="183"/>
      <c r="N3" s="183"/>
      <c r="O3" s="183"/>
      <c r="P3" s="183"/>
      <c r="Q3" s="183"/>
      <c r="R3" s="183"/>
      <c r="S3" s="183"/>
      <c r="T3" s="183"/>
      <c r="U3" s="183"/>
      <c r="V3" s="183"/>
      <c r="W3" s="183"/>
      <c r="X3" s="183"/>
      <c r="Y3" s="183"/>
      <c r="Z3" s="183"/>
      <c r="AA3" s="183"/>
      <c r="AB3" s="183"/>
      <c r="AC3" s="183"/>
      <c r="AD3" s="183"/>
      <c r="AE3" s="183"/>
      <c r="AF3" s="183"/>
      <c r="AG3" s="183"/>
      <c r="AH3" s="183"/>
      <c r="AI3" s="183"/>
      <c r="AJ3" s="183"/>
      <c r="AK3" s="183"/>
      <c r="AL3" s="181"/>
      <c r="AM3" s="382"/>
      <c r="AN3" s="181"/>
      <c r="AO3" s="181"/>
      <c r="AP3" s="181"/>
      <c r="AQ3" s="181"/>
      <c r="AR3" s="181"/>
      <c r="AS3" s="181"/>
      <c r="AT3" s="181"/>
      <c r="AU3" s="182"/>
      <c r="AV3" s="182"/>
      <c r="AW3" s="182"/>
      <c r="AX3" s="182"/>
      <c r="AY3" s="182"/>
      <c r="AZ3" s="182"/>
      <c r="BA3" s="182"/>
      <c r="BB3" s="182"/>
      <c r="BC3" s="182"/>
      <c r="BD3" s="182"/>
      <c r="BE3" s="182"/>
      <c r="BF3" s="182"/>
      <c r="BG3" s="182"/>
      <c r="BH3" s="182"/>
      <c r="BI3" s="182"/>
      <c r="BJ3" s="182"/>
      <c r="BK3" s="182"/>
      <c r="BL3" s="182"/>
      <c r="BM3" s="182"/>
    </row>
    <row r="4" spans="1:65" ht="45" customHeight="1">
      <c r="A4" s="1881">
        <v>1</v>
      </c>
      <c r="B4" s="1202"/>
      <c r="C4" s="1203"/>
      <c r="D4" s="1204"/>
      <c r="E4" s="1205"/>
      <c r="F4" s="1882" t="str">
        <f>IF(ISBLANK(D4),"",D4*E4)</f>
        <v/>
      </c>
      <c r="G4" s="181"/>
      <c r="H4" s="181"/>
      <c r="I4" s="181"/>
      <c r="J4" s="181"/>
      <c r="K4" s="181"/>
      <c r="L4" s="181"/>
      <c r="M4" s="181"/>
      <c r="N4" s="181"/>
      <c r="O4" s="181"/>
      <c r="P4" s="181"/>
      <c r="Q4" s="181"/>
      <c r="R4" s="181"/>
      <c r="S4" s="181"/>
      <c r="T4" s="181"/>
      <c r="U4" s="181"/>
      <c r="V4" s="181"/>
      <c r="W4" s="181"/>
      <c r="X4" s="181"/>
      <c r="Y4" s="181"/>
      <c r="Z4" s="181"/>
      <c r="AA4" s="181"/>
      <c r="AB4" s="181"/>
      <c r="AC4" s="181"/>
      <c r="AD4" s="181"/>
      <c r="AE4" s="181"/>
      <c r="AF4" s="181"/>
      <c r="AG4" s="181"/>
      <c r="AH4" s="181"/>
      <c r="AI4" s="181"/>
      <c r="AJ4" s="181"/>
      <c r="AK4" s="181"/>
      <c r="AL4" s="181"/>
      <c r="AM4" s="384" t="s">
        <v>431</v>
      </c>
      <c r="AN4" s="387" t="s">
        <v>451</v>
      </c>
      <c r="AO4" s="181"/>
      <c r="AP4" s="181"/>
      <c r="AQ4" s="181"/>
      <c r="AR4" s="181"/>
      <c r="AS4" s="181"/>
      <c r="AT4" s="181"/>
      <c r="AU4" s="182"/>
      <c r="AV4" s="182"/>
      <c r="AW4" s="182"/>
      <c r="AX4" s="182"/>
      <c r="AY4" s="182"/>
      <c r="AZ4" s="182"/>
      <c r="BA4" s="182"/>
      <c r="BB4" s="182"/>
      <c r="BC4" s="182"/>
      <c r="BD4" s="182"/>
      <c r="BE4" s="182"/>
      <c r="BF4" s="182"/>
      <c r="BG4" s="182"/>
      <c r="BH4" s="182"/>
      <c r="BI4" s="182"/>
      <c r="BJ4" s="182"/>
      <c r="BK4" s="182"/>
      <c r="BL4" s="182"/>
      <c r="BM4" s="182"/>
    </row>
    <row r="5" spans="1:65" ht="45" customHeight="1">
      <c r="A5" s="1881">
        <v>2</v>
      </c>
      <c r="B5" s="1202"/>
      <c r="C5" s="1203"/>
      <c r="D5" s="1204"/>
      <c r="E5" s="1205"/>
      <c r="F5" s="1882" t="str">
        <f t="shared" ref="F5:F16" si="0">IF(ISBLANK(D5),"",D5*E5)</f>
        <v/>
      </c>
      <c r="G5" s="181"/>
      <c r="H5" s="181"/>
      <c r="I5" s="181"/>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81"/>
      <c r="AM5" s="384" t="s">
        <v>444</v>
      </c>
      <c r="AN5" s="386" t="s">
        <v>411</v>
      </c>
      <c r="AO5" s="181"/>
      <c r="AP5" s="181"/>
      <c r="AQ5" s="181"/>
      <c r="AR5" s="181"/>
      <c r="AS5" s="181"/>
      <c r="AT5" s="181"/>
      <c r="AU5" s="182"/>
      <c r="AV5" s="182"/>
      <c r="AW5" s="182"/>
      <c r="AX5" s="182"/>
      <c r="AY5" s="182"/>
      <c r="AZ5" s="182"/>
      <c r="BA5" s="182"/>
      <c r="BB5" s="182"/>
      <c r="BC5" s="182"/>
      <c r="BD5" s="182"/>
      <c r="BE5" s="182"/>
      <c r="BF5" s="182"/>
      <c r="BG5" s="182"/>
      <c r="BH5" s="182"/>
      <c r="BI5" s="182"/>
      <c r="BJ5" s="182"/>
      <c r="BK5" s="182"/>
      <c r="BL5" s="182"/>
      <c r="BM5" s="182"/>
    </row>
    <row r="6" spans="1:65" ht="45" customHeight="1">
      <c r="A6" s="1881">
        <v>3</v>
      </c>
      <c r="B6" s="1202"/>
      <c r="C6" s="1203"/>
      <c r="D6" s="1204"/>
      <c r="E6" s="1205"/>
      <c r="F6" s="1882" t="str">
        <f t="shared" si="0"/>
        <v/>
      </c>
      <c r="G6" s="181"/>
      <c r="H6" s="181"/>
      <c r="I6" s="181"/>
      <c r="J6" s="181"/>
      <c r="K6" s="181"/>
      <c r="L6" s="181"/>
      <c r="M6" s="181"/>
      <c r="N6" s="181"/>
      <c r="O6" s="181"/>
      <c r="P6" s="181"/>
      <c r="Q6" s="181"/>
      <c r="R6" s="181"/>
      <c r="S6" s="181"/>
      <c r="T6" s="181"/>
      <c r="U6" s="181"/>
      <c r="V6" s="181"/>
      <c r="W6" s="181"/>
      <c r="X6" s="181"/>
      <c r="Y6" s="181"/>
      <c r="Z6" s="181"/>
      <c r="AA6" s="181"/>
      <c r="AB6" s="181"/>
      <c r="AC6" s="181"/>
      <c r="AD6" s="181"/>
      <c r="AE6" s="181"/>
      <c r="AF6" s="181"/>
      <c r="AG6" s="181"/>
      <c r="AH6" s="181"/>
      <c r="AI6" s="181"/>
      <c r="AJ6" s="181"/>
      <c r="AK6" s="181"/>
      <c r="AL6" s="181"/>
      <c r="AM6" s="385" t="s">
        <v>185</v>
      </c>
      <c r="AN6" s="386" t="s">
        <v>409</v>
      </c>
      <c r="AO6" s="181"/>
      <c r="AP6" s="181"/>
      <c r="AQ6" s="181"/>
      <c r="AR6" s="181"/>
      <c r="AS6" s="181"/>
      <c r="AT6" s="181"/>
      <c r="AU6" s="182"/>
      <c r="AV6" s="182"/>
      <c r="AW6" s="182"/>
      <c r="AX6" s="182"/>
      <c r="AY6" s="182"/>
      <c r="AZ6" s="182"/>
      <c r="BA6" s="182"/>
      <c r="BB6" s="182"/>
      <c r="BC6" s="182"/>
      <c r="BD6" s="182"/>
      <c r="BE6" s="182"/>
      <c r="BF6" s="182"/>
      <c r="BG6" s="182"/>
      <c r="BH6" s="182"/>
      <c r="BI6" s="182"/>
      <c r="BJ6" s="182"/>
      <c r="BK6" s="182"/>
      <c r="BL6" s="182"/>
      <c r="BM6" s="182"/>
    </row>
    <row r="7" spans="1:65" ht="45" customHeight="1">
      <c r="A7" s="1881">
        <v>4</v>
      </c>
      <c r="B7" s="1202"/>
      <c r="C7" s="1203"/>
      <c r="D7" s="1204"/>
      <c r="E7" s="1205"/>
      <c r="F7" s="1882" t="str">
        <f t="shared" si="0"/>
        <v/>
      </c>
      <c r="G7" s="181"/>
      <c r="H7" s="181"/>
      <c r="I7" s="181"/>
      <c r="J7" s="181"/>
      <c r="K7" s="181"/>
      <c r="L7" s="181"/>
      <c r="M7" s="181"/>
      <c r="N7" s="181"/>
      <c r="O7" s="181"/>
      <c r="P7" s="181"/>
      <c r="Q7" s="181"/>
      <c r="R7" s="181"/>
      <c r="S7" s="181"/>
      <c r="T7" s="181"/>
      <c r="U7" s="181"/>
      <c r="V7" s="181"/>
      <c r="W7" s="181"/>
      <c r="X7" s="181"/>
      <c r="Y7" s="181"/>
      <c r="Z7" s="181"/>
      <c r="AA7" s="181"/>
      <c r="AB7" s="181"/>
      <c r="AC7" s="181"/>
      <c r="AD7" s="181"/>
      <c r="AE7" s="181"/>
      <c r="AF7" s="181"/>
      <c r="AG7" s="181"/>
      <c r="AH7" s="181"/>
      <c r="AI7" s="181"/>
      <c r="AJ7" s="181"/>
      <c r="AK7" s="181"/>
      <c r="AL7" s="181"/>
      <c r="AM7" s="384" t="s">
        <v>391</v>
      </c>
      <c r="AN7" s="386" t="s">
        <v>434</v>
      </c>
      <c r="AO7" s="181"/>
      <c r="AP7" s="181"/>
      <c r="AQ7" s="181"/>
      <c r="AR7" s="181"/>
      <c r="AS7" s="181"/>
      <c r="AT7" s="181"/>
      <c r="AU7" s="182"/>
      <c r="AV7" s="182"/>
      <c r="AW7" s="182"/>
      <c r="AX7" s="182"/>
      <c r="AY7" s="182"/>
      <c r="AZ7" s="182"/>
      <c r="BA7" s="182"/>
      <c r="BB7" s="182"/>
      <c r="BC7" s="182"/>
      <c r="BD7" s="182"/>
      <c r="BE7" s="182"/>
      <c r="BF7" s="182"/>
      <c r="BG7" s="182"/>
      <c r="BH7" s="182"/>
      <c r="BI7" s="182"/>
      <c r="BJ7" s="182"/>
      <c r="BK7" s="182"/>
      <c r="BL7" s="182"/>
      <c r="BM7" s="182"/>
    </row>
    <row r="8" spans="1:65" ht="45" customHeight="1" thickBot="1">
      <c r="A8" s="1881">
        <v>5</v>
      </c>
      <c r="B8" s="1202"/>
      <c r="C8" s="1203"/>
      <c r="D8" s="1204"/>
      <c r="E8" s="1205"/>
      <c r="F8" s="1882" t="str">
        <f t="shared" si="0"/>
        <v/>
      </c>
      <c r="G8" s="181"/>
      <c r="H8" s="181"/>
      <c r="I8" s="181"/>
      <c r="J8" s="181"/>
      <c r="K8" s="181"/>
      <c r="L8" s="181"/>
      <c r="M8" s="181"/>
      <c r="N8" s="181"/>
      <c r="O8" s="181"/>
      <c r="P8" s="181"/>
      <c r="Q8" s="181"/>
      <c r="R8" s="181"/>
      <c r="S8" s="181"/>
      <c r="T8" s="181"/>
      <c r="U8" s="181"/>
      <c r="V8" s="181"/>
      <c r="W8" s="181"/>
      <c r="X8" s="181"/>
      <c r="Y8" s="181"/>
      <c r="Z8" s="181"/>
      <c r="AA8" s="181"/>
      <c r="AB8" s="181"/>
      <c r="AC8" s="181"/>
      <c r="AD8" s="181"/>
      <c r="AE8" s="181"/>
      <c r="AF8" s="181"/>
      <c r="AG8" s="181"/>
      <c r="AH8" s="181"/>
      <c r="AI8" s="181"/>
      <c r="AJ8" s="181"/>
      <c r="AK8" s="181"/>
      <c r="AL8" s="181"/>
      <c r="AM8" s="384" t="s">
        <v>393</v>
      </c>
      <c r="AN8" s="386" t="s">
        <v>434</v>
      </c>
      <c r="AO8" s="181"/>
      <c r="AP8" s="181"/>
      <c r="AQ8" s="181"/>
      <c r="AR8" s="181"/>
      <c r="AS8" s="181"/>
      <c r="AT8" s="181"/>
      <c r="AU8" s="182"/>
      <c r="AV8" s="182"/>
      <c r="AW8" s="182"/>
      <c r="AX8" s="182"/>
      <c r="AY8" s="182"/>
      <c r="AZ8" s="182"/>
      <c r="BA8" s="182"/>
      <c r="BB8" s="182"/>
      <c r="BC8" s="182"/>
      <c r="BD8" s="182"/>
      <c r="BE8" s="182"/>
      <c r="BF8" s="182"/>
      <c r="BG8" s="182"/>
      <c r="BH8" s="182"/>
      <c r="BI8" s="182"/>
      <c r="BJ8" s="182"/>
      <c r="BK8" s="182"/>
      <c r="BL8" s="182"/>
      <c r="BM8" s="182"/>
    </row>
    <row r="9" spans="1:65" ht="24" customHeight="1" thickBot="1">
      <c r="A9" s="3960" t="s">
        <v>697</v>
      </c>
      <c r="B9" s="3961"/>
      <c r="C9" s="3961"/>
      <c r="D9" s="3961"/>
      <c r="E9" s="3962"/>
      <c r="F9" s="184" t="str">
        <f>IF(ISBLANK(B4),"",SUM(F4:F8))</f>
        <v/>
      </c>
      <c r="G9" s="181"/>
      <c r="H9" s="181"/>
      <c r="I9" s="181"/>
      <c r="J9" s="181"/>
      <c r="K9" s="181"/>
      <c r="L9" s="181"/>
      <c r="M9" s="181"/>
      <c r="N9" s="181"/>
      <c r="O9" s="181"/>
      <c r="P9" s="181"/>
      <c r="Q9" s="181"/>
      <c r="R9" s="181"/>
      <c r="S9" s="181"/>
      <c r="T9" s="181"/>
      <c r="U9" s="181"/>
      <c r="V9" s="181"/>
      <c r="W9" s="181"/>
      <c r="X9" s="181"/>
      <c r="Y9" s="181"/>
      <c r="Z9" s="181"/>
      <c r="AA9" s="181"/>
      <c r="AB9" s="181"/>
      <c r="AC9" s="181"/>
      <c r="AD9" s="181"/>
      <c r="AE9" s="181"/>
      <c r="AF9" s="181"/>
      <c r="AG9" s="181"/>
      <c r="AH9" s="181"/>
      <c r="AI9" s="181"/>
      <c r="AJ9" s="181"/>
      <c r="AK9" s="181"/>
      <c r="AL9" s="181"/>
      <c r="AM9" s="384" t="s">
        <v>389</v>
      </c>
      <c r="AN9" s="386" t="s">
        <v>384</v>
      </c>
      <c r="AO9" s="181"/>
      <c r="AP9" s="181"/>
      <c r="AQ9" s="181"/>
      <c r="AR9" s="181"/>
      <c r="AS9" s="181"/>
      <c r="AT9" s="181"/>
      <c r="AU9" s="182"/>
      <c r="AV9" s="182"/>
      <c r="AW9" s="182"/>
      <c r="AX9" s="182"/>
      <c r="AY9" s="182"/>
      <c r="AZ9" s="182"/>
      <c r="BA9" s="182"/>
      <c r="BB9" s="182"/>
      <c r="BC9" s="182"/>
      <c r="BD9" s="182"/>
      <c r="BE9" s="182"/>
      <c r="BF9" s="182"/>
      <c r="BG9" s="182"/>
      <c r="BH9" s="182"/>
      <c r="BI9" s="182"/>
      <c r="BJ9" s="182"/>
      <c r="BK9" s="182"/>
      <c r="BL9" s="182"/>
      <c r="BM9" s="182"/>
    </row>
    <row r="10" spans="1:65" s="429" customFormat="1" ht="24" customHeight="1">
      <c r="A10" s="1883"/>
      <c r="B10" s="387"/>
      <c r="C10" s="478"/>
      <c r="D10" s="478"/>
      <c r="E10" s="507"/>
      <c r="F10" s="1884"/>
      <c r="G10" s="478"/>
      <c r="H10" s="478"/>
      <c r="I10" s="478"/>
      <c r="J10" s="478"/>
      <c r="K10" s="478"/>
      <c r="L10" s="478"/>
      <c r="M10" s="478"/>
      <c r="N10" s="478"/>
      <c r="O10" s="478"/>
      <c r="P10" s="478"/>
      <c r="Q10" s="478"/>
      <c r="R10" s="478"/>
      <c r="S10" s="478"/>
      <c r="T10" s="478"/>
      <c r="U10" s="478"/>
      <c r="V10" s="478"/>
      <c r="W10" s="478"/>
      <c r="X10" s="478"/>
      <c r="Y10" s="478"/>
      <c r="Z10" s="478"/>
      <c r="AA10" s="478"/>
      <c r="AB10" s="478"/>
      <c r="AC10" s="478"/>
      <c r="AD10" s="478"/>
      <c r="AE10" s="478"/>
      <c r="AF10" s="478"/>
      <c r="AG10" s="478"/>
      <c r="AH10" s="478"/>
      <c r="AI10" s="478"/>
      <c r="AJ10" s="478"/>
      <c r="AK10" s="478"/>
      <c r="AL10" s="478"/>
      <c r="AM10" s="384" t="s">
        <v>410</v>
      </c>
      <c r="AN10" s="386" t="s">
        <v>402</v>
      </c>
      <c r="AO10" s="478"/>
      <c r="AP10" s="478"/>
      <c r="AQ10" s="478"/>
      <c r="AR10" s="478"/>
      <c r="AS10" s="478"/>
      <c r="AT10" s="478"/>
      <c r="AU10" s="479"/>
      <c r="AV10" s="479"/>
      <c r="AW10" s="479"/>
      <c r="AX10" s="479"/>
      <c r="AY10" s="479"/>
      <c r="AZ10" s="479"/>
      <c r="BA10" s="479"/>
      <c r="BB10" s="479"/>
      <c r="BC10" s="479"/>
      <c r="BD10" s="479"/>
      <c r="BE10" s="479"/>
      <c r="BF10" s="479"/>
      <c r="BG10" s="479"/>
      <c r="BH10" s="479"/>
      <c r="BI10" s="479"/>
      <c r="BJ10" s="479"/>
      <c r="BK10" s="479"/>
      <c r="BL10" s="479"/>
      <c r="BM10" s="479"/>
    </row>
    <row r="11" spans="1:65" ht="42" customHeight="1">
      <c r="A11" s="1885" t="s">
        <v>450</v>
      </c>
      <c r="B11" s="698" t="s">
        <v>694</v>
      </c>
      <c r="C11" s="697" t="s">
        <v>370</v>
      </c>
      <c r="D11" s="697" t="s">
        <v>481</v>
      </c>
      <c r="E11" s="699" t="s">
        <v>693</v>
      </c>
      <c r="F11" s="1886" t="s">
        <v>480</v>
      </c>
      <c r="G11" s="181"/>
      <c r="H11" s="181"/>
      <c r="I11" s="181"/>
      <c r="J11" s="181"/>
      <c r="K11" s="181"/>
      <c r="L11" s="181"/>
      <c r="M11" s="181"/>
      <c r="N11" s="181"/>
      <c r="O11" s="181"/>
      <c r="P11" s="181"/>
      <c r="Q11" s="181"/>
      <c r="R11" s="181"/>
      <c r="S11" s="181"/>
      <c r="T11" s="181"/>
      <c r="U11" s="181"/>
      <c r="V11" s="181"/>
      <c r="W11" s="181"/>
      <c r="X11" s="181"/>
      <c r="Y11" s="181"/>
      <c r="Z11" s="181"/>
      <c r="AA11" s="181"/>
      <c r="AB11" s="181"/>
      <c r="AC11" s="181"/>
      <c r="AD11" s="181"/>
      <c r="AE11" s="181"/>
      <c r="AF11" s="181"/>
      <c r="AG11" s="181"/>
      <c r="AH11" s="181"/>
      <c r="AI11" s="181"/>
      <c r="AJ11" s="181"/>
      <c r="AK11" s="181"/>
      <c r="AL11" s="181"/>
      <c r="AM11" s="384" t="s">
        <v>424</v>
      </c>
      <c r="AN11" s="386" t="s">
        <v>407</v>
      </c>
      <c r="AO11" s="181"/>
      <c r="AP11" s="181"/>
      <c r="AQ11" s="181"/>
      <c r="AR11" s="181"/>
      <c r="AS11" s="181"/>
      <c r="AT11" s="181"/>
      <c r="AU11" s="182"/>
      <c r="AV11" s="182"/>
      <c r="AW11" s="182"/>
      <c r="AX11" s="182"/>
      <c r="AY11" s="182"/>
      <c r="AZ11" s="182"/>
      <c r="BA11" s="182"/>
      <c r="BB11" s="182"/>
      <c r="BC11" s="182"/>
      <c r="BD11" s="182"/>
      <c r="BE11" s="182"/>
      <c r="BF11" s="182"/>
      <c r="BG11" s="182"/>
      <c r="BH11" s="182"/>
      <c r="BI11" s="182"/>
      <c r="BJ11" s="182"/>
      <c r="BK11" s="182"/>
      <c r="BL11" s="182"/>
      <c r="BM11" s="182"/>
    </row>
    <row r="12" spans="1:65" ht="45" customHeight="1">
      <c r="A12" s="1881">
        <v>6</v>
      </c>
      <c r="B12" s="1202"/>
      <c r="C12" s="1203"/>
      <c r="D12" s="1204"/>
      <c r="E12" s="1205"/>
      <c r="F12" s="1882" t="str">
        <f t="shared" si="0"/>
        <v/>
      </c>
      <c r="G12" s="181"/>
      <c r="H12" s="181"/>
      <c r="I12" s="181"/>
      <c r="J12" s="181"/>
      <c r="K12" s="181"/>
      <c r="L12" s="181"/>
      <c r="M12" s="181"/>
      <c r="N12" s="181"/>
      <c r="O12" s="181"/>
      <c r="P12" s="181"/>
      <c r="Q12" s="181"/>
      <c r="R12" s="181"/>
      <c r="S12" s="181"/>
      <c r="T12" s="181"/>
      <c r="U12" s="181"/>
      <c r="V12" s="181"/>
      <c r="W12" s="181"/>
      <c r="X12" s="181"/>
      <c r="Y12" s="181"/>
      <c r="Z12" s="181"/>
      <c r="AA12" s="181"/>
      <c r="AB12" s="181"/>
      <c r="AC12" s="181"/>
      <c r="AD12" s="181"/>
      <c r="AE12" s="181"/>
      <c r="AF12" s="181"/>
      <c r="AG12" s="181"/>
      <c r="AH12" s="181"/>
      <c r="AI12" s="181"/>
      <c r="AJ12" s="181"/>
      <c r="AK12" s="181"/>
      <c r="AL12" s="181"/>
      <c r="AM12" s="384" t="s">
        <v>405</v>
      </c>
      <c r="AN12" s="386" t="s">
        <v>392</v>
      </c>
      <c r="AO12" s="181"/>
      <c r="AP12" s="181"/>
      <c r="AQ12" s="181"/>
      <c r="AR12" s="181"/>
      <c r="AS12" s="181"/>
      <c r="AT12" s="181"/>
      <c r="AU12" s="182"/>
      <c r="AV12" s="182"/>
      <c r="AW12" s="182"/>
      <c r="AX12" s="182"/>
      <c r="AY12" s="182"/>
      <c r="AZ12" s="182"/>
      <c r="BA12" s="182"/>
      <c r="BB12" s="182"/>
      <c r="BC12" s="182"/>
      <c r="BD12" s="182"/>
      <c r="BE12" s="182"/>
      <c r="BF12" s="182"/>
      <c r="BG12" s="182"/>
      <c r="BH12" s="182"/>
      <c r="BI12" s="182"/>
      <c r="BJ12" s="182"/>
      <c r="BK12" s="182"/>
      <c r="BL12" s="182"/>
      <c r="BM12" s="182"/>
    </row>
    <row r="13" spans="1:65" ht="45" customHeight="1">
      <c r="A13" s="1881">
        <f>A12+1</f>
        <v>7</v>
      </c>
      <c r="B13" s="1202"/>
      <c r="C13" s="1203"/>
      <c r="D13" s="1204"/>
      <c r="E13" s="1205"/>
      <c r="F13" s="1882" t="str">
        <f t="shared" si="0"/>
        <v/>
      </c>
      <c r="G13" s="181"/>
      <c r="H13" s="181"/>
      <c r="I13" s="181"/>
      <c r="J13" s="181"/>
      <c r="K13" s="181"/>
      <c r="L13" s="181"/>
      <c r="M13" s="181"/>
      <c r="N13" s="181"/>
      <c r="O13" s="181"/>
      <c r="P13" s="181"/>
      <c r="Q13" s="181"/>
      <c r="R13" s="181"/>
      <c r="S13" s="181"/>
      <c r="T13" s="181"/>
      <c r="U13" s="181"/>
      <c r="V13" s="181"/>
      <c r="W13" s="181"/>
      <c r="X13" s="181"/>
      <c r="Y13" s="181"/>
      <c r="Z13" s="181"/>
      <c r="AA13" s="181"/>
      <c r="AB13" s="181"/>
      <c r="AC13" s="181"/>
      <c r="AD13" s="181"/>
      <c r="AE13" s="181"/>
      <c r="AF13" s="181"/>
      <c r="AG13" s="181"/>
      <c r="AH13" s="181"/>
      <c r="AI13" s="181"/>
      <c r="AJ13" s="181"/>
      <c r="AK13" s="181"/>
      <c r="AL13" s="181"/>
      <c r="AM13" s="384" t="s">
        <v>420</v>
      </c>
      <c r="AN13" s="386" t="s">
        <v>375</v>
      </c>
      <c r="AO13" s="181"/>
      <c r="AP13" s="181"/>
      <c r="AQ13" s="181"/>
      <c r="AR13" s="181"/>
      <c r="AS13" s="181"/>
      <c r="AT13" s="181"/>
      <c r="AU13" s="182"/>
      <c r="AV13" s="182"/>
      <c r="AW13" s="182"/>
      <c r="AX13" s="182"/>
      <c r="AY13" s="182"/>
      <c r="AZ13" s="182"/>
      <c r="BA13" s="182"/>
      <c r="BB13" s="182"/>
      <c r="BC13" s="182"/>
      <c r="BD13" s="182"/>
      <c r="BE13" s="182"/>
      <c r="BF13" s="182"/>
      <c r="BG13" s="182"/>
      <c r="BH13" s="182"/>
      <c r="BI13" s="182"/>
      <c r="BJ13" s="182"/>
      <c r="BK13" s="182"/>
      <c r="BL13" s="182"/>
      <c r="BM13" s="182"/>
    </row>
    <row r="14" spans="1:65" ht="45" customHeight="1">
      <c r="A14" s="1881">
        <f>A13+1</f>
        <v>8</v>
      </c>
      <c r="B14" s="1202"/>
      <c r="C14" s="1203"/>
      <c r="D14" s="1204"/>
      <c r="E14" s="1205"/>
      <c r="F14" s="1882" t="str">
        <f t="shared" si="0"/>
        <v/>
      </c>
      <c r="G14" s="181"/>
      <c r="H14" s="181"/>
      <c r="I14" s="181"/>
      <c r="J14" s="181"/>
      <c r="K14" s="181"/>
      <c r="L14" s="181"/>
      <c r="M14" s="181"/>
      <c r="N14" s="181"/>
      <c r="O14" s="181"/>
      <c r="P14" s="181"/>
      <c r="Q14" s="181"/>
      <c r="R14" s="181"/>
      <c r="S14" s="181"/>
      <c r="T14" s="181"/>
      <c r="U14" s="181"/>
      <c r="V14" s="181"/>
      <c r="W14" s="181"/>
      <c r="X14" s="181"/>
      <c r="Y14" s="181"/>
      <c r="Z14" s="181"/>
      <c r="AA14" s="181"/>
      <c r="AB14" s="181"/>
      <c r="AC14" s="181"/>
      <c r="AD14" s="181"/>
      <c r="AE14" s="181"/>
      <c r="AF14" s="181"/>
      <c r="AG14" s="181"/>
      <c r="AH14" s="181"/>
      <c r="AI14" s="181"/>
      <c r="AJ14" s="181"/>
      <c r="AK14" s="181"/>
      <c r="AL14" s="181"/>
      <c r="AM14" s="384" t="s">
        <v>422</v>
      </c>
      <c r="AN14" s="386" t="s">
        <v>428</v>
      </c>
      <c r="AO14" s="181"/>
      <c r="AP14" s="181"/>
      <c r="AQ14" s="181"/>
      <c r="AR14" s="181"/>
      <c r="AS14" s="181"/>
      <c r="AT14" s="181"/>
      <c r="AU14" s="182"/>
      <c r="AV14" s="182"/>
      <c r="AW14" s="182"/>
      <c r="AX14" s="182"/>
      <c r="AY14" s="182"/>
      <c r="AZ14" s="182"/>
      <c r="BA14" s="182"/>
      <c r="BB14" s="182"/>
      <c r="BC14" s="182"/>
      <c r="BD14" s="182"/>
      <c r="BE14" s="182"/>
      <c r="BF14" s="182"/>
      <c r="BG14" s="182"/>
      <c r="BH14" s="182"/>
      <c r="BI14" s="182"/>
      <c r="BJ14" s="182"/>
      <c r="BK14" s="182"/>
      <c r="BL14" s="182"/>
      <c r="BM14" s="182"/>
    </row>
    <row r="15" spans="1:65" ht="45" customHeight="1">
      <c r="A15" s="1881">
        <f>A14+1</f>
        <v>9</v>
      </c>
      <c r="B15" s="1202"/>
      <c r="C15" s="1203"/>
      <c r="D15" s="1204"/>
      <c r="E15" s="1205"/>
      <c r="F15" s="1882" t="str">
        <f t="shared" si="0"/>
        <v/>
      </c>
      <c r="G15" s="181"/>
      <c r="H15" s="181"/>
      <c r="I15" s="181"/>
      <c r="J15" s="181"/>
      <c r="K15" s="181"/>
      <c r="L15" s="181"/>
      <c r="M15" s="181"/>
      <c r="N15" s="181"/>
      <c r="O15" s="181"/>
      <c r="P15" s="181"/>
      <c r="Q15" s="181"/>
      <c r="R15" s="181"/>
      <c r="S15" s="181"/>
      <c r="T15" s="181"/>
      <c r="U15" s="181"/>
      <c r="V15" s="181"/>
      <c r="W15" s="181"/>
      <c r="X15" s="181"/>
      <c r="Y15" s="181"/>
      <c r="Z15" s="181"/>
      <c r="AA15" s="181"/>
      <c r="AB15" s="181"/>
      <c r="AC15" s="181"/>
      <c r="AD15" s="181"/>
      <c r="AE15" s="181"/>
      <c r="AF15" s="181"/>
      <c r="AG15" s="181"/>
      <c r="AH15" s="181"/>
      <c r="AI15" s="181"/>
      <c r="AJ15" s="181"/>
      <c r="AK15" s="181"/>
      <c r="AL15" s="181"/>
      <c r="AM15" s="384" t="s">
        <v>421</v>
      </c>
      <c r="AN15" s="386" t="s">
        <v>381</v>
      </c>
      <c r="AO15" s="181"/>
      <c r="AP15" s="181"/>
      <c r="AQ15" s="181"/>
      <c r="AR15" s="181"/>
      <c r="AS15" s="181"/>
      <c r="AT15" s="181"/>
      <c r="AU15" s="182"/>
      <c r="AV15" s="182"/>
      <c r="AW15" s="182"/>
      <c r="AX15" s="182"/>
      <c r="AY15" s="182"/>
      <c r="AZ15" s="182"/>
      <c r="BA15" s="182"/>
      <c r="BB15" s="182"/>
      <c r="BC15" s="182"/>
      <c r="BD15" s="182"/>
      <c r="BE15" s="182"/>
      <c r="BF15" s="182"/>
      <c r="BG15" s="182"/>
      <c r="BH15" s="182"/>
      <c r="BI15" s="182"/>
      <c r="BJ15" s="182"/>
      <c r="BK15" s="182"/>
      <c r="BL15" s="182"/>
      <c r="BM15" s="182"/>
    </row>
    <row r="16" spans="1:65" ht="45" customHeight="1" thickBot="1">
      <c r="A16" s="1881">
        <f>A15+1</f>
        <v>10</v>
      </c>
      <c r="B16" s="1202"/>
      <c r="C16" s="1203"/>
      <c r="D16" s="1204"/>
      <c r="E16" s="1205"/>
      <c r="F16" s="1882" t="str">
        <f t="shared" si="0"/>
        <v/>
      </c>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181"/>
      <c r="AE16" s="181"/>
      <c r="AF16" s="181"/>
      <c r="AG16" s="181"/>
      <c r="AH16" s="181"/>
      <c r="AI16" s="181"/>
      <c r="AJ16" s="181"/>
      <c r="AK16" s="181"/>
      <c r="AL16" s="181"/>
      <c r="AM16" s="384" t="s">
        <v>389</v>
      </c>
      <c r="AN16" s="386" t="s">
        <v>378</v>
      </c>
      <c r="AO16" s="181"/>
      <c r="AP16" s="181"/>
      <c r="AQ16" s="181"/>
      <c r="AR16" s="181"/>
      <c r="AS16" s="181"/>
      <c r="AT16" s="181"/>
      <c r="AU16" s="182"/>
      <c r="AV16" s="182"/>
      <c r="AW16" s="182"/>
      <c r="AX16" s="182"/>
      <c r="AY16" s="182"/>
      <c r="AZ16" s="182"/>
      <c r="BA16" s="182"/>
      <c r="BB16" s="182"/>
      <c r="BC16" s="182"/>
      <c r="BD16" s="182"/>
      <c r="BE16" s="182"/>
      <c r="BF16" s="182"/>
      <c r="BG16" s="182"/>
      <c r="BH16" s="182"/>
      <c r="BI16" s="182"/>
      <c r="BJ16" s="182"/>
      <c r="BK16" s="182"/>
      <c r="BL16" s="182"/>
      <c r="BM16" s="182"/>
    </row>
    <row r="17" spans="1:65" ht="24" customHeight="1" thickBot="1">
      <c r="A17" s="3960" t="s">
        <v>695</v>
      </c>
      <c r="B17" s="3961"/>
      <c r="C17" s="3961"/>
      <c r="D17" s="3961"/>
      <c r="E17" s="3962"/>
      <c r="F17" s="1742" t="str">
        <f>IF(ISBLANK(B12),"",SUM(F12:F16))</f>
        <v/>
      </c>
      <c r="G17" s="181"/>
      <c r="H17" s="181"/>
      <c r="I17" s="181"/>
      <c r="J17" s="181"/>
      <c r="K17" s="181"/>
      <c r="L17" s="181"/>
      <c r="M17" s="181"/>
      <c r="N17" s="181"/>
      <c r="O17" s="181"/>
      <c r="P17" s="181"/>
      <c r="Q17" s="181"/>
      <c r="R17" s="181"/>
      <c r="S17" s="181"/>
      <c r="T17" s="181"/>
      <c r="U17" s="181"/>
      <c r="V17" s="181"/>
      <c r="W17" s="181"/>
      <c r="X17" s="181"/>
      <c r="Y17" s="181"/>
      <c r="Z17" s="181"/>
      <c r="AA17" s="181"/>
      <c r="AB17" s="181"/>
      <c r="AC17" s="181"/>
      <c r="AD17" s="181"/>
      <c r="AE17" s="181"/>
      <c r="AF17" s="181"/>
      <c r="AG17" s="181"/>
      <c r="AH17" s="181"/>
      <c r="AI17" s="181"/>
      <c r="AJ17" s="181"/>
      <c r="AK17" s="181"/>
      <c r="AL17" s="181"/>
      <c r="AM17" s="384" t="s">
        <v>389</v>
      </c>
      <c r="AN17" s="386" t="s">
        <v>384</v>
      </c>
      <c r="AO17" s="181"/>
      <c r="AP17" s="181"/>
      <c r="AQ17" s="181"/>
      <c r="AR17" s="181"/>
      <c r="AS17" s="181"/>
      <c r="AT17" s="181"/>
      <c r="AU17" s="182"/>
      <c r="AV17" s="182"/>
      <c r="AW17" s="182"/>
      <c r="AX17" s="182"/>
      <c r="AY17" s="182"/>
      <c r="AZ17" s="182"/>
      <c r="BA17" s="182"/>
      <c r="BB17" s="182"/>
      <c r="BC17" s="182"/>
      <c r="BD17" s="182"/>
      <c r="BE17" s="182"/>
      <c r="BF17" s="182"/>
      <c r="BG17" s="182"/>
      <c r="BH17" s="182"/>
      <c r="BI17" s="182"/>
      <c r="BJ17" s="182"/>
      <c r="BK17" s="182"/>
      <c r="BL17" s="182"/>
      <c r="BM17" s="182"/>
    </row>
    <row r="18" spans="1:65" ht="24" customHeight="1" thickBot="1">
      <c r="A18" s="3960" t="s">
        <v>1743</v>
      </c>
      <c r="B18" s="3961"/>
      <c r="C18" s="3961"/>
      <c r="D18" s="3961"/>
      <c r="E18" s="3962"/>
      <c r="F18" s="1741"/>
      <c r="G18" s="181"/>
      <c r="H18" s="181"/>
      <c r="I18" s="181"/>
      <c r="J18" s="181"/>
      <c r="K18" s="181"/>
      <c r="L18" s="181"/>
      <c r="M18" s="181"/>
      <c r="N18" s="181"/>
      <c r="O18" s="181"/>
      <c r="P18" s="181"/>
      <c r="Q18" s="181"/>
      <c r="R18" s="181"/>
      <c r="S18" s="181"/>
      <c r="T18" s="181"/>
      <c r="U18" s="181"/>
      <c r="V18" s="181"/>
      <c r="W18" s="181"/>
      <c r="X18" s="181"/>
      <c r="Y18" s="181"/>
      <c r="Z18" s="181"/>
      <c r="AA18" s="181"/>
      <c r="AB18" s="181"/>
      <c r="AC18" s="181"/>
      <c r="AD18" s="181"/>
      <c r="AE18" s="181"/>
      <c r="AF18" s="181"/>
      <c r="AG18" s="181"/>
      <c r="AH18" s="181"/>
      <c r="AI18" s="181"/>
      <c r="AJ18" s="181"/>
      <c r="AK18" s="181"/>
      <c r="AL18" s="181"/>
      <c r="AM18" s="384" t="s">
        <v>404</v>
      </c>
      <c r="AN18" s="386" t="s">
        <v>384</v>
      </c>
      <c r="AO18" s="181"/>
      <c r="AP18" s="181"/>
      <c r="AQ18" s="181"/>
      <c r="AR18" s="181"/>
      <c r="AS18" s="181"/>
      <c r="AT18" s="181"/>
      <c r="AU18" s="182"/>
      <c r="AV18" s="182"/>
      <c r="AW18" s="182"/>
      <c r="AX18" s="182"/>
      <c r="AY18" s="182"/>
      <c r="AZ18" s="182"/>
      <c r="BA18" s="182"/>
      <c r="BB18" s="182"/>
      <c r="BC18" s="182"/>
      <c r="BD18" s="182"/>
      <c r="BE18" s="182"/>
      <c r="BF18" s="182"/>
      <c r="BG18" s="182"/>
      <c r="BH18" s="182"/>
      <c r="BI18" s="182"/>
      <c r="BJ18" s="182"/>
      <c r="BK18" s="182"/>
      <c r="BL18" s="182"/>
      <c r="BM18" s="182"/>
    </row>
    <row r="19" spans="1:65" ht="24" customHeight="1" thickBot="1">
      <c r="A19" s="3960" t="s">
        <v>696</v>
      </c>
      <c r="B19" s="3961"/>
      <c r="C19" s="3961"/>
      <c r="D19" s="3961"/>
      <c r="E19" s="3962"/>
      <c r="F19" s="1742" t="str">
        <f>IF(ISBLANK(B4),"",SUM(F9,F17,F18))</f>
        <v/>
      </c>
      <c r="G19" s="181"/>
      <c r="H19" s="181"/>
      <c r="I19" s="181"/>
      <c r="J19" s="181"/>
      <c r="K19" s="181"/>
      <c r="L19" s="181"/>
      <c r="M19" s="181"/>
      <c r="N19" s="181"/>
      <c r="O19" s="181"/>
      <c r="P19" s="181"/>
      <c r="Q19" s="181"/>
      <c r="R19" s="181"/>
      <c r="S19" s="181"/>
      <c r="T19" s="181"/>
      <c r="U19" s="181"/>
      <c r="V19" s="181"/>
      <c r="W19" s="181"/>
      <c r="X19" s="181"/>
      <c r="Y19" s="181"/>
      <c r="Z19" s="181"/>
      <c r="AA19" s="181"/>
      <c r="AB19" s="181"/>
      <c r="AC19" s="181"/>
      <c r="AD19" s="181"/>
      <c r="AE19" s="181"/>
      <c r="AF19" s="181"/>
      <c r="AG19" s="181"/>
      <c r="AH19" s="181"/>
      <c r="AI19" s="181"/>
      <c r="AJ19" s="181"/>
      <c r="AK19" s="181"/>
      <c r="AL19" s="181"/>
      <c r="AM19" s="384" t="s">
        <v>377</v>
      </c>
      <c r="AN19" s="386" t="s">
        <v>432</v>
      </c>
      <c r="AO19" s="181"/>
      <c r="AP19" s="181"/>
      <c r="AQ19" s="181"/>
      <c r="AR19" s="181"/>
      <c r="AS19" s="181"/>
      <c r="AT19" s="181"/>
      <c r="AU19" s="182"/>
      <c r="AV19" s="182"/>
      <c r="AW19" s="182"/>
      <c r="AX19" s="182"/>
      <c r="AY19" s="182"/>
      <c r="AZ19" s="182"/>
      <c r="BA19" s="182"/>
      <c r="BB19" s="182"/>
      <c r="BC19" s="182"/>
      <c r="BD19" s="182"/>
      <c r="BE19" s="182"/>
      <c r="BF19" s="182"/>
      <c r="BG19" s="182"/>
      <c r="BH19" s="182"/>
      <c r="BI19" s="182"/>
      <c r="BJ19" s="182"/>
      <c r="BK19" s="182"/>
      <c r="BL19" s="182"/>
      <c r="BM19" s="182"/>
    </row>
    <row r="20" spans="1:65" ht="14.4">
      <c r="A20" s="181"/>
      <c r="B20" s="181"/>
      <c r="C20" s="181"/>
      <c r="D20" s="181"/>
      <c r="E20" s="181"/>
      <c r="F20" s="181"/>
      <c r="G20" s="181"/>
      <c r="H20" s="181"/>
      <c r="I20" s="181"/>
      <c r="J20" s="181"/>
      <c r="K20" s="181"/>
      <c r="L20" s="181"/>
      <c r="M20" s="181"/>
      <c r="N20" s="181"/>
      <c r="O20" s="181"/>
      <c r="P20" s="181"/>
      <c r="Q20" s="181"/>
      <c r="R20" s="181"/>
      <c r="S20" s="181"/>
      <c r="T20" s="181"/>
      <c r="U20" s="181"/>
      <c r="V20" s="181"/>
      <c r="W20" s="181"/>
      <c r="X20" s="181"/>
      <c r="Y20" s="181"/>
      <c r="Z20" s="181"/>
      <c r="AA20" s="181"/>
      <c r="AB20" s="181"/>
      <c r="AC20" s="181"/>
      <c r="AD20" s="181"/>
      <c r="AE20" s="181"/>
      <c r="AF20" s="181"/>
      <c r="AG20" s="181"/>
      <c r="AH20" s="181"/>
      <c r="AI20" s="181"/>
      <c r="AJ20" s="181"/>
      <c r="AK20" s="181"/>
      <c r="AL20" s="181"/>
      <c r="AM20" s="384" t="s">
        <v>453</v>
      </c>
      <c r="AN20" s="386" t="s">
        <v>388</v>
      </c>
      <c r="AO20" s="181"/>
      <c r="AP20" s="181"/>
      <c r="AQ20" s="181"/>
      <c r="AR20" s="181"/>
      <c r="AS20" s="181"/>
      <c r="AT20" s="181"/>
      <c r="AU20" s="182"/>
      <c r="AV20" s="182"/>
      <c r="AW20" s="182"/>
      <c r="AX20" s="182"/>
      <c r="AY20" s="182"/>
      <c r="AZ20" s="182"/>
      <c r="BA20" s="182"/>
      <c r="BB20" s="182"/>
      <c r="BC20" s="182"/>
      <c r="BD20" s="182"/>
      <c r="BE20" s="182"/>
      <c r="BF20" s="182"/>
      <c r="BG20" s="182"/>
      <c r="BH20" s="182"/>
      <c r="BI20" s="182"/>
      <c r="BJ20" s="182"/>
      <c r="BK20" s="182"/>
      <c r="BL20" s="182"/>
      <c r="BM20" s="182"/>
    </row>
    <row r="21" spans="1:65" ht="16.5" customHeight="1">
      <c r="A21" s="185"/>
      <c r="B21" s="185"/>
      <c r="C21" s="185"/>
      <c r="D21" s="185"/>
      <c r="E21" s="185"/>
      <c r="F21" s="185"/>
      <c r="G21" s="180"/>
      <c r="H21" s="180"/>
      <c r="I21" s="180"/>
      <c r="J21" s="180"/>
      <c r="K21" s="180"/>
      <c r="L21" s="180"/>
      <c r="M21" s="180"/>
      <c r="N21" s="180"/>
      <c r="O21" s="180"/>
      <c r="P21" s="180"/>
      <c r="Q21" s="180"/>
      <c r="R21" s="180"/>
      <c r="S21" s="180"/>
      <c r="T21" s="180"/>
      <c r="U21" s="180"/>
      <c r="V21" s="180"/>
      <c r="W21" s="180"/>
      <c r="X21" s="180"/>
      <c r="Y21" s="180"/>
      <c r="Z21" s="180"/>
      <c r="AA21" s="180"/>
      <c r="AB21" s="180"/>
      <c r="AC21" s="180"/>
      <c r="AD21" s="180"/>
      <c r="AE21" s="180"/>
      <c r="AF21" s="180"/>
      <c r="AG21" s="180"/>
      <c r="AH21" s="180"/>
      <c r="AI21" s="180"/>
      <c r="AJ21" s="180"/>
      <c r="AK21" s="180"/>
      <c r="AL21" s="181"/>
      <c r="AM21" s="384" t="s">
        <v>390</v>
      </c>
      <c r="AN21" s="386" t="s">
        <v>376</v>
      </c>
      <c r="AO21" s="181"/>
      <c r="AP21" s="181"/>
      <c r="AQ21" s="181"/>
      <c r="AR21" s="181"/>
      <c r="AS21" s="181"/>
      <c r="AT21" s="181"/>
      <c r="AU21" s="182"/>
      <c r="AV21" s="182"/>
      <c r="AW21" s="182"/>
      <c r="AX21" s="182"/>
      <c r="AY21" s="182"/>
      <c r="AZ21" s="182"/>
      <c r="BA21" s="182"/>
      <c r="BB21" s="182"/>
      <c r="BC21" s="182"/>
      <c r="BD21" s="182"/>
      <c r="BE21" s="182"/>
      <c r="BF21" s="182"/>
      <c r="BG21" s="182"/>
      <c r="BH21" s="182"/>
      <c r="BI21" s="182"/>
      <c r="BJ21" s="182"/>
      <c r="BK21" s="182"/>
      <c r="BL21" s="182"/>
      <c r="BM21" s="182"/>
    </row>
    <row r="22" spans="1:65" ht="14.4">
      <c r="A22" s="181"/>
      <c r="B22" s="181"/>
      <c r="C22" s="181"/>
      <c r="D22" s="181"/>
      <c r="E22" s="181"/>
      <c r="F22" s="181"/>
      <c r="G22" s="181"/>
      <c r="H22" s="181"/>
      <c r="I22" s="181"/>
      <c r="J22" s="181"/>
      <c r="K22" s="181"/>
      <c r="L22" s="181"/>
      <c r="M22" s="181"/>
      <c r="N22" s="181"/>
      <c r="O22" s="181"/>
      <c r="P22" s="181"/>
      <c r="Q22" s="181"/>
      <c r="R22" s="181"/>
      <c r="S22" s="181"/>
      <c r="T22" s="181"/>
      <c r="U22" s="181"/>
      <c r="V22" s="181"/>
      <c r="W22" s="181"/>
      <c r="X22" s="181"/>
      <c r="Y22" s="181"/>
      <c r="Z22" s="181"/>
      <c r="AA22" s="181"/>
      <c r="AB22" s="181"/>
      <c r="AC22" s="181"/>
      <c r="AD22" s="181"/>
      <c r="AE22" s="181"/>
      <c r="AF22" s="181"/>
      <c r="AG22" s="181"/>
      <c r="AH22" s="181"/>
      <c r="AI22" s="181"/>
      <c r="AJ22" s="181"/>
      <c r="AK22" s="181"/>
      <c r="AL22" s="181"/>
      <c r="AM22" s="384" t="s">
        <v>386</v>
      </c>
      <c r="AN22" s="386" t="s">
        <v>415</v>
      </c>
      <c r="AO22" s="181"/>
      <c r="AP22" s="181"/>
      <c r="AQ22" s="181"/>
      <c r="AR22" s="181"/>
      <c r="AS22" s="181"/>
      <c r="AT22" s="181"/>
      <c r="AU22" s="182"/>
      <c r="AV22" s="182"/>
      <c r="AW22" s="182"/>
      <c r="AX22" s="182"/>
      <c r="AY22" s="182"/>
      <c r="AZ22" s="182"/>
      <c r="BA22" s="182"/>
      <c r="BB22" s="182"/>
      <c r="BC22" s="182"/>
      <c r="BD22" s="182"/>
      <c r="BE22" s="182"/>
      <c r="BF22" s="182"/>
      <c r="BG22" s="182"/>
      <c r="BH22" s="182"/>
      <c r="BI22" s="182"/>
      <c r="BJ22" s="182"/>
      <c r="BK22" s="182"/>
      <c r="BL22" s="182"/>
      <c r="BM22" s="182"/>
    </row>
    <row r="23" spans="1:65" ht="14.4">
      <c r="A23" s="181"/>
      <c r="B23" s="181"/>
      <c r="C23" s="181"/>
      <c r="D23" s="181"/>
      <c r="E23" s="181"/>
      <c r="F23" s="181"/>
      <c r="G23" s="181"/>
      <c r="H23" s="181"/>
      <c r="I23" s="181"/>
      <c r="J23" s="181"/>
      <c r="K23" s="181"/>
      <c r="L23" s="181"/>
      <c r="M23" s="181"/>
      <c r="N23" s="181"/>
      <c r="O23" s="181"/>
      <c r="P23" s="181"/>
      <c r="Q23" s="181"/>
      <c r="R23" s="181"/>
      <c r="S23" s="181"/>
      <c r="T23" s="181"/>
      <c r="U23" s="181"/>
      <c r="V23" s="181"/>
      <c r="W23" s="181"/>
      <c r="X23" s="181"/>
      <c r="Y23" s="181"/>
      <c r="Z23" s="181"/>
      <c r="AA23" s="181"/>
      <c r="AB23" s="181"/>
      <c r="AC23" s="181"/>
      <c r="AD23" s="181"/>
      <c r="AE23" s="181"/>
      <c r="AF23" s="181"/>
      <c r="AG23" s="181"/>
      <c r="AH23" s="181"/>
      <c r="AI23" s="181"/>
      <c r="AJ23" s="181"/>
      <c r="AK23" s="181"/>
      <c r="AL23" s="181"/>
      <c r="AM23" s="384" t="s">
        <v>435</v>
      </c>
      <c r="AN23" s="386" t="s">
        <v>387</v>
      </c>
      <c r="AO23" s="181"/>
      <c r="AP23" s="181"/>
      <c r="AQ23" s="181"/>
      <c r="AR23" s="181"/>
      <c r="AS23" s="181"/>
      <c r="AT23" s="181"/>
      <c r="AU23" s="182"/>
      <c r="AV23" s="182"/>
      <c r="AW23" s="182"/>
      <c r="AX23" s="182"/>
      <c r="AY23" s="182"/>
      <c r="AZ23" s="182"/>
      <c r="BA23" s="182"/>
      <c r="BB23" s="182"/>
      <c r="BC23" s="182"/>
      <c r="BD23" s="182"/>
      <c r="BE23" s="182"/>
      <c r="BF23" s="182"/>
      <c r="BG23" s="182"/>
      <c r="BH23" s="182"/>
      <c r="BI23" s="182"/>
      <c r="BJ23" s="182"/>
      <c r="BK23" s="182"/>
      <c r="BL23" s="182"/>
      <c r="BM23" s="182"/>
    </row>
    <row r="24" spans="1:65" ht="14.4">
      <c r="A24" s="181"/>
      <c r="B24" s="181"/>
      <c r="C24" s="181"/>
      <c r="D24" s="181"/>
      <c r="E24" s="181"/>
      <c r="F24" s="181"/>
      <c r="G24" s="181"/>
      <c r="H24" s="181"/>
      <c r="I24" s="181"/>
      <c r="J24" s="181"/>
      <c r="K24" s="181"/>
      <c r="L24" s="181"/>
      <c r="M24" s="181"/>
      <c r="N24" s="181"/>
      <c r="O24" s="181"/>
      <c r="P24" s="181"/>
      <c r="Q24" s="181"/>
      <c r="R24" s="181"/>
      <c r="S24" s="181"/>
      <c r="T24" s="181"/>
      <c r="U24" s="181"/>
      <c r="V24" s="181"/>
      <c r="W24" s="181"/>
      <c r="X24" s="181"/>
      <c r="Y24" s="181"/>
      <c r="Z24" s="181"/>
      <c r="AA24" s="181"/>
      <c r="AB24" s="181"/>
      <c r="AC24" s="181"/>
      <c r="AD24" s="181"/>
      <c r="AE24" s="181"/>
      <c r="AF24" s="181"/>
      <c r="AG24" s="181"/>
      <c r="AH24" s="181"/>
      <c r="AI24" s="181"/>
      <c r="AJ24" s="181"/>
      <c r="AK24" s="181"/>
      <c r="AL24" s="181"/>
      <c r="AM24" s="384" t="s">
        <v>372</v>
      </c>
      <c r="AN24" s="386" t="s">
        <v>374</v>
      </c>
      <c r="AO24" s="181"/>
      <c r="AP24" s="181"/>
      <c r="AQ24" s="181"/>
      <c r="AR24" s="181"/>
      <c r="AS24" s="181"/>
      <c r="AT24" s="181"/>
      <c r="AU24" s="182"/>
      <c r="AV24" s="182"/>
      <c r="AW24" s="182"/>
      <c r="AX24" s="182"/>
      <c r="AY24" s="182"/>
      <c r="AZ24" s="182"/>
      <c r="BA24" s="182"/>
      <c r="BB24" s="182"/>
      <c r="BC24" s="182"/>
      <c r="BD24" s="182"/>
      <c r="BE24" s="182"/>
      <c r="BF24" s="182"/>
      <c r="BG24" s="182"/>
      <c r="BH24" s="182"/>
      <c r="BI24" s="182"/>
      <c r="BJ24" s="182"/>
      <c r="BK24" s="182"/>
      <c r="BL24" s="182"/>
      <c r="BM24" s="182"/>
    </row>
    <row r="25" spans="1:65" ht="14.4">
      <c r="A25" s="181"/>
      <c r="B25" s="181"/>
      <c r="C25" s="181"/>
      <c r="D25" s="181"/>
      <c r="E25" s="181"/>
      <c r="F25" s="181"/>
      <c r="G25" s="181"/>
      <c r="H25" s="181"/>
      <c r="I25" s="181"/>
      <c r="J25" s="181"/>
      <c r="K25" s="181"/>
      <c r="L25" s="181"/>
      <c r="M25" s="181"/>
      <c r="N25" s="181"/>
      <c r="O25" s="181"/>
      <c r="P25" s="181"/>
      <c r="Q25" s="181"/>
      <c r="R25" s="181"/>
      <c r="S25" s="181"/>
      <c r="T25" s="181"/>
      <c r="U25" s="181"/>
      <c r="V25" s="181"/>
      <c r="W25" s="181"/>
      <c r="X25" s="181"/>
      <c r="Y25" s="181"/>
      <c r="Z25" s="181"/>
      <c r="AA25" s="181"/>
      <c r="AB25" s="181"/>
      <c r="AC25" s="181"/>
      <c r="AD25" s="181"/>
      <c r="AE25" s="181"/>
      <c r="AF25" s="181"/>
      <c r="AG25" s="181"/>
      <c r="AH25" s="181"/>
      <c r="AI25" s="181"/>
      <c r="AJ25" s="181"/>
      <c r="AK25" s="181"/>
      <c r="AL25" s="181"/>
      <c r="AM25" s="384" t="s">
        <v>437</v>
      </c>
      <c r="AN25" s="386" t="s">
        <v>433</v>
      </c>
      <c r="AO25" s="181"/>
      <c r="AP25" s="181"/>
      <c r="AQ25" s="181"/>
      <c r="AR25" s="181"/>
      <c r="AS25" s="181"/>
      <c r="AT25" s="181"/>
      <c r="AU25" s="182"/>
      <c r="AV25" s="182"/>
      <c r="AW25" s="182"/>
      <c r="AX25" s="182"/>
      <c r="AY25" s="182"/>
      <c r="AZ25" s="182"/>
      <c r="BA25" s="182"/>
      <c r="BB25" s="182"/>
      <c r="BC25" s="182"/>
      <c r="BD25" s="182"/>
      <c r="BE25" s="182"/>
      <c r="BF25" s="182"/>
      <c r="BG25" s="182"/>
      <c r="BH25" s="182"/>
      <c r="BI25" s="182"/>
      <c r="BJ25" s="182"/>
      <c r="BK25" s="182"/>
      <c r="BL25" s="182"/>
      <c r="BM25" s="182"/>
    </row>
    <row r="26" spans="1:65" ht="14.4">
      <c r="A26" s="181"/>
      <c r="B26" s="181"/>
      <c r="C26" s="181"/>
      <c r="D26" s="181"/>
      <c r="E26" s="181"/>
      <c r="F26" s="181"/>
      <c r="G26" s="181"/>
      <c r="H26" s="181"/>
      <c r="I26" s="181"/>
      <c r="J26" s="181"/>
      <c r="K26" s="181"/>
      <c r="L26" s="181"/>
      <c r="M26" s="181"/>
      <c r="N26" s="181"/>
      <c r="O26" s="181"/>
      <c r="P26" s="181"/>
      <c r="Q26" s="181"/>
      <c r="R26" s="181"/>
      <c r="S26" s="181"/>
      <c r="T26" s="181"/>
      <c r="U26" s="181"/>
      <c r="V26" s="181"/>
      <c r="W26" s="181"/>
      <c r="X26" s="181"/>
      <c r="Y26" s="181"/>
      <c r="Z26" s="181"/>
      <c r="AA26" s="181"/>
      <c r="AB26" s="181"/>
      <c r="AC26" s="181"/>
      <c r="AD26" s="181"/>
      <c r="AE26" s="181"/>
      <c r="AF26" s="181"/>
      <c r="AG26" s="181"/>
      <c r="AH26" s="181"/>
      <c r="AI26" s="181"/>
      <c r="AJ26" s="181"/>
      <c r="AK26" s="181"/>
      <c r="AL26" s="181"/>
      <c r="AM26" s="384" t="s">
        <v>385</v>
      </c>
      <c r="AN26" s="386" t="s">
        <v>406</v>
      </c>
      <c r="AO26" s="181"/>
      <c r="AP26" s="181"/>
      <c r="AQ26" s="181"/>
      <c r="AR26" s="181"/>
      <c r="AS26" s="181"/>
      <c r="AT26" s="181"/>
      <c r="AU26" s="182"/>
      <c r="AV26" s="182"/>
      <c r="AW26" s="182"/>
      <c r="AX26" s="182"/>
      <c r="AY26" s="182"/>
      <c r="AZ26" s="182"/>
      <c r="BA26" s="182"/>
      <c r="BB26" s="182"/>
      <c r="BC26" s="182"/>
      <c r="BD26" s="182"/>
      <c r="BE26" s="182"/>
      <c r="BF26" s="182"/>
      <c r="BG26" s="182"/>
      <c r="BH26" s="182"/>
      <c r="BI26" s="182"/>
      <c r="BJ26" s="182"/>
      <c r="BK26" s="182"/>
      <c r="BL26" s="182"/>
      <c r="BM26" s="182"/>
    </row>
    <row r="27" spans="1:65" ht="14.4">
      <c r="A27" s="181"/>
      <c r="B27" s="181"/>
      <c r="C27" s="181"/>
      <c r="D27" s="181"/>
      <c r="E27" s="181"/>
      <c r="F27" s="181"/>
      <c r="G27" s="181"/>
      <c r="H27" s="181"/>
      <c r="I27" s="181"/>
      <c r="J27" s="181"/>
      <c r="K27" s="181"/>
      <c r="L27" s="181"/>
      <c r="M27" s="181"/>
      <c r="N27" s="181"/>
      <c r="O27" s="181"/>
      <c r="P27" s="181"/>
      <c r="Q27" s="181"/>
      <c r="R27" s="181"/>
      <c r="S27" s="181"/>
      <c r="T27" s="181"/>
      <c r="U27" s="181"/>
      <c r="V27" s="181"/>
      <c r="W27" s="181"/>
      <c r="X27" s="181"/>
      <c r="Y27" s="181"/>
      <c r="Z27" s="181"/>
      <c r="AA27" s="181"/>
      <c r="AB27" s="181"/>
      <c r="AC27" s="181"/>
      <c r="AD27" s="181"/>
      <c r="AE27" s="181"/>
      <c r="AF27" s="181"/>
      <c r="AG27" s="181"/>
      <c r="AH27" s="181"/>
      <c r="AI27" s="181"/>
      <c r="AJ27" s="181"/>
      <c r="AK27" s="181"/>
      <c r="AL27" s="181"/>
      <c r="AM27" s="384" t="s">
        <v>438</v>
      </c>
      <c r="AN27" s="386" t="s">
        <v>398</v>
      </c>
      <c r="AO27" s="181"/>
      <c r="AP27" s="181"/>
      <c r="AQ27" s="181"/>
      <c r="AR27" s="181"/>
      <c r="AS27" s="181"/>
      <c r="AT27" s="181"/>
      <c r="AU27" s="182"/>
      <c r="AV27" s="182"/>
      <c r="AW27" s="182"/>
      <c r="AX27" s="182"/>
      <c r="AY27" s="182"/>
      <c r="AZ27" s="182"/>
      <c r="BA27" s="182"/>
      <c r="BB27" s="182"/>
      <c r="BC27" s="182"/>
      <c r="BD27" s="182"/>
      <c r="BE27" s="182"/>
      <c r="BF27" s="182"/>
      <c r="BG27" s="182"/>
      <c r="BH27" s="182"/>
      <c r="BI27" s="182"/>
      <c r="BJ27" s="182"/>
      <c r="BK27" s="182"/>
      <c r="BL27" s="182"/>
      <c r="BM27" s="182"/>
    </row>
    <row r="28" spans="1:65" ht="14.4">
      <c r="A28" s="181"/>
      <c r="B28" s="181"/>
      <c r="C28" s="181"/>
      <c r="D28" s="181"/>
      <c r="E28" s="181"/>
      <c r="F28" s="181"/>
      <c r="G28" s="181"/>
      <c r="H28" s="181"/>
      <c r="I28" s="181"/>
      <c r="J28" s="181"/>
      <c r="K28" s="181"/>
      <c r="L28" s="181"/>
      <c r="M28" s="181"/>
      <c r="N28" s="181"/>
      <c r="O28" s="181"/>
      <c r="P28" s="181"/>
      <c r="Q28" s="181"/>
      <c r="R28" s="181"/>
      <c r="S28" s="181"/>
      <c r="T28" s="181"/>
      <c r="U28" s="181"/>
      <c r="V28" s="181"/>
      <c r="W28" s="181"/>
      <c r="X28" s="181"/>
      <c r="Y28" s="181"/>
      <c r="Z28" s="181"/>
      <c r="AA28" s="181"/>
      <c r="AB28" s="181"/>
      <c r="AC28" s="181"/>
      <c r="AD28" s="181"/>
      <c r="AE28" s="181"/>
      <c r="AF28" s="181"/>
      <c r="AG28" s="181"/>
      <c r="AH28" s="181"/>
      <c r="AI28" s="181"/>
      <c r="AJ28" s="181"/>
      <c r="AK28" s="181"/>
      <c r="AL28" s="181"/>
      <c r="AM28" s="384" t="s">
        <v>426</v>
      </c>
      <c r="AN28" s="386" t="s">
        <v>396</v>
      </c>
      <c r="AO28" s="181"/>
      <c r="AP28" s="181"/>
      <c r="AQ28" s="181"/>
      <c r="AR28" s="181"/>
      <c r="AS28" s="181"/>
      <c r="AT28" s="181"/>
      <c r="AU28" s="182"/>
      <c r="AV28" s="182"/>
      <c r="AW28" s="182"/>
      <c r="AX28" s="182"/>
      <c r="AY28" s="182"/>
      <c r="AZ28" s="182"/>
      <c r="BA28" s="182"/>
      <c r="BB28" s="182"/>
      <c r="BC28" s="182"/>
      <c r="BD28" s="182"/>
      <c r="BE28" s="182"/>
      <c r="BF28" s="182"/>
      <c r="BG28" s="182"/>
      <c r="BH28" s="182"/>
      <c r="BI28" s="182"/>
      <c r="BJ28" s="182"/>
      <c r="BK28" s="182"/>
      <c r="BL28" s="182"/>
      <c r="BM28" s="182"/>
    </row>
    <row r="29" spans="1:65" ht="14.4">
      <c r="A29" s="181"/>
      <c r="B29" s="181"/>
      <c r="C29" s="181"/>
      <c r="D29" s="181"/>
      <c r="E29" s="181"/>
      <c r="F29" s="181"/>
      <c r="G29" s="181"/>
      <c r="H29" s="181"/>
      <c r="I29" s="181"/>
      <c r="J29" s="181"/>
      <c r="K29" s="181"/>
      <c r="L29" s="181"/>
      <c r="M29" s="181"/>
      <c r="N29" s="181"/>
      <c r="O29" s="181"/>
      <c r="P29" s="181"/>
      <c r="Q29" s="181"/>
      <c r="R29" s="181"/>
      <c r="S29" s="181"/>
      <c r="T29" s="181"/>
      <c r="U29" s="181"/>
      <c r="V29" s="181"/>
      <c r="W29" s="181"/>
      <c r="X29" s="181"/>
      <c r="Y29" s="181"/>
      <c r="Z29" s="181"/>
      <c r="AA29" s="181"/>
      <c r="AB29" s="181"/>
      <c r="AC29" s="181"/>
      <c r="AD29" s="181"/>
      <c r="AE29" s="181"/>
      <c r="AF29" s="181"/>
      <c r="AG29" s="181"/>
      <c r="AH29" s="181"/>
      <c r="AI29" s="181"/>
      <c r="AJ29" s="181"/>
      <c r="AK29" s="181"/>
      <c r="AL29" s="181"/>
      <c r="AM29" s="384" t="s">
        <v>419</v>
      </c>
      <c r="AN29" s="386" t="s">
        <v>397</v>
      </c>
      <c r="AO29" s="181"/>
      <c r="AP29" s="181"/>
      <c r="AQ29" s="181"/>
      <c r="AR29" s="181"/>
      <c r="AS29" s="181"/>
      <c r="AT29" s="181"/>
      <c r="AU29" s="182"/>
      <c r="AV29" s="182"/>
      <c r="AW29" s="182"/>
      <c r="AX29" s="182"/>
      <c r="AY29" s="182"/>
      <c r="AZ29" s="182"/>
      <c r="BA29" s="182"/>
      <c r="BB29" s="182"/>
      <c r="BC29" s="182"/>
      <c r="BD29" s="182"/>
      <c r="BE29" s="182"/>
      <c r="BF29" s="182"/>
      <c r="BG29" s="182"/>
      <c r="BH29" s="182"/>
      <c r="BI29" s="182"/>
      <c r="BJ29" s="182"/>
      <c r="BK29" s="182"/>
      <c r="BL29" s="182"/>
      <c r="BM29" s="182"/>
    </row>
    <row r="30" spans="1:65" ht="14.4">
      <c r="A30" s="181"/>
      <c r="B30" s="181"/>
      <c r="C30" s="181"/>
      <c r="D30" s="181"/>
      <c r="E30" s="181"/>
      <c r="F30" s="181"/>
      <c r="G30" s="181"/>
      <c r="H30" s="181"/>
      <c r="I30" s="181"/>
      <c r="J30" s="181"/>
      <c r="K30" s="181"/>
      <c r="L30" s="181"/>
      <c r="M30" s="181"/>
      <c r="N30" s="181"/>
      <c r="O30" s="181"/>
      <c r="P30" s="181"/>
      <c r="Q30" s="181"/>
      <c r="R30" s="181"/>
      <c r="S30" s="181"/>
      <c r="T30" s="181"/>
      <c r="U30" s="181"/>
      <c r="V30" s="181"/>
      <c r="W30" s="181"/>
      <c r="X30" s="181"/>
      <c r="Y30" s="181"/>
      <c r="Z30" s="181"/>
      <c r="AA30" s="181"/>
      <c r="AB30" s="181"/>
      <c r="AC30" s="181"/>
      <c r="AD30" s="181"/>
      <c r="AE30" s="181"/>
      <c r="AF30" s="181"/>
      <c r="AG30" s="181"/>
      <c r="AH30" s="181"/>
      <c r="AI30" s="181"/>
      <c r="AJ30" s="181"/>
      <c r="AK30" s="181"/>
      <c r="AL30" s="181"/>
      <c r="AM30" s="384" t="s">
        <v>436</v>
      </c>
      <c r="AN30" s="386" t="s">
        <v>399</v>
      </c>
      <c r="AO30" s="181"/>
      <c r="AP30" s="181"/>
      <c r="AQ30" s="181"/>
      <c r="AR30" s="181"/>
      <c r="AS30" s="181"/>
      <c r="AT30" s="181"/>
      <c r="AU30" s="182"/>
      <c r="AV30" s="182"/>
      <c r="AW30" s="182"/>
      <c r="AX30" s="182"/>
      <c r="AY30" s="182"/>
      <c r="AZ30" s="182"/>
      <c r="BA30" s="182"/>
      <c r="BB30" s="182"/>
      <c r="BC30" s="182"/>
      <c r="BD30" s="182"/>
      <c r="BE30" s="182"/>
      <c r="BF30" s="182"/>
      <c r="BG30" s="182"/>
      <c r="BH30" s="182"/>
      <c r="BI30" s="182"/>
      <c r="BJ30" s="182"/>
      <c r="BK30" s="182"/>
      <c r="BL30" s="182"/>
      <c r="BM30" s="182"/>
    </row>
    <row r="31" spans="1:65" ht="14.4">
      <c r="A31" s="181"/>
      <c r="B31" s="181"/>
      <c r="C31" s="181"/>
      <c r="D31" s="181"/>
      <c r="E31" s="181"/>
      <c r="F31" s="181"/>
      <c r="G31" s="181"/>
      <c r="H31" s="181"/>
      <c r="I31" s="181"/>
      <c r="J31" s="181"/>
      <c r="K31" s="181"/>
      <c r="L31" s="181"/>
      <c r="M31" s="181"/>
      <c r="N31" s="181"/>
      <c r="O31" s="181"/>
      <c r="P31" s="181"/>
      <c r="Q31" s="181"/>
      <c r="R31" s="181"/>
      <c r="S31" s="181"/>
      <c r="T31" s="181"/>
      <c r="U31" s="181"/>
      <c r="V31" s="181"/>
      <c r="W31" s="181"/>
      <c r="X31" s="181"/>
      <c r="Y31" s="181"/>
      <c r="Z31" s="181"/>
      <c r="AA31" s="181"/>
      <c r="AB31" s="181"/>
      <c r="AC31" s="181"/>
      <c r="AD31" s="181"/>
      <c r="AE31" s="181"/>
      <c r="AF31" s="181"/>
      <c r="AG31" s="181"/>
      <c r="AH31" s="181"/>
      <c r="AI31" s="181"/>
      <c r="AJ31" s="181"/>
      <c r="AK31" s="181"/>
      <c r="AL31" s="181"/>
      <c r="AM31" s="384" t="s">
        <v>445</v>
      </c>
      <c r="AN31" s="386" t="s">
        <v>430</v>
      </c>
      <c r="AO31" s="181"/>
      <c r="AP31" s="181"/>
      <c r="AQ31" s="181"/>
      <c r="AR31" s="181"/>
      <c r="AS31" s="181"/>
      <c r="AT31" s="181"/>
      <c r="AU31" s="182"/>
      <c r="AV31" s="182"/>
      <c r="AW31" s="182"/>
      <c r="AX31" s="182"/>
      <c r="AY31" s="182"/>
      <c r="AZ31" s="182"/>
      <c r="BA31" s="182"/>
      <c r="BB31" s="182"/>
      <c r="BC31" s="182"/>
      <c r="BD31" s="182"/>
      <c r="BE31" s="182"/>
      <c r="BF31" s="182"/>
      <c r="BG31" s="182"/>
      <c r="BH31" s="182"/>
      <c r="BI31" s="182"/>
      <c r="BJ31" s="182"/>
      <c r="BK31" s="182"/>
      <c r="BL31" s="182"/>
      <c r="BM31" s="182"/>
    </row>
    <row r="32" spans="1:65" ht="14.4">
      <c r="A32" s="181"/>
      <c r="B32" s="181"/>
      <c r="C32" s="181"/>
      <c r="D32" s="181"/>
      <c r="E32" s="181"/>
      <c r="F32" s="181"/>
      <c r="G32" s="181"/>
      <c r="H32" s="181"/>
      <c r="I32" s="181"/>
      <c r="J32" s="181"/>
      <c r="K32" s="181"/>
      <c r="L32" s="181"/>
      <c r="M32" s="181"/>
      <c r="N32" s="181"/>
      <c r="O32" s="181"/>
      <c r="P32" s="181"/>
      <c r="Q32" s="181"/>
      <c r="R32" s="181"/>
      <c r="S32" s="181"/>
      <c r="T32" s="181"/>
      <c r="U32" s="181"/>
      <c r="V32" s="181"/>
      <c r="W32" s="181"/>
      <c r="X32" s="181"/>
      <c r="Y32" s="181"/>
      <c r="Z32" s="181"/>
      <c r="AA32" s="181"/>
      <c r="AB32" s="181"/>
      <c r="AC32" s="181"/>
      <c r="AD32" s="181"/>
      <c r="AE32" s="181"/>
      <c r="AF32" s="181"/>
      <c r="AG32" s="181"/>
      <c r="AH32" s="181"/>
      <c r="AI32" s="181"/>
      <c r="AJ32" s="181"/>
      <c r="AK32" s="181"/>
      <c r="AL32" s="181"/>
      <c r="AM32" s="384" t="s">
        <v>447</v>
      </c>
      <c r="AN32" s="386" t="s">
        <v>429</v>
      </c>
      <c r="AO32" s="181"/>
      <c r="AP32" s="181"/>
      <c r="AQ32" s="181"/>
      <c r="AR32" s="181"/>
      <c r="AS32" s="181"/>
      <c r="AT32" s="181"/>
      <c r="AU32" s="182"/>
      <c r="AV32" s="182"/>
      <c r="AW32" s="182"/>
      <c r="AX32" s="182"/>
      <c r="AY32" s="182"/>
      <c r="AZ32" s="182"/>
      <c r="BA32" s="182"/>
      <c r="BB32" s="182"/>
      <c r="BC32" s="182"/>
      <c r="BD32" s="182"/>
      <c r="BE32" s="182"/>
      <c r="BF32" s="182"/>
      <c r="BG32" s="182"/>
      <c r="BH32" s="182"/>
      <c r="BI32" s="182"/>
      <c r="BJ32" s="182"/>
      <c r="BK32" s="182"/>
      <c r="BL32" s="182"/>
      <c r="BM32" s="182"/>
    </row>
    <row r="33" spans="1:65" ht="14.4">
      <c r="A33" s="181"/>
      <c r="B33" s="181"/>
      <c r="C33" s="181"/>
      <c r="D33" s="181"/>
      <c r="E33" s="181"/>
      <c r="F33" s="181"/>
      <c r="G33" s="181"/>
      <c r="H33" s="181"/>
      <c r="I33" s="181"/>
      <c r="J33" s="181"/>
      <c r="K33" s="181"/>
      <c r="L33" s="181"/>
      <c r="M33" s="181"/>
      <c r="N33" s="181"/>
      <c r="O33" s="181"/>
      <c r="P33" s="181"/>
      <c r="Q33" s="181"/>
      <c r="R33" s="181"/>
      <c r="S33" s="181"/>
      <c r="T33" s="181"/>
      <c r="U33" s="181"/>
      <c r="V33" s="181"/>
      <c r="W33" s="181"/>
      <c r="X33" s="181"/>
      <c r="Y33" s="181"/>
      <c r="Z33" s="181"/>
      <c r="AA33" s="181"/>
      <c r="AB33" s="181"/>
      <c r="AC33" s="181"/>
      <c r="AD33" s="181"/>
      <c r="AE33" s="181"/>
      <c r="AF33" s="181"/>
      <c r="AG33" s="181"/>
      <c r="AH33" s="181"/>
      <c r="AI33" s="181"/>
      <c r="AJ33" s="181"/>
      <c r="AK33" s="181"/>
      <c r="AL33" s="181"/>
      <c r="AM33" s="384" t="s">
        <v>423</v>
      </c>
      <c r="AN33" s="386" t="s">
        <v>448</v>
      </c>
      <c r="AO33" s="181"/>
      <c r="AP33" s="181"/>
      <c r="AQ33" s="181"/>
      <c r="AR33" s="181"/>
      <c r="AS33" s="181"/>
      <c r="AT33" s="181"/>
      <c r="AU33" s="182"/>
      <c r="AV33" s="182"/>
      <c r="AW33" s="182"/>
      <c r="AX33" s="182"/>
      <c r="AY33" s="182"/>
      <c r="AZ33" s="182"/>
      <c r="BA33" s="182"/>
      <c r="BB33" s="182"/>
      <c r="BC33" s="182"/>
      <c r="BD33" s="182"/>
      <c r="BE33" s="182"/>
      <c r="BF33" s="182"/>
      <c r="BG33" s="182"/>
      <c r="BH33" s="182"/>
      <c r="BI33" s="182"/>
      <c r="BJ33" s="182"/>
      <c r="BK33" s="182"/>
      <c r="BL33" s="182"/>
      <c r="BM33" s="182"/>
    </row>
    <row r="34" spans="1:65" ht="14.4">
      <c r="A34" s="181"/>
      <c r="B34" s="181"/>
      <c r="C34" s="181"/>
      <c r="D34" s="181"/>
      <c r="E34" s="181"/>
      <c r="F34" s="181"/>
      <c r="G34" s="181"/>
      <c r="H34" s="181"/>
      <c r="I34" s="181"/>
      <c r="J34" s="181"/>
      <c r="K34" s="181"/>
      <c r="L34" s="181"/>
      <c r="M34" s="181"/>
      <c r="N34" s="181"/>
      <c r="O34" s="181"/>
      <c r="P34" s="181"/>
      <c r="Q34" s="181"/>
      <c r="R34" s="181"/>
      <c r="S34" s="181"/>
      <c r="T34" s="181"/>
      <c r="U34" s="181"/>
      <c r="V34" s="181"/>
      <c r="W34" s="181"/>
      <c r="X34" s="181"/>
      <c r="Y34" s="181"/>
      <c r="Z34" s="181"/>
      <c r="AA34" s="181"/>
      <c r="AB34" s="181"/>
      <c r="AC34" s="181"/>
      <c r="AD34" s="181"/>
      <c r="AE34" s="181"/>
      <c r="AF34" s="181"/>
      <c r="AG34" s="181"/>
      <c r="AH34" s="181"/>
      <c r="AI34" s="181"/>
      <c r="AJ34" s="181"/>
      <c r="AK34" s="181"/>
      <c r="AL34" s="181"/>
      <c r="AM34" s="384" t="s">
        <v>403</v>
      </c>
      <c r="AN34" s="386" t="s">
        <v>418</v>
      </c>
      <c r="AO34" s="181"/>
      <c r="AP34" s="181"/>
      <c r="AQ34" s="181"/>
      <c r="AR34" s="181"/>
      <c r="AS34" s="181"/>
      <c r="AT34" s="181"/>
      <c r="AU34" s="182"/>
      <c r="AV34" s="182"/>
      <c r="AW34" s="182"/>
      <c r="AX34" s="182"/>
      <c r="AY34" s="182"/>
      <c r="AZ34" s="182"/>
      <c r="BA34" s="182"/>
      <c r="BB34" s="182"/>
      <c r="BC34" s="182"/>
      <c r="BD34" s="182"/>
      <c r="BE34" s="182"/>
      <c r="BF34" s="182"/>
      <c r="BG34" s="182"/>
      <c r="BH34" s="182"/>
      <c r="BI34" s="182"/>
      <c r="BJ34" s="182"/>
      <c r="BK34" s="182"/>
      <c r="BL34" s="182"/>
      <c r="BM34" s="182"/>
    </row>
    <row r="35" spans="1:65" ht="14.4">
      <c r="A35" s="181"/>
      <c r="B35" s="181"/>
      <c r="C35" s="181"/>
      <c r="D35" s="181"/>
      <c r="E35" s="181"/>
      <c r="F35" s="181"/>
      <c r="G35" s="181"/>
      <c r="H35" s="181"/>
      <c r="I35" s="181"/>
      <c r="J35" s="181"/>
      <c r="K35" s="181"/>
      <c r="L35" s="181"/>
      <c r="M35" s="181"/>
      <c r="N35" s="181"/>
      <c r="O35" s="181"/>
      <c r="P35" s="181"/>
      <c r="Q35" s="181"/>
      <c r="R35" s="181"/>
      <c r="S35" s="181"/>
      <c r="T35" s="181"/>
      <c r="U35" s="181"/>
      <c r="V35" s="181"/>
      <c r="W35" s="181"/>
      <c r="X35" s="181"/>
      <c r="Y35" s="181"/>
      <c r="Z35" s="181"/>
      <c r="AA35" s="181"/>
      <c r="AB35" s="181"/>
      <c r="AC35" s="181"/>
      <c r="AD35" s="181"/>
      <c r="AE35" s="181"/>
      <c r="AF35" s="181"/>
      <c r="AG35" s="181"/>
      <c r="AH35" s="181"/>
      <c r="AI35" s="181"/>
      <c r="AJ35" s="181"/>
      <c r="AK35" s="181"/>
      <c r="AL35" s="181"/>
      <c r="AM35" s="384" t="s">
        <v>454</v>
      </c>
      <c r="AN35" s="386" t="s">
        <v>416</v>
      </c>
      <c r="AO35" s="181"/>
      <c r="AP35" s="181"/>
      <c r="AQ35" s="181"/>
      <c r="AR35" s="181"/>
      <c r="AS35" s="181"/>
      <c r="AT35" s="181"/>
      <c r="AU35" s="182"/>
      <c r="AV35" s="182"/>
      <c r="AW35" s="182"/>
      <c r="AX35" s="182"/>
      <c r="AY35" s="182"/>
      <c r="AZ35" s="182"/>
      <c r="BA35" s="182"/>
      <c r="BB35" s="182"/>
      <c r="BC35" s="182"/>
      <c r="BD35" s="182"/>
      <c r="BE35" s="182"/>
      <c r="BF35" s="182"/>
      <c r="BG35" s="182"/>
      <c r="BH35" s="182"/>
      <c r="BI35" s="182"/>
      <c r="BJ35" s="182"/>
      <c r="BK35" s="182"/>
      <c r="BL35" s="182"/>
      <c r="BM35" s="182"/>
    </row>
    <row r="36" spans="1:65" ht="14.4">
      <c r="A36" s="181"/>
      <c r="B36" s="181"/>
      <c r="C36" s="181"/>
      <c r="D36" s="181"/>
      <c r="E36" s="181"/>
      <c r="F36" s="181"/>
      <c r="G36" s="181"/>
      <c r="H36" s="181"/>
      <c r="I36" s="181"/>
      <c r="J36" s="181"/>
      <c r="K36" s="181"/>
      <c r="L36" s="181"/>
      <c r="M36" s="181"/>
      <c r="N36" s="181"/>
      <c r="O36" s="181"/>
      <c r="P36" s="181"/>
      <c r="Q36" s="181"/>
      <c r="R36" s="181"/>
      <c r="S36" s="181"/>
      <c r="T36" s="181"/>
      <c r="U36" s="181"/>
      <c r="V36" s="181"/>
      <c r="W36" s="181"/>
      <c r="X36" s="181"/>
      <c r="Y36" s="181"/>
      <c r="Z36" s="181"/>
      <c r="AA36" s="181"/>
      <c r="AB36" s="181"/>
      <c r="AC36" s="181"/>
      <c r="AD36" s="181"/>
      <c r="AE36" s="181"/>
      <c r="AF36" s="181"/>
      <c r="AG36" s="181"/>
      <c r="AH36" s="181"/>
      <c r="AI36" s="181"/>
      <c r="AJ36" s="181"/>
      <c r="AK36" s="181"/>
      <c r="AL36" s="181"/>
      <c r="AM36" s="384" t="s">
        <v>401</v>
      </c>
      <c r="AN36" s="386" t="s">
        <v>417</v>
      </c>
      <c r="AO36" s="181"/>
      <c r="AP36" s="181"/>
      <c r="AQ36" s="181"/>
      <c r="AR36" s="181"/>
      <c r="AS36" s="181"/>
      <c r="AT36" s="181"/>
      <c r="AU36" s="182"/>
      <c r="AV36" s="182"/>
      <c r="AW36" s="182"/>
      <c r="AX36" s="182"/>
      <c r="AY36" s="182"/>
      <c r="AZ36" s="182"/>
      <c r="BA36" s="182"/>
      <c r="BB36" s="182"/>
      <c r="BC36" s="182"/>
      <c r="BD36" s="182"/>
      <c r="BE36" s="182"/>
      <c r="BF36" s="182"/>
      <c r="BG36" s="182"/>
      <c r="BH36" s="182"/>
      <c r="BI36" s="182"/>
      <c r="BJ36" s="182"/>
      <c r="BK36" s="182"/>
      <c r="BL36" s="182"/>
      <c r="BM36" s="182"/>
    </row>
    <row r="37" spans="1:65" ht="14.4">
      <c r="A37" s="181"/>
      <c r="B37" s="181"/>
      <c r="C37" s="181"/>
      <c r="D37" s="181"/>
      <c r="E37" s="181"/>
      <c r="F37" s="181"/>
      <c r="G37" s="181"/>
      <c r="H37" s="181"/>
      <c r="I37" s="181"/>
      <c r="J37" s="181"/>
      <c r="K37" s="181"/>
      <c r="L37" s="181"/>
      <c r="M37" s="181"/>
      <c r="N37" s="181"/>
      <c r="O37" s="181"/>
      <c r="P37" s="181"/>
      <c r="Q37" s="181"/>
      <c r="R37" s="181"/>
      <c r="S37" s="181"/>
      <c r="T37" s="181"/>
      <c r="U37" s="181"/>
      <c r="V37" s="181"/>
      <c r="W37" s="181"/>
      <c r="X37" s="181"/>
      <c r="Y37" s="181"/>
      <c r="Z37" s="181"/>
      <c r="AA37" s="181"/>
      <c r="AB37" s="181"/>
      <c r="AC37" s="181"/>
      <c r="AD37" s="181"/>
      <c r="AE37" s="181"/>
      <c r="AF37" s="181"/>
      <c r="AG37" s="181"/>
      <c r="AH37" s="181"/>
      <c r="AI37" s="181"/>
      <c r="AJ37" s="181"/>
      <c r="AK37" s="181"/>
      <c r="AL37" s="181"/>
      <c r="AM37" s="384" t="s">
        <v>400</v>
      </c>
      <c r="AN37" s="386" t="s">
        <v>371</v>
      </c>
      <c r="AO37" s="181"/>
      <c r="AP37" s="181"/>
      <c r="AQ37" s="181"/>
      <c r="AR37" s="181"/>
      <c r="AS37" s="181"/>
      <c r="AT37" s="181"/>
      <c r="AU37" s="182"/>
      <c r="AV37" s="182"/>
      <c r="AW37" s="182"/>
      <c r="AX37" s="182"/>
      <c r="AY37" s="182"/>
      <c r="AZ37" s="182"/>
      <c r="BA37" s="182"/>
      <c r="BB37" s="182"/>
      <c r="BC37" s="182"/>
      <c r="BD37" s="182"/>
      <c r="BE37" s="182"/>
      <c r="BF37" s="182"/>
      <c r="BG37" s="182"/>
      <c r="BH37" s="182"/>
      <c r="BI37" s="182"/>
      <c r="BJ37" s="182"/>
      <c r="BK37" s="182"/>
      <c r="BL37" s="182"/>
      <c r="BM37" s="182"/>
    </row>
    <row r="38" spans="1:65" ht="14.4">
      <c r="A38" s="181"/>
      <c r="B38" s="181"/>
      <c r="C38" s="181"/>
      <c r="D38" s="181"/>
      <c r="E38" s="181"/>
      <c r="F38" s="181"/>
      <c r="G38" s="181"/>
      <c r="H38" s="181"/>
      <c r="I38" s="181"/>
      <c r="J38" s="181"/>
      <c r="K38" s="181"/>
      <c r="L38" s="181"/>
      <c r="M38" s="181"/>
      <c r="N38" s="181"/>
      <c r="O38" s="181"/>
      <c r="P38" s="181"/>
      <c r="Q38" s="181"/>
      <c r="R38" s="181"/>
      <c r="S38" s="181"/>
      <c r="T38" s="181"/>
      <c r="U38" s="181"/>
      <c r="V38" s="181"/>
      <c r="W38" s="181"/>
      <c r="X38" s="181"/>
      <c r="Y38" s="181"/>
      <c r="Z38" s="181"/>
      <c r="AA38" s="181"/>
      <c r="AB38" s="181"/>
      <c r="AC38" s="181"/>
      <c r="AD38" s="181"/>
      <c r="AE38" s="181"/>
      <c r="AF38" s="181"/>
      <c r="AG38" s="181"/>
      <c r="AH38" s="181"/>
      <c r="AI38" s="181"/>
      <c r="AJ38" s="181"/>
      <c r="AK38" s="181"/>
      <c r="AL38" s="181"/>
      <c r="AM38" s="384" t="s">
        <v>425</v>
      </c>
      <c r="AN38" s="386" t="s">
        <v>394</v>
      </c>
      <c r="AO38" s="181"/>
      <c r="AP38" s="181"/>
      <c r="AQ38" s="181"/>
      <c r="AR38" s="181"/>
      <c r="AS38" s="181"/>
      <c r="AT38" s="181"/>
      <c r="AU38" s="182"/>
      <c r="AV38" s="182"/>
      <c r="AW38" s="182"/>
      <c r="AX38" s="182"/>
      <c r="AY38" s="182"/>
      <c r="AZ38" s="182"/>
      <c r="BA38" s="182"/>
      <c r="BB38" s="182"/>
      <c r="BC38" s="182"/>
      <c r="BD38" s="182"/>
      <c r="BE38" s="182"/>
      <c r="BF38" s="182"/>
      <c r="BG38" s="182"/>
      <c r="BH38" s="182"/>
      <c r="BI38" s="182"/>
      <c r="BJ38" s="182"/>
      <c r="BK38" s="182"/>
      <c r="BL38" s="182"/>
      <c r="BM38" s="182"/>
    </row>
    <row r="39" spans="1:65" ht="14.4">
      <c r="A39" s="181"/>
      <c r="B39" s="181"/>
      <c r="C39" s="181"/>
      <c r="D39" s="181"/>
      <c r="E39" s="181"/>
      <c r="F39" s="181"/>
      <c r="G39" s="181"/>
      <c r="H39" s="181"/>
      <c r="I39" s="181"/>
      <c r="J39" s="181"/>
      <c r="K39" s="181"/>
      <c r="L39" s="181"/>
      <c r="M39" s="181"/>
      <c r="N39" s="181"/>
      <c r="O39" s="181"/>
      <c r="P39" s="181"/>
      <c r="Q39" s="181"/>
      <c r="R39" s="181"/>
      <c r="S39" s="181"/>
      <c r="T39" s="181"/>
      <c r="U39" s="181"/>
      <c r="V39" s="181"/>
      <c r="W39" s="181"/>
      <c r="X39" s="181"/>
      <c r="Y39" s="181"/>
      <c r="Z39" s="181"/>
      <c r="AA39" s="181"/>
      <c r="AB39" s="181"/>
      <c r="AC39" s="181"/>
      <c r="AD39" s="181"/>
      <c r="AE39" s="181"/>
      <c r="AF39" s="181"/>
      <c r="AG39" s="181"/>
      <c r="AH39" s="181"/>
      <c r="AI39" s="181"/>
      <c r="AJ39" s="181"/>
      <c r="AK39" s="181"/>
      <c r="AL39" s="181"/>
      <c r="AM39" s="384" t="s">
        <v>380</v>
      </c>
      <c r="AN39" s="386" t="s">
        <v>440</v>
      </c>
      <c r="AO39" s="181"/>
      <c r="AP39" s="181"/>
      <c r="AQ39" s="181"/>
      <c r="AR39" s="181"/>
      <c r="AS39" s="181"/>
      <c r="AT39" s="181"/>
      <c r="AU39" s="182"/>
      <c r="AV39" s="182"/>
      <c r="AW39" s="182"/>
      <c r="AX39" s="182"/>
      <c r="AY39" s="182"/>
      <c r="AZ39" s="182"/>
      <c r="BA39" s="182"/>
      <c r="BB39" s="182"/>
      <c r="BC39" s="182"/>
      <c r="BD39" s="182"/>
      <c r="BE39" s="182"/>
      <c r="BF39" s="182"/>
      <c r="BG39" s="182"/>
      <c r="BH39" s="182"/>
      <c r="BI39" s="182"/>
      <c r="BJ39" s="182"/>
      <c r="BK39" s="182"/>
      <c r="BL39" s="182"/>
      <c r="BM39" s="182"/>
    </row>
    <row r="40" spans="1:65" ht="14.4">
      <c r="A40" s="181"/>
      <c r="B40" s="181"/>
      <c r="C40" s="181"/>
      <c r="D40" s="181"/>
      <c r="E40" s="181"/>
      <c r="F40" s="181"/>
      <c r="G40" s="181"/>
      <c r="H40" s="181"/>
      <c r="I40" s="181"/>
      <c r="J40" s="181"/>
      <c r="K40" s="181"/>
      <c r="L40" s="181"/>
      <c r="M40" s="181"/>
      <c r="N40" s="181"/>
      <c r="O40" s="181"/>
      <c r="P40" s="181"/>
      <c r="Q40" s="181"/>
      <c r="R40" s="181"/>
      <c r="S40" s="181"/>
      <c r="T40" s="181"/>
      <c r="U40" s="181"/>
      <c r="V40" s="181"/>
      <c r="W40" s="181"/>
      <c r="X40" s="181"/>
      <c r="Y40" s="181"/>
      <c r="Z40" s="181"/>
      <c r="AA40" s="181"/>
      <c r="AB40" s="181"/>
      <c r="AC40" s="181"/>
      <c r="AD40" s="181"/>
      <c r="AE40" s="181"/>
      <c r="AF40" s="181"/>
      <c r="AG40" s="181"/>
      <c r="AH40" s="181"/>
      <c r="AI40" s="181"/>
      <c r="AJ40" s="181"/>
      <c r="AK40" s="181"/>
      <c r="AL40" s="181"/>
      <c r="AM40" s="384" t="s">
        <v>373</v>
      </c>
      <c r="AN40" s="386" t="s">
        <v>382</v>
      </c>
      <c r="AO40" s="181"/>
      <c r="AP40" s="181"/>
      <c r="AQ40" s="181"/>
      <c r="AR40" s="181"/>
      <c r="AS40" s="181"/>
      <c r="AT40" s="181"/>
      <c r="AU40" s="182"/>
      <c r="AV40" s="182"/>
      <c r="AW40" s="182"/>
      <c r="AX40" s="182"/>
      <c r="AY40" s="182"/>
      <c r="AZ40" s="182"/>
      <c r="BA40" s="182"/>
      <c r="BB40" s="182"/>
      <c r="BC40" s="182"/>
      <c r="BD40" s="182"/>
      <c r="BE40" s="182"/>
      <c r="BF40" s="182"/>
      <c r="BG40" s="182"/>
      <c r="BH40" s="182"/>
      <c r="BI40" s="182"/>
      <c r="BJ40" s="182"/>
      <c r="BK40" s="182"/>
      <c r="BL40" s="182"/>
      <c r="BM40" s="182"/>
    </row>
    <row r="41" spans="1:65" ht="14.4">
      <c r="A41" s="181"/>
      <c r="B41" s="181"/>
      <c r="C41" s="181"/>
      <c r="D41" s="181"/>
      <c r="E41" s="181"/>
      <c r="F41" s="181"/>
      <c r="G41" s="185"/>
      <c r="H41" s="185"/>
      <c r="I41" s="185"/>
      <c r="J41" s="185"/>
      <c r="K41" s="185"/>
      <c r="L41" s="185"/>
      <c r="M41" s="185"/>
      <c r="N41" s="185"/>
      <c r="O41" s="185"/>
      <c r="P41" s="185"/>
      <c r="Q41" s="185"/>
      <c r="R41" s="185"/>
      <c r="S41" s="185"/>
      <c r="T41" s="185"/>
      <c r="U41" s="185"/>
      <c r="V41" s="185"/>
      <c r="W41" s="185"/>
      <c r="X41" s="185"/>
      <c r="Y41" s="185"/>
      <c r="Z41" s="185"/>
      <c r="AA41" s="185"/>
      <c r="AB41" s="185"/>
      <c r="AC41" s="185"/>
      <c r="AD41" s="185"/>
      <c r="AE41" s="185"/>
      <c r="AF41" s="185"/>
      <c r="AG41" s="185"/>
      <c r="AH41" s="185"/>
      <c r="AI41" s="185"/>
      <c r="AJ41" s="185"/>
      <c r="AK41" s="185"/>
      <c r="AL41" s="185"/>
      <c r="AM41" s="384" t="s">
        <v>443</v>
      </c>
      <c r="AN41" s="386" t="s">
        <v>446</v>
      </c>
      <c r="AO41" s="185"/>
      <c r="AP41" s="185"/>
      <c r="AQ41" s="185"/>
      <c r="AR41" s="185"/>
      <c r="AS41" s="185"/>
      <c r="AT41" s="185"/>
      <c r="AU41" s="186"/>
      <c r="AV41" s="186"/>
      <c r="AW41" s="186"/>
      <c r="AX41" s="186"/>
      <c r="AY41" s="186"/>
      <c r="AZ41" s="186"/>
      <c r="BA41" s="186"/>
      <c r="BB41" s="186"/>
      <c r="BC41" s="186"/>
      <c r="BD41" s="186"/>
      <c r="BE41" s="186"/>
      <c r="BF41" s="186"/>
      <c r="BG41" s="186"/>
      <c r="BH41" s="186"/>
      <c r="BI41" s="186"/>
      <c r="BJ41" s="186"/>
      <c r="BK41" s="186"/>
      <c r="BL41" s="186"/>
      <c r="BM41" s="186"/>
    </row>
    <row r="42" spans="1:65" ht="14.4">
      <c r="A42" s="181"/>
      <c r="B42" s="181"/>
      <c r="C42" s="181"/>
      <c r="D42" s="181"/>
      <c r="E42" s="181"/>
      <c r="F42" s="181"/>
      <c r="G42" s="185"/>
      <c r="H42" s="185"/>
      <c r="I42" s="185"/>
      <c r="J42" s="185"/>
      <c r="K42" s="185"/>
      <c r="L42" s="185"/>
      <c r="M42" s="185"/>
      <c r="N42" s="185"/>
      <c r="O42" s="185"/>
      <c r="P42" s="185"/>
      <c r="Q42" s="185"/>
      <c r="R42" s="185"/>
      <c r="S42" s="185"/>
      <c r="T42" s="185"/>
      <c r="U42" s="185"/>
      <c r="V42" s="185"/>
      <c r="W42" s="185"/>
      <c r="X42" s="185"/>
      <c r="Y42" s="185"/>
      <c r="Z42" s="185"/>
      <c r="AA42" s="185"/>
      <c r="AB42" s="185"/>
      <c r="AC42" s="185"/>
      <c r="AD42" s="185"/>
      <c r="AE42" s="185"/>
      <c r="AF42" s="185"/>
      <c r="AG42" s="185"/>
      <c r="AH42" s="185"/>
      <c r="AI42" s="185"/>
      <c r="AJ42" s="185"/>
      <c r="AK42" s="185"/>
      <c r="AL42" s="185"/>
      <c r="AM42" s="384" t="s">
        <v>439</v>
      </c>
      <c r="AN42" s="386" t="s">
        <v>413</v>
      </c>
      <c r="AO42" s="185"/>
      <c r="AP42" s="185"/>
      <c r="AQ42" s="185"/>
      <c r="AR42" s="185"/>
      <c r="AS42" s="185"/>
      <c r="AT42" s="185"/>
      <c r="AU42" s="186"/>
      <c r="AV42" s="186"/>
      <c r="AW42" s="186"/>
      <c r="AX42" s="186"/>
      <c r="AY42" s="186"/>
      <c r="AZ42" s="186"/>
      <c r="BA42" s="186"/>
      <c r="BB42" s="186"/>
      <c r="BC42" s="186"/>
      <c r="BD42" s="186"/>
      <c r="BE42" s="186"/>
      <c r="BF42" s="186"/>
      <c r="BG42" s="186"/>
      <c r="BH42" s="186"/>
      <c r="BI42" s="186"/>
      <c r="BJ42" s="186"/>
      <c r="BK42" s="186"/>
      <c r="BL42" s="186"/>
      <c r="BM42" s="186"/>
    </row>
    <row r="43" spans="1:65" ht="14.4">
      <c r="A43" s="181"/>
      <c r="B43" s="181"/>
      <c r="C43" s="181"/>
      <c r="D43" s="181"/>
      <c r="E43" s="181"/>
      <c r="F43" s="181"/>
      <c r="G43" s="185"/>
      <c r="H43" s="185"/>
      <c r="I43" s="185"/>
      <c r="J43" s="185"/>
      <c r="K43" s="185"/>
      <c r="L43" s="185"/>
      <c r="M43" s="185"/>
      <c r="N43" s="185"/>
      <c r="O43" s="185"/>
      <c r="P43" s="185"/>
      <c r="Q43" s="185"/>
      <c r="R43" s="185"/>
      <c r="S43" s="185"/>
      <c r="T43" s="185"/>
      <c r="U43" s="185"/>
      <c r="V43" s="185"/>
      <c r="W43" s="185"/>
      <c r="X43" s="185"/>
      <c r="Y43" s="185"/>
      <c r="Z43" s="185"/>
      <c r="AA43" s="185"/>
      <c r="AB43" s="185"/>
      <c r="AC43" s="185"/>
      <c r="AD43" s="185"/>
      <c r="AE43" s="185"/>
      <c r="AF43" s="185"/>
      <c r="AG43" s="185"/>
      <c r="AH43" s="185"/>
      <c r="AI43" s="185"/>
      <c r="AJ43" s="185"/>
      <c r="AK43" s="185"/>
      <c r="AL43" s="185"/>
      <c r="AM43" s="384" t="s">
        <v>442</v>
      </c>
      <c r="AN43" s="386" t="s">
        <v>395</v>
      </c>
      <c r="AO43" s="185"/>
      <c r="AP43" s="185"/>
      <c r="AQ43" s="185"/>
      <c r="AR43" s="185"/>
      <c r="AS43" s="185"/>
      <c r="AT43" s="185"/>
      <c r="AU43" s="186"/>
      <c r="AV43" s="186"/>
      <c r="AW43" s="186"/>
      <c r="AX43" s="186"/>
      <c r="AY43" s="186"/>
      <c r="AZ43" s="186"/>
      <c r="BA43" s="186"/>
      <c r="BB43" s="186"/>
      <c r="BC43" s="186"/>
      <c r="BD43" s="186"/>
      <c r="BE43" s="186"/>
      <c r="BF43" s="186"/>
      <c r="BG43" s="186"/>
      <c r="BH43" s="186"/>
      <c r="BI43" s="186"/>
      <c r="BJ43" s="186"/>
      <c r="BK43" s="186"/>
      <c r="BL43" s="186"/>
      <c r="BM43" s="186"/>
    </row>
    <row r="44" spans="1:65" ht="14.4">
      <c r="A44" s="181"/>
      <c r="B44" s="181"/>
      <c r="C44" s="181"/>
      <c r="D44" s="181"/>
      <c r="E44" s="181"/>
      <c r="F44" s="181"/>
      <c r="G44" s="185"/>
      <c r="H44" s="185"/>
      <c r="I44" s="185"/>
      <c r="J44" s="185"/>
      <c r="K44" s="185"/>
      <c r="L44" s="185"/>
      <c r="M44" s="185"/>
      <c r="N44" s="185"/>
      <c r="O44" s="185"/>
      <c r="P44" s="185"/>
      <c r="Q44" s="185"/>
      <c r="R44" s="185"/>
      <c r="S44" s="185"/>
      <c r="T44" s="185"/>
      <c r="U44" s="185"/>
      <c r="V44" s="185"/>
      <c r="W44" s="185"/>
      <c r="X44" s="185"/>
      <c r="Y44" s="185"/>
      <c r="Z44" s="185"/>
      <c r="AA44" s="185"/>
      <c r="AB44" s="185"/>
      <c r="AC44" s="185"/>
      <c r="AD44" s="185"/>
      <c r="AE44" s="185"/>
      <c r="AF44" s="185"/>
      <c r="AG44" s="185"/>
      <c r="AH44" s="185"/>
      <c r="AI44" s="185"/>
      <c r="AJ44" s="185"/>
      <c r="AK44" s="185"/>
      <c r="AL44" s="185"/>
      <c r="AM44" s="384" t="s">
        <v>441</v>
      </c>
      <c r="AO44" s="185"/>
      <c r="AP44" s="185"/>
      <c r="AQ44" s="185"/>
      <c r="AR44" s="185"/>
      <c r="AS44" s="185"/>
      <c r="AT44" s="185"/>
      <c r="AU44" s="186"/>
      <c r="AV44" s="186"/>
      <c r="AW44" s="186"/>
      <c r="AX44" s="186"/>
      <c r="AY44" s="186"/>
      <c r="AZ44" s="186"/>
      <c r="BA44" s="186"/>
      <c r="BB44" s="186"/>
      <c r="BC44" s="186"/>
      <c r="BD44" s="186"/>
      <c r="BE44" s="186"/>
      <c r="BF44" s="186"/>
      <c r="BG44" s="186"/>
      <c r="BH44" s="186"/>
      <c r="BI44" s="186"/>
      <c r="BJ44" s="186"/>
      <c r="BK44" s="186"/>
      <c r="BL44" s="186"/>
      <c r="BM44" s="186"/>
    </row>
    <row r="45" spans="1:65" ht="14.4">
      <c r="A45" s="181"/>
      <c r="B45" s="181"/>
      <c r="C45" s="181"/>
      <c r="D45" s="181"/>
      <c r="E45" s="181"/>
      <c r="F45" s="181"/>
      <c r="G45" s="186"/>
      <c r="H45" s="186"/>
      <c r="I45" s="186"/>
      <c r="J45" s="186"/>
      <c r="K45" s="186"/>
      <c r="L45" s="186"/>
      <c r="M45" s="186"/>
      <c r="N45" s="186"/>
      <c r="O45" s="186"/>
      <c r="P45" s="186"/>
      <c r="Q45" s="186"/>
      <c r="R45" s="186"/>
      <c r="S45" s="186"/>
      <c r="T45" s="186"/>
      <c r="U45" s="186"/>
      <c r="V45" s="186"/>
      <c r="W45" s="186"/>
      <c r="X45" s="186"/>
      <c r="Y45" s="186"/>
      <c r="Z45" s="186"/>
      <c r="AA45" s="186"/>
      <c r="AB45" s="186"/>
      <c r="AC45" s="186"/>
      <c r="AD45" s="186"/>
      <c r="AE45" s="186"/>
      <c r="AF45" s="186"/>
      <c r="AG45" s="186"/>
      <c r="AH45" s="186"/>
      <c r="AI45" s="186"/>
      <c r="AJ45" s="186"/>
      <c r="AK45" s="186"/>
      <c r="AL45" s="186"/>
      <c r="AM45" s="384" t="s">
        <v>383</v>
      </c>
      <c r="AO45" s="186"/>
      <c r="AP45" s="186"/>
      <c r="AQ45" s="186"/>
      <c r="AR45" s="186"/>
      <c r="AS45" s="186"/>
      <c r="AT45" s="186"/>
      <c r="AU45" s="186"/>
      <c r="AV45" s="186"/>
      <c r="AW45" s="186"/>
      <c r="AX45" s="186"/>
      <c r="AY45" s="186"/>
      <c r="AZ45" s="186"/>
      <c r="BA45" s="186"/>
      <c r="BB45" s="186"/>
      <c r="BC45" s="186"/>
      <c r="BD45" s="186"/>
      <c r="BE45" s="186"/>
      <c r="BF45" s="186"/>
      <c r="BG45" s="186"/>
      <c r="BH45" s="186"/>
      <c r="BI45" s="186"/>
      <c r="BJ45" s="186"/>
      <c r="BK45" s="186"/>
      <c r="BL45" s="186"/>
      <c r="BM45" s="186"/>
    </row>
    <row r="46" spans="1:65" ht="14.4">
      <c r="A46" s="181"/>
      <c r="B46" s="181"/>
      <c r="C46" s="181"/>
      <c r="D46" s="181"/>
      <c r="E46" s="181"/>
      <c r="F46" s="181"/>
      <c r="G46" s="186"/>
      <c r="H46" s="186"/>
      <c r="I46" s="186"/>
      <c r="J46" s="186"/>
      <c r="K46" s="186"/>
      <c r="L46" s="186"/>
      <c r="M46" s="186"/>
      <c r="N46" s="186"/>
      <c r="O46" s="186"/>
      <c r="P46" s="186"/>
      <c r="Q46" s="186"/>
      <c r="R46" s="186"/>
      <c r="S46" s="186"/>
      <c r="T46" s="186"/>
      <c r="U46" s="186"/>
      <c r="V46" s="186"/>
      <c r="W46" s="186"/>
      <c r="X46" s="186"/>
      <c r="Y46" s="186"/>
      <c r="Z46" s="186"/>
      <c r="AA46" s="186"/>
      <c r="AB46" s="186"/>
      <c r="AC46" s="186"/>
      <c r="AD46" s="186"/>
      <c r="AE46" s="186"/>
      <c r="AF46" s="186"/>
      <c r="AG46" s="186"/>
      <c r="AH46" s="186"/>
      <c r="AI46" s="186"/>
      <c r="AJ46" s="186"/>
      <c r="AK46" s="186"/>
      <c r="AL46" s="186"/>
      <c r="AM46" s="384" t="s">
        <v>414</v>
      </c>
      <c r="AO46" s="186"/>
      <c r="AP46" s="186"/>
      <c r="AQ46" s="186"/>
      <c r="AR46" s="186"/>
      <c r="AS46" s="186"/>
      <c r="AT46" s="186"/>
      <c r="AU46" s="186"/>
      <c r="AV46" s="186"/>
      <c r="AW46" s="186"/>
      <c r="AX46" s="186"/>
      <c r="AY46" s="186"/>
      <c r="AZ46" s="186"/>
      <c r="BA46" s="186"/>
      <c r="BB46" s="186"/>
      <c r="BC46" s="186"/>
      <c r="BD46" s="186"/>
      <c r="BE46" s="186"/>
      <c r="BF46" s="186"/>
      <c r="BG46" s="186"/>
      <c r="BH46" s="186"/>
      <c r="BI46" s="186"/>
      <c r="BJ46" s="186"/>
      <c r="BK46" s="186"/>
      <c r="BL46" s="186"/>
      <c r="BM46" s="186"/>
    </row>
    <row r="47" spans="1:65" ht="14.4">
      <c r="A47" s="181"/>
      <c r="B47" s="181"/>
      <c r="C47" s="181"/>
      <c r="D47" s="181"/>
      <c r="E47" s="181"/>
      <c r="F47" s="181"/>
      <c r="G47" s="186"/>
      <c r="H47" s="186"/>
      <c r="I47" s="186"/>
      <c r="J47" s="186"/>
      <c r="K47" s="186"/>
      <c r="L47" s="186"/>
      <c r="M47" s="186"/>
      <c r="N47" s="186"/>
      <c r="O47" s="186"/>
      <c r="P47" s="186"/>
      <c r="Q47" s="186"/>
      <c r="R47" s="186"/>
      <c r="S47" s="186"/>
      <c r="T47" s="186"/>
      <c r="U47" s="186"/>
      <c r="V47" s="186"/>
      <c r="W47" s="186"/>
      <c r="X47" s="186"/>
      <c r="Y47" s="186"/>
      <c r="Z47" s="186"/>
      <c r="AA47" s="186"/>
      <c r="AB47" s="186"/>
      <c r="AC47" s="186"/>
      <c r="AD47" s="186"/>
      <c r="AE47" s="186"/>
      <c r="AF47" s="186"/>
      <c r="AG47" s="186"/>
      <c r="AH47" s="186"/>
      <c r="AI47" s="186"/>
      <c r="AJ47" s="186"/>
      <c r="AK47" s="186"/>
      <c r="AL47" s="186"/>
      <c r="AM47" s="384" t="s">
        <v>408</v>
      </c>
      <c r="AO47" s="186"/>
      <c r="AP47" s="186"/>
      <c r="AQ47" s="186"/>
      <c r="AR47" s="186"/>
      <c r="AS47" s="186"/>
      <c r="AT47" s="186"/>
      <c r="AU47" s="186"/>
      <c r="AV47" s="186"/>
      <c r="AW47" s="186"/>
      <c r="AX47" s="186"/>
      <c r="AY47" s="186"/>
      <c r="AZ47" s="186"/>
      <c r="BA47" s="186"/>
      <c r="BB47" s="186"/>
      <c r="BC47" s="186"/>
      <c r="BD47" s="186"/>
      <c r="BE47" s="186"/>
      <c r="BF47" s="186"/>
      <c r="BG47" s="186"/>
      <c r="BH47" s="186"/>
      <c r="BI47" s="186"/>
      <c r="BJ47" s="186"/>
      <c r="BK47" s="186"/>
      <c r="BL47" s="186"/>
      <c r="BM47" s="186"/>
    </row>
    <row r="48" spans="1:65" ht="14.4">
      <c r="A48" s="181"/>
      <c r="B48" s="181"/>
      <c r="C48" s="181"/>
      <c r="D48" s="181"/>
      <c r="E48" s="181"/>
      <c r="F48" s="181"/>
      <c r="G48" s="186"/>
      <c r="H48" s="186"/>
      <c r="I48" s="186"/>
      <c r="J48" s="186"/>
      <c r="K48" s="186"/>
      <c r="L48" s="186"/>
      <c r="M48" s="186"/>
      <c r="N48" s="186"/>
      <c r="O48" s="186"/>
      <c r="P48" s="186"/>
      <c r="Q48" s="186"/>
      <c r="R48" s="186"/>
      <c r="S48" s="186"/>
      <c r="T48" s="186"/>
      <c r="U48" s="186"/>
      <c r="V48" s="186"/>
      <c r="W48" s="186"/>
      <c r="X48" s="186"/>
      <c r="Y48" s="186"/>
      <c r="Z48" s="186"/>
      <c r="AA48" s="186"/>
      <c r="AB48" s="186"/>
      <c r="AC48" s="186"/>
      <c r="AD48" s="186"/>
      <c r="AE48" s="186"/>
      <c r="AF48" s="186"/>
      <c r="AG48" s="186"/>
      <c r="AH48" s="186"/>
      <c r="AI48" s="186"/>
      <c r="AJ48" s="186"/>
      <c r="AK48" s="186"/>
      <c r="AL48" s="186"/>
      <c r="AM48" s="384" t="s">
        <v>427</v>
      </c>
      <c r="AO48" s="186"/>
      <c r="AP48" s="186"/>
      <c r="AQ48" s="186"/>
      <c r="AR48" s="186"/>
      <c r="AS48" s="186"/>
      <c r="AT48" s="186"/>
      <c r="AU48" s="186"/>
      <c r="AV48" s="186"/>
      <c r="AW48" s="186"/>
      <c r="AX48" s="186"/>
      <c r="AY48" s="186"/>
      <c r="AZ48" s="186"/>
      <c r="BA48" s="186"/>
      <c r="BB48" s="186"/>
      <c r="BC48" s="186"/>
      <c r="BD48" s="186"/>
      <c r="BE48" s="186"/>
      <c r="BF48" s="186"/>
      <c r="BG48" s="186"/>
      <c r="BH48" s="186"/>
      <c r="BI48" s="186"/>
      <c r="BJ48" s="186"/>
      <c r="BK48" s="186"/>
      <c r="BL48" s="186"/>
      <c r="BM48" s="186"/>
    </row>
    <row r="49" spans="1:65" ht="14.4">
      <c r="A49" s="181"/>
      <c r="B49" s="181"/>
      <c r="C49" s="181"/>
      <c r="D49" s="181"/>
      <c r="E49" s="181"/>
      <c r="F49" s="181"/>
      <c r="G49" s="186"/>
      <c r="H49" s="186"/>
      <c r="I49" s="186"/>
      <c r="J49" s="186"/>
      <c r="K49" s="186"/>
      <c r="L49" s="186"/>
      <c r="M49" s="186"/>
      <c r="N49" s="186"/>
      <c r="O49" s="186"/>
      <c r="P49" s="186"/>
      <c r="Q49" s="186"/>
      <c r="R49" s="186"/>
      <c r="S49" s="186"/>
      <c r="T49" s="186"/>
      <c r="U49" s="186"/>
      <c r="V49" s="186"/>
      <c r="W49" s="186"/>
      <c r="X49" s="186"/>
      <c r="Y49" s="186"/>
      <c r="Z49" s="186"/>
      <c r="AA49" s="186"/>
      <c r="AB49" s="186"/>
      <c r="AC49" s="186"/>
      <c r="AD49" s="186"/>
      <c r="AE49" s="186"/>
      <c r="AF49" s="186"/>
      <c r="AG49" s="186"/>
      <c r="AH49" s="186"/>
      <c r="AI49" s="186"/>
      <c r="AJ49" s="186"/>
      <c r="AK49" s="186"/>
      <c r="AL49" s="186"/>
      <c r="AO49" s="186"/>
      <c r="AP49" s="186"/>
      <c r="AQ49" s="186"/>
      <c r="AR49" s="186"/>
      <c r="AS49" s="186"/>
      <c r="AT49" s="186"/>
      <c r="AU49" s="186"/>
      <c r="AV49" s="186"/>
      <c r="AW49" s="186"/>
      <c r="AX49" s="186"/>
      <c r="AY49" s="186"/>
      <c r="AZ49" s="186"/>
      <c r="BA49" s="186"/>
      <c r="BB49" s="186"/>
      <c r="BC49" s="186"/>
      <c r="BD49" s="186"/>
      <c r="BE49" s="186"/>
      <c r="BF49" s="186"/>
      <c r="BG49" s="186"/>
      <c r="BH49" s="186"/>
      <c r="BI49" s="186"/>
      <c r="BJ49" s="186"/>
      <c r="BK49" s="186"/>
      <c r="BL49" s="186"/>
      <c r="BM49" s="186"/>
    </row>
  </sheetData>
  <sheetProtection sheet="1" objects="1" scenarios="1"/>
  <customSheetViews>
    <customSheetView guid="{D1431318-1DB8-4C45-813B-5A8065DFC797}" showPageBreaks="1" fitToPage="1" printArea="1" view="pageBreakPreview">
      <selection activeCell="F3" sqref="F3"/>
      <pageMargins left="0.25" right="0.25" top="0.28999999999999998" bottom="0.17" header="0.5" footer="0.5"/>
      <pageSetup scale="81" orientation="portrait" blackAndWhite="1" r:id="rId1"/>
      <headerFooter alignWithMargins="0"/>
    </customSheetView>
  </customSheetViews>
  <mergeCells count="5">
    <mergeCell ref="A19:E19"/>
    <mergeCell ref="A17:E17"/>
    <mergeCell ref="A9:E9"/>
    <mergeCell ref="A18:E18"/>
    <mergeCell ref="B1:D1"/>
  </mergeCells>
  <phoneticPr fontId="22" type="noConversion"/>
  <dataValidations count="4">
    <dataValidation type="list" allowBlank="1" showInputMessage="1" showErrorMessage="1" sqref="B10">
      <formula1>$AM$4:$AM$48</formula1>
    </dataValidation>
    <dataValidation type="list" allowBlank="1" showInputMessage="1" showErrorMessage="1" sqref="C10">
      <formula1>$AN$4:$AN$43</formula1>
    </dataValidation>
    <dataValidation type="list" allowBlank="1" showInputMessage="1" showErrorMessage="1" sqref="B4:B8">
      <formula1>OtherEstabType</formula1>
    </dataValidation>
    <dataValidation type="list" allowBlank="1" showInputMessage="1" showErrorMessage="1" sqref="C4:C8">
      <formula1>OtherEstabUnit</formula1>
    </dataValidation>
  </dataValidations>
  <pageMargins left="0.25" right="0.25" top="0.28999999999999998" bottom="0.17" header="0.5" footer="0.5"/>
  <pageSetup scale="80" orientation="portrait" blackAndWhite="1" r:id="rId2"/>
  <headerFooter alignWithMargins="0"/>
  <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indexed="10"/>
  </sheetPr>
  <dimension ref="A1:CF131"/>
  <sheetViews>
    <sheetView showGridLines="0" view="pageBreakPreview" zoomScaleNormal="100" zoomScaleSheetLayoutView="100" workbookViewId="0">
      <selection activeCell="C3" sqref="C3"/>
    </sheetView>
  </sheetViews>
  <sheetFormatPr defaultColWidth="8.88671875" defaultRowHeight="13.2"/>
  <cols>
    <col min="1" max="1" width="23.44140625" customWidth="1"/>
    <col min="2" max="2" width="24.109375" customWidth="1"/>
    <col min="3" max="3" width="13.44140625" customWidth="1"/>
    <col min="4" max="4" width="10.44140625" customWidth="1"/>
    <col min="5" max="7" width="9.88671875" customWidth="1"/>
  </cols>
  <sheetData>
    <row r="1" spans="1:84" s="101" customFormat="1" ht="43.5" customHeight="1">
      <c r="B1" s="3964" t="s">
        <v>1763</v>
      </c>
      <c r="C1" s="3964"/>
      <c r="D1" s="3964"/>
      <c r="E1" s="480"/>
      <c r="F1" s="481"/>
      <c r="G1" s="482"/>
      <c r="H1" s="195"/>
      <c r="I1" s="195"/>
      <c r="J1" s="195"/>
      <c r="K1" s="195"/>
      <c r="L1" s="195"/>
      <c r="M1" s="195"/>
      <c r="N1" s="195"/>
      <c r="O1" s="196"/>
      <c r="P1" s="197"/>
      <c r="Q1" s="197"/>
      <c r="R1" s="197"/>
      <c r="S1" s="197"/>
      <c r="T1" s="197"/>
      <c r="U1" s="197"/>
      <c r="V1" s="197"/>
      <c r="W1" s="197"/>
      <c r="X1" s="197"/>
      <c r="Y1" s="197"/>
      <c r="Z1" s="197"/>
      <c r="AA1" s="197"/>
      <c r="AB1" s="197"/>
      <c r="AC1" s="197"/>
      <c r="AD1" s="197"/>
      <c r="AE1" s="197"/>
      <c r="AF1" s="197"/>
      <c r="AG1" s="483"/>
      <c r="AH1" s="483"/>
      <c r="AI1" s="483"/>
      <c r="AJ1" s="483"/>
      <c r="AK1" s="483"/>
      <c r="AL1" s="483"/>
      <c r="AM1" s="483"/>
      <c r="AN1" s="483"/>
      <c r="AO1" s="483"/>
      <c r="AP1" s="483"/>
      <c r="AQ1" s="483"/>
      <c r="AR1" s="483"/>
      <c r="AS1" s="483"/>
      <c r="AT1" s="483"/>
      <c r="AU1" s="483"/>
      <c r="AV1" s="483"/>
      <c r="AW1" s="483"/>
      <c r="AX1" s="483"/>
      <c r="AY1" s="483"/>
      <c r="AZ1" s="483"/>
      <c r="BA1" s="483"/>
      <c r="BB1" s="483"/>
      <c r="BC1" s="483"/>
      <c r="BD1" s="483"/>
      <c r="BE1" s="483"/>
      <c r="BF1" s="483"/>
      <c r="BG1" s="483"/>
      <c r="BH1" s="483"/>
      <c r="BI1" s="483"/>
      <c r="BJ1" s="483"/>
      <c r="BK1" s="483"/>
      <c r="BL1" s="483"/>
      <c r="BM1" s="483"/>
      <c r="BN1" s="483"/>
      <c r="BO1" s="483"/>
      <c r="BP1" s="483"/>
      <c r="BQ1" s="483"/>
      <c r="BR1" s="483"/>
      <c r="BS1" s="483"/>
      <c r="BT1" s="483"/>
      <c r="BU1" s="483"/>
      <c r="BV1" s="483"/>
      <c r="BW1" s="483"/>
      <c r="BX1" s="483"/>
      <c r="BY1" s="483"/>
      <c r="BZ1" s="483"/>
      <c r="CA1" s="483"/>
      <c r="CB1" s="483"/>
      <c r="CC1" s="483"/>
      <c r="CD1" s="483"/>
      <c r="CE1" s="483"/>
      <c r="CF1" s="483"/>
    </row>
    <row r="2" spans="1:84" ht="15" customHeight="1">
      <c r="A2" s="191"/>
      <c r="B2" s="192"/>
      <c r="C2" s="193"/>
      <c r="D2" s="193"/>
      <c r="E2" s="194"/>
      <c r="F2" s="3987" t="str">
        <f>'Drop-Down Lists'!J40</f>
        <v>v 04.01.2021</v>
      </c>
      <c r="G2" s="3987"/>
      <c r="H2" s="195"/>
      <c r="I2" s="195"/>
      <c r="J2" s="195"/>
      <c r="K2" s="195"/>
      <c r="L2" s="195"/>
      <c r="M2" s="195"/>
      <c r="N2" s="195"/>
      <c r="O2" s="196"/>
      <c r="P2" s="197"/>
      <c r="Q2" s="197"/>
      <c r="R2" s="197"/>
      <c r="S2" s="197"/>
      <c r="T2" s="197"/>
      <c r="U2" s="197"/>
      <c r="V2" s="197"/>
      <c r="W2" s="197"/>
      <c r="X2" s="197"/>
      <c r="Y2" s="197"/>
      <c r="Z2" s="197"/>
      <c r="AA2" s="197"/>
      <c r="AB2" s="197"/>
      <c r="AC2" s="197"/>
      <c r="AD2" s="197"/>
      <c r="AE2" s="197"/>
      <c r="AF2" s="197"/>
      <c r="AG2" s="190"/>
      <c r="AH2" s="190"/>
      <c r="AI2" s="190"/>
      <c r="AJ2" s="190"/>
      <c r="AK2" s="190"/>
      <c r="AL2" s="190"/>
      <c r="AM2" s="190"/>
      <c r="AN2" s="190"/>
      <c r="AO2" s="190"/>
      <c r="AP2" s="190"/>
      <c r="AQ2" s="190"/>
      <c r="AR2" s="190"/>
      <c r="AS2" s="190"/>
      <c r="AT2" s="190"/>
      <c r="AU2" s="190"/>
      <c r="AV2" s="190"/>
      <c r="AW2" s="190"/>
      <c r="AX2" s="190"/>
      <c r="AY2" s="190"/>
      <c r="AZ2" s="190"/>
      <c r="BA2" s="190"/>
      <c r="BB2" s="190"/>
      <c r="BC2" s="190"/>
      <c r="BD2" s="190"/>
      <c r="BE2" s="190"/>
      <c r="BF2" s="190"/>
      <c r="BG2" s="190"/>
      <c r="BH2" s="190"/>
      <c r="BI2" s="190"/>
      <c r="BJ2" s="190"/>
      <c r="BK2" s="190"/>
      <c r="BL2" s="190"/>
      <c r="BM2" s="190"/>
      <c r="BN2" s="190"/>
      <c r="BO2" s="190"/>
      <c r="BP2" s="190"/>
      <c r="BQ2" s="190"/>
      <c r="BR2" s="190"/>
      <c r="BS2" s="190"/>
      <c r="BT2" s="190"/>
      <c r="BU2" s="190"/>
      <c r="BV2" s="190"/>
      <c r="BW2" s="190"/>
      <c r="BX2" s="190"/>
      <c r="BY2" s="190"/>
      <c r="BZ2" s="190"/>
      <c r="CA2" s="190"/>
      <c r="CB2" s="190"/>
      <c r="CC2" s="190"/>
      <c r="CD2" s="190"/>
      <c r="CE2" s="190"/>
      <c r="CF2" s="190"/>
    </row>
    <row r="3" spans="1:84" ht="39.75" customHeight="1">
      <c r="A3" s="198" t="s">
        <v>535</v>
      </c>
      <c r="B3" s="199" t="s">
        <v>452</v>
      </c>
      <c r="C3" s="1206"/>
      <c r="D3" s="200" t="s">
        <v>117</v>
      </c>
      <c r="E3" s="3978" t="s">
        <v>511</v>
      </c>
      <c r="F3" s="3979"/>
      <c r="G3" s="3980"/>
      <c r="H3" s="187"/>
      <c r="I3" s="187"/>
      <c r="J3" s="187"/>
      <c r="K3" s="187"/>
      <c r="L3" s="187"/>
      <c r="M3" s="187"/>
      <c r="N3" s="187"/>
      <c r="O3" s="188"/>
      <c r="P3" s="189"/>
      <c r="Q3" s="189"/>
      <c r="R3" s="189"/>
      <c r="S3" s="189"/>
      <c r="T3" s="189"/>
      <c r="U3" s="189"/>
      <c r="V3" s="189"/>
      <c r="W3" s="189"/>
      <c r="X3" s="189"/>
      <c r="Y3" s="189"/>
      <c r="Z3" s="189"/>
      <c r="AA3" s="189"/>
      <c r="AB3" s="189"/>
      <c r="AC3" s="189"/>
      <c r="AD3" s="189"/>
      <c r="AE3" s="189"/>
      <c r="AF3" s="189"/>
      <c r="AG3" s="190"/>
      <c r="AH3" s="190"/>
      <c r="AI3" s="190"/>
      <c r="AJ3" s="190"/>
      <c r="AK3" s="190"/>
      <c r="AL3" s="190"/>
      <c r="AM3" s="190"/>
      <c r="AN3" s="190"/>
      <c r="AO3" s="190"/>
      <c r="AP3" s="190"/>
      <c r="AQ3" s="190"/>
      <c r="AR3" s="190"/>
      <c r="AS3" s="190"/>
      <c r="AT3" s="190"/>
      <c r="AU3" s="190"/>
      <c r="AV3" s="190"/>
      <c r="AW3" s="190"/>
      <c r="AX3" s="190"/>
      <c r="AY3" s="190"/>
      <c r="AZ3" s="190"/>
      <c r="BA3" s="190"/>
      <c r="BB3" s="190"/>
      <c r="BC3" s="190"/>
      <c r="BD3" s="190"/>
      <c r="BE3" s="190"/>
      <c r="BF3" s="190"/>
      <c r="BG3" s="190"/>
      <c r="BH3" s="190"/>
      <c r="BI3" s="190"/>
      <c r="BJ3" s="190"/>
      <c r="BK3" s="190"/>
      <c r="BL3" s="190"/>
      <c r="BM3" s="190"/>
      <c r="BN3" s="190"/>
      <c r="BO3" s="190"/>
      <c r="BP3" s="190"/>
      <c r="BQ3" s="190"/>
      <c r="BR3" s="190"/>
      <c r="BS3" s="190"/>
      <c r="BT3" s="190"/>
      <c r="BU3" s="190"/>
      <c r="BV3" s="190"/>
      <c r="BW3" s="190"/>
      <c r="BX3" s="190"/>
      <c r="BY3" s="190"/>
      <c r="BZ3" s="190"/>
      <c r="CA3" s="190"/>
      <c r="CB3" s="190"/>
      <c r="CC3" s="190"/>
      <c r="CD3" s="190"/>
      <c r="CE3" s="190"/>
      <c r="CF3" s="190"/>
    </row>
    <row r="4" spans="1:84" ht="7.5" customHeight="1">
      <c r="A4" s="3974"/>
      <c r="B4" s="3975"/>
      <c r="C4" s="3975"/>
      <c r="D4" s="3975"/>
      <c r="E4" s="3975"/>
      <c r="F4" s="3975"/>
      <c r="G4" s="3975"/>
      <c r="H4" s="201"/>
      <c r="I4" s="201"/>
      <c r="J4" s="201"/>
      <c r="K4" s="201"/>
      <c r="L4" s="201"/>
      <c r="M4" s="201"/>
      <c r="N4" s="201"/>
      <c r="O4" s="202"/>
      <c r="P4" s="190"/>
      <c r="Q4" s="190"/>
      <c r="R4" s="190"/>
      <c r="S4" s="190"/>
      <c r="T4" s="190"/>
      <c r="U4" s="190"/>
      <c r="V4" s="190"/>
      <c r="W4" s="190"/>
      <c r="X4" s="190"/>
      <c r="Y4" s="190"/>
      <c r="Z4" s="190"/>
      <c r="AA4" s="190"/>
      <c r="AB4" s="190"/>
      <c r="AC4" s="190"/>
      <c r="AD4" s="190"/>
      <c r="AE4" s="190"/>
      <c r="AF4" s="190"/>
      <c r="AG4" s="190"/>
      <c r="AH4" s="190"/>
      <c r="AI4" s="190"/>
      <c r="AJ4" s="190"/>
      <c r="AK4" s="190"/>
      <c r="AL4" s="190"/>
      <c r="AM4" s="190"/>
      <c r="AN4" s="190"/>
      <c r="AO4" s="190"/>
      <c r="AP4" s="190"/>
      <c r="AQ4" s="190"/>
      <c r="AR4" s="190"/>
      <c r="AS4" s="190"/>
      <c r="AT4" s="190"/>
      <c r="AU4" s="190"/>
      <c r="AV4" s="190"/>
      <c r="AW4" s="190"/>
      <c r="AX4" s="190"/>
      <c r="AY4" s="190"/>
      <c r="AZ4" s="190"/>
      <c r="BA4" s="190"/>
      <c r="BB4" s="190"/>
      <c r="BC4" s="190"/>
      <c r="BD4" s="190"/>
      <c r="BE4" s="190"/>
      <c r="BF4" s="190"/>
      <c r="BG4" s="190"/>
      <c r="BH4" s="190"/>
      <c r="BI4" s="190"/>
      <c r="BJ4" s="190"/>
      <c r="BK4" s="190"/>
      <c r="BL4" s="190"/>
      <c r="BM4" s="190"/>
      <c r="BN4" s="190"/>
      <c r="BO4" s="190"/>
      <c r="BP4" s="190"/>
      <c r="BQ4" s="190"/>
      <c r="BR4" s="190"/>
      <c r="BS4" s="190"/>
      <c r="BT4" s="190"/>
      <c r="BU4" s="190"/>
      <c r="BV4" s="190"/>
      <c r="BW4" s="190"/>
      <c r="BX4" s="190"/>
      <c r="BY4" s="190"/>
      <c r="BZ4" s="190"/>
      <c r="CA4" s="190"/>
      <c r="CB4" s="190"/>
      <c r="CC4" s="190"/>
      <c r="CD4" s="190"/>
      <c r="CE4" s="190"/>
      <c r="CF4" s="190"/>
    </row>
    <row r="5" spans="1:84" ht="39.75" customHeight="1">
      <c r="A5" s="198" t="s">
        <v>536</v>
      </c>
      <c r="B5" s="203" t="s">
        <v>512</v>
      </c>
      <c r="C5" s="1207"/>
      <c r="D5" s="200" t="s">
        <v>117</v>
      </c>
      <c r="E5" s="3978" t="s">
        <v>513</v>
      </c>
      <c r="F5" s="3979"/>
      <c r="G5" s="3980"/>
      <c r="H5" s="187"/>
      <c r="I5" s="187"/>
      <c r="J5" s="187"/>
      <c r="K5" s="187"/>
      <c r="L5" s="187"/>
      <c r="M5" s="187"/>
      <c r="N5" s="187"/>
      <c r="O5" s="188"/>
      <c r="P5" s="189"/>
      <c r="Q5" s="189"/>
      <c r="R5" s="189"/>
      <c r="S5" s="189"/>
      <c r="T5" s="189"/>
      <c r="U5" s="189"/>
      <c r="V5" s="189"/>
      <c r="W5" s="189"/>
      <c r="X5" s="189"/>
      <c r="Y5" s="189"/>
      <c r="Z5" s="189"/>
      <c r="AA5" s="189"/>
      <c r="AB5" s="189"/>
      <c r="AC5" s="189"/>
      <c r="AD5" s="189"/>
      <c r="AE5" s="189"/>
      <c r="AF5" s="189"/>
      <c r="AG5" s="190"/>
      <c r="AH5" s="190"/>
      <c r="AI5" s="190"/>
      <c r="AJ5" s="190"/>
      <c r="AK5" s="190"/>
      <c r="AL5" s="190"/>
      <c r="AM5" s="190"/>
      <c r="AN5" s="190"/>
      <c r="AO5" s="190"/>
      <c r="AP5" s="190"/>
      <c r="AQ5" s="190"/>
      <c r="AR5" s="190"/>
      <c r="AS5" s="190"/>
      <c r="AT5" s="190"/>
      <c r="AU5" s="190"/>
      <c r="AV5" s="190"/>
      <c r="AW5" s="190"/>
      <c r="AX5" s="190"/>
      <c r="AY5" s="190"/>
      <c r="AZ5" s="190"/>
      <c r="BA5" s="190"/>
      <c r="BB5" s="190"/>
      <c r="BC5" s="190"/>
      <c r="BD5" s="190"/>
      <c r="BE5" s="190"/>
      <c r="BF5" s="190"/>
      <c r="BG5" s="190"/>
      <c r="BH5" s="190"/>
      <c r="BI5" s="190"/>
      <c r="BJ5" s="190"/>
      <c r="BK5" s="190"/>
      <c r="BL5" s="190"/>
      <c r="BM5" s="190"/>
      <c r="BN5" s="190"/>
      <c r="BO5" s="190"/>
      <c r="BP5" s="190"/>
      <c r="BQ5" s="190"/>
      <c r="BR5" s="190"/>
      <c r="BS5" s="190"/>
      <c r="BT5" s="190"/>
      <c r="BU5" s="190"/>
      <c r="BV5" s="190"/>
      <c r="BW5" s="190"/>
      <c r="BX5" s="190"/>
      <c r="BY5" s="190"/>
      <c r="BZ5" s="190"/>
      <c r="CA5" s="190"/>
      <c r="CB5" s="190"/>
      <c r="CC5" s="190"/>
      <c r="CD5" s="190"/>
      <c r="CE5" s="190"/>
      <c r="CF5" s="190"/>
    </row>
    <row r="6" spans="1:84" ht="7.5" customHeight="1">
      <c r="A6" s="3974"/>
      <c r="B6" s="3975"/>
      <c r="C6" s="3975"/>
      <c r="D6" s="3975"/>
      <c r="E6" s="3975"/>
      <c r="F6" s="3975"/>
      <c r="G6" s="3975"/>
      <c r="H6" s="201"/>
      <c r="I6" s="201"/>
      <c r="J6" s="201"/>
      <c r="K6" s="201"/>
      <c r="L6" s="201"/>
      <c r="M6" s="201"/>
      <c r="N6" s="201"/>
      <c r="O6" s="202"/>
      <c r="P6" s="190"/>
      <c r="Q6" s="190"/>
      <c r="R6" s="190"/>
      <c r="S6" s="190"/>
      <c r="T6" s="190"/>
      <c r="U6" s="190"/>
      <c r="V6" s="190"/>
      <c r="W6" s="190"/>
      <c r="X6" s="190"/>
      <c r="Y6" s="190"/>
      <c r="Z6" s="190"/>
      <c r="AA6" s="190"/>
      <c r="AB6" s="190"/>
      <c r="AC6" s="190"/>
      <c r="AD6" s="190"/>
      <c r="AE6" s="190"/>
      <c r="AF6" s="190"/>
      <c r="AG6" s="190"/>
      <c r="AH6" s="190"/>
      <c r="AI6" s="190"/>
      <c r="AJ6" s="190"/>
      <c r="AK6" s="190"/>
      <c r="AL6" s="190"/>
      <c r="AM6" s="190"/>
      <c r="AN6" s="190"/>
      <c r="AO6" s="190"/>
      <c r="AP6" s="190"/>
      <c r="AQ6" s="190"/>
      <c r="AR6" s="190"/>
      <c r="AS6" s="190"/>
      <c r="AT6" s="190"/>
      <c r="AU6" s="190"/>
      <c r="AV6" s="190"/>
      <c r="AW6" s="190"/>
      <c r="AX6" s="190"/>
      <c r="AY6" s="190"/>
      <c r="AZ6" s="190"/>
      <c r="BA6" s="190"/>
      <c r="BB6" s="190"/>
      <c r="BC6" s="190"/>
      <c r="BD6" s="190"/>
      <c r="BE6" s="190"/>
      <c r="BF6" s="190"/>
      <c r="BG6" s="190"/>
      <c r="BH6" s="190"/>
      <c r="BI6" s="190"/>
      <c r="BJ6" s="190"/>
      <c r="BK6" s="190"/>
      <c r="BL6" s="190"/>
      <c r="BM6" s="190"/>
      <c r="BN6" s="190"/>
      <c r="BO6" s="190"/>
      <c r="BP6" s="190"/>
      <c r="BQ6" s="190"/>
      <c r="BR6" s="190"/>
      <c r="BS6" s="190"/>
      <c r="BT6" s="190"/>
      <c r="BU6" s="190"/>
      <c r="BV6" s="190"/>
      <c r="BW6" s="190"/>
      <c r="BX6" s="190"/>
      <c r="BY6" s="190"/>
      <c r="BZ6" s="190"/>
      <c r="CA6" s="190"/>
      <c r="CB6" s="190"/>
      <c r="CC6" s="190"/>
      <c r="CD6" s="190"/>
      <c r="CE6" s="190"/>
      <c r="CF6" s="190"/>
    </row>
    <row r="7" spans="1:84" ht="45" customHeight="1">
      <c r="A7" s="3984" t="s">
        <v>537</v>
      </c>
      <c r="B7" s="204" t="s">
        <v>546</v>
      </c>
      <c r="C7" s="1208"/>
      <c r="D7" s="205" t="s">
        <v>629</v>
      </c>
      <c r="E7" s="3965" t="s">
        <v>613</v>
      </c>
      <c r="F7" s="3966"/>
      <c r="G7" s="3967"/>
      <c r="H7" s="187"/>
      <c r="I7" s="187"/>
      <c r="J7" s="187"/>
      <c r="K7" s="187"/>
      <c r="L7" s="187"/>
      <c r="M7" s="187"/>
      <c r="N7" s="187"/>
      <c r="O7" s="188"/>
      <c r="P7" s="189"/>
      <c r="Q7" s="189"/>
      <c r="R7" s="189"/>
      <c r="S7" s="189"/>
      <c r="T7" s="189"/>
      <c r="U7" s="189"/>
      <c r="V7" s="189"/>
      <c r="W7" s="189"/>
      <c r="X7" s="189"/>
      <c r="Y7" s="189"/>
      <c r="Z7" s="189"/>
      <c r="AA7" s="189"/>
      <c r="AB7" s="189"/>
      <c r="AC7" s="189"/>
      <c r="AD7" s="189"/>
      <c r="AE7" s="189"/>
      <c r="AF7" s="189"/>
      <c r="AG7" s="190"/>
      <c r="AH7" s="190"/>
      <c r="AI7" s="190"/>
      <c r="AJ7" s="190"/>
      <c r="AK7" s="190"/>
      <c r="AL7" s="190"/>
      <c r="AM7" s="190"/>
      <c r="AN7" s="190"/>
      <c r="AO7" s="190"/>
      <c r="AP7" s="190"/>
      <c r="AQ7" s="190"/>
      <c r="AR7" s="190"/>
      <c r="AS7" s="190"/>
      <c r="AT7" s="190"/>
      <c r="AU7" s="190"/>
      <c r="AV7" s="190"/>
      <c r="AW7" s="190"/>
      <c r="AX7" s="190"/>
      <c r="AY7" s="190"/>
      <c r="AZ7" s="190"/>
      <c r="BA7" s="190"/>
      <c r="BB7" s="190"/>
      <c r="BC7" s="190"/>
      <c r="BD7" s="190"/>
      <c r="BE7" s="190"/>
      <c r="BF7" s="190"/>
      <c r="BG7" s="190"/>
      <c r="BH7" s="190"/>
      <c r="BI7" s="190"/>
      <c r="BJ7" s="190"/>
      <c r="BK7" s="190"/>
      <c r="BL7" s="190"/>
      <c r="BM7" s="190"/>
      <c r="BN7" s="190"/>
      <c r="BO7" s="190"/>
      <c r="BP7" s="190"/>
      <c r="BQ7" s="190"/>
      <c r="BR7" s="190"/>
      <c r="BS7" s="190"/>
      <c r="BT7" s="190"/>
      <c r="BU7" s="190"/>
      <c r="BV7" s="190"/>
      <c r="BW7" s="190"/>
      <c r="BX7" s="190"/>
      <c r="BY7" s="190"/>
      <c r="BZ7" s="190"/>
      <c r="CA7" s="190"/>
      <c r="CB7" s="190"/>
      <c r="CC7" s="190"/>
      <c r="CD7" s="190"/>
      <c r="CE7" s="190"/>
      <c r="CF7" s="190"/>
    </row>
    <row r="8" spans="1:84" ht="45" customHeight="1">
      <c r="A8" s="3985"/>
      <c r="B8" s="206" t="s">
        <v>545</v>
      </c>
      <c r="C8" s="1209"/>
      <c r="D8" s="207" t="s">
        <v>640</v>
      </c>
      <c r="E8" s="3968"/>
      <c r="F8" s="3969"/>
      <c r="G8" s="3970"/>
      <c r="H8" s="187"/>
      <c r="I8" s="187"/>
      <c r="J8" s="187"/>
      <c r="K8" s="187"/>
      <c r="L8" s="187"/>
      <c r="M8" s="187"/>
      <c r="N8" s="187"/>
      <c r="O8" s="188"/>
      <c r="P8" s="189"/>
      <c r="Q8" s="189"/>
      <c r="R8" s="189"/>
      <c r="S8" s="189"/>
      <c r="T8" s="189"/>
      <c r="U8" s="189"/>
      <c r="V8" s="189"/>
      <c r="W8" s="189"/>
      <c r="X8" s="189"/>
      <c r="Y8" s="189"/>
      <c r="Z8" s="189"/>
      <c r="AA8" s="189"/>
      <c r="AB8" s="189"/>
      <c r="AC8" s="189"/>
      <c r="AD8" s="189"/>
      <c r="AE8" s="189"/>
      <c r="AF8" s="189"/>
      <c r="AG8" s="190"/>
      <c r="AH8" s="190"/>
      <c r="AI8" s="190"/>
      <c r="AJ8" s="190"/>
      <c r="AK8" s="190"/>
      <c r="AL8" s="190"/>
      <c r="AM8" s="190"/>
      <c r="AN8" s="190"/>
      <c r="AO8" s="190"/>
      <c r="AP8" s="190"/>
      <c r="AQ8" s="190"/>
      <c r="AR8" s="190"/>
      <c r="AS8" s="190"/>
      <c r="AT8" s="190"/>
      <c r="AU8" s="190"/>
      <c r="AV8" s="190"/>
      <c r="AW8" s="190"/>
      <c r="AX8" s="190"/>
      <c r="AY8" s="190"/>
      <c r="AZ8" s="190"/>
      <c r="BA8" s="190"/>
      <c r="BB8" s="190"/>
      <c r="BC8" s="190"/>
      <c r="BD8" s="190"/>
      <c r="BE8" s="190"/>
      <c r="BF8" s="190"/>
      <c r="BG8" s="190"/>
      <c r="BH8" s="190"/>
      <c r="BI8" s="190"/>
      <c r="BJ8" s="190"/>
      <c r="BK8" s="190"/>
      <c r="BL8" s="190"/>
      <c r="BM8" s="190"/>
      <c r="BN8" s="190"/>
      <c r="BO8" s="190"/>
      <c r="BP8" s="190"/>
      <c r="BQ8" s="190"/>
      <c r="BR8" s="190"/>
      <c r="BS8" s="190"/>
      <c r="BT8" s="190"/>
      <c r="BU8" s="190"/>
      <c r="BV8" s="190"/>
      <c r="BW8" s="190"/>
      <c r="BX8" s="190"/>
      <c r="BY8" s="190"/>
      <c r="BZ8" s="190"/>
      <c r="CA8" s="190"/>
      <c r="CB8" s="190"/>
      <c r="CC8" s="190"/>
      <c r="CD8" s="190"/>
      <c r="CE8" s="190"/>
      <c r="CF8" s="190"/>
    </row>
    <row r="9" spans="1:84" ht="45" customHeight="1">
      <c r="A9" s="3986"/>
      <c r="B9" s="204" t="s">
        <v>266</v>
      </c>
      <c r="C9" s="700" t="str">
        <f>IF(ISBLANK(C7),"",((C7/5280)*C8*200))</f>
        <v/>
      </c>
      <c r="D9" s="208" t="s">
        <v>117</v>
      </c>
      <c r="E9" s="3971"/>
      <c r="F9" s="3972"/>
      <c r="G9" s="3973"/>
      <c r="H9" s="195"/>
      <c r="I9" s="195"/>
      <c r="J9" s="195"/>
      <c r="K9" s="195"/>
      <c r="L9" s="195"/>
      <c r="M9" s="195"/>
      <c r="N9" s="195"/>
      <c r="O9" s="196"/>
      <c r="P9" s="197"/>
      <c r="Q9" s="197"/>
      <c r="R9" s="197"/>
      <c r="S9" s="197"/>
      <c r="T9" s="197"/>
      <c r="U9" s="197"/>
      <c r="V9" s="197"/>
      <c r="W9" s="197"/>
      <c r="X9" s="197"/>
      <c r="Y9" s="197"/>
      <c r="Z9" s="197"/>
      <c r="AA9" s="197"/>
      <c r="AB9" s="197"/>
      <c r="AC9" s="197"/>
      <c r="AD9" s="197"/>
      <c r="AE9" s="197"/>
      <c r="AF9" s="197"/>
      <c r="AG9" s="190"/>
      <c r="AH9" s="190"/>
      <c r="AI9" s="190"/>
      <c r="AJ9" s="190"/>
      <c r="AK9" s="190"/>
      <c r="AL9" s="190"/>
      <c r="AM9" s="190"/>
      <c r="AN9" s="190"/>
      <c r="AO9" s="190"/>
      <c r="AP9" s="190"/>
      <c r="AQ9" s="190"/>
      <c r="AR9" s="190"/>
      <c r="AS9" s="190"/>
      <c r="AT9" s="190"/>
      <c r="AU9" s="190"/>
      <c r="AV9" s="190"/>
      <c r="AW9" s="190"/>
      <c r="AX9" s="190"/>
      <c r="AY9" s="190"/>
      <c r="AZ9" s="190"/>
      <c r="BA9" s="190"/>
      <c r="BB9" s="190"/>
      <c r="BC9" s="190"/>
      <c r="BD9" s="190"/>
      <c r="BE9" s="190"/>
      <c r="BF9" s="190"/>
      <c r="BG9" s="190"/>
      <c r="BH9" s="190"/>
      <c r="BI9" s="190"/>
      <c r="BJ9" s="190"/>
      <c r="BK9" s="190"/>
      <c r="BL9" s="190"/>
      <c r="BM9" s="190"/>
      <c r="BN9" s="190"/>
      <c r="BO9" s="190"/>
      <c r="BP9" s="190"/>
      <c r="BQ9" s="190"/>
      <c r="BR9" s="190"/>
      <c r="BS9" s="190"/>
      <c r="BT9" s="190"/>
      <c r="BU9" s="190"/>
      <c r="BV9" s="190"/>
      <c r="BW9" s="190"/>
      <c r="BX9" s="190"/>
      <c r="BY9" s="190"/>
      <c r="BZ9" s="190"/>
      <c r="CA9" s="190"/>
      <c r="CB9" s="190"/>
      <c r="CC9" s="190"/>
      <c r="CD9" s="190"/>
      <c r="CE9" s="190"/>
      <c r="CF9" s="190"/>
    </row>
    <row r="10" spans="1:84" ht="7.5" customHeight="1" thickBot="1">
      <c r="A10" s="3974"/>
      <c r="B10" s="3975"/>
      <c r="C10" s="3975"/>
      <c r="D10" s="3975"/>
      <c r="E10" s="3975"/>
      <c r="F10" s="3975"/>
      <c r="G10" s="3975"/>
      <c r="H10" s="201"/>
      <c r="I10" s="201"/>
      <c r="J10" s="201"/>
      <c r="K10" s="201"/>
      <c r="L10" s="201"/>
      <c r="M10" s="201"/>
      <c r="N10" s="201"/>
      <c r="O10" s="202"/>
      <c r="P10" s="190"/>
      <c r="Q10" s="190"/>
      <c r="R10" s="190"/>
      <c r="S10" s="190"/>
      <c r="T10" s="190"/>
      <c r="U10" s="190"/>
      <c r="V10" s="190"/>
      <c r="W10" s="190"/>
      <c r="X10" s="190"/>
      <c r="Y10" s="190"/>
      <c r="Z10" s="190"/>
      <c r="AA10" s="190"/>
      <c r="AB10" s="190"/>
      <c r="AC10" s="190"/>
      <c r="AD10" s="190"/>
      <c r="AE10" s="190"/>
      <c r="AF10" s="190"/>
      <c r="AG10" s="190"/>
      <c r="AH10" s="190"/>
      <c r="AI10" s="190"/>
      <c r="AJ10" s="190"/>
      <c r="AK10" s="190"/>
      <c r="AL10" s="190"/>
      <c r="AM10" s="190"/>
      <c r="AN10" s="190"/>
      <c r="AO10" s="190"/>
      <c r="AP10" s="190"/>
      <c r="AQ10" s="190"/>
      <c r="AR10" s="190"/>
      <c r="AS10" s="190"/>
      <c r="AT10" s="190"/>
      <c r="AU10" s="190"/>
      <c r="AV10" s="190"/>
      <c r="AW10" s="190"/>
      <c r="AX10" s="190"/>
      <c r="AY10" s="190"/>
      <c r="AZ10" s="190"/>
      <c r="BA10" s="190"/>
      <c r="BB10" s="190"/>
      <c r="BC10" s="190"/>
      <c r="BD10" s="190"/>
      <c r="BE10" s="190"/>
      <c r="BF10" s="190"/>
      <c r="BG10" s="190"/>
      <c r="BH10" s="190"/>
      <c r="BI10" s="190"/>
      <c r="BJ10" s="190"/>
      <c r="BK10" s="190"/>
      <c r="BL10" s="190"/>
      <c r="BM10" s="190"/>
      <c r="BN10" s="190"/>
      <c r="BO10" s="190"/>
      <c r="BP10" s="190"/>
      <c r="BQ10" s="190"/>
      <c r="BR10" s="190"/>
      <c r="BS10" s="190"/>
      <c r="BT10" s="190"/>
      <c r="BU10" s="190"/>
      <c r="BV10" s="190"/>
      <c r="BW10" s="190"/>
      <c r="BX10" s="190"/>
      <c r="BY10" s="190"/>
      <c r="BZ10" s="190"/>
      <c r="CA10" s="190"/>
      <c r="CB10" s="190"/>
      <c r="CC10" s="190"/>
      <c r="CD10" s="190"/>
      <c r="CE10" s="190"/>
      <c r="CF10" s="190"/>
    </row>
    <row r="11" spans="1:84" ht="42" customHeight="1" thickBot="1">
      <c r="A11" s="3976" t="s">
        <v>538</v>
      </c>
      <c r="B11" s="3977"/>
      <c r="C11" s="701" t="str">
        <f>IF(ISBLANK(C3),"",SUM(C3,C5,C9))</f>
        <v/>
      </c>
      <c r="D11" s="209" t="s">
        <v>117</v>
      </c>
      <c r="E11" s="3981" t="s">
        <v>539</v>
      </c>
      <c r="F11" s="3982"/>
      <c r="G11" s="3983"/>
      <c r="H11" s="195"/>
      <c r="I11" s="195"/>
      <c r="J11" s="195"/>
      <c r="K11" s="195"/>
      <c r="L11" s="195"/>
      <c r="M11" s="195"/>
      <c r="N11" s="195"/>
      <c r="O11" s="196"/>
      <c r="P11" s="197"/>
      <c r="Q11" s="197"/>
      <c r="R11" s="197"/>
      <c r="S11" s="197"/>
      <c r="T11" s="197"/>
      <c r="U11" s="197"/>
      <c r="V11" s="197"/>
      <c r="W11" s="197"/>
      <c r="X11" s="197"/>
      <c r="Y11" s="197"/>
      <c r="Z11" s="197"/>
      <c r="AA11" s="197"/>
      <c r="AB11" s="197"/>
      <c r="AC11" s="197"/>
      <c r="AD11" s="197"/>
      <c r="AE11" s="197"/>
      <c r="AF11" s="197"/>
      <c r="AG11" s="190"/>
      <c r="AH11" s="190"/>
      <c r="AI11" s="190"/>
      <c r="AJ11" s="190"/>
      <c r="AK11" s="190"/>
      <c r="AL11" s="190"/>
      <c r="AM11" s="190"/>
      <c r="AN11" s="190"/>
      <c r="AO11" s="190"/>
      <c r="AP11" s="190"/>
      <c r="AQ11" s="190"/>
      <c r="AR11" s="190"/>
      <c r="AS11" s="190"/>
      <c r="AT11" s="190"/>
      <c r="AU11" s="190"/>
      <c r="AV11" s="190"/>
      <c r="AW11" s="190"/>
      <c r="AX11" s="190"/>
      <c r="AY11" s="190"/>
      <c r="AZ11" s="190"/>
      <c r="BA11" s="190"/>
      <c r="BB11" s="190"/>
      <c r="BC11" s="190"/>
      <c r="BD11" s="190"/>
      <c r="BE11" s="190"/>
      <c r="BF11" s="190"/>
      <c r="BG11" s="190"/>
      <c r="BH11" s="190"/>
      <c r="BI11" s="190"/>
      <c r="BJ11" s="190"/>
      <c r="BK11" s="190"/>
      <c r="BL11" s="190"/>
      <c r="BM11" s="190"/>
      <c r="BN11" s="190"/>
      <c r="BO11" s="190"/>
      <c r="BP11" s="190"/>
      <c r="BQ11" s="190"/>
      <c r="BR11" s="190"/>
      <c r="BS11" s="190"/>
      <c r="BT11" s="190"/>
      <c r="BU11" s="190"/>
      <c r="BV11" s="190"/>
      <c r="BW11" s="190"/>
      <c r="BX11" s="190"/>
      <c r="BY11" s="190"/>
      <c r="BZ11" s="190"/>
      <c r="CA11" s="190"/>
      <c r="CB11" s="190"/>
      <c r="CC11" s="190"/>
      <c r="CD11" s="190"/>
      <c r="CE11" s="190"/>
      <c r="CF11" s="190"/>
    </row>
    <row r="12" spans="1:84" ht="15">
      <c r="A12" s="210"/>
      <c r="B12" s="187"/>
      <c r="C12" s="187"/>
      <c r="D12" s="187"/>
      <c r="E12" s="187"/>
      <c r="F12" s="187"/>
      <c r="G12" s="187"/>
      <c r="H12" s="187"/>
      <c r="I12" s="187"/>
      <c r="J12" s="187"/>
      <c r="K12" s="187"/>
      <c r="L12" s="187"/>
      <c r="M12" s="187"/>
      <c r="N12" s="187"/>
      <c r="O12" s="188"/>
      <c r="P12" s="189"/>
      <c r="Q12" s="189"/>
      <c r="R12" s="189"/>
      <c r="S12" s="189"/>
      <c r="T12" s="189"/>
      <c r="U12" s="189"/>
      <c r="V12" s="189"/>
      <c r="W12" s="189"/>
      <c r="X12" s="189"/>
      <c r="Y12" s="189"/>
      <c r="Z12" s="189"/>
      <c r="AA12" s="189"/>
      <c r="AB12" s="189"/>
      <c r="AC12" s="189"/>
      <c r="AD12" s="189"/>
      <c r="AE12" s="189"/>
      <c r="AF12" s="189"/>
      <c r="AG12" s="190"/>
      <c r="AH12" s="190"/>
      <c r="AI12" s="190"/>
      <c r="AJ12" s="190"/>
      <c r="AK12" s="190"/>
      <c r="AL12" s="190"/>
      <c r="AM12" s="190"/>
      <c r="AN12" s="190"/>
      <c r="AO12" s="190"/>
      <c r="AP12" s="190"/>
      <c r="AQ12" s="190"/>
      <c r="AR12" s="190"/>
      <c r="AS12" s="190"/>
      <c r="AT12" s="190"/>
      <c r="AU12" s="190"/>
      <c r="AV12" s="190"/>
      <c r="AW12" s="190"/>
      <c r="AX12" s="190"/>
      <c r="AY12" s="190"/>
      <c r="AZ12" s="190"/>
      <c r="BA12" s="190"/>
      <c r="BB12" s="190"/>
      <c r="BC12" s="190"/>
      <c r="BD12" s="190"/>
      <c r="BE12" s="190"/>
      <c r="BF12" s="190"/>
      <c r="BG12" s="190"/>
      <c r="BH12" s="190"/>
      <c r="BI12" s="190"/>
      <c r="BJ12" s="190"/>
      <c r="BK12" s="190"/>
      <c r="BL12" s="190"/>
      <c r="BM12" s="190"/>
      <c r="BN12" s="190"/>
      <c r="BO12" s="190"/>
      <c r="BP12" s="190"/>
      <c r="BQ12" s="190"/>
      <c r="BR12" s="190"/>
      <c r="BS12" s="190"/>
      <c r="BT12" s="190"/>
      <c r="BU12" s="190"/>
      <c r="BV12" s="190"/>
      <c r="BW12" s="190"/>
      <c r="BX12" s="190"/>
      <c r="BY12" s="190"/>
      <c r="BZ12" s="190"/>
      <c r="CA12" s="190"/>
      <c r="CB12" s="190"/>
      <c r="CC12" s="190"/>
      <c r="CD12" s="190"/>
      <c r="CE12" s="190"/>
      <c r="CF12" s="190"/>
    </row>
    <row r="13" spans="1:84" ht="15">
      <c r="A13" s="210"/>
      <c r="B13" s="187"/>
      <c r="C13" s="187"/>
      <c r="D13" s="187"/>
      <c r="E13" s="187"/>
      <c r="F13" s="187"/>
      <c r="G13" s="187"/>
      <c r="H13" s="187"/>
      <c r="I13" s="187"/>
      <c r="J13" s="187"/>
      <c r="K13" s="187"/>
      <c r="L13" s="187"/>
      <c r="M13" s="187"/>
      <c r="N13" s="187"/>
      <c r="O13" s="188"/>
      <c r="P13" s="189"/>
      <c r="Q13" s="189"/>
      <c r="R13" s="189"/>
      <c r="S13" s="189"/>
      <c r="T13" s="189"/>
      <c r="U13" s="189"/>
      <c r="V13" s="189"/>
      <c r="W13" s="189"/>
      <c r="X13" s="189"/>
      <c r="Y13" s="189"/>
      <c r="Z13" s="189"/>
      <c r="AA13" s="189"/>
      <c r="AB13" s="189"/>
      <c r="AC13" s="189"/>
      <c r="AD13" s="189"/>
      <c r="AE13" s="189"/>
      <c r="AF13" s="189"/>
      <c r="AG13" s="190"/>
      <c r="AH13" s="190"/>
      <c r="AI13" s="190"/>
      <c r="AJ13" s="190"/>
      <c r="AK13" s="190"/>
      <c r="AL13" s="190"/>
      <c r="AM13" s="190"/>
      <c r="AN13" s="190"/>
      <c r="AO13" s="190"/>
      <c r="AP13" s="190"/>
      <c r="AQ13" s="190"/>
      <c r="AR13" s="190"/>
      <c r="AS13" s="190"/>
      <c r="AT13" s="190"/>
      <c r="AU13" s="190"/>
      <c r="AV13" s="190"/>
      <c r="AW13" s="190"/>
      <c r="AX13" s="190"/>
      <c r="AY13" s="190"/>
      <c r="AZ13" s="190"/>
      <c r="BA13" s="190"/>
      <c r="BB13" s="190"/>
      <c r="BC13" s="190"/>
      <c r="BD13" s="190"/>
      <c r="BE13" s="190"/>
      <c r="BF13" s="190"/>
      <c r="BG13" s="190"/>
      <c r="BH13" s="190"/>
      <c r="BI13" s="190"/>
      <c r="BJ13" s="190"/>
      <c r="BK13" s="190"/>
      <c r="BL13" s="190"/>
      <c r="BM13" s="190"/>
      <c r="BN13" s="190"/>
      <c r="BO13" s="190"/>
      <c r="BP13" s="190"/>
      <c r="BQ13" s="190"/>
      <c r="BR13" s="190"/>
      <c r="BS13" s="190"/>
      <c r="BT13" s="190"/>
      <c r="BU13" s="190"/>
      <c r="BV13" s="190"/>
      <c r="BW13" s="190"/>
      <c r="BX13" s="190"/>
      <c r="BY13" s="190"/>
      <c r="BZ13" s="190"/>
      <c r="CA13" s="190"/>
      <c r="CB13" s="190"/>
      <c r="CC13" s="190"/>
      <c r="CD13" s="190"/>
      <c r="CE13" s="190"/>
      <c r="CF13" s="190"/>
    </row>
    <row r="14" spans="1:84" ht="15">
      <c r="A14" s="210"/>
      <c r="B14" s="187"/>
      <c r="C14" s="187"/>
      <c r="D14" s="187"/>
      <c r="E14" s="187"/>
      <c r="F14" s="187"/>
      <c r="G14" s="187"/>
      <c r="H14" s="187"/>
      <c r="I14" s="187"/>
      <c r="J14" s="187"/>
      <c r="K14" s="187"/>
      <c r="L14" s="187"/>
      <c r="M14" s="187"/>
      <c r="N14" s="187"/>
      <c r="O14" s="188"/>
      <c r="P14" s="189"/>
      <c r="Q14" s="189"/>
      <c r="R14" s="189"/>
      <c r="S14" s="189"/>
      <c r="T14" s="189"/>
      <c r="U14" s="189"/>
      <c r="V14" s="189"/>
      <c r="W14" s="189"/>
      <c r="X14" s="189"/>
      <c r="Y14" s="189"/>
      <c r="Z14" s="189"/>
      <c r="AA14" s="189"/>
      <c r="AB14" s="189"/>
      <c r="AC14" s="189"/>
      <c r="AD14" s="189"/>
      <c r="AE14" s="189"/>
      <c r="AF14" s="189"/>
      <c r="AG14" s="190"/>
      <c r="AH14" s="190"/>
      <c r="AI14" s="190"/>
      <c r="AJ14" s="190"/>
      <c r="AK14" s="190"/>
      <c r="AL14" s="190"/>
      <c r="AM14" s="190"/>
      <c r="AN14" s="190"/>
      <c r="AO14" s="190"/>
      <c r="AP14" s="190"/>
      <c r="AQ14" s="190"/>
      <c r="AR14" s="190"/>
      <c r="AS14" s="190"/>
      <c r="AT14" s="190"/>
      <c r="AU14" s="190"/>
      <c r="AV14" s="190"/>
      <c r="AW14" s="190"/>
      <c r="AX14" s="190"/>
      <c r="AY14" s="190"/>
      <c r="AZ14" s="190"/>
      <c r="BA14" s="190"/>
      <c r="BB14" s="190"/>
      <c r="BC14" s="190"/>
      <c r="BD14" s="190"/>
      <c r="BE14" s="190"/>
      <c r="BF14" s="190"/>
      <c r="BG14" s="190"/>
      <c r="BH14" s="190"/>
      <c r="BI14" s="190"/>
      <c r="BJ14" s="190"/>
      <c r="BK14" s="190"/>
      <c r="BL14" s="190"/>
      <c r="BM14" s="190"/>
      <c r="BN14" s="190"/>
      <c r="BO14" s="190"/>
      <c r="BP14" s="190"/>
      <c r="BQ14" s="190"/>
      <c r="BR14" s="190"/>
      <c r="BS14" s="190"/>
      <c r="BT14" s="190"/>
      <c r="BU14" s="190"/>
      <c r="BV14" s="190"/>
      <c r="BW14" s="190"/>
      <c r="BX14" s="190"/>
      <c r="BY14" s="190"/>
      <c r="BZ14" s="190"/>
      <c r="CA14" s="190"/>
      <c r="CB14" s="190"/>
      <c r="CC14" s="190"/>
      <c r="CD14" s="190"/>
      <c r="CE14" s="190"/>
      <c r="CF14" s="190"/>
    </row>
    <row r="15" spans="1:84" ht="15">
      <c r="A15" s="210"/>
      <c r="B15" s="187"/>
      <c r="C15" s="187"/>
      <c r="D15" s="187"/>
      <c r="E15" s="187"/>
      <c r="F15" s="187"/>
      <c r="G15" s="187"/>
      <c r="H15" s="187"/>
      <c r="I15" s="187"/>
      <c r="J15" s="187"/>
      <c r="K15" s="187"/>
      <c r="L15" s="187"/>
      <c r="M15" s="187"/>
      <c r="N15" s="187"/>
      <c r="O15" s="188"/>
      <c r="P15" s="189"/>
      <c r="Q15" s="189"/>
      <c r="R15" s="189"/>
      <c r="S15" s="189"/>
      <c r="T15" s="189"/>
      <c r="U15" s="189"/>
      <c r="V15" s="189"/>
      <c r="W15" s="189"/>
      <c r="X15" s="189"/>
      <c r="Y15" s="189"/>
      <c r="Z15" s="189"/>
      <c r="AA15" s="189"/>
      <c r="AB15" s="189"/>
      <c r="AC15" s="189"/>
      <c r="AD15" s="189"/>
      <c r="AE15" s="189"/>
      <c r="AF15" s="189"/>
      <c r="AG15" s="190"/>
      <c r="AH15" s="190"/>
      <c r="AI15" s="190"/>
      <c r="AJ15" s="190"/>
      <c r="AK15" s="190"/>
      <c r="AL15" s="190"/>
      <c r="AM15" s="190"/>
      <c r="AN15" s="190"/>
      <c r="AO15" s="190"/>
      <c r="AP15" s="190"/>
      <c r="AQ15" s="190"/>
      <c r="AR15" s="190"/>
      <c r="AS15" s="190"/>
      <c r="AT15" s="190"/>
      <c r="AU15" s="190"/>
      <c r="AV15" s="190"/>
      <c r="AW15" s="190"/>
      <c r="AX15" s="190"/>
      <c r="AY15" s="190"/>
      <c r="AZ15" s="190"/>
      <c r="BA15" s="190"/>
      <c r="BB15" s="190"/>
      <c r="BC15" s="190"/>
      <c r="BD15" s="190"/>
      <c r="BE15" s="190"/>
      <c r="BF15" s="190"/>
      <c r="BG15" s="190"/>
      <c r="BH15" s="190"/>
      <c r="BI15" s="190"/>
      <c r="BJ15" s="190"/>
      <c r="BK15" s="190"/>
      <c r="BL15" s="190"/>
      <c r="BM15" s="190"/>
      <c r="BN15" s="190"/>
      <c r="BO15" s="190"/>
      <c r="BP15" s="190"/>
      <c r="BQ15" s="190"/>
      <c r="BR15" s="190"/>
      <c r="BS15" s="190"/>
      <c r="BT15" s="190"/>
      <c r="BU15" s="190"/>
      <c r="BV15" s="190"/>
      <c r="BW15" s="190"/>
      <c r="BX15" s="190"/>
      <c r="BY15" s="190"/>
      <c r="BZ15" s="190"/>
      <c r="CA15" s="190"/>
      <c r="CB15" s="190"/>
      <c r="CC15" s="190"/>
      <c r="CD15" s="190"/>
      <c r="CE15" s="190"/>
      <c r="CF15" s="190"/>
    </row>
    <row r="16" spans="1:84" ht="15">
      <c r="A16" s="210"/>
      <c r="B16" s="187"/>
      <c r="C16" s="187"/>
      <c r="D16" s="187"/>
      <c r="E16" s="187"/>
      <c r="F16" s="187"/>
      <c r="G16" s="187"/>
      <c r="H16" s="187"/>
      <c r="I16" s="187"/>
      <c r="J16" s="187"/>
      <c r="K16" s="187"/>
      <c r="L16" s="187"/>
      <c r="M16" s="187"/>
      <c r="N16" s="187"/>
      <c r="O16" s="188"/>
      <c r="P16" s="189"/>
      <c r="Q16" s="189"/>
      <c r="R16" s="189"/>
      <c r="S16" s="189"/>
      <c r="T16" s="189"/>
      <c r="U16" s="189"/>
      <c r="V16" s="189"/>
      <c r="W16" s="189"/>
      <c r="X16" s="189"/>
      <c r="Y16" s="189"/>
      <c r="Z16" s="189"/>
      <c r="AA16" s="189"/>
      <c r="AB16" s="189"/>
      <c r="AC16" s="189"/>
      <c r="AD16" s="189"/>
      <c r="AE16" s="189"/>
      <c r="AF16" s="189"/>
      <c r="AG16" s="190"/>
      <c r="AH16" s="190"/>
      <c r="AI16" s="190"/>
      <c r="AJ16" s="190"/>
      <c r="AK16" s="190"/>
      <c r="AL16" s="190"/>
      <c r="AM16" s="190"/>
      <c r="AN16" s="190"/>
      <c r="AO16" s="190"/>
      <c r="AP16" s="190"/>
      <c r="AQ16" s="190"/>
      <c r="AR16" s="190"/>
      <c r="AS16" s="190"/>
      <c r="AT16" s="190"/>
      <c r="AU16" s="190"/>
      <c r="AV16" s="190"/>
      <c r="AW16" s="190"/>
      <c r="AX16" s="190"/>
      <c r="AY16" s="190"/>
      <c r="AZ16" s="190"/>
      <c r="BA16" s="190"/>
      <c r="BB16" s="190"/>
      <c r="BC16" s="190"/>
      <c r="BD16" s="190"/>
      <c r="BE16" s="190"/>
      <c r="BF16" s="190"/>
      <c r="BG16" s="190"/>
      <c r="BH16" s="190"/>
      <c r="BI16" s="190"/>
      <c r="BJ16" s="190"/>
      <c r="BK16" s="190"/>
      <c r="BL16" s="190"/>
      <c r="BM16" s="190"/>
      <c r="BN16" s="190"/>
      <c r="BO16" s="190"/>
      <c r="BP16" s="190"/>
      <c r="BQ16" s="190"/>
      <c r="BR16" s="190"/>
      <c r="BS16" s="190"/>
      <c r="BT16" s="190"/>
      <c r="BU16" s="190"/>
      <c r="BV16" s="190"/>
      <c r="BW16" s="190"/>
      <c r="BX16" s="190"/>
      <c r="BY16" s="190"/>
      <c r="BZ16" s="190"/>
      <c r="CA16" s="190"/>
      <c r="CB16" s="190"/>
      <c r="CC16" s="190"/>
      <c r="CD16" s="190"/>
      <c r="CE16" s="190"/>
      <c r="CF16" s="190"/>
    </row>
    <row r="17" spans="1:84" ht="15">
      <c r="A17" s="210"/>
      <c r="B17" s="187"/>
      <c r="C17" s="187"/>
      <c r="D17" s="187"/>
      <c r="E17" s="187"/>
      <c r="F17" s="187"/>
      <c r="G17" s="187"/>
      <c r="H17" s="187"/>
      <c r="I17" s="187"/>
      <c r="J17" s="187"/>
      <c r="K17" s="187"/>
      <c r="L17" s="187"/>
      <c r="M17" s="187"/>
      <c r="N17" s="187"/>
      <c r="O17" s="188"/>
      <c r="P17" s="189"/>
      <c r="Q17" s="189"/>
      <c r="R17" s="189"/>
      <c r="S17" s="189"/>
      <c r="T17" s="189"/>
      <c r="U17" s="189"/>
      <c r="V17" s="189"/>
      <c r="W17" s="189"/>
      <c r="X17" s="189"/>
      <c r="Y17" s="189"/>
      <c r="Z17" s="189"/>
      <c r="AA17" s="189"/>
      <c r="AB17" s="189"/>
      <c r="AC17" s="189"/>
      <c r="AD17" s="189"/>
      <c r="AE17" s="189"/>
      <c r="AF17" s="189"/>
      <c r="AG17" s="190"/>
      <c r="AH17" s="190"/>
      <c r="AI17" s="190"/>
      <c r="AJ17" s="190"/>
      <c r="AK17" s="190"/>
      <c r="AL17" s="190"/>
      <c r="AM17" s="190"/>
      <c r="AN17" s="190"/>
      <c r="AO17" s="190"/>
      <c r="AP17" s="190"/>
      <c r="AQ17" s="190"/>
      <c r="AR17" s="190"/>
      <c r="AS17" s="190"/>
      <c r="AT17" s="190"/>
      <c r="AU17" s="190"/>
      <c r="AV17" s="190"/>
      <c r="AW17" s="190"/>
      <c r="AX17" s="190"/>
      <c r="AY17" s="190"/>
      <c r="AZ17" s="190"/>
      <c r="BA17" s="190"/>
      <c r="BB17" s="190"/>
      <c r="BC17" s="190"/>
      <c r="BD17" s="190"/>
      <c r="BE17" s="190"/>
      <c r="BF17" s="190"/>
      <c r="BG17" s="190"/>
      <c r="BH17" s="190"/>
      <c r="BI17" s="190"/>
      <c r="BJ17" s="190"/>
      <c r="BK17" s="190"/>
      <c r="BL17" s="190"/>
      <c r="BM17" s="190"/>
      <c r="BN17" s="190"/>
      <c r="BO17" s="190"/>
      <c r="BP17" s="190"/>
      <c r="BQ17" s="190"/>
      <c r="BR17" s="190"/>
      <c r="BS17" s="190"/>
      <c r="BT17" s="190"/>
      <c r="BU17" s="190"/>
      <c r="BV17" s="190"/>
      <c r="BW17" s="190"/>
      <c r="BX17" s="190"/>
      <c r="BY17" s="190"/>
      <c r="BZ17" s="190"/>
      <c r="CA17" s="190"/>
      <c r="CB17" s="190"/>
      <c r="CC17" s="190"/>
      <c r="CD17" s="190"/>
      <c r="CE17" s="190"/>
      <c r="CF17" s="190"/>
    </row>
    <row r="18" spans="1:84" ht="15">
      <c r="A18" s="210"/>
      <c r="B18" s="187"/>
      <c r="C18" s="187"/>
      <c r="D18" s="187"/>
      <c r="E18" s="187"/>
      <c r="F18" s="187"/>
      <c r="G18" s="187"/>
      <c r="H18" s="187"/>
      <c r="I18" s="187"/>
      <c r="J18" s="187"/>
      <c r="K18" s="187"/>
      <c r="L18" s="187"/>
      <c r="M18" s="187"/>
      <c r="N18" s="187"/>
      <c r="O18" s="188"/>
      <c r="P18" s="189"/>
      <c r="Q18" s="189"/>
      <c r="R18" s="189"/>
      <c r="S18" s="189"/>
      <c r="T18" s="189"/>
      <c r="U18" s="189"/>
      <c r="V18" s="189"/>
      <c r="W18" s="189"/>
      <c r="X18" s="189"/>
      <c r="Y18" s="189"/>
      <c r="Z18" s="189"/>
      <c r="AA18" s="189"/>
      <c r="AB18" s="189"/>
      <c r="AC18" s="189"/>
      <c r="AD18" s="189"/>
      <c r="AE18" s="189"/>
      <c r="AF18" s="189"/>
      <c r="AG18" s="190"/>
      <c r="AH18" s="190"/>
      <c r="AI18" s="190"/>
      <c r="AJ18" s="190"/>
      <c r="AK18" s="190"/>
      <c r="AL18" s="190"/>
      <c r="AM18" s="190"/>
      <c r="AN18" s="190"/>
      <c r="AO18" s="190"/>
      <c r="AP18" s="190"/>
      <c r="AQ18" s="190"/>
      <c r="AR18" s="190"/>
      <c r="AS18" s="190"/>
      <c r="AT18" s="190"/>
      <c r="AU18" s="190"/>
      <c r="AV18" s="190"/>
      <c r="AW18" s="190"/>
      <c r="AX18" s="190"/>
      <c r="AY18" s="190"/>
      <c r="AZ18" s="190"/>
      <c r="BA18" s="190"/>
      <c r="BB18" s="190"/>
      <c r="BC18" s="190"/>
      <c r="BD18" s="190"/>
      <c r="BE18" s="190"/>
      <c r="BF18" s="190"/>
      <c r="BG18" s="190"/>
      <c r="BH18" s="190"/>
      <c r="BI18" s="190"/>
      <c r="BJ18" s="190"/>
      <c r="BK18" s="190"/>
      <c r="BL18" s="190"/>
      <c r="BM18" s="190"/>
      <c r="BN18" s="190"/>
      <c r="BO18" s="190"/>
      <c r="BP18" s="190"/>
      <c r="BQ18" s="190"/>
      <c r="BR18" s="190"/>
      <c r="BS18" s="190"/>
      <c r="BT18" s="190"/>
      <c r="BU18" s="190"/>
      <c r="BV18" s="190"/>
      <c r="BW18" s="190"/>
      <c r="BX18" s="190"/>
      <c r="BY18" s="190"/>
      <c r="BZ18" s="190"/>
      <c r="CA18" s="190"/>
      <c r="CB18" s="190"/>
      <c r="CC18" s="190"/>
      <c r="CD18" s="190"/>
      <c r="CE18" s="190"/>
      <c r="CF18" s="190"/>
    </row>
    <row r="19" spans="1:84" ht="15">
      <c r="A19" s="210"/>
      <c r="B19" s="187"/>
      <c r="C19" s="187"/>
      <c r="D19" s="187"/>
      <c r="E19" s="187"/>
      <c r="F19" s="187"/>
      <c r="G19" s="187"/>
      <c r="H19" s="187"/>
      <c r="I19" s="187"/>
      <c r="J19" s="187"/>
      <c r="K19" s="187"/>
      <c r="L19" s="187"/>
      <c r="M19" s="187"/>
      <c r="N19" s="187"/>
      <c r="O19" s="188"/>
      <c r="P19" s="189"/>
      <c r="Q19" s="189"/>
      <c r="R19" s="189"/>
      <c r="S19" s="189"/>
      <c r="T19" s="189"/>
      <c r="U19" s="189"/>
      <c r="V19" s="189"/>
      <c r="W19" s="189"/>
      <c r="X19" s="189"/>
      <c r="Y19" s="189"/>
      <c r="Z19" s="189"/>
      <c r="AA19" s="189"/>
      <c r="AB19" s="189"/>
      <c r="AC19" s="189"/>
      <c r="AD19" s="189"/>
      <c r="AE19" s="189"/>
      <c r="AF19" s="189"/>
      <c r="AG19" s="190"/>
      <c r="AH19" s="190"/>
      <c r="AI19" s="190"/>
      <c r="AJ19" s="190"/>
      <c r="AK19" s="190"/>
      <c r="AL19" s="190"/>
      <c r="AM19" s="190"/>
      <c r="AN19" s="190"/>
      <c r="AO19" s="190"/>
      <c r="AP19" s="190"/>
      <c r="AQ19" s="190"/>
      <c r="AR19" s="190"/>
      <c r="AS19" s="190"/>
      <c r="AT19" s="190"/>
      <c r="AU19" s="190"/>
      <c r="AV19" s="190"/>
      <c r="AW19" s="190"/>
      <c r="AX19" s="190"/>
      <c r="AY19" s="190"/>
      <c r="AZ19" s="190"/>
      <c r="BA19" s="190"/>
      <c r="BB19" s="190"/>
      <c r="BC19" s="190"/>
      <c r="BD19" s="190"/>
      <c r="BE19" s="190"/>
      <c r="BF19" s="190"/>
      <c r="BG19" s="190"/>
      <c r="BH19" s="190"/>
      <c r="BI19" s="190"/>
      <c r="BJ19" s="190"/>
      <c r="BK19" s="190"/>
      <c r="BL19" s="190"/>
      <c r="BM19" s="190"/>
      <c r="BN19" s="190"/>
      <c r="BO19" s="190"/>
      <c r="BP19" s="190"/>
      <c r="BQ19" s="190"/>
      <c r="BR19" s="190"/>
      <c r="BS19" s="190"/>
      <c r="BT19" s="190"/>
      <c r="BU19" s="190"/>
      <c r="BV19" s="190"/>
      <c r="BW19" s="190"/>
      <c r="BX19" s="190"/>
      <c r="BY19" s="190"/>
      <c r="BZ19" s="190"/>
      <c r="CA19" s="190"/>
      <c r="CB19" s="190"/>
      <c r="CC19" s="190"/>
      <c r="CD19" s="190"/>
      <c r="CE19" s="190"/>
      <c r="CF19" s="190"/>
    </row>
    <row r="20" spans="1:84" ht="15">
      <c r="A20" s="210"/>
      <c r="B20" s="187"/>
      <c r="C20" s="187"/>
      <c r="D20" s="187"/>
      <c r="E20" s="187"/>
      <c r="F20" s="187"/>
      <c r="G20" s="187"/>
      <c r="H20" s="187"/>
      <c r="I20" s="187"/>
      <c r="J20" s="187"/>
      <c r="K20" s="187"/>
      <c r="L20" s="187"/>
      <c r="M20" s="187"/>
      <c r="N20" s="187"/>
      <c r="O20" s="188"/>
      <c r="P20" s="189"/>
      <c r="Q20" s="189"/>
      <c r="R20" s="189"/>
      <c r="S20" s="189"/>
      <c r="T20" s="189"/>
      <c r="U20" s="189"/>
      <c r="V20" s="189"/>
      <c r="W20" s="189"/>
      <c r="X20" s="189"/>
      <c r="Y20" s="189"/>
      <c r="Z20" s="189"/>
      <c r="AA20" s="189"/>
      <c r="AB20" s="189"/>
      <c r="AC20" s="189"/>
      <c r="AD20" s="189"/>
      <c r="AE20" s="189"/>
      <c r="AF20" s="189"/>
      <c r="AG20" s="190"/>
      <c r="AH20" s="190"/>
      <c r="AI20" s="190"/>
      <c r="AJ20" s="190"/>
      <c r="AK20" s="190"/>
      <c r="AL20" s="190"/>
      <c r="AM20" s="190"/>
      <c r="AN20" s="190"/>
      <c r="AO20" s="190"/>
      <c r="AP20" s="190"/>
      <c r="AQ20" s="190"/>
      <c r="AR20" s="190"/>
      <c r="AS20" s="190"/>
      <c r="AT20" s="190"/>
      <c r="AU20" s="190"/>
      <c r="AV20" s="190"/>
      <c r="AW20" s="190"/>
      <c r="AX20" s="190"/>
      <c r="AY20" s="190"/>
      <c r="AZ20" s="190"/>
      <c r="BA20" s="190"/>
      <c r="BB20" s="190"/>
      <c r="BC20" s="190"/>
      <c r="BD20" s="190"/>
      <c r="BE20" s="190"/>
      <c r="BF20" s="190"/>
      <c r="BG20" s="190"/>
      <c r="BH20" s="190"/>
      <c r="BI20" s="190"/>
      <c r="BJ20" s="190"/>
      <c r="BK20" s="190"/>
      <c r="BL20" s="190"/>
      <c r="BM20" s="190"/>
      <c r="BN20" s="190"/>
      <c r="BO20" s="190"/>
      <c r="BP20" s="190"/>
      <c r="BQ20" s="190"/>
      <c r="BR20" s="190"/>
      <c r="BS20" s="190"/>
      <c r="BT20" s="190"/>
      <c r="BU20" s="190"/>
      <c r="BV20" s="190"/>
      <c r="BW20" s="190"/>
      <c r="BX20" s="190"/>
      <c r="BY20" s="190"/>
      <c r="BZ20" s="190"/>
      <c r="CA20" s="190"/>
      <c r="CB20" s="190"/>
      <c r="CC20" s="190"/>
      <c r="CD20" s="190"/>
      <c r="CE20" s="190"/>
      <c r="CF20" s="190"/>
    </row>
    <row r="21" spans="1:84" ht="15">
      <c r="A21" s="210"/>
      <c r="B21" s="187"/>
      <c r="C21" s="187"/>
      <c r="D21" s="187"/>
      <c r="E21" s="187"/>
      <c r="F21" s="187"/>
      <c r="G21" s="187"/>
      <c r="H21" s="187"/>
      <c r="I21" s="187"/>
      <c r="J21" s="187"/>
      <c r="K21" s="187"/>
      <c r="L21" s="187"/>
      <c r="M21" s="187"/>
      <c r="N21" s="187"/>
      <c r="O21" s="188"/>
      <c r="P21" s="189"/>
      <c r="Q21" s="189"/>
      <c r="R21" s="189"/>
      <c r="S21" s="189"/>
      <c r="T21" s="189"/>
      <c r="U21" s="189"/>
      <c r="V21" s="189"/>
      <c r="W21" s="189"/>
      <c r="X21" s="189"/>
      <c r="Y21" s="189"/>
      <c r="Z21" s="189"/>
      <c r="AA21" s="189"/>
      <c r="AB21" s="189"/>
      <c r="AC21" s="189"/>
      <c r="AD21" s="189"/>
      <c r="AE21" s="189"/>
      <c r="AF21" s="189"/>
      <c r="AG21" s="190"/>
      <c r="AH21" s="190"/>
      <c r="AI21" s="190"/>
      <c r="AJ21" s="190"/>
      <c r="AK21" s="190"/>
      <c r="AL21" s="190"/>
      <c r="AM21" s="190"/>
      <c r="AN21" s="190"/>
      <c r="AO21" s="190"/>
      <c r="AP21" s="190"/>
      <c r="AQ21" s="190"/>
      <c r="AR21" s="190"/>
      <c r="AS21" s="190"/>
      <c r="AT21" s="190"/>
      <c r="AU21" s="190"/>
      <c r="AV21" s="190"/>
      <c r="AW21" s="190"/>
      <c r="AX21" s="190"/>
      <c r="AY21" s="190"/>
      <c r="AZ21" s="190"/>
      <c r="BA21" s="190"/>
      <c r="BB21" s="190"/>
      <c r="BC21" s="190"/>
      <c r="BD21" s="190"/>
      <c r="BE21" s="190"/>
      <c r="BF21" s="190"/>
      <c r="BG21" s="190"/>
      <c r="BH21" s="190"/>
      <c r="BI21" s="190"/>
      <c r="BJ21" s="190"/>
      <c r="BK21" s="190"/>
      <c r="BL21" s="190"/>
      <c r="BM21" s="190"/>
      <c r="BN21" s="190"/>
      <c r="BO21" s="190"/>
      <c r="BP21" s="190"/>
      <c r="BQ21" s="190"/>
      <c r="BR21" s="190"/>
      <c r="BS21" s="190"/>
      <c r="BT21" s="190"/>
      <c r="BU21" s="190"/>
      <c r="BV21" s="190"/>
      <c r="BW21" s="190"/>
      <c r="BX21" s="190"/>
      <c r="BY21" s="190"/>
      <c r="BZ21" s="190"/>
      <c r="CA21" s="190"/>
      <c r="CB21" s="190"/>
      <c r="CC21" s="190"/>
      <c r="CD21" s="190"/>
      <c r="CE21" s="190"/>
      <c r="CF21" s="190"/>
    </row>
    <row r="22" spans="1:84" ht="15">
      <c r="A22" s="210"/>
      <c r="B22" s="187"/>
      <c r="C22" s="187"/>
      <c r="D22" s="187"/>
      <c r="E22" s="187"/>
      <c r="F22" s="187"/>
      <c r="G22" s="187"/>
      <c r="H22" s="187"/>
      <c r="I22" s="187"/>
      <c r="J22" s="187"/>
      <c r="K22" s="187"/>
      <c r="L22" s="187"/>
      <c r="M22" s="187"/>
      <c r="N22" s="187"/>
      <c r="O22" s="188"/>
      <c r="P22" s="189"/>
      <c r="Q22" s="189"/>
      <c r="R22" s="189"/>
      <c r="S22" s="189"/>
      <c r="T22" s="189"/>
      <c r="U22" s="189"/>
      <c r="V22" s="189"/>
      <c r="W22" s="189"/>
      <c r="X22" s="189"/>
      <c r="Y22" s="189"/>
      <c r="Z22" s="189"/>
      <c r="AA22" s="189"/>
      <c r="AB22" s="189"/>
      <c r="AC22" s="189"/>
      <c r="AD22" s="189"/>
      <c r="AE22" s="189"/>
      <c r="AF22" s="189"/>
      <c r="AG22" s="190"/>
      <c r="AH22" s="190"/>
      <c r="AI22" s="190"/>
      <c r="AJ22" s="190"/>
      <c r="AK22" s="190"/>
      <c r="AL22" s="190"/>
      <c r="AM22" s="190"/>
      <c r="AN22" s="190"/>
      <c r="AO22" s="190"/>
      <c r="AP22" s="190"/>
      <c r="AQ22" s="190"/>
      <c r="AR22" s="190"/>
      <c r="AS22" s="190"/>
      <c r="AT22" s="190"/>
      <c r="AU22" s="190"/>
      <c r="AV22" s="190"/>
      <c r="AW22" s="190"/>
      <c r="AX22" s="190"/>
      <c r="AY22" s="190"/>
      <c r="AZ22" s="190"/>
      <c r="BA22" s="190"/>
      <c r="BB22" s="190"/>
      <c r="BC22" s="190"/>
      <c r="BD22" s="190"/>
      <c r="BE22" s="190"/>
      <c r="BF22" s="190"/>
      <c r="BG22" s="190"/>
      <c r="BH22" s="190"/>
      <c r="BI22" s="190"/>
      <c r="BJ22" s="190"/>
      <c r="BK22" s="190"/>
      <c r="BL22" s="190"/>
      <c r="BM22" s="190"/>
      <c r="BN22" s="190"/>
      <c r="BO22" s="190"/>
      <c r="BP22" s="190"/>
      <c r="BQ22" s="190"/>
      <c r="BR22" s="190"/>
      <c r="BS22" s="190"/>
      <c r="BT22" s="190"/>
      <c r="BU22" s="190"/>
      <c r="BV22" s="190"/>
      <c r="BW22" s="190"/>
      <c r="BX22" s="190"/>
      <c r="BY22" s="190"/>
      <c r="BZ22" s="190"/>
      <c r="CA22" s="190"/>
      <c r="CB22" s="190"/>
      <c r="CC22" s="190"/>
      <c r="CD22" s="190"/>
      <c r="CE22" s="190"/>
      <c r="CF22" s="190"/>
    </row>
    <row r="23" spans="1:84" ht="15">
      <c r="A23" s="210"/>
      <c r="B23" s="187"/>
      <c r="C23" s="187"/>
      <c r="D23" s="187"/>
      <c r="E23" s="187"/>
      <c r="F23" s="187"/>
      <c r="G23" s="187"/>
      <c r="H23" s="187"/>
      <c r="I23" s="187"/>
      <c r="J23" s="187"/>
      <c r="K23" s="187"/>
      <c r="L23" s="187"/>
      <c r="M23" s="187"/>
      <c r="N23" s="187"/>
      <c r="O23" s="188"/>
      <c r="P23" s="189"/>
      <c r="Q23" s="189"/>
      <c r="R23" s="189"/>
      <c r="S23" s="189"/>
      <c r="T23" s="189"/>
      <c r="U23" s="189"/>
      <c r="V23" s="189"/>
      <c r="W23" s="189"/>
      <c r="X23" s="189"/>
      <c r="Y23" s="189"/>
      <c r="Z23" s="189"/>
      <c r="AA23" s="189"/>
      <c r="AB23" s="189"/>
      <c r="AC23" s="189"/>
      <c r="AD23" s="189"/>
      <c r="AE23" s="189"/>
      <c r="AF23" s="189"/>
      <c r="AG23" s="190"/>
      <c r="AH23" s="190"/>
      <c r="AI23" s="190"/>
      <c r="AJ23" s="190"/>
      <c r="AK23" s="190"/>
      <c r="AL23" s="190"/>
      <c r="AM23" s="190"/>
      <c r="AN23" s="190"/>
      <c r="AO23" s="190"/>
      <c r="AP23" s="190"/>
      <c r="AQ23" s="190"/>
      <c r="AR23" s="190"/>
      <c r="AS23" s="190"/>
      <c r="AT23" s="190"/>
      <c r="AU23" s="190"/>
      <c r="AV23" s="190"/>
      <c r="AW23" s="190"/>
      <c r="AX23" s="190"/>
      <c r="AY23" s="190"/>
      <c r="AZ23" s="190"/>
      <c r="BA23" s="190"/>
      <c r="BB23" s="190"/>
      <c r="BC23" s="190"/>
      <c r="BD23" s="190"/>
      <c r="BE23" s="190"/>
      <c r="BF23" s="190"/>
      <c r="BG23" s="190"/>
      <c r="BH23" s="190"/>
      <c r="BI23" s="190"/>
      <c r="BJ23" s="190"/>
      <c r="BK23" s="190"/>
      <c r="BL23" s="190"/>
      <c r="BM23" s="190"/>
      <c r="BN23" s="190"/>
      <c r="BO23" s="190"/>
      <c r="BP23" s="190"/>
      <c r="BQ23" s="190"/>
      <c r="BR23" s="190"/>
      <c r="BS23" s="190"/>
      <c r="BT23" s="190"/>
      <c r="BU23" s="190"/>
      <c r="BV23" s="190"/>
      <c r="BW23" s="190"/>
      <c r="BX23" s="190"/>
      <c r="BY23" s="190"/>
      <c r="BZ23" s="190"/>
      <c r="CA23" s="190"/>
      <c r="CB23" s="190"/>
      <c r="CC23" s="190"/>
      <c r="CD23" s="190"/>
      <c r="CE23" s="190"/>
      <c r="CF23" s="190"/>
    </row>
    <row r="24" spans="1:84" ht="15">
      <c r="A24" s="210"/>
      <c r="B24" s="187"/>
      <c r="C24" s="187"/>
      <c r="D24" s="187"/>
      <c r="E24" s="187"/>
      <c r="F24" s="187"/>
      <c r="G24" s="187"/>
      <c r="H24" s="187"/>
      <c r="I24" s="187"/>
      <c r="J24" s="187"/>
      <c r="K24" s="187"/>
      <c r="L24" s="187"/>
      <c r="M24" s="187"/>
      <c r="N24" s="187"/>
      <c r="O24" s="188"/>
      <c r="P24" s="189"/>
      <c r="Q24" s="189"/>
      <c r="R24" s="189"/>
      <c r="S24" s="189"/>
      <c r="T24" s="189"/>
      <c r="U24" s="189"/>
      <c r="V24" s="189"/>
      <c r="W24" s="189"/>
      <c r="X24" s="189"/>
      <c r="Y24" s="189"/>
      <c r="Z24" s="189"/>
      <c r="AA24" s="189"/>
      <c r="AB24" s="189"/>
      <c r="AC24" s="189"/>
      <c r="AD24" s="189"/>
      <c r="AE24" s="189"/>
      <c r="AF24" s="189"/>
      <c r="AG24" s="190"/>
      <c r="AH24" s="190"/>
      <c r="AI24" s="190"/>
      <c r="AJ24" s="190"/>
      <c r="AK24" s="190"/>
      <c r="AL24" s="190"/>
      <c r="AM24" s="190"/>
      <c r="AN24" s="190"/>
      <c r="AO24" s="190"/>
      <c r="AP24" s="190"/>
      <c r="AQ24" s="190"/>
      <c r="AR24" s="190"/>
      <c r="AS24" s="190"/>
      <c r="AT24" s="190"/>
      <c r="AU24" s="190"/>
      <c r="AV24" s="190"/>
      <c r="AW24" s="190"/>
      <c r="AX24" s="190"/>
      <c r="AY24" s="190"/>
      <c r="AZ24" s="190"/>
      <c r="BA24" s="190"/>
      <c r="BB24" s="190"/>
      <c r="BC24" s="190"/>
      <c r="BD24" s="190"/>
      <c r="BE24" s="190"/>
      <c r="BF24" s="190"/>
      <c r="BG24" s="190"/>
      <c r="BH24" s="190"/>
      <c r="BI24" s="190"/>
      <c r="BJ24" s="190"/>
      <c r="BK24" s="190"/>
      <c r="BL24" s="190"/>
      <c r="BM24" s="190"/>
      <c r="BN24" s="190"/>
      <c r="BO24" s="190"/>
      <c r="BP24" s="190"/>
      <c r="BQ24" s="190"/>
      <c r="BR24" s="190"/>
      <c r="BS24" s="190"/>
      <c r="BT24" s="190"/>
      <c r="BU24" s="190"/>
      <c r="BV24" s="190"/>
      <c r="BW24" s="190"/>
      <c r="BX24" s="190"/>
      <c r="BY24" s="190"/>
      <c r="BZ24" s="190"/>
      <c r="CA24" s="190"/>
      <c r="CB24" s="190"/>
      <c r="CC24" s="190"/>
      <c r="CD24" s="190"/>
      <c r="CE24" s="190"/>
      <c r="CF24" s="190"/>
    </row>
    <row r="25" spans="1:84" ht="15">
      <c r="A25" s="210"/>
      <c r="B25" s="187"/>
      <c r="C25" s="187"/>
      <c r="D25" s="187"/>
      <c r="E25" s="187"/>
      <c r="F25" s="187"/>
      <c r="G25" s="187"/>
      <c r="H25" s="187"/>
      <c r="I25" s="187"/>
      <c r="J25" s="187"/>
      <c r="K25" s="187"/>
      <c r="L25" s="187"/>
      <c r="M25" s="187"/>
      <c r="N25" s="187"/>
      <c r="O25" s="188"/>
      <c r="P25" s="189"/>
      <c r="Q25" s="189"/>
      <c r="R25" s="189"/>
      <c r="S25" s="189"/>
      <c r="T25" s="189"/>
      <c r="U25" s="189"/>
      <c r="V25" s="189"/>
      <c r="W25" s="189"/>
      <c r="X25" s="189"/>
      <c r="Y25" s="189"/>
      <c r="Z25" s="189"/>
      <c r="AA25" s="189"/>
      <c r="AB25" s="189"/>
      <c r="AC25" s="189"/>
      <c r="AD25" s="189"/>
      <c r="AE25" s="189"/>
      <c r="AF25" s="189"/>
      <c r="AG25" s="190"/>
      <c r="AH25" s="190"/>
      <c r="AI25" s="190"/>
      <c r="AJ25" s="190"/>
      <c r="AK25" s="190"/>
      <c r="AL25" s="190"/>
      <c r="AM25" s="190"/>
      <c r="AN25" s="190"/>
      <c r="AO25" s="190"/>
      <c r="AP25" s="190"/>
      <c r="AQ25" s="190"/>
      <c r="AR25" s="190"/>
      <c r="AS25" s="190"/>
      <c r="AT25" s="190"/>
      <c r="AU25" s="190"/>
      <c r="AV25" s="190"/>
      <c r="AW25" s="190"/>
      <c r="AX25" s="190"/>
      <c r="AY25" s="190"/>
      <c r="AZ25" s="190"/>
      <c r="BA25" s="190"/>
      <c r="BB25" s="190"/>
      <c r="BC25" s="190"/>
      <c r="BD25" s="190"/>
      <c r="BE25" s="190"/>
      <c r="BF25" s="190"/>
      <c r="BG25" s="190"/>
      <c r="BH25" s="190"/>
      <c r="BI25" s="190"/>
      <c r="BJ25" s="190"/>
      <c r="BK25" s="190"/>
      <c r="BL25" s="190"/>
      <c r="BM25" s="190"/>
      <c r="BN25" s="190"/>
      <c r="BO25" s="190"/>
      <c r="BP25" s="190"/>
      <c r="BQ25" s="190"/>
      <c r="BR25" s="190"/>
      <c r="BS25" s="190"/>
      <c r="BT25" s="190"/>
      <c r="BU25" s="190"/>
      <c r="BV25" s="190"/>
      <c r="BW25" s="190"/>
      <c r="BX25" s="190"/>
      <c r="BY25" s="190"/>
      <c r="BZ25" s="190"/>
      <c r="CA25" s="190"/>
      <c r="CB25" s="190"/>
      <c r="CC25" s="190"/>
      <c r="CD25" s="190"/>
      <c r="CE25" s="190"/>
      <c r="CF25" s="190"/>
    </row>
    <row r="26" spans="1:84" ht="15">
      <c r="A26" s="210"/>
      <c r="B26" s="187"/>
      <c r="C26" s="187"/>
      <c r="D26" s="187"/>
      <c r="E26" s="187"/>
      <c r="F26" s="187"/>
      <c r="G26" s="187"/>
      <c r="H26" s="187"/>
      <c r="I26" s="187"/>
      <c r="J26" s="187"/>
      <c r="K26" s="187"/>
      <c r="L26" s="187"/>
      <c r="M26" s="187"/>
      <c r="N26" s="187"/>
      <c r="O26" s="188"/>
      <c r="P26" s="189"/>
      <c r="Q26" s="189"/>
      <c r="R26" s="189"/>
      <c r="S26" s="189"/>
      <c r="T26" s="189"/>
      <c r="U26" s="189"/>
      <c r="V26" s="189"/>
      <c r="W26" s="189"/>
      <c r="X26" s="189"/>
      <c r="Y26" s="189"/>
      <c r="Z26" s="189"/>
      <c r="AA26" s="189"/>
      <c r="AB26" s="189"/>
      <c r="AC26" s="189"/>
      <c r="AD26" s="189"/>
      <c r="AE26" s="189"/>
      <c r="AF26" s="189"/>
      <c r="AG26" s="190"/>
      <c r="AH26" s="190"/>
      <c r="AI26" s="190"/>
      <c r="AJ26" s="190"/>
      <c r="AK26" s="190"/>
      <c r="AL26" s="190"/>
      <c r="AM26" s="190"/>
      <c r="AN26" s="190"/>
      <c r="AO26" s="190"/>
      <c r="AP26" s="190"/>
      <c r="AQ26" s="190"/>
      <c r="AR26" s="190"/>
      <c r="AS26" s="190"/>
      <c r="AT26" s="190"/>
      <c r="AU26" s="190"/>
      <c r="AV26" s="190"/>
      <c r="AW26" s="190"/>
      <c r="AX26" s="190"/>
      <c r="AY26" s="190"/>
      <c r="AZ26" s="190"/>
      <c r="BA26" s="190"/>
      <c r="BB26" s="190"/>
      <c r="BC26" s="190"/>
      <c r="BD26" s="190"/>
      <c r="BE26" s="190"/>
      <c r="BF26" s="190"/>
      <c r="BG26" s="190"/>
      <c r="BH26" s="190"/>
      <c r="BI26" s="190"/>
      <c r="BJ26" s="190"/>
      <c r="BK26" s="190"/>
      <c r="BL26" s="190"/>
      <c r="BM26" s="190"/>
      <c r="BN26" s="190"/>
      <c r="BO26" s="190"/>
      <c r="BP26" s="190"/>
      <c r="BQ26" s="190"/>
      <c r="BR26" s="190"/>
      <c r="BS26" s="190"/>
      <c r="BT26" s="190"/>
      <c r="BU26" s="190"/>
      <c r="BV26" s="190"/>
      <c r="BW26" s="190"/>
      <c r="BX26" s="190"/>
      <c r="BY26" s="190"/>
      <c r="BZ26" s="190"/>
      <c r="CA26" s="190"/>
      <c r="CB26" s="190"/>
      <c r="CC26" s="190"/>
      <c r="CD26" s="190"/>
      <c r="CE26" s="190"/>
      <c r="CF26" s="190"/>
    </row>
    <row r="27" spans="1:84" ht="15">
      <c r="A27" s="210"/>
      <c r="B27" s="187"/>
      <c r="C27" s="187"/>
      <c r="D27" s="187"/>
      <c r="E27" s="187"/>
      <c r="F27" s="187"/>
      <c r="G27" s="187"/>
      <c r="H27" s="187"/>
      <c r="I27" s="187"/>
      <c r="J27" s="187"/>
      <c r="K27" s="187"/>
      <c r="L27" s="187"/>
      <c r="M27" s="187"/>
      <c r="N27" s="187"/>
      <c r="O27" s="188"/>
      <c r="P27" s="189"/>
      <c r="Q27" s="189"/>
      <c r="R27" s="189"/>
      <c r="S27" s="189"/>
      <c r="T27" s="189"/>
      <c r="U27" s="189"/>
      <c r="V27" s="189"/>
      <c r="W27" s="189"/>
      <c r="X27" s="189"/>
      <c r="Y27" s="189"/>
      <c r="Z27" s="189"/>
      <c r="AA27" s="189"/>
      <c r="AB27" s="189"/>
      <c r="AC27" s="189"/>
      <c r="AD27" s="189"/>
      <c r="AE27" s="189"/>
      <c r="AF27" s="189"/>
      <c r="AG27" s="190"/>
      <c r="AH27" s="190"/>
      <c r="AI27" s="190"/>
      <c r="AJ27" s="190"/>
      <c r="AK27" s="190"/>
      <c r="AL27" s="190"/>
      <c r="AM27" s="190"/>
      <c r="AN27" s="190"/>
      <c r="AO27" s="190"/>
      <c r="AP27" s="190"/>
      <c r="AQ27" s="190"/>
      <c r="AR27" s="190"/>
      <c r="AS27" s="190"/>
      <c r="AT27" s="190"/>
      <c r="AU27" s="190"/>
      <c r="AV27" s="190"/>
      <c r="AW27" s="190"/>
      <c r="AX27" s="190"/>
      <c r="AY27" s="190"/>
      <c r="AZ27" s="190"/>
      <c r="BA27" s="190"/>
      <c r="BB27" s="190"/>
      <c r="BC27" s="190"/>
      <c r="BD27" s="190"/>
      <c r="BE27" s="190"/>
      <c r="BF27" s="190"/>
      <c r="BG27" s="190"/>
      <c r="BH27" s="190"/>
      <c r="BI27" s="190"/>
      <c r="BJ27" s="190"/>
      <c r="BK27" s="190"/>
      <c r="BL27" s="190"/>
      <c r="BM27" s="190"/>
      <c r="BN27" s="190"/>
      <c r="BO27" s="190"/>
      <c r="BP27" s="190"/>
      <c r="BQ27" s="190"/>
      <c r="BR27" s="190"/>
      <c r="BS27" s="190"/>
      <c r="BT27" s="190"/>
      <c r="BU27" s="190"/>
      <c r="BV27" s="190"/>
      <c r="BW27" s="190"/>
      <c r="BX27" s="190"/>
      <c r="BY27" s="190"/>
      <c r="BZ27" s="190"/>
      <c r="CA27" s="190"/>
      <c r="CB27" s="190"/>
      <c r="CC27" s="190"/>
      <c r="CD27" s="190"/>
      <c r="CE27" s="190"/>
      <c r="CF27" s="190"/>
    </row>
    <row r="28" spans="1:84" ht="15">
      <c r="A28" s="210"/>
      <c r="B28" s="187"/>
      <c r="C28" s="187"/>
      <c r="D28" s="187"/>
      <c r="E28" s="187"/>
      <c r="F28" s="187"/>
      <c r="G28" s="187"/>
      <c r="H28" s="187"/>
      <c r="I28" s="187"/>
      <c r="J28" s="187"/>
      <c r="K28" s="187"/>
      <c r="L28" s="187"/>
      <c r="M28" s="187"/>
      <c r="N28" s="187"/>
      <c r="O28" s="188"/>
      <c r="P28" s="189"/>
      <c r="Q28" s="189"/>
      <c r="R28" s="189"/>
      <c r="S28" s="189"/>
      <c r="T28" s="189"/>
      <c r="U28" s="189"/>
      <c r="V28" s="189"/>
      <c r="W28" s="189"/>
      <c r="X28" s="189"/>
      <c r="Y28" s="189"/>
      <c r="Z28" s="189"/>
      <c r="AA28" s="189"/>
      <c r="AB28" s="189"/>
      <c r="AC28" s="189"/>
      <c r="AD28" s="189"/>
      <c r="AE28" s="189"/>
      <c r="AF28" s="189"/>
      <c r="AG28" s="190"/>
      <c r="AH28" s="190"/>
      <c r="AI28" s="190"/>
      <c r="AJ28" s="190"/>
      <c r="AK28" s="190"/>
      <c r="AL28" s="190"/>
      <c r="AM28" s="190"/>
      <c r="AN28" s="190"/>
      <c r="AO28" s="190"/>
      <c r="AP28" s="190"/>
      <c r="AQ28" s="190"/>
      <c r="AR28" s="190"/>
      <c r="AS28" s="190"/>
      <c r="AT28" s="190"/>
      <c r="AU28" s="190"/>
      <c r="AV28" s="190"/>
      <c r="AW28" s="190"/>
      <c r="AX28" s="190"/>
      <c r="AY28" s="190"/>
      <c r="AZ28" s="190"/>
      <c r="BA28" s="190"/>
      <c r="BB28" s="190"/>
      <c r="BC28" s="190"/>
      <c r="BD28" s="190"/>
      <c r="BE28" s="190"/>
      <c r="BF28" s="190"/>
      <c r="BG28" s="190"/>
      <c r="BH28" s="190"/>
      <c r="BI28" s="190"/>
      <c r="BJ28" s="190"/>
      <c r="BK28" s="190"/>
      <c r="BL28" s="190"/>
      <c r="BM28" s="190"/>
      <c r="BN28" s="190"/>
      <c r="BO28" s="190"/>
      <c r="BP28" s="190"/>
      <c r="BQ28" s="190"/>
      <c r="BR28" s="190"/>
      <c r="BS28" s="190"/>
      <c r="BT28" s="190"/>
      <c r="BU28" s="190"/>
      <c r="BV28" s="190"/>
      <c r="BW28" s="190"/>
      <c r="BX28" s="190"/>
      <c r="BY28" s="190"/>
      <c r="BZ28" s="190"/>
      <c r="CA28" s="190"/>
      <c r="CB28" s="190"/>
      <c r="CC28" s="190"/>
      <c r="CD28" s="190"/>
      <c r="CE28" s="190"/>
      <c r="CF28" s="190"/>
    </row>
    <row r="29" spans="1:84" ht="15">
      <c r="A29" s="210"/>
      <c r="B29" s="187"/>
      <c r="C29" s="187"/>
      <c r="D29" s="187"/>
      <c r="E29" s="187"/>
      <c r="F29" s="187"/>
      <c r="G29" s="187"/>
      <c r="H29" s="187"/>
      <c r="I29" s="187"/>
      <c r="J29" s="187"/>
      <c r="K29" s="187"/>
      <c r="L29" s="187"/>
      <c r="M29" s="187"/>
      <c r="N29" s="187"/>
      <c r="O29" s="188"/>
      <c r="P29" s="189"/>
      <c r="Q29" s="189"/>
      <c r="R29" s="189"/>
      <c r="S29" s="189"/>
      <c r="T29" s="189"/>
      <c r="U29" s="189"/>
      <c r="V29" s="189"/>
      <c r="W29" s="189"/>
      <c r="X29" s="189"/>
      <c r="Y29" s="189"/>
      <c r="Z29" s="189"/>
      <c r="AA29" s="189"/>
      <c r="AB29" s="189"/>
      <c r="AC29" s="189"/>
      <c r="AD29" s="189"/>
      <c r="AE29" s="189"/>
      <c r="AF29" s="189"/>
      <c r="AG29" s="190"/>
      <c r="AH29" s="190"/>
      <c r="AI29" s="190"/>
      <c r="AJ29" s="190"/>
      <c r="AK29" s="190"/>
      <c r="AL29" s="190"/>
      <c r="AM29" s="190"/>
      <c r="AN29" s="190"/>
      <c r="AO29" s="190"/>
      <c r="AP29" s="190"/>
      <c r="AQ29" s="190"/>
      <c r="AR29" s="190"/>
      <c r="AS29" s="190"/>
      <c r="AT29" s="190"/>
      <c r="AU29" s="190"/>
      <c r="AV29" s="190"/>
      <c r="AW29" s="190"/>
      <c r="AX29" s="190"/>
      <c r="AY29" s="190"/>
      <c r="AZ29" s="190"/>
      <c r="BA29" s="190"/>
      <c r="BB29" s="190"/>
      <c r="BC29" s="190"/>
      <c r="BD29" s="190"/>
      <c r="BE29" s="190"/>
      <c r="BF29" s="190"/>
      <c r="BG29" s="190"/>
      <c r="BH29" s="190"/>
      <c r="BI29" s="190"/>
      <c r="BJ29" s="190"/>
      <c r="BK29" s="190"/>
      <c r="BL29" s="190"/>
      <c r="BM29" s="190"/>
      <c r="BN29" s="190"/>
      <c r="BO29" s="190"/>
      <c r="BP29" s="190"/>
      <c r="BQ29" s="190"/>
      <c r="BR29" s="190"/>
      <c r="BS29" s="190"/>
      <c r="BT29" s="190"/>
      <c r="BU29" s="190"/>
      <c r="BV29" s="190"/>
      <c r="BW29" s="190"/>
      <c r="BX29" s="190"/>
      <c r="BY29" s="190"/>
      <c r="BZ29" s="190"/>
      <c r="CA29" s="190"/>
      <c r="CB29" s="190"/>
      <c r="CC29" s="190"/>
      <c r="CD29" s="190"/>
      <c r="CE29" s="190"/>
      <c r="CF29" s="190"/>
    </row>
    <row r="30" spans="1:84" ht="15">
      <c r="A30" s="210"/>
      <c r="B30" s="187"/>
      <c r="C30" s="187"/>
      <c r="D30" s="187"/>
      <c r="E30" s="187"/>
      <c r="F30" s="187"/>
      <c r="G30" s="187"/>
      <c r="H30" s="187"/>
      <c r="I30" s="187"/>
      <c r="J30" s="187"/>
      <c r="K30" s="187"/>
      <c r="L30" s="187"/>
      <c r="M30" s="187"/>
      <c r="N30" s="187"/>
      <c r="O30" s="188"/>
      <c r="P30" s="189"/>
      <c r="Q30" s="189"/>
      <c r="R30" s="189"/>
      <c r="S30" s="189"/>
      <c r="T30" s="189"/>
      <c r="U30" s="189"/>
      <c r="V30" s="189"/>
      <c r="W30" s="189"/>
      <c r="X30" s="189"/>
      <c r="Y30" s="189"/>
      <c r="Z30" s="189"/>
      <c r="AA30" s="189"/>
      <c r="AB30" s="189"/>
      <c r="AC30" s="189"/>
      <c r="AD30" s="189"/>
      <c r="AE30" s="189"/>
      <c r="AF30" s="189"/>
      <c r="AG30" s="190"/>
      <c r="AH30" s="190"/>
      <c r="AI30" s="190"/>
      <c r="AJ30" s="190"/>
      <c r="AK30" s="190"/>
      <c r="AL30" s="190"/>
      <c r="AM30" s="190"/>
      <c r="AN30" s="190"/>
      <c r="AO30" s="190"/>
      <c r="AP30" s="190"/>
      <c r="AQ30" s="190"/>
      <c r="AR30" s="190"/>
      <c r="AS30" s="190"/>
      <c r="AT30" s="190"/>
      <c r="AU30" s="190"/>
      <c r="AV30" s="190"/>
      <c r="AW30" s="190"/>
      <c r="AX30" s="190"/>
      <c r="AY30" s="190"/>
      <c r="AZ30" s="190"/>
      <c r="BA30" s="190"/>
      <c r="BB30" s="190"/>
      <c r="BC30" s="190"/>
      <c r="BD30" s="190"/>
      <c r="BE30" s="190"/>
      <c r="BF30" s="190"/>
      <c r="BG30" s="190"/>
      <c r="BH30" s="190"/>
      <c r="BI30" s="190"/>
      <c r="BJ30" s="190"/>
      <c r="BK30" s="190"/>
      <c r="BL30" s="190"/>
      <c r="BM30" s="190"/>
      <c r="BN30" s="190"/>
      <c r="BO30" s="190"/>
      <c r="BP30" s="190"/>
      <c r="BQ30" s="190"/>
      <c r="BR30" s="190"/>
      <c r="BS30" s="190"/>
      <c r="BT30" s="190"/>
      <c r="BU30" s="190"/>
      <c r="BV30" s="190"/>
      <c r="BW30" s="190"/>
      <c r="BX30" s="190"/>
      <c r="BY30" s="190"/>
      <c r="BZ30" s="190"/>
      <c r="CA30" s="190"/>
      <c r="CB30" s="190"/>
      <c r="CC30" s="190"/>
      <c r="CD30" s="190"/>
      <c r="CE30" s="190"/>
      <c r="CF30" s="190"/>
    </row>
    <row r="31" spans="1:84" ht="15">
      <c r="A31" s="210"/>
      <c r="B31" s="187"/>
      <c r="C31" s="187"/>
      <c r="D31" s="187"/>
      <c r="E31" s="187"/>
      <c r="F31" s="187"/>
      <c r="G31" s="187"/>
      <c r="H31" s="187"/>
      <c r="I31" s="187"/>
      <c r="J31" s="187"/>
      <c r="K31" s="187"/>
      <c r="L31" s="187"/>
      <c r="M31" s="187"/>
      <c r="N31" s="187"/>
      <c r="O31" s="188"/>
      <c r="P31" s="189"/>
      <c r="Q31" s="189"/>
      <c r="R31" s="189"/>
      <c r="S31" s="189"/>
      <c r="T31" s="189"/>
      <c r="U31" s="189"/>
      <c r="V31" s="189"/>
      <c r="W31" s="189"/>
      <c r="X31" s="189"/>
      <c r="Y31" s="189"/>
      <c r="Z31" s="189"/>
      <c r="AA31" s="189"/>
      <c r="AB31" s="189"/>
      <c r="AC31" s="189"/>
      <c r="AD31" s="189"/>
      <c r="AE31" s="189"/>
      <c r="AF31" s="189"/>
      <c r="AG31" s="190"/>
      <c r="AH31" s="190"/>
      <c r="AI31" s="190"/>
      <c r="AJ31" s="190"/>
      <c r="AK31" s="190"/>
      <c r="AL31" s="190"/>
      <c r="AM31" s="190"/>
      <c r="AN31" s="190"/>
      <c r="AO31" s="190"/>
      <c r="AP31" s="190"/>
      <c r="AQ31" s="190"/>
      <c r="AR31" s="190"/>
      <c r="AS31" s="190"/>
      <c r="AT31" s="190"/>
      <c r="AU31" s="190"/>
      <c r="AV31" s="190"/>
      <c r="AW31" s="190"/>
      <c r="AX31" s="190"/>
      <c r="AY31" s="190"/>
      <c r="AZ31" s="190"/>
      <c r="BA31" s="190"/>
      <c r="BB31" s="190"/>
      <c r="BC31" s="190"/>
      <c r="BD31" s="190"/>
      <c r="BE31" s="190"/>
      <c r="BF31" s="190"/>
      <c r="BG31" s="190"/>
      <c r="BH31" s="190"/>
      <c r="BI31" s="190"/>
      <c r="BJ31" s="190"/>
      <c r="BK31" s="190"/>
      <c r="BL31" s="190"/>
      <c r="BM31" s="190"/>
      <c r="BN31" s="190"/>
      <c r="BO31" s="190"/>
      <c r="BP31" s="190"/>
      <c r="BQ31" s="190"/>
      <c r="BR31" s="190"/>
      <c r="BS31" s="190"/>
      <c r="BT31" s="190"/>
      <c r="BU31" s="190"/>
      <c r="BV31" s="190"/>
      <c r="BW31" s="190"/>
      <c r="BX31" s="190"/>
      <c r="BY31" s="190"/>
      <c r="BZ31" s="190"/>
      <c r="CA31" s="190"/>
      <c r="CB31" s="190"/>
      <c r="CC31" s="190"/>
      <c r="CD31" s="190"/>
      <c r="CE31" s="190"/>
      <c r="CF31" s="190"/>
    </row>
    <row r="32" spans="1:84" ht="15">
      <c r="A32" s="210"/>
      <c r="B32" s="187"/>
      <c r="C32" s="187"/>
      <c r="D32" s="187"/>
      <c r="E32" s="187"/>
      <c r="F32" s="187"/>
      <c r="G32" s="187"/>
      <c r="H32" s="187"/>
      <c r="I32" s="187"/>
      <c r="J32" s="187"/>
      <c r="K32" s="187"/>
      <c r="L32" s="187"/>
      <c r="M32" s="187"/>
      <c r="N32" s="187"/>
      <c r="O32" s="188"/>
      <c r="P32" s="189"/>
      <c r="Q32" s="189"/>
      <c r="R32" s="189"/>
      <c r="S32" s="189"/>
      <c r="T32" s="189"/>
      <c r="U32" s="189"/>
      <c r="V32" s="189"/>
      <c r="W32" s="189"/>
      <c r="X32" s="189"/>
      <c r="Y32" s="189"/>
      <c r="Z32" s="189"/>
      <c r="AA32" s="189"/>
      <c r="AB32" s="189"/>
      <c r="AC32" s="189"/>
      <c r="AD32" s="189"/>
      <c r="AE32" s="189"/>
      <c r="AF32" s="189"/>
      <c r="AG32" s="190"/>
      <c r="AH32" s="190"/>
      <c r="AI32" s="190"/>
      <c r="AJ32" s="190"/>
      <c r="AK32" s="190"/>
      <c r="AL32" s="190"/>
      <c r="AM32" s="190"/>
      <c r="AN32" s="190"/>
      <c r="AO32" s="190"/>
      <c r="AP32" s="190"/>
      <c r="AQ32" s="190"/>
      <c r="AR32" s="190"/>
      <c r="AS32" s="190"/>
      <c r="AT32" s="190"/>
      <c r="AU32" s="190"/>
      <c r="AV32" s="190"/>
      <c r="AW32" s="190"/>
      <c r="AX32" s="190"/>
      <c r="AY32" s="190"/>
      <c r="AZ32" s="190"/>
      <c r="BA32" s="190"/>
      <c r="BB32" s="190"/>
      <c r="BC32" s="190"/>
      <c r="BD32" s="190"/>
      <c r="BE32" s="190"/>
      <c r="BF32" s="190"/>
      <c r="BG32" s="190"/>
      <c r="BH32" s="190"/>
      <c r="BI32" s="190"/>
      <c r="BJ32" s="190"/>
      <c r="BK32" s="190"/>
      <c r="BL32" s="190"/>
      <c r="BM32" s="190"/>
      <c r="BN32" s="190"/>
      <c r="BO32" s="190"/>
      <c r="BP32" s="190"/>
      <c r="BQ32" s="190"/>
      <c r="BR32" s="190"/>
      <c r="BS32" s="190"/>
      <c r="BT32" s="190"/>
      <c r="BU32" s="190"/>
      <c r="BV32" s="190"/>
      <c r="BW32" s="190"/>
      <c r="BX32" s="190"/>
      <c r="BY32" s="190"/>
      <c r="BZ32" s="190"/>
      <c r="CA32" s="190"/>
      <c r="CB32" s="190"/>
      <c r="CC32" s="190"/>
      <c r="CD32" s="190"/>
      <c r="CE32" s="190"/>
      <c r="CF32" s="190"/>
    </row>
    <row r="33" spans="1:84" ht="15">
      <c r="A33" s="210"/>
      <c r="B33" s="187"/>
      <c r="C33" s="187"/>
      <c r="D33" s="187"/>
      <c r="E33" s="187"/>
      <c r="F33" s="187"/>
      <c r="G33" s="187"/>
      <c r="H33" s="187"/>
      <c r="I33" s="187"/>
      <c r="J33" s="187"/>
      <c r="K33" s="187"/>
      <c r="L33" s="187"/>
      <c r="M33" s="187"/>
      <c r="N33" s="187"/>
      <c r="O33" s="188"/>
      <c r="P33" s="189"/>
      <c r="Q33" s="189"/>
      <c r="R33" s="189"/>
      <c r="S33" s="189"/>
      <c r="T33" s="189"/>
      <c r="U33" s="189"/>
      <c r="V33" s="189"/>
      <c r="W33" s="189"/>
      <c r="X33" s="189"/>
      <c r="Y33" s="189"/>
      <c r="Z33" s="189"/>
      <c r="AA33" s="189"/>
      <c r="AB33" s="189"/>
      <c r="AC33" s="189"/>
      <c r="AD33" s="189"/>
      <c r="AE33" s="189"/>
      <c r="AF33" s="189"/>
      <c r="AG33" s="190"/>
      <c r="AH33" s="190"/>
      <c r="AI33" s="190"/>
      <c r="AJ33" s="190"/>
      <c r="AK33" s="190"/>
      <c r="AL33" s="190"/>
      <c r="AM33" s="190"/>
      <c r="AN33" s="190"/>
      <c r="AO33" s="190"/>
      <c r="AP33" s="190"/>
      <c r="AQ33" s="190"/>
      <c r="AR33" s="190"/>
      <c r="AS33" s="190"/>
      <c r="AT33" s="190"/>
      <c r="AU33" s="190"/>
      <c r="AV33" s="190"/>
      <c r="AW33" s="190"/>
      <c r="AX33" s="190"/>
      <c r="AY33" s="190"/>
      <c r="AZ33" s="190"/>
      <c r="BA33" s="190"/>
      <c r="BB33" s="190"/>
      <c r="BC33" s="190"/>
      <c r="BD33" s="190"/>
      <c r="BE33" s="190"/>
      <c r="BF33" s="190"/>
      <c r="BG33" s="190"/>
      <c r="BH33" s="190"/>
      <c r="BI33" s="190"/>
      <c r="BJ33" s="190"/>
      <c r="BK33" s="190"/>
      <c r="BL33" s="190"/>
      <c r="BM33" s="190"/>
      <c r="BN33" s="190"/>
      <c r="BO33" s="190"/>
      <c r="BP33" s="190"/>
      <c r="BQ33" s="190"/>
      <c r="BR33" s="190"/>
      <c r="BS33" s="190"/>
      <c r="BT33" s="190"/>
      <c r="BU33" s="190"/>
      <c r="BV33" s="190"/>
      <c r="BW33" s="190"/>
      <c r="BX33" s="190"/>
      <c r="BY33" s="190"/>
      <c r="BZ33" s="190"/>
      <c r="CA33" s="190"/>
      <c r="CB33" s="190"/>
      <c r="CC33" s="190"/>
      <c r="CD33" s="190"/>
      <c r="CE33" s="190"/>
      <c r="CF33" s="190"/>
    </row>
    <row r="34" spans="1:84" ht="15">
      <c r="A34" s="210"/>
      <c r="B34" s="187"/>
      <c r="C34" s="187"/>
      <c r="D34" s="187"/>
      <c r="E34" s="187"/>
      <c r="F34" s="187"/>
      <c r="G34" s="187"/>
      <c r="H34" s="187"/>
      <c r="I34" s="187"/>
      <c r="J34" s="187"/>
      <c r="K34" s="187"/>
      <c r="L34" s="187"/>
      <c r="M34" s="187"/>
      <c r="N34" s="187"/>
      <c r="O34" s="188"/>
      <c r="P34" s="189"/>
      <c r="Q34" s="189"/>
      <c r="R34" s="189"/>
      <c r="S34" s="189"/>
      <c r="T34" s="189"/>
      <c r="U34" s="189"/>
      <c r="V34" s="189"/>
      <c r="W34" s="189"/>
      <c r="X34" s="189"/>
      <c r="Y34" s="189"/>
      <c r="Z34" s="189"/>
      <c r="AA34" s="189"/>
      <c r="AB34" s="189"/>
      <c r="AC34" s="189"/>
      <c r="AD34" s="189"/>
      <c r="AE34" s="189"/>
      <c r="AF34" s="189"/>
      <c r="AG34" s="190"/>
      <c r="AH34" s="190"/>
      <c r="AI34" s="190"/>
      <c r="AJ34" s="190"/>
      <c r="AK34" s="190"/>
      <c r="AL34" s="190"/>
      <c r="AM34" s="190"/>
      <c r="AN34" s="190"/>
      <c r="AO34" s="190"/>
      <c r="AP34" s="190"/>
      <c r="AQ34" s="190"/>
      <c r="AR34" s="190"/>
      <c r="AS34" s="190"/>
      <c r="AT34" s="190"/>
      <c r="AU34" s="190"/>
      <c r="AV34" s="190"/>
      <c r="AW34" s="190"/>
      <c r="AX34" s="190"/>
      <c r="AY34" s="190"/>
      <c r="AZ34" s="190"/>
      <c r="BA34" s="190"/>
      <c r="BB34" s="190"/>
      <c r="BC34" s="190"/>
      <c r="BD34" s="190"/>
      <c r="BE34" s="190"/>
      <c r="BF34" s="190"/>
      <c r="BG34" s="190"/>
      <c r="BH34" s="190"/>
      <c r="BI34" s="190"/>
      <c r="BJ34" s="190"/>
      <c r="BK34" s="190"/>
      <c r="BL34" s="190"/>
      <c r="BM34" s="190"/>
      <c r="BN34" s="190"/>
      <c r="BO34" s="190"/>
      <c r="BP34" s="190"/>
      <c r="BQ34" s="190"/>
      <c r="BR34" s="190"/>
      <c r="BS34" s="190"/>
      <c r="BT34" s="190"/>
      <c r="BU34" s="190"/>
      <c r="BV34" s="190"/>
      <c r="BW34" s="190"/>
      <c r="BX34" s="190"/>
      <c r="BY34" s="190"/>
      <c r="BZ34" s="190"/>
      <c r="CA34" s="190"/>
      <c r="CB34" s="190"/>
      <c r="CC34" s="190"/>
      <c r="CD34" s="190"/>
      <c r="CE34" s="190"/>
      <c r="CF34" s="190"/>
    </row>
    <row r="35" spans="1:84" ht="15">
      <c r="A35" s="210"/>
      <c r="B35" s="187"/>
      <c r="C35" s="187"/>
      <c r="D35" s="187"/>
      <c r="E35" s="187"/>
      <c r="F35" s="187"/>
      <c r="G35" s="187"/>
      <c r="H35" s="187"/>
      <c r="I35" s="187"/>
      <c r="J35" s="187"/>
      <c r="K35" s="187"/>
      <c r="L35" s="187"/>
      <c r="M35" s="187"/>
      <c r="N35" s="187"/>
      <c r="O35" s="188"/>
      <c r="P35" s="189"/>
      <c r="Q35" s="189"/>
      <c r="R35" s="189"/>
      <c r="S35" s="189"/>
      <c r="T35" s="189"/>
      <c r="U35" s="189"/>
      <c r="V35" s="189"/>
      <c r="W35" s="189"/>
      <c r="X35" s="189"/>
      <c r="Y35" s="189"/>
      <c r="Z35" s="189"/>
      <c r="AA35" s="189"/>
      <c r="AB35" s="189"/>
      <c r="AC35" s="189"/>
      <c r="AD35" s="189"/>
      <c r="AE35" s="189"/>
      <c r="AF35" s="189"/>
      <c r="AG35" s="190"/>
      <c r="AH35" s="190"/>
      <c r="AI35" s="190"/>
      <c r="AJ35" s="190"/>
      <c r="AK35" s="190"/>
      <c r="AL35" s="190"/>
      <c r="AM35" s="190"/>
      <c r="AN35" s="190"/>
      <c r="AO35" s="190"/>
      <c r="AP35" s="190"/>
      <c r="AQ35" s="190"/>
      <c r="AR35" s="190"/>
      <c r="AS35" s="190"/>
      <c r="AT35" s="190"/>
      <c r="AU35" s="190"/>
      <c r="AV35" s="190"/>
      <c r="AW35" s="190"/>
      <c r="AX35" s="190"/>
      <c r="AY35" s="190"/>
      <c r="AZ35" s="190"/>
      <c r="BA35" s="190"/>
      <c r="BB35" s="190"/>
      <c r="BC35" s="190"/>
      <c r="BD35" s="190"/>
      <c r="BE35" s="190"/>
      <c r="BF35" s="190"/>
      <c r="BG35" s="190"/>
      <c r="BH35" s="190"/>
      <c r="BI35" s="190"/>
      <c r="BJ35" s="190"/>
      <c r="BK35" s="190"/>
      <c r="BL35" s="190"/>
      <c r="BM35" s="190"/>
      <c r="BN35" s="190"/>
      <c r="BO35" s="190"/>
      <c r="BP35" s="190"/>
      <c r="BQ35" s="190"/>
      <c r="BR35" s="190"/>
      <c r="BS35" s="190"/>
      <c r="BT35" s="190"/>
      <c r="BU35" s="190"/>
      <c r="BV35" s="190"/>
      <c r="BW35" s="190"/>
      <c r="BX35" s="190"/>
      <c r="BY35" s="190"/>
      <c r="BZ35" s="190"/>
      <c r="CA35" s="190"/>
      <c r="CB35" s="190"/>
      <c r="CC35" s="190"/>
      <c r="CD35" s="190"/>
      <c r="CE35" s="190"/>
      <c r="CF35" s="190"/>
    </row>
    <row r="36" spans="1:84" ht="15">
      <c r="A36" s="210"/>
      <c r="B36" s="187"/>
      <c r="C36" s="187"/>
      <c r="D36" s="187"/>
      <c r="E36" s="187"/>
      <c r="F36" s="187"/>
      <c r="G36" s="187"/>
      <c r="H36" s="187"/>
      <c r="I36" s="187"/>
      <c r="J36" s="187"/>
      <c r="K36" s="187"/>
      <c r="L36" s="187"/>
      <c r="M36" s="187"/>
      <c r="N36" s="187"/>
      <c r="O36" s="188"/>
      <c r="P36" s="189"/>
      <c r="Q36" s="189"/>
      <c r="R36" s="189"/>
      <c r="S36" s="189"/>
      <c r="T36" s="189"/>
      <c r="U36" s="189"/>
      <c r="V36" s="189"/>
      <c r="W36" s="189"/>
      <c r="X36" s="189"/>
      <c r="Y36" s="189"/>
      <c r="Z36" s="189"/>
      <c r="AA36" s="189"/>
      <c r="AB36" s="189"/>
      <c r="AC36" s="189"/>
      <c r="AD36" s="189"/>
      <c r="AE36" s="189"/>
      <c r="AF36" s="189"/>
      <c r="AG36" s="190"/>
      <c r="AH36" s="190"/>
      <c r="AI36" s="190"/>
      <c r="AJ36" s="190"/>
      <c r="AK36" s="190"/>
      <c r="AL36" s="190"/>
      <c r="AM36" s="190"/>
      <c r="AN36" s="190"/>
      <c r="AO36" s="190"/>
      <c r="AP36" s="190"/>
      <c r="AQ36" s="190"/>
      <c r="AR36" s="190"/>
      <c r="AS36" s="190"/>
      <c r="AT36" s="190"/>
      <c r="AU36" s="190"/>
      <c r="AV36" s="190"/>
      <c r="AW36" s="190"/>
      <c r="AX36" s="190"/>
      <c r="AY36" s="190"/>
      <c r="AZ36" s="190"/>
      <c r="BA36" s="190"/>
      <c r="BB36" s="190"/>
      <c r="BC36" s="190"/>
      <c r="BD36" s="190"/>
      <c r="BE36" s="190"/>
      <c r="BF36" s="190"/>
      <c r="BG36" s="190"/>
      <c r="BH36" s="190"/>
      <c r="BI36" s="190"/>
      <c r="BJ36" s="190"/>
      <c r="BK36" s="190"/>
      <c r="BL36" s="190"/>
      <c r="BM36" s="190"/>
      <c r="BN36" s="190"/>
      <c r="BO36" s="190"/>
      <c r="BP36" s="190"/>
      <c r="BQ36" s="190"/>
      <c r="BR36" s="190"/>
      <c r="BS36" s="190"/>
      <c r="BT36" s="190"/>
      <c r="BU36" s="190"/>
      <c r="BV36" s="190"/>
      <c r="BW36" s="190"/>
      <c r="BX36" s="190"/>
      <c r="BY36" s="190"/>
      <c r="BZ36" s="190"/>
      <c r="CA36" s="190"/>
      <c r="CB36" s="190"/>
      <c r="CC36" s="190"/>
      <c r="CD36" s="190"/>
      <c r="CE36" s="190"/>
      <c r="CF36" s="190"/>
    </row>
    <row r="37" spans="1:84" ht="15">
      <c r="A37" s="210"/>
      <c r="B37" s="187"/>
      <c r="C37" s="187"/>
      <c r="D37" s="187"/>
      <c r="E37" s="187"/>
      <c r="F37" s="187"/>
      <c r="G37" s="187"/>
      <c r="H37" s="187"/>
      <c r="I37" s="187"/>
      <c r="J37" s="187"/>
      <c r="K37" s="187"/>
      <c r="L37" s="187"/>
      <c r="M37" s="187"/>
      <c r="N37" s="187"/>
      <c r="O37" s="188"/>
      <c r="P37" s="189"/>
      <c r="Q37" s="189"/>
      <c r="R37" s="189"/>
      <c r="S37" s="189"/>
      <c r="T37" s="189"/>
      <c r="U37" s="189"/>
      <c r="V37" s="189"/>
      <c r="W37" s="189"/>
      <c r="X37" s="189"/>
      <c r="Y37" s="189"/>
      <c r="Z37" s="189"/>
      <c r="AA37" s="189"/>
      <c r="AB37" s="189"/>
      <c r="AC37" s="189"/>
      <c r="AD37" s="189"/>
      <c r="AE37" s="189"/>
      <c r="AF37" s="189"/>
      <c r="AG37" s="190"/>
      <c r="AH37" s="190"/>
      <c r="AI37" s="190"/>
      <c r="AJ37" s="190"/>
      <c r="AK37" s="190"/>
      <c r="AL37" s="190"/>
      <c r="AM37" s="190"/>
      <c r="AN37" s="190"/>
      <c r="AO37" s="190"/>
      <c r="AP37" s="190"/>
      <c r="AQ37" s="190"/>
      <c r="AR37" s="190"/>
      <c r="AS37" s="190"/>
      <c r="AT37" s="190"/>
      <c r="AU37" s="190"/>
      <c r="AV37" s="190"/>
      <c r="AW37" s="190"/>
      <c r="AX37" s="190"/>
      <c r="AY37" s="190"/>
      <c r="AZ37" s="190"/>
      <c r="BA37" s="190"/>
      <c r="BB37" s="190"/>
      <c r="BC37" s="190"/>
      <c r="BD37" s="190"/>
      <c r="BE37" s="190"/>
      <c r="BF37" s="190"/>
      <c r="BG37" s="190"/>
      <c r="BH37" s="190"/>
      <c r="BI37" s="190"/>
      <c r="BJ37" s="190"/>
      <c r="BK37" s="190"/>
      <c r="BL37" s="190"/>
      <c r="BM37" s="190"/>
      <c r="BN37" s="190"/>
      <c r="BO37" s="190"/>
      <c r="BP37" s="190"/>
      <c r="BQ37" s="190"/>
      <c r="BR37" s="190"/>
      <c r="BS37" s="190"/>
      <c r="BT37" s="190"/>
      <c r="BU37" s="190"/>
      <c r="BV37" s="190"/>
      <c r="BW37" s="190"/>
      <c r="BX37" s="190"/>
      <c r="BY37" s="190"/>
      <c r="BZ37" s="190"/>
      <c r="CA37" s="190"/>
      <c r="CB37" s="190"/>
      <c r="CC37" s="190"/>
      <c r="CD37" s="190"/>
      <c r="CE37" s="190"/>
      <c r="CF37" s="190"/>
    </row>
    <row r="38" spans="1:84" ht="15">
      <c r="A38" s="210"/>
      <c r="B38" s="187"/>
      <c r="C38" s="187"/>
      <c r="D38" s="187"/>
      <c r="E38" s="187"/>
      <c r="F38" s="187"/>
      <c r="G38" s="187"/>
      <c r="H38" s="187"/>
      <c r="I38" s="187"/>
      <c r="J38" s="187"/>
      <c r="K38" s="187"/>
      <c r="L38" s="187"/>
      <c r="M38" s="187"/>
      <c r="N38" s="187"/>
      <c r="O38" s="188"/>
      <c r="P38" s="189"/>
      <c r="Q38" s="189"/>
      <c r="R38" s="189"/>
      <c r="S38" s="189"/>
      <c r="T38" s="189"/>
      <c r="U38" s="189"/>
      <c r="V38" s="189"/>
      <c r="W38" s="189"/>
      <c r="X38" s="189"/>
      <c r="Y38" s="189"/>
      <c r="Z38" s="189"/>
      <c r="AA38" s="189"/>
      <c r="AB38" s="189"/>
      <c r="AC38" s="189"/>
      <c r="AD38" s="189"/>
      <c r="AE38" s="189"/>
      <c r="AF38" s="189"/>
      <c r="AG38" s="190"/>
      <c r="AH38" s="190"/>
      <c r="AI38" s="190"/>
      <c r="AJ38" s="190"/>
      <c r="AK38" s="190"/>
      <c r="AL38" s="190"/>
      <c r="AM38" s="190"/>
      <c r="AN38" s="190"/>
      <c r="AO38" s="190"/>
      <c r="AP38" s="190"/>
      <c r="AQ38" s="190"/>
      <c r="AR38" s="190"/>
      <c r="AS38" s="190"/>
      <c r="AT38" s="190"/>
      <c r="AU38" s="190"/>
      <c r="AV38" s="190"/>
      <c r="AW38" s="190"/>
      <c r="AX38" s="190"/>
      <c r="AY38" s="190"/>
      <c r="AZ38" s="190"/>
      <c r="BA38" s="190"/>
      <c r="BB38" s="190"/>
      <c r="BC38" s="190"/>
      <c r="BD38" s="190"/>
      <c r="BE38" s="190"/>
      <c r="BF38" s="190"/>
      <c r="BG38" s="190"/>
      <c r="BH38" s="190"/>
      <c r="BI38" s="190"/>
      <c r="BJ38" s="190"/>
      <c r="BK38" s="190"/>
      <c r="BL38" s="190"/>
      <c r="BM38" s="190"/>
      <c r="BN38" s="190"/>
      <c r="BO38" s="190"/>
      <c r="BP38" s="190"/>
      <c r="BQ38" s="190"/>
      <c r="BR38" s="190"/>
      <c r="BS38" s="190"/>
      <c r="BT38" s="190"/>
      <c r="BU38" s="190"/>
      <c r="BV38" s="190"/>
      <c r="BW38" s="190"/>
      <c r="BX38" s="190"/>
      <c r="BY38" s="190"/>
      <c r="BZ38" s="190"/>
      <c r="CA38" s="190"/>
      <c r="CB38" s="190"/>
      <c r="CC38" s="190"/>
      <c r="CD38" s="190"/>
      <c r="CE38" s="190"/>
      <c r="CF38" s="190"/>
    </row>
    <row r="39" spans="1:84" ht="15">
      <c r="A39" s="210"/>
      <c r="B39" s="187"/>
      <c r="C39" s="187"/>
      <c r="D39" s="187"/>
      <c r="E39" s="187"/>
      <c r="F39" s="187"/>
      <c r="G39" s="187"/>
      <c r="H39" s="187"/>
      <c r="I39" s="187"/>
      <c r="J39" s="187"/>
      <c r="K39" s="187"/>
      <c r="L39" s="187"/>
      <c r="M39" s="187"/>
      <c r="N39" s="187"/>
      <c r="O39" s="188"/>
      <c r="P39" s="189"/>
      <c r="Q39" s="189"/>
      <c r="R39" s="189"/>
      <c r="S39" s="189"/>
      <c r="T39" s="189"/>
      <c r="U39" s="189"/>
      <c r="V39" s="189"/>
      <c r="W39" s="189"/>
      <c r="X39" s="189"/>
      <c r="Y39" s="189"/>
      <c r="Z39" s="189"/>
      <c r="AA39" s="189"/>
      <c r="AB39" s="189"/>
      <c r="AC39" s="189"/>
      <c r="AD39" s="189"/>
      <c r="AE39" s="189"/>
      <c r="AF39" s="189"/>
      <c r="AG39" s="190"/>
      <c r="AH39" s="190"/>
      <c r="AI39" s="190"/>
      <c r="AJ39" s="190"/>
      <c r="AK39" s="190"/>
      <c r="AL39" s="190"/>
      <c r="AM39" s="190"/>
      <c r="AN39" s="190"/>
      <c r="AO39" s="190"/>
      <c r="AP39" s="190"/>
      <c r="AQ39" s="190"/>
      <c r="AR39" s="190"/>
      <c r="AS39" s="190"/>
      <c r="AT39" s="190"/>
      <c r="AU39" s="190"/>
      <c r="AV39" s="190"/>
      <c r="AW39" s="190"/>
      <c r="AX39" s="190"/>
      <c r="AY39" s="190"/>
      <c r="AZ39" s="190"/>
      <c r="BA39" s="190"/>
      <c r="BB39" s="190"/>
      <c r="BC39" s="190"/>
      <c r="BD39" s="190"/>
      <c r="BE39" s="190"/>
      <c r="BF39" s="190"/>
      <c r="BG39" s="190"/>
      <c r="BH39" s="190"/>
      <c r="BI39" s="190"/>
      <c r="BJ39" s="190"/>
      <c r="BK39" s="190"/>
      <c r="BL39" s="190"/>
      <c r="BM39" s="190"/>
      <c r="BN39" s="190"/>
      <c r="BO39" s="190"/>
      <c r="BP39" s="190"/>
      <c r="BQ39" s="190"/>
      <c r="BR39" s="190"/>
      <c r="BS39" s="190"/>
      <c r="BT39" s="190"/>
      <c r="BU39" s="190"/>
      <c r="BV39" s="190"/>
      <c r="BW39" s="190"/>
      <c r="BX39" s="190"/>
      <c r="BY39" s="190"/>
      <c r="BZ39" s="190"/>
      <c r="CA39" s="190"/>
      <c r="CB39" s="190"/>
      <c r="CC39" s="190"/>
      <c r="CD39" s="190"/>
      <c r="CE39" s="190"/>
      <c r="CF39" s="190"/>
    </row>
    <row r="40" spans="1:84" ht="15">
      <c r="A40" s="210"/>
      <c r="B40" s="187"/>
      <c r="C40" s="187"/>
      <c r="D40" s="187"/>
      <c r="E40" s="187"/>
      <c r="F40" s="187"/>
      <c r="G40" s="187"/>
      <c r="H40" s="187"/>
      <c r="I40" s="187"/>
      <c r="J40" s="187"/>
      <c r="K40" s="187"/>
      <c r="L40" s="187"/>
      <c r="M40" s="187"/>
      <c r="N40" s="187"/>
      <c r="O40" s="188"/>
      <c r="P40" s="189"/>
      <c r="Q40" s="189"/>
      <c r="R40" s="189"/>
      <c r="S40" s="189"/>
      <c r="T40" s="189"/>
      <c r="U40" s="189"/>
      <c r="V40" s="189"/>
      <c r="W40" s="189"/>
      <c r="X40" s="189"/>
      <c r="Y40" s="189"/>
      <c r="Z40" s="189"/>
      <c r="AA40" s="189"/>
      <c r="AB40" s="189"/>
      <c r="AC40" s="189"/>
      <c r="AD40" s="189"/>
      <c r="AE40" s="189"/>
      <c r="AF40" s="189"/>
      <c r="AG40" s="190"/>
      <c r="AH40" s="190"/>
      <c r="AI40" s="190"/>
      <c r="AJ40" s="190"/>
      <c r="AK40" s="190"/>
      <c r="AL40" s="190"/>
      <c r="AM40" s="190"/>
      <c r="AN40" s="190"/>
      <c r="AO40" s="190"/>
      <c r="AP40" s="190"/>
      <c r="AQ40" s="190"/>
      <c r="AR40" s="190"/>
      <c r="AS40" s="190"/>
      <c r="AT40" s="190"/>
      <c r="AU40" s="190"/>
      <c r="AV40" s="190"/>
      <c r="AW40" s="190"/>
      <c r="AX40" s="190"/>
      <c r="AY40" s="190"/>
      <c r="AZ40" s="190"/>
      <c r="BA40" s="190"/>
      <c r="BB40" s="190"/>
      <c r="BC40" s="190"/>
      <c r="BD40" s="190"/>
      <c r="BE40" s="190"/>
      <c r="BF40" s="190"/>
      <c r="BG40" s="190"/>
      <c r="BH40" s="190"/>
      <c r="BI40" s="190"/>
      <c r="BJ40" s="190"/>
      <c r="BK40" s="190"/>
      <c r="BL40" s="190"/>
      <c r="BM40" s="190"/>
      <c r="BN40" s="190"/>
      <c r="BO40" s="190"/>
      <c r="BP40" s="190"/>
      <c r="BQ40" s="190"/>
      <c r="BR40" s="190"/>
      <c r="BS40" s="190"/>
      <c r="BT40" s="190"/>
      <c r="BU40" s="190"/>
      <c r="BV40" s="190"/>
      <c r="BW40" s="190"/>
      <c r="BX40" s="190"/>
      <c r="BY40" s="190"/>
      <c r="BZ40" s="190"/>
      <c r="CA40" s="190"/>
      <c r="CB40" s="190"/>
      <c r="CC40" s="190"/>
      <c r="CD40" s="190"/>
      <c r="CE40" s="190"/>
      <c r="CF40" s="190"/>
    </row>
    <row r="41" spans="1:84" ht="15">
      <c r="A41" s="210"/>
      <c r="B41" s="187"/>
      <c r="C41" s="187"/>
      <c r="D41" s="187"/>
      <c r="E41" s="187"/>
      <c r="F41" s="187"/>
      <c r="G41" s="187"/>
      <c r="H41" s="187"/>
      <c r="I41" s="187"/>
      <c r="J41" s="187"/>
      <c r="K41" s="187"/>
      <c r="L41" s="187"/>
      <c r="M41" s="187"/>
      <c r="N41" s="187"/>
      <c r="O41" s="188"/>
      <c r="P41" s="189"/>
      <c r="Q41" s="189"/>
      <c r="R41" s="189"/>
      <c r="S41" s="189"/>
      <c r="T41" s="189"/>
      <c r="U41" s="189"/>
      <c r="V41" s="189"/>
      <c r="W41" s="189"/>
      <c r="X41" s="189"/>
      <c r="Y41" s="189"/>
      <c r="Z41" s="189"/>
      <c r="AA41" s="189"/>
      <c r="AB41" s="189"/>
      <c r="AC41" s="189"/>
      <c r="AD41" s="189"/>
      <c r="AE41" s="189"/>
      <c r="AF41" s="189"/>
      <c r="AG41" s="190"/>
      <c r="AH41" s="190"/>
      <c r="AI41" s="190"/>
      <c r="AJ41" s="190"/>
      <c r="AK41" s="190"/>
      <c r="AL41" s="190"/>
      <c r="AM41" s="190"/>
      <c r="AN41" s="190"/>
      <c r="AO41" s="190"/>
      <c r="AP41" s="190"/>
      <c r="AQ41" s="190"/>
      <c r="AR41" s="190"/>
      <c r="AS41" s="190"/>
      <c r="AT41" s="190"/>
      <c r="AU41" s="190"/>
      <c r="AV41" s="190"/>
      <c r="AW41" s="190"/>
      <c r="AX41" s="190"/>
      <c r="AY41" s="190"/>
      <c r="AZ41" s="190"/>
      <c r="BA41" s="190"/>
      <c r="BB41" s="190"/>
      <c r="BC41" s="190"/>
      <c r="BD41" s="190"/>
      <c r="BE41" s="190"/>
      <c r="BF41" s="190"/>
      <c r="BG41" s="190"/>
      <c r="BH41" s="190"/>
      <c r="BI41" s="190"/>
      <c r="BJ41" s="190"/>
      <c r="BK41" s="190"/>
      <c r="BL41" s="190"/>
      <c r="BM41" s="190"/>
      <c r="BN41" s="190"/>
      <c r="BO41" s="190"/>
      <c r="BP41" s="190"/>
      <c r="BQ41" s="190"/>
      <c r="BR41" s="190"/>
      <c r="BS41" s="190"/>
      <c r="BT41" s="190"/>
      <c r="BU41" s="190"/>
      <c r="BV41" s="190"/>
      <c r="BW41" s="190"/>
      <c r="BX41" s="190"/>
      <c r="BY41" s="190"/>
      <c r="BZ41" s="190"/>
      <c r="CA41" s="190"/>
      <c r="CB41" s="190"/>
      <c r="CC41" s="190"/>
      <c r="CD41" s="190"/>
      <c r="CE41" s="190"/>
      <c r="CF41" s="190"/>
    </row>
    <row r="42" spans="1:84" ht="15">
      <c r="A42" s="210"/>
      <c r="B42" s="187"/>
      <c r="C42" s="187"/>
      <c r="D42" s="187"/>
      <c r="E42" s="187"/>
      <c r="F42" s="187"/>
      <c r="G42" s="187"/>
      <c r="H42" s="187"/>
      <c r="I42" s="187"/>
      <c r="J42" s="187"/>
      <c r="K42" s="187"/>
      <c r="L42" s="187"/>
      <c r="M42" s="187"/>
      <c r="N42" s="187"/>
      <c r="O42" s="188"/>
      <c r="P42" s="189"/>
      <c r="Q42" s="189"/>
      <c r="R42" s="189"/>
      <c r="S42" s="189"/>
      <c r="T42" s="189"/>
      <c r="U42" s="189"/>
      <c r="V42" s="189"/>
      <c r="W42" s="189"/>
      <c r="X42" s="189"/>
      <c r="Y42" s="189"/>
      <c r="Z42" s="189"/>
      <c r="AA42" s="189"/>
      <c r="AB42" s="189"/>
      <c r="AC42" s="189"/>
      <c r="AD42" s="189"/>
      <c r="AE42" s="189"/>
      <c r="AF42" s="189"/>
      <c r="AG42" s="190"/>
      <c r="AH42" s="190"/>
      <c r="AI42" s="190"/>
      <c r="AJ42" s="190"/>
      <c r="AK42" s="190"/>
      <c r="AL42" s="190"/>
      <c r="AM42" s="190"/>
      <c r="AN42" s="190"/>
      <c r="AO42" s="190"/>
      <c r="AP42" s="190"/>
      <c r="AQ42" s="190"/>
      <c r="AR42" s="190"/>
      <c r="AS42" s="190"/>
      <c r="AT42" s="190"/>
      <c r="AU42" s="190"/>
      <c r="AV42" s="190"/>
      <c r="AW42" s="190"/>
      <c r="AX42" s="190"/>
      <c r="AY42" s="190"/>
      <c r="AZ42" s="190"/>
      <c r="BA42" s="190"/>
      <c r="BB42" s="190"/>
      <c r="BC42" s="190"/>
      <c r="BD42" s="190"/>
      <c r="BE42" s="190"/>
      <c r="BF42" s="190"/>
      <c r="BG42" s="190"/>
      <c r="BH42" s="190"/>
      <c r="BI42" s="190"/>
      <c r="BJ42" s="190"/>
      <c r="BK42" s="190"/>
      <c r="BL42" s="190"/>
      <c r="BM42" s="190"/>
      <c r="BN42" s="190"/>
      <c r="BO42" s="190"/>
      <c r="BP42" s="190"/>
      <c r="BQ42" s="190"/>
      <c r="BR42" s="190"/>
      <c r="BS42" s="190"/>
      <c r="BT42" s="190"/>
      <c r="BU42" s="190"/>
      <c r="BV42" s="190"/>
      <c r="BW42" s="190"/>
      <c r="BX42" s="190"/>
      <c r="BY42" s="190"/>
      <c r="BZ42" s="190"/>
      <c r="CA42" s="190"/>
      <c r="CB42" s="190"/>
      <c r="CC42" s="190"/>
      <c r="CD42" s="190"/>
      <c r="CE42" s="190"/>
      <c r="CF42" s="190"/>
    </row>
    <row r="43" spans="1:84" ht="15">
      <c r="A43" s="210"/>
      <c r="B43" s="187"/>
      <c r="C43" s="187"/>
      <c r="D43" s="187"/>
      <c r="E43" s="187"/>
      <c r="F43" s="187"/>
      <c r="G43" s="187"/>
      <c r="H43" s="187"/>
      <c r="I43" s="187"/>
      <c r="J43" s="187"/>
      <c r="K43" s="187"/>
      <c r="L43" s="187"/>
      <c r="M43" s="187"/>
      <c r="N43" s="187"/>
      <c r="O43" s="188"/>
      <c r="P43" s="189"/>
      <c r="Q43" s="189"/>
      <c r="R43" s="189"/>
      <c r="S43" s="189"/>
      <c r="T43" s="189"/>
      <c r="U43" s="189"/>
      <c r="V43" s="189"/>
      <c r="W43" s="189"/>
      <c r="X43" s="189"/>
      <c r="Y43" s="189"/>
      <c r="Z43" s="189"/>
      <c r="AA43" s="189"/>
      <c r="AB43" s="189"/>
      <c r="AC43" s="189"/>
      <c r="AD43" s="189"/>
      <c r="AE43" s="189"/>
      <c r="AF43" s="189"/>
      <c r="AG43" s="190"/>
      <c r="AH43" s="190"/>
      <c r="AI43" s="190"/>
      <c r="AJ43" s="190"/>
      <c r="AK43" s="190"/>
      <c r="AL43" s="190"/>
      <c r="AM43" s="190"/>
      <c r="AN43" s="190"/>
      <c r="AO43" s="190"/>
      <c r="AP43" s="190"/>
      <c r="AQ43" s="190"/>
      <c r="AR43" s="190"/>
      <c r="AS43" s="190"/>
      <c r="AT43" s="190"/>
      <c r="AU43" s="190"/>
      <c r="AV43" s="190"/>
      <c r="AW43" s="190"/>
      <c r="AX43" s="190"/>
      <c r="AY43" s="190"/>
      <c r="AZ43" s="190"/>
      <c r="BA43" s="190"/>
      <c r="BB43" s="190"/>
      <c r="BC43" s="190"/>
      <c r="BD43" s="190"/>
      <c r="BE43" s="190"/>
      <c r="BF43" s="190"/>
      <c r="BG43" s="190"/>
      <c r="BH43" s="190"/>
      <c r="BI43" s="190"/>
      <c r="BJ43" s="190"/>
      <c r="BK43" s="190"/>
      <c r="BL43" s="190"/>
      <c r="BM43" s="190"/>
      <c r="BN43" s="190"/>
      <c r="BO43" s="190"/>
      <c r="BP43" s="190"/>
      <c r="BQ43" s="190"/>
      <c r="BR43" s="190"/>
      <c r="BS43" s="190"/>
      <c r="BT43" s="190"/>
      <c r="BU43" s="190"/>
      <c r="BV43" s="190"/>
      <c r="BW43" s="190"/>
      <c r="BX43" s="190"/>
      <c r="BY43" s="190"/>
      <c r="BZ43" s="190"/>
      <c r="CA43" s="190"/>
      <c r="CB43" s="190"/>
      <c r="CC43" s="190"/>
      <c r="CD43" s="190"/>
      <c r="CE43" s="190"/>
      <c r="CF43" s="190"/>
    </row>
    <row r="44" spans="1:84" ht="15">
      <c r="A44" s="210"/>
      <c r="B44" s="187"/>
      <c r="C44" s="187"/>
      <c r="D44" s="187"/>
      <c r="E44" s="187"/>
      <c r="F44" s="187"/>
      <c r="G44" s="187"/>
      <c r="H44" s="187"/>
      <c r="I44" s="187"/>
      <c r="J44" s="187"/>
      <c r="K44" s="187"/>
      <c r="L44" s="187"/>
      <c r="M44" s="187"/>
      <c r="N44" s="187"/>
      <c r="O44" s="188"/>
      <c r="P44" s="189"/>
      <c r="Q44" s="189"/>
      <c r="R44" s="189"/>
      <c r="S44" s="189"/>
      <c r="T44" s="189"/>
      <c r="U44" s="189"/>
      <c r="V44" s="189"/>
      <c r="W44" s="189"/>
      <c r="X44" s="189"/>
      <c r="Y44" s="189"/>
      <c r="Z44" s="189"/>
      <c r="AA44" s="189"/>
      <c r="AB44" s="189"/>
      <c r="AC44" s="189"/>
      <c r="AD44" s="189"/>
      <c r="AE44" s="189"/>
      <c r="AF44" s="189"/>
      <c r="AG44" s="190"/>
      <c r="AH44" s="190"/>
      <c r="AI44" s="190"/>
      <c r="AJ44" s="190"/>
      <c r="AK44" s="190"/>
      <c r="AL44" s="190"/>
      <c r="AM44" s="190"/>
      <c r="AN44" s="190"/>
      <c r="AO44" s="190"/>
      <c r="AP44" s="190"/>
      <c r="AQ44" s="190"/>
      <c r="AR44" s="190"/>
      <c r="AS44" s="190"/>
      <c r="AT44" s="190"/>
      <c r="AU44" s="190"/>
      <c r="AV44" s="190"/>
      <c r="AW44" s="190"/>
      <c r="AX44" s="190"/>
      <c r="AY44" s="190"/>
      <c r="AZ44" s="190"/>
      <c r="BA44" s="190"/>
      <c r="BB44" s="190"/>
      <c r="BC44" s="190"/>
      <c r="BD44" s="190"/>
      <c r="BE44" s="190"/>
      <c r="BF44" s="190"/>
      <c r="BG44" s="190"/>
      <c r="BH44" s="190"/>
      <c r="BI44" s="190"/>
      <c r="BJ44" s="190"/>
      <c r="BK44" s="190"/>
      <c r="BL44" s="190"/>
      <c r="BM44" s="190"/>
      <c r="BN44" s="190"/>
      <c r="BO44" s="190"/>
      <c r="BP44" s="190"/>
      <c r="BQ44" s="190"/>
      <c r="BR44" s="190"/>
      <c r="BS44" s="190"/>
      <c r="BT44" s="190"/>
      <c r="BU44" s="190"/>
      <c r="BV44" s="190"/>
      <c r="BW44" s="190"/>
      <c r="BX44" s="190"/>
      <c r="BY44" s="190"/>
      <c r="BZ44" s="190"/>
      <c r="CA44" s="190"/>
      <c r="CB44" s="190"/>
      <c r="CC44" s="190"/>
      <c r="CD44" s="190"/>
      <c r="CE44" s="190"/>
      <c r="CF44" s="190"/>
    </row>
    <row r="45" spans="1:84" ht="15">
      <c r="A45" s="210"/>
      <c r="B45" s="187"/>
      <c r="C45" s="187"/>
      <c r="D45" s="187"/>
      <c r="E45" s="187"/>
      <c r="F45" s="187"/>
      <c r="G45" s="187"/>
      <c r="H45" s="187"/>
      <c r="I45" s="187"/>
      <c r="J45" s="187"/>
      <c r="K45" s="187"/>
      <c r="L45" s="187"/>
      <c r="M45" s="187"/>
      <c r="N45" s="187"/>
      <c r="O45" s="188"/>
      <c r="P45" s="189"/>
      <c r="Q45" s="189"/>
      <c r="R45" s="189"/>
      <c r="S45" s="189"/>
      <c r="T45" s="189"/>
      <c r="U45" s="189"/>
      <c r="V45" s="189"/>
      <c r="W45" s="189"/>
      <c r="X45" s="189"/>
      <c r="Y45" s="189"/>
      <c r="Z45" s="189"/>
      <c r="AA45" s="189"/>
      <c r="AB45" s="189"/>
      <c r="AC45" s="189"/>
      <c r="AD45" s="189"/>
      <c r="AE45" s="189"/>
      <c r="AF45" s="189"/>
      <c r="AG45" s="190"/>
      <c r="AH45" s="190"/>
      <c r="AI45" s="190"/>
      <c r="AJ45" s="190"/>
      <c r="AK45" s="190"/>
      <c r="AL45" s="190"/>
      <c r="AM45" s="190"/>
      <c r="AN45" s="190"/>
      <c r="AO45" s="190"/>
      <c r="AP45" s="190"/>
      <c r="AQ45" s="190"/>
      <c r="AR45" s="190"/>
      <c r="AS45" s="190"/>
      <c r="AT45" s="190"/>
      <c r="AU45" s="190"/>
      <c r="AV45" s="190"/>
      <c r="AW45" s="190"/>
      <c r="AX45" s="190"/>
      <c r="AY45" s="190"/>
      <c r="AZ45" s="190"/>
      <c r="BA45" s="190"/>
      <c r="BB45" s="190"/>
      <c r="BC45" s="190"/>
      <c r="BD45" s="190"/>
      <c r="BE45" s="190"/>
      <c r="BF45" s="190"/>
      <c r="BG45" s="190"/>
      <c r="BH45" s="190"/>
      <c r="BI45" s="190"/>
      <c r="BJ45" s="190"/>
      <c r="BK45" s="190"/>
      <c r="BL45" s="190"/>
      <c r="BM45" s="190"/>
      <c r="BN45" s="190"/>
      <c r="BO45" s="190"/>
      <c r="BP45" s="190"/>
      <c r="BQ45" s="190"/>
      <c r="BR45" s="190"/>
      <c r="BS45" s="190"/>
      <c r="BT45" s="190"/>
      <c r="BU45" s="190"/>
      <c r="BV45" s="190"/>
      <c r="BW45" s="190"/>
      <c r="BX45" s="190"/>
      <c r="BY45" s="190"/>
      <c r="BZ45" s="190"/>
      <c r="CA45" s="190"/>
      <c r="CB45" s="190"/>
      <c r="CC45" s="190"/>
      <c r="CD45" s="190"/>
      <c r="CE45" s="190"/>
      <c r="CF45" s="190"/>
    </row>
    <row r="46" spans="1:84" ht="15">
      <c r="A46" s="210"/>
      <c r="B46" s="187"/>
      <c r="C46" s="187"/>
      <c r="D46" s="187"/>
      <c r="E46" s="187"/>
      <c r="F46" s="187"/>
      <c r="G46" s="187"/>
      <c r="H46" s="187"/>
      <c r="I46" s="187"/>
      <c r="J46" s="187"/>
      <c r="K46" s="187"/>
      <c r="L46" s="187"/>
      <c r="M46" s="187"/>
      <c r="N46" s="187"/>
      <c r="O46" s="188"/>
      <c r="P46" s="189"/>
      <c r="Q46" s="189"/>
      <c r="R46" s="189"/>
      <c r="S46" s="189"/>
      <c r="T46" s="189"/>
      <c r="U46" s="189"/>
      <c r="V46" s="189"/>
      <c r="W46" s="189"/>
      <c r="X46" s="189"/>
      <c r="Y46" s="189"/>
      <c r="Z46" s="189"/>
      <c r="AA46" s="189"/>
      <c r="AB46" s="189"/>
      <c r="AC46" s="189"/>
      <c r="AD46" s="189"/>
      <c r="AE46" s="189"/>
      <c r="AF46" s="189"/>
      <c r="AG46" s="190"/>
      <c r="AH46" s="190"/>
      <c r="AI46" s="190"/>
      <c r="AJ46" s="190"/>
      <c r="AK46" s="190"/>
      <c r="AL46" s="190"/>
      <c r="AM46" s="190"/>
      <c r="AN46" s="190"/>
      <c r="AO46" s="190"/>
      <c r="AP46" s="190"/>
      <c r="AQ46" s="190"/>
      <c r="AR46" s="190"/>
      <c r="AS46" s="190"/>
      <c r="AT46" s="190"/>
      <c r="AU46" s="190"/>
      <c r="AV46" s="190"/>
      <c r="AW46" s="190"/>
      <c r="AX46" s="190"/>
      <c r="AY46" s="190"/>
      <c r="AZ46" s="190"/>
      <c r="BA46" s="190"/>
      <c r="BB46" s="190"/>
      <c r="BC46" s="190"/>
      <c r="BD46" s="190"/>
      <c r="BE46" s="190"/>
      <c r="BF46" s="190"/>
      <c r="BG46" s="190"/>
      <c r="BH46" s="190"/>
      <c r="BI46" s="190"/>
      <c r="BJ46" s="190"/>
      <c r="BK46" s="190"/>
      <c r="BL46" s="190"/>
      <c r="BM46" s="190"/>
      <c r="BN46" s="190"/>
      <c r="BO46" s="190"/>
      <c r="BP46" s="190"/>
      <c r="BQ46" s="190"/>
      <c r="BR46" s="190"/>
      <c r="BS46" s="190"/>
      <c r="BT46" s="190"/>
      <c r="BU46" s="190"/>
      <c r="BV46" s="190"/>
      <c r="BW46" s="190"/>
      <c r="BX46" s="190"/>
      <c r="BY46" s="190"/>
      <c r="BZ46" s="190"/>
      <c r="CA46" s="190"/>
      <c r="CB46" s="190"/>
      <c r="CC46" s="190"/>
      <c r="CD46" s="190"/>
      <c r="CE46" s="190"/>
      <c r="CF46" s="190"/>
    </row>
    <row r="47" spans="1:84" ht="15">
      <c r="A47" s="210"/>
      <c r="B47" s="187"/>
      <c r="C47" s="187"/>
      <c r="D47" s="187"/>
      <c r="E47" s="187"/>
      <c r="F47" s="187"/>
      <c r="G47" s="187"/>
      <c r="H47" s="187"/>
      <c r="I47" s="187"/>
      <c r="J47" s="187"/>
      <c r="K47" s="187"/>
      <c r="L47" s="187"/>
      <c r="M47" s="187"/>
      <c r="N47" s="187"/>
      <c r="O47" s="188"/>
      <c r="P47" s="189"/>
      <c r="Q47" s="189"/>
      <c r="R47" s="189"/>
      <c r="S47" s="189"/>
      <c r="T47" s="189"/>
      <c r="U47" s="189"/>
      <c r="V47" s="189"/>
      <c r="W47" s="189"/>
      <c r="X47" s="189"/>
      <c r="Y47" s="189"/>
      <c r="Z47" s="189"/>
      <c r="AA47" s="189"/>
      <c r="AB47" s="189"/>
      <c r="AC47" s="189"/>
      <c r="AD47" s="189"/>
      <c r="AE47" s="189"/>
      <c r="AF47" s="189"/>
      <c r="AG47" s="190"/>
      <c r="AH47" s="190"/>
      <c r="AI47" s="190"/>
      <c r="AJ47" s="190"/>
      <c r="AK47" s="190"/>
      <c r="AL47" s="190"/>
      <c r="AM47" s="190"/>
      <c r="AN47" s="190"/>
      <c r="AO47" s="190"/>
      <c r="AP47" s="190"/>
      <c r="AQ47" s="190"/>
      <c r="AR47" s="190"/>
      <c r="AS47" s="190"/>
      <c r="AT47" s="190"/>
      <c r="AU47" s="190"/>
      <c r="AV47" s="190"/>
      <c r="AW47" s="190"/>
      <c r="AX47" s="190"/>
      <c r="AY47" s="190"/>
      <c r="AZ47" s="190"/>
      <c r="BA47" s="190"/>
      <c r="BB47" s="190"/>
      <c r="BC47" s="190"/>
      <c r="BD47" s="190"/>
      <c r="BE47" s="190"/>
      <c r="BF47" s="190"/>
      <c r="BG47" s="190"/>
      <c r="BH47" s="190"/>
      <c r="BI47" s="190"/>
      <c r="BJ47" s="190"/>
      <c r="BK47" s="190"/>
      <c r="BL47" s="190"/>
      <c r="BM47" s="190"/>
      <c r="BN47" s="190"/>
      <c r="BO47" s="190"/>
      <c r="BP47" s="190"/>
      <c r="BQ47" s="190"/>
      <c r="BR47" s="190"/>
      <c r="BS47" s="190"/>
      <c r="BT47" s="190"/>
      <c r="BU47" s="190"/>
      <c r="BV47" s="190"/>
      <c r="BW47" s="190"/>
      <c r="BX47" s="190"/>
      <c r="BY47" s="190"/>
      <c r="BZ47" s="190"/>
      <c r="CA47" s="190"/>
      <c r="CB47" s="190"/>
      <c r="CC47" s="190"/>
      <c r="CD47" s="190"/>
      <c r="CE47" s="190"/>
      <c r="CF47" s="190"/>
    </row>
    <row r="48" spans="1:84" ht="15">
      <c r="A48" s="210"/>
      <c r="B48" s="187"/>
      <c r="C48" s="187"/>
      <c r="D48" s="187"/>
      <c r="E48" s="187"/>
      <c r="F48" s="187"/>
      <c r="G48" s="187"/>
      <c r="H48" s="187"/>
      <c r="I48" s="187"/>
      <c r="J48" s="187"/>
      <c r="K48" s="187"/>
      <c r="L48" s="187"/>
      <c r="M48" s="187"/>
      <c r="N48" s="187"/>
      <c r="O48" s="188"/>
      <c r="P48" s="189"/>
      <c r="Q48" s="189"/>
      <c r="R48" s="189"/>
      <c r="S48" s="189"/>
      <c r="T48" s="189"/>
      <c r="U48" s="189"/>
      <c r="V48" s="189"/>
      <c r="W48" s="189"/>
      <c r="X48" s="189"/>
      <c r="Y48" s="189"/>
      <c r="Z48" s="189"/>
      <c r="AA48" s="189"/>
      <c r="AB48" s="189"/>
      <c r="AC48" s="189"/>
      <c r="AD48" s="189"/>
      <c r="AE48" s="189"/>
      <c r="AF48" s="189"/>
      <c r="AG48" s="190"/>
      <c r="AH48" s="190"/>
      <c r="AI48" s="190"/>
      <c r="AJ48" s="190"/>
      <c r="AK48" s="190"/>
      <c r="AL48" s="190"/>
      <c r="AM48" s="190"/>
      <c r="AN48" s="190"/>
      <c r="AO48" s="190"/>
      <c r="AP48" s="190"/>
      <c r="AQ48" s="190"/>
      <c r="AR48" s="190"/>
      <c r="AS48" s="190"/>
      <c r="AT48" s="190"/>
      <c r="AU48" s="190"/>
      <c r="AV48" s="190"/>
      <c r="AW48" s="190"/>
      <c r="AX48" s="190"/>
      <c r="AY48" s="190"/>
      <c r="AZ48" s="190"/>
      <c r="BA48" s="190"/>
      <c r="BB48" s="190"/>
      <c r="BC48" s="190"/>
      <c r="BD48" s="190"/>
      <c r="BE48" s="190"/>
      <c r="BF48" s="190"/>
      <c r="BG48" s="190"/>
      <c r="BH48" s="190"/>
      <c r="BI48" s="190"/>
      <c r="BJ48" s="190"/>
      <c r="BK48" s="190"/>
      <c r="BL48" s="190"/>
      <c r="BM48" s="190"/>
      <c r="BN48" s="190"/>
      <c r="BO48" s="190"/>
      <c r="BP48" s="190"/>
      <c r="BQ48" s="190"/>
      <c r="BR48" s="190"/>
      <c r="BS48" s="190"/>
      <c r="BT48" s="190"/>
      <c r="BU48" s="190"/>
      <c r="BV48" s="190"/>
      <c r="BW48" s="190"/>
      <c r="BX48" s="190"/>
      <c r="BY48" s="190"/>
      <c r="BZ48" s="190"/>
      <c r="CA48" s="190"/>
      <c r="CB48" s="190"/>
      <c r="CC48" s="190"/>
      <c r="CD48" s="190"/>
      <c r="CE48" s="190"/>
      <c r="CF48" s="190"/>
    </row>
    <row r="49" spans="1:84" ht="15">
      <c r="A49" s="210"/>
      <c r="B49" s="187"/>
      <c r="C49" s="187"/>
      <c r="D49" s="187"/>
      <c r="E49" s="187"/>
      <c r="F49" s="187"/>
      <c r="G49" s="187"/>
      <c r="H49" s="187"/>
      <c r="I49" s="187"/>
      <c r="J49" s="187"/>
      <c r="K49" s="187"/>
      <c r="L49" s="187"/>
      <c r="M49" s="187"/>
      <c r="N49" s="187"/>
      <c r="O49" s="188"/>
      <c r="P49" s="189"/>
      <c r="Q49" s="189"/>
      <c r="R49" s="189"/>
      <c r="S49" s="189"/>
      <c r="T49" s="189"/>
      <c r="U49" s="189"/>
      <c r="V49" s="189"/>
      <c r="W49" s="189"/>
      <c r="X49" s="189"/>
      <c r="Y49" s="189"/>
      <c r="Z49" s="189"/>
      <c r="AA49" s="189"/>
      <c r="AB49" s="189"/>
      <c r="AC49" s="189"/>
      <c r="AD49" s="189"/>
      <c r="AE49" s="189"/>
      <c r="AF49" s="189"/>
      <c r="AG49" s="190"/>
      <c r="AH49" s="190"/>
      <c r="AI49" s="190"/>
      <c r="AJ49" s="190"/>
      <c r="AK49" s="190"/>
      <c r="AL49" s="190"/>
      <c r="AM49" s="190"/>
      <c r="AN49" s="190"/>
      <c r="AO49" s="190"/>
      <c r="AP49" s="190"/>
      <c r="AQ49" s="190"/>
      <c r="AR49" s="190"/>
      <c r="AS49" s="190"/>
      <c r="AT49" s="190"/>
      <c r="AU49" s="190"/>
      <c r="AV49" s="190"/>
      <c r="AW49" s="190"/>
      <c r="AX49" s="190"/>
      <c r="AY49" s="190"/>
      <c r="AZ49" s="190"/>
      <c r="BA49" s="190"/>
      <c r="BB49" s="190"/>
      <c r="BC49" s="190"/>
      <c r="BD49" s="190"/>
      <c r="BE49" s="190"/>
      <c r="BF49" s="190"/>
      <c r="BG49" s="190"/>
      <c r="BH49" s="190"/>
      <c r="BI49" s="190"/>
      <c r="BJ49" s="190"/>
      <c r="BK49" s="190"/>
      <c r="BL49" s="190"/>
      <c r="BM49" s="190"/>
      <c r="BN49" s="190"/>
      <c r="BO49" s="190"/>
      <c r="BP49" s="190"/>
      <c r="BQ49" s="190"/>
      <c r="BR49" s="190"/>
      <c r="BS49" s="190"/>
      <c r="BT49" s="190"/>
      <c r="BU49" s="190"/>
      <c r="BV49" s="190"/>
      <c r="BW49" s="190"/>
      <c r="BX49" s="190"/>
      <c r="BY49" s="190"/>
      <c r="BZ49" s="190"/>
      <c r="CA49" s="190"/>
      <c r="CB49" s="190"/>
      <c r="CC49" s="190"/>
      <c r="CD49" s="190"/>
      <c r="CE49" s="190"/>
      <c r="CF49" s="190"/>
    </row>
    <row r="50" spans="1:84" ht="15">
      <c r="A50" s="210"/>
      <c r="B50" s="187"/>
      <c r="C50" s="187"/>
      <c r="D50" s="187"/>
      <c r="E50" s="187"/>
      <c r="F50" s="187"/>
      <c r="G50" s="187"/>
      <c r="H50" s="187"/>
      <c r="I50" s="187"/>
      <c r="J50" s="187"/>
      <c r="K50" s="187"/>
      <c r="L50" s="187"/>
      <c r="M50" s="187"/>
      <c r="N50" s="187"/>
      <c r="O50" s="188"/>
      <c r="P50" s="189"/>
      <c r="Q50" s="189"/>
      <c r="R50" s="189"/>
      <c r="S50" s="189"/>
      <c r="T50" s="189"/>
      <c r="U50" s="189"/>
      <c r="V50" s="189"/>
      <c r="W50" s="189"/>
      <c r="X50" s="189"/>
      <c r="Y50" s="189"/>
      <c r="Z50" s="189"/>
      <c r="AA50" s="189"/>
      <c r="AB50" s="189"/>
      <c r="AC50" s="189"/>
      <c r="AD50" s="189"/>
      <c r="AE50" s="189"/>
      <c r="AF50" s="189"/>
      <c r="AG50" s="190"/>
      <c r="AH50" s="190"/>
      <c r="AI50" s="190"/>
      <c r="AJ50" s="190"/>
      <c r="AK50" s="190"/>
      <c r="AL50" s="190"/>
      <c r="AM50" s="190"/>
      <c r="AN50" s="190"/>
      <c r="AO50" s="190"/>
      <c r="AP50" s="190"/>
      <c r="AQ50" s="190"/>
      <c r="AR50" s="190"/>
      <c r="AS50" s="190"/>
      <c r="AT50" s="190"/>
      <c r="AU50" s="190"/>
      <c r="AV50" s="190"/>
      <c r="AW50" s="190"/>
      <c r="AX50" s="190"/>
      <c r="AY50" s="190"/>
      <c r="AZ50" s="190"/>
      <c r="BA50" s="190"/>
      <c r="BB50" s="190"/>
      <c r="BC50" s="190"/>
      <c r="BD50" s="190"/>
      <c r="BE50" s="190"/>
      <c r="BF50" s="190"/>
      <c r="BG50" s="190"/>
      <c r="BH50" s="190"/>
      <c r="BI50" s="190"/>
      <c r="BJ50" s="190"/>
      <c r="BK50" s="190"/>
      <c r="BL50" s="190"/>
      <c r="BM50" s="190"/>
      <c r="BN50" s="190"/>
      <c r="BO50" s="190"/>
      <c r="BP50" s="190"/>
      <c r="BQ50" s="190"/>
      <c r="BR50" s="190"/>
      <c r="BS50" s="190"/>
      <c r="BT50" s="190"/>
      <c r="BU50" s="190"/>
      <c r="BV50" s="190"/>
      <c r="BW50" s="190"/>
      <c r="BX50" s="190"/>
      <c r="BY50" s="190"/>
      <c r="BZ50" s="190"/>
      <c r="CA50" s="190"/>
      <c r="CB50" s="190"/>
      <c r="CC50" s="190"/>
      <c r="CD50" s="190"/>
      <c r="CE50" s="190"/>
      <c r="CF50" s="190"/>
    </row>
    <row r="51" spans="1:84" ht="15">
      <c r="A51" s="210"/>
      <c r="B51" s="187"/>
      <c r="C51" s="187"/>
      <c r="D51" s="187"/>
      <c r="E51" s="187"/>
      <c r="F51" s="187"/>
      <c r="G51" s="187"/>
      <c r="H51" s="187"/>
      <c r="I51" s="187"/>
      <c r="J51" s="187"/>
      <c r="K51" s="187"/>
      <c r="L51" s="187"/>
      <c r="M51" s="187"/>
      <c r="N51" s="187"/>
      <c r="O51" s="188"/>
      <c r="P51" s="189"/>
      <c r="Q51" s="189"/>
      <c r="R51" s="189"/>
      <c r="S51" s="189"/>
      <c r="T51" s="189"/>
      <c r="U51" s="189"/>
      <c r="V51" s="189"/>
      <c r="W51" s="189"/>
      <c r="X51" s="189"/>
      <c r="Y51" s="189"/>
      <c r="Z51" s="189"/>
      <c r="AA51" s="189"/>
      <c r="AB51" s="189"/>
      <c r="AC51" s="189"/>
      <c r="AD51" s="189"/>
      <c r="AE51" s="189"/>
      <c r="AF51" s="189"/>
      <c r="AG51" s="190"/>
      <c r="AH51" s="190"/>
      <c r="AI51" s="190"/>
      <c r="AJ51" s="190"/>
      <c r="AK51" s="190"/>
      <c r="AL51" s="190"/>
      <c r="AM51" s="190"/>
      <c r="AN51" s="190"/>
      <c r="AO51" s="190"/>
      <c r="AP51" s="190"/>
      <c r="AQ51" s="190"/>
      <c r="AR51" s="190"/>
      <c r="AS51" s="190"/>
      <c r="AT51" s="190"/>
      <c r="AU51" s="190"/>
      <c r="AV51" s="190"/>
      <c r="AW51" s="190"/>
      <c r="AX51" s="190"/>
      <c r="AY51" s="190"/>
      <c r="AZ51" s="190"/>
      <c r="BA51" s="190"/>
      <c r="BB51" s="190"/>
      <c r="BC51" s="190"/>
      <c r="BD51" s="190"/>
      <c r="BE51" s="190"/>
      <c r="BF51" s="190"/>
      <c r="BG51" s="190"/>
      <c r="BH51" s="190"/>
      <c r="BI51" s="190"/>
      <c r="BJ51" s="190"/>
      <c r="BK51" s="190"/>
      <c r="BL51" s="190"/>
      <c r="BM51" s="190"/>
      <c r="BN51" s="190"/>
      <c r="BO51" s="190"/>
      <c r="BP51" s="190"/>
      <c r="BQ51" s="190"/>
      <c r="BR51" s="190"/>
      <c r="BS51" s="190"/>
      <c r="BT51" s="190"/>
      <c r="BU51" s="190"/>
      <c r="BV51" s="190"/>
      <c r="BW51" s="190"/>
      <c r="BX51" s="190"/>
      <c r="BY51" s="190"/>
      <c r="BZ51" s="190"/>
      <c r="CA51" s="190"/>
      <c r="CB51" s="190"/>
      <c r="CC51" s="190"/>
      <c r="CD51" s="190"/>
      <c r="CE51" s="190"/>
      <c r="CF51" s="190"/>
    </row>
    <row r="52" spans="1:84" ht="15">
      <c r="A52" s="210"/>
      <c r="B52" s="187"/>
      <c r="C52" s="187"/>
      <c r="D52" s="187"/>
      <c r="E52" s="187"/>
      <c r="F52" s="187"/>
      <c r="G52" s="187"/>
      <c r="H52" s="187"/>
      <c r="I52" s="187"/>
      <c r="J52" s="187"/>
      <c r="K52" s="187"/>
      <c r="L52" s="187"/>
      <c r="M52" s="187"/>
      <c r="N52" s="187"/>
      <c r="O52" s="188"/>
      <c r="P52" s="189"/>
      <c r="Q52" s="189"/>
      <c r="R52" s="189"/>
      <c r="S52" s="189"/>
      <c r="T52" s="189"/>
      <c r="U52" s="189"/>
      <c r="V52" s="189"/>
      <c r="W52" s="189"/>
      <c r="X52" s="189"/>
      <c r="Y52" s="189"/>
      <c r="Z52" s="189"/>
      <c r="AA52" s="189"/>
      <c r="AB52" s="189"/>
      <c r="AC52" s="189"/>
      <c r="AD52" s="189"/>
      <c r="AE52" s="189"/>
      <c r="AF52" s="189"/>
      <c r="AG52" s="190"/>
      <c r="AH52" s="190"/>
      <c r="AI52" s="190"/>
      <c r="AJ52" s="190"/>
      <c r="AK52" s="190"/>
      <c r="AL52" s="190"/>
      <c r="AM52" s="190"/>
      <c r="AN52" s="190"/>
      <c r="AO52" s="190"/>
      <c r="AP52" s="190"/>
      <c r="AQ52" s="190"/>
      <c r="AR52" s="190"/>
      <c r="AS52" s="190"/>
      <c r="AT52" s="190"/>
      <c r="AU52" s="190"/>
      <c r="AV52" s="190"/>
      <c r="AW52" s="190"/>
      <c r="AX52" s="190"/>
      <c r="AY52" s="190"/>
      <c r="AZ52" s="190"/>
      <c r="BA52" s="190"/>
      <c r="BB52" s="190"/>
      <c r="BC52" s="190"/>
      <c r="BD52" s="190"/>
      <c r="BE52" s="190"/>
      <c r="BF52" s="190"/>
      <c r="BG52" s="190"/>
      <c r="BH52" s="190"/>
      <c r="BI52" s="190"/>
      <c r="BJ52" s="190"/>
      <c r="BK52" s="190"/>
      <c r="BL52" s="190"/>
      <c r="BM52" s="190"/>
      <c r="BN52" s="190"/>
      <c r="BO52" s="190"/>
      <c r="BP52" s="190"/>
      <c r="BQ52" s="190"/>
      <c r="BR52" s="190"/>
      <c r="BS52" s="190"/>
      <c r="BT52" s="190"/>
      <c r="BU52" s="190"/>
      <c r="BV52" s="190"/>
      <c r="BW52" s="190"/>
      <c r="BX52" s="190"/>
      <c r="BY52" s="190"/>
      <c r="BZ52" s="190"/>
      <c r="CA52" s="190"/>
      <c r="CB52" s="190"/>
      <c r="CC52" s="190"/>
      <c r="CD52" s="190"/>
      <c r="CE52" s="190"/>
      <c r="CF52" s="190"/>
    </row>
    <row r="53" spans="1:84" ht="15">
      <c r="A53" s="210"/>
      <c r="B53" s="187"/>
      <c r="C53" s="187"/>
      <c r="D53" s="187"/>
      <c r="E53" s="187"/>
      <c r="F53" s="187"/>
      <c r="G53" s="187"/>
      <c r="H53" s="187"/>
      <c r="I53" s="187"/>
      <c r="J53" s="187"/>
      <c r="K53" s="187"/>
      <c r="L53" s="187"/>
      <c r="M53" s="187"/>
      <c r="N53" s="187"/>
      <c r="O53" s="188"/>
      <c r="P53" s="189"/>
      <c r="Q53" s="189"/>
      <c r="R53" s="189"/>
      <c r="S53" s="189"/>
      <c r="T53" s="189"/>
      <c r="U53" s="189"/>
      <c r="V53" s="189"/>
      <c r="W53" s="189"/>
      <c r="X53" s="189"/>
      <c r="Y53" s="189"/>
      <c r="Z53" s="189"/>
      <c r="AA53" s="189"/>
      <c r="AB53" s="189"/>
      <c r="AC53" s="189"/>
      <c r="AD53" s="189"/>
      <c r="AE53" s="189"/>
      <c r="AF53" s="189"/>
      <c r="AG53" s="190"/>
      <c r="AH53" s="190"/>
      <c r="AI53" s="190"/>
      <c r="AJ53" s="190"/>
      <c r="AK53" s="190"/>
      <c r="AL53" s="190"/>
      <c r="AM53" s="190"/>
      <c r="AN53" s="190"/>
      <c r="AO53" s="190"/>
      <c r="AP53" s="190"/>
      <c r="AQ53" s="190"/>
      <c r="AR53" s="190"/>
      <c r="AS53" s="190"/>
      <c r="AT53" s="190"/>
      <c r="AU53" s="190"/>
      <c r="AV53" s="190"/>
      <c r="AW53" s="190"/>
      <c r="AX53" s="190"/>
      <c r="AY53" s="190"/>
      <c r="AZ53" s="190"/>
      <c r="BA53" s="190"/>
      <c r="BB53" s="190"/>
      <c r="BC53" s="190"/>
      <c r="BD53" s="190"/>
      <c r="BE53" s="190"/>
      <c r="BF53" s="190"/>
      <c r="BG53" s="190"/>
      <c r="BH53" s="190"/>
      <c r="BI53" s="190"/>
      <c r="BJ53" s="190"/>
      <c r="BK53" s="190"/>
      <c r="BL53" s="190"/>
      <c r="BM53" s="190"/>
      <c r="BN53" s="190"/>
      <c r="BO53" s="190"/>
      <c r="BP53" s="190"/>
      <c r="BQ53" s="190"/>
      <c r="BR53" s="190"/>
      <c r="BS53" s="190"/>
      <c r="BT53" s="190"/>
      <c r="BU53" s="190"/>
      <c r="BV53" s="190"/>
      <c r="BW53" s="190"/>
      <c r="BX53" s="190"/>
      <c r="BY53" s="190"/>
      <c r="BZ53" s="190"/>
      <c r="CA53" s="190"/>
      <c r="CB53" s="190"/>
      <c r="CC53" s="190"/>
      <c r="CD53" s="190"/>
      <c r="CE53" s="190"/>
      <c r="CF53" s="190"/>
    </row>
    <row r="54" spans="1:84" ht="15">
      <c r="A54" s="210"/>
      <c r="B54" s="187"/>
      <c r="C54" s="187"/>
      <c r="D54" s="187"/>
      <c r="E54" s="187"/>
      <c r="F54" s="187"/>
      <c r="G54" s="187"/>
      <c r="H54" s="187"/>
      <c r="I54" s="187"/>
      <c r="J54" s="187"/>
      <c r="K54" s="187"/>
      <c r="L54" s="187"/>
      <c r="M54" s="187"/>
      <c r="N54" s="187"/>
      <c r="O54" s="188"/>
      <c r="P54" s="189"/>
      <c r="Q54" s="189"/>
      <c r="R54" s="189"/>
      <c r="S54" s="189"/>
      <c r="T54" s="189"/>
      <c r="U54" s="189"/>
      <c r="V54" s="189"/>
      <c r="W54" s="189"/>
      <c r="X54" s="189"/>
      <c r="Y54" s="189"/>
      <c r="Z54" s="189"/>
      <c r="AA54" s="189"/>
      <c r="AB54" s="189"/>
      <c r="AC54" s="189"/>
      <c r="AD54" s="189"/>
      <c r="AE54" s="189"/>
      <c r="AF54" s="189"/>
      <c r="AG54" s="190"/>
      <c r="AH54" s="190"/>
      <c r="AI54" s="190"/>
      <c r="AJ54" s="190"/>
      <c r="AK54" s="190"/>
      <c r="AL54" s="190"/>
      <c r="AM54" s="190"/>
      <c r="AN54" s="190"/>
      <c r="AO54" s="190"/>
      <c r="AP54" s="190"/>
      <c r="AQ54" s="190"/>
      <c r="AR54" s="190"/>
      <c r="AS54" s="190"/>
      <c r="AT54" s="190"/>
      <c r="AU54" s="190"/>
      <c r="AV54" s="190"/>
      <c r="AW54" s="190"/>
      <c r="AX54" s="190"/>
      <c r="AY54" s="190"/>
      <c r="AZ54" s="190"/>
      <c r="BA54" s="190"/>
      <c r="BB54" s="190"/>
      <c r="BC54" s="190"/>
      <c r="BD54" s="190"/>
      <c r="BE54" s="190"/>
      <c r="BF54" s="190"/>
      <c r="BG54" s="190"/>
      <c r="BH54" s="190"/>
      <c r="BI54" s="190"/>
      <c r="BJ54" s="190"/>
      <c r="BK54" s="190"/>
      <c r="BL54" s="190"/>
      <c r="BM54" s="190"/>
      <c r="BN54" s="190"/>
      <c r="BO54" s="190"/>
      <c r="BP54" s="190"/>
      <c r="BQ54" s="190"/>
      <c r="BR54" s="190"/>
      <c r="BS54" s="190"/>
      <c r="BT54" s="190"/>
      <c r="BU54" s="190"/>
      <c r="BV54" s="190"/>
      <c r="BW54" s="190"/>
      <c r="BX54" s="190"/>
      <c r="BY54" s="190"/>
      <c r="BZ54" s="190"/>
      <c r="CA54" s="190"/>
      <c r="CB54" s="190"/>
      <c r="CC54" s="190"/>
      <c r="CD54" s="190"/>
      <c r="CE54" s="190"/>
      <c r="CF54" s="190"/>
    </row>
    <row r="55" spans="1:84" ht="15">
      <c r="A55" s="210"/>
      <c r="B55" s="187"/>
      <c r="C55" s="187"/>
      <c r="D55" s="187"/>
      <c r="E55" s="187"/>
      <c r="F55" s="187"/>
      <c r="G55" s="187"/>
      <c r="H55" s="187"/>
      <c r="I55" s="187"/>
      <c r="J55" s="187"/>
      <c r="K55" s="187"/>
      <c r="L55" s="187"/>
      <c r="M55" s="187"/>
      <c r="N55" s="187"/>
      <c r="O55" s="188"/>
      <c r="P55" s="189"/>
      <c r="Q55" s="189"/>
      <c r="R55" s="189"/>
      <c r="S55" s="189"/>
      <c r="T55" s="189"/>
      <c r="U55" s="189"/>
      <c r="V55" s="189"/>
      <c r="W55" s="189"/>
      <c r="X55" s="189"/>
      <c r="Y55" s="189"/>
      <c r="Z55" s="189"/>
      <c r="AA55" s="189"/>
      <c r="AB55" s="189"/>
      <c r="AC55" s="189"/>
      <c r="AD55" s="189"/>
      <c r="AE55" s="189"/>
      <c r="AF55" s="189"/>
      <c r="AG55" s="190"/>
      <c r="AH55" s="190"/>
      <c r="AI55" s="190"/>
      <c r="AJ55" s="190"/>
      <c r="AK55" s="190"/>
      <c r="AL55" s="190"/>
      <c r="AM55" s="190"/>
      <c r="AN55" s="190"/>
      <c r="AO55" s="190"/>
      <c r="AP55" s="190"/>
      <c r="AQ55" s="190"/>
      <c r="AR55" s="190"/>
      <c r="AS55" s="190"/>
      <c r="AT55" s="190"/>
      <c r="AU55" s="190"/>
      <c r="AV55" s="190"/>
      <c r="AW55" s="190"/>
      <c r="AX55" s="190"/>
      <c r="AY55" s="190"/>
      <c r="AZ55" s="190"/>
      <c r="BA55" s="190"/>
      <c r="BB55" s="190"/>
      <c r="BC55" s="190"/>
      <c r="BD55" s="190"/>
      <c r="BE55" s="190"/>
      <c r="BF55" s="190"/>
      <c r="BG55" s="190"/>
      <c r="BH55" s="190"/>
      <c r="BI55" s="190"/>
      <c r="BJ55" s="190"/>
      <c r="BK55" s="190"/>
      <c r="BL55" s="190"/>
      <c r="BM55" s="190"/>
      <c r="BN55" s="190"/>
      <c r="BO55" s="190"/>
      <c r="BP55" s="190"/>
      <c r="BQ55" s="190"/>
      <c r="BR55" s="190"/>
      <c r="BS55" s="190"/>
      <c r="BT55" s="190"/>
      <c r="BU55" s="190"/>
      <c r="BV55" s="190"/>
      <c r="BW55" s="190"/>
      <c r="BX55" s="190"/>
      <c r="BY55" s="190"/>
      <c r="BZ55" s="190"/>
      <c r="CA55" s="190"/>
      <c r="CB55" s="190"/>
      <c r="CC55" s="190"/>
      <c r="CD55" s="190"/>
      <c r="CE55" s="190"/>
      <c r="CF55" s="190"/>
    </row>
    <row r="56" spans="1:84" ht="15">
      <c r="A56" s="211"/>
      <c r="B56" s="201"/>
      <c r="C56" s="201"/>
      <c r="D56" s="201"/>
      <c r="E56" s="201"/>
      <c r="F56" s="201"/>
      <c r="G56" s="201"/>
      <c r="H56" s="201"/>
      <c r="I56" s="201"/>
      <c r="J56" s="201"/>
      <c r="K56" s="201"/>
      <c r="L56" s="201"/>
      <c r="M56" s="201"/>
      <c r="N56" s="201"/>
      <c r="O56" s="202"/>
      <c r="P56" s="190"/>
      <c r="Q56" s="190"/>
      <c r="R56" s="190"/>
      <c r="S56" s="190"/>
      <c r="T56" s="190"/>
      <c r="U56" s="190"/>
      <c r="V56" s="190"/>
      <c r="W56" s="190"/>
      <c r="X56" s="190"/>
      <c r="Y56" s="190"/>
      <c r="Z56" s="190"/>
      <c r="AA56" s="190"/>
      <c r="AB56" s="190"/>
      <c r="AC56" s="190"/>
      <c r="AD56" s="190"/>
      <c r="AE56" s="190"/>
      <c r="AF56" s="190"/>
      <c r="AG56" s="190"/>
      <c r="AH56" s="190"/>
      <c r="AI56" s="190"/>
      <c r="AJ56" s="190"/>
      <c r="AK56" s="190"/>
      <c r="AL56" s="190"/>
      <c r="AM56" s="190"/>
      <c r="AN56" s="190"/>
      <c r="AO56" s="190"/>
      <c r="AP56" s="190"/>
      <c r="AQ56" s="190"/>
      <c r="AR56" s="190"/>
      <c r="AS56" s="190"/>
      <c r="AT56" s="190"/>
      <c r="AU56" s="190"/>
      <c r="AV56" s="190"/>
      <c r="AW56" s="190"/>
      <c r="AX56" s="190"/>
      <c r="AY56" s="190"/>
      <c r="AZ56" s="190"/>
      <c r="BA56" s="190"/>
      <c r="BB56" s="190"/>
      <c r="BC56" s="190"/>
      <c r="BD56" s="190"/>
      <c r="BE56" s="190"/>
      <c r="BF56" s="190"/>
      <c r="BG56" s="190"/>
      <c r="BH56" s="190"/>
      <c r="BI56" s="190"/>
      <c r="BJ56" s="190"/>
      <c r="BK56" s="190"/>
      <c r="BL56" s="190"/>
      <c r="BM56" s="190"/>
      <c r="BN56" s="190"/>
      <c r="BO56" s="190"/>
      <c r="BP56" s="190"/>
      <c r="BQ56" s="190"/>
      <c r="BR56" s="190"/>
      <c r="BS56" s="190"/>
      <c r="BT56" s="190"/>
      <c r="BU56" s="190"/>
      <c r="BV56" s="190"/>
      <c r="BW56" s="190"/>
      <c r="BX56" s="190"/>
      <c r="BY56" s="190"/>
      <c r="BZ56" s="190"/>
      <c r="CA56" s="190"/>
      <c r="CB56" s="190"/>
      <c r="CC56" s="190"/>
      <c r="CD56" s="190"/>
      <c r="CE56" s="190"/>
      <c r="CF56" s="190"/>
    </row>
    <row r="57" spans="1:84" ht="15">
      <c r="A57" s="211"/>
      <c r="B57" s="201"/>
      <c r="C57" s="201"/>
      <c r="D57" s="201"/>
      <c r="E57" s="201"/>
      <c r="F57" s="201"/>
      <c r="G57" s="201"/>
      <c r="H57" s="201"/>
      <c r="I57" s="201"/>
      <c r="J57" s="201"/>
      <c r="K57" s="201"/>
      <c r="L57" s="201"/>
      <c r="M57" s="201"/>
      <c r="N57" s="201"/>
      <c r="O57" s="202"/>
      <c r="P57" s="190"/>
      <c r="Q57" s="190"/>
      <c r="R57" s="190"/>
      <c r="S57" s="190"/>
      <c r="T57" s="190"/>
      <c r="U57" s="190"/>
      <c r="V57" s="190"/>
      <c r="W57" s="190"/>
      <c r="X57" s="190"/>
      <c r="Y57" s="190"/>
      <c r="Z57" s="190"/>
      <c r="AA57" s="190"/>
      <c r="AB57" s="190"/>
      <c r="AC57" s="190"/>
      <c r="AD57" s="190"/>
      <c r="AE57" s="190"/>
      <c r="AF57" s="190"/>
      <c r="AG57" s="190"/>
      <c r="AH57" s="190"/>
      <c r="AI57" s="190"/>
      <c r="AJ57" s="190"/>
      <c r="AK57" s="190"/>
      <c r="AL57" s="190"/>
      <c r="AM57" s="190"/>
      <c r="AN57" s="190"/>
      <c r="AO57" s="190"/>
      <c r="AP57" s="190"/>
      <c r="AQ57" s="190"/>
      <c r="AR57" s="190"/>
      <c r="AS57" s="190"/>
      <c r="AT57" s="190"/>
      <c r="AU57" s="190"/>
      <c r="AV57" s="190"/>
      <c r="AW57" s="190"/>
      <c r="AX57" s="190"/>
      <c r="AY57" s="190"/>
      <c r="AZ57" s="190"/>
      <c r="BA57" s="190"/>
      <c r="BB57" s="190"/>
      <c r="BC57" s="190"/>
      <c r="BD57" s="190"/>
      <c r="BE57" s="190"/>
      <c r="BF57" s="190"/>
      <c r="BG57" s="190"/>
      <c r="BH57" s="190"/>
      <c r="BI57" s="190"/>
      <c r="BJ57" s="190"/>
      <c r="BK57" s="190"/>
      <c r="BL57" s="190"/>
      <c r="BM57" s="190"/>
      <c r="BN57" s="190"/>
      <c r="BO57" s="190"/>
      <c r="BP57" s="190"/>
      <c r="BQ57" s="190"/>
      <c r="BR57" s="190"/>
      <c r="BS57" s="190"/>
      <c r="BT57" s="190"/>
      <c r="BU57" s="190"/>
      <c r="BV57" s="190"/>
      <c r="BW57" s="190"/>
      <c r="BX57" s="190"/>
      <c r="BY57" s="190"/>
      <c r="BZ57" s="190"/>
      <c r="CA57" s="190"/>
      <c r="CB57" s="190"/>
      <c r="CC57" s="190"/>
      <c r="CD57" s="190"/>
      <c r="CE57" s="190"/>
      <c r="CF57" s="190"/>
    </row>
    <row r="58" spans="1:84" ht="15">
      <c r="A58" s="211"/>
      <c r="B58" s="201"/>
      <c r="C58" s="201"/>
      <c r="D58" s="201"/>
      <c r="E58" s="201"/>
      <c r="F58" s="201"/>
      <c r="G58" s="201"/>
      <c r="H58" s="201"/>
      <c r="I58" s="201"/>
      <c r="J58" s="201"/>
      <c r="K58" s="201"/>
      <c r="L58" s="201"/>
      <c r="M58" s="201"/>
      <c r="N58" s="201"/>
      <c r="O58" s="202"/>
      <c r="P58" s="190"/>
      <c r="Q58" s="190"/>
      <c r="R58" s="190"/>
      <c r="S58" s="190"/>
      <c r="T58" s="190"/>
      <c r="U58" s="190"/>
      <c r="V58" s="190"/>
      <c r="W58" s="190"/>
      <c r="X58" s="190"/>
      <c r="Y58" s="190"/>
      <c r="Z58" s="190"/>
      <c r="AA58" s="190"/>
      <c r="AB58" s="190"/>
      <c r="AC58" s="190"/>
      <c r="AD58" s="190"/>
      <c r="AE58" s="190"/>
      <c r="AF58" s="190"/>
      <c r="AG58" s="190"/>
      <c r="AH58" s="190"/>
      <c r="AI58" s="190"/>
      <c r="AJ58" s="190"/>
      <c r="AK58" s="190"/>
      <c r="AL58" s="190"/>
      <c r="AM58" s="190"/>
      <c r="AN58" s="190"/>
      <c r="AO58" s="190"/>
      <c r="AP58" s="190"/>
      <c r="AQ58" s="190"/>
      <c r="AR58" s="190"/>
      <c r="AS58" s="190"/>
      <c r="AT58" s="190"/>
      <c r="AU58" s="190"/>
      <c r="AV58" s="190"/>
      <c r="AW58" s="190"/>
      <c r="AX58" s="190"/>
      <c r="AY58" s="190"/>
      <c r="AZ58" s="190"/>
      <c r="BA58" s="190"/>
      <c r="BB58" s="190"/>
      <c r="BC58" s="190"/>
      <c r="BD58" s="190"/>
      <c r="BE58" s="190"/>
      <c r="BF58" s="190"/>
      <c r="BG58" s="190"/>
      <c r="BH58" s="190"/>
      <c r="BI58" s="190"/>
      <c r="BJ58" s="190"/>
      <c r="BK58" s="190"/>
      <c r="BL58" s="190"/>
      <c r="BM58" s="190"/>
      <c r="BN58" s="190"/>
      <c r="BO58" s="190"/>
      <c r="BP58" s="190"/>
      <c r="BQ58" s="190"/>
      <c r="BR58" s="190"/>
      <c r="BS58" s="190"/>
      <c r="BT58" s="190"/>
      <c r="BU58" s="190"/>
      <c r="BV58" s="190"/>
      <c r="BW58" s="190"/>
      <c r="BX58" s="190"/>
      <c r="BY58" s="190"/>
      <c r="BZ58" s="190"/>
      <c r="CA58" s="190"/>
      <c r="CB58" s="190"/>
      <c r="CC58" s="190"/>
      <c r="CD58" s="190"/>
      <c r="CE58" s="190"/>
      <c r="CF58" s="190"/>
    </row>
    <row r="59" spans="1:84" ht="15">
      <c r="A59" s="211"/>
      <c r="B59" s="201"/>
      <c r="C59" s="201"/>
      <c r="D59" s="201"/>
      <c r="E59" s="201"/>
      <c r="F59" s="201"/>
      <c r="G59" s="201"/>
      <c r="H59" s="201"/>
      <c r="I59" s="201"/>
      <c r="J59" s="201"/>
      <c r="K59" s="201"/>
      <c r="L59" s="201"/>
      <c r="M59" s="201"/>
      <c r="N59" s="201"/>
      <c r="O59" s="202"/>
      <c r="P59" s="190"/>
      <c r="Q59" s="190"/>
      <c r="R59" s="190"/>
      <c r="S59" s="190"/>
      <c r="T59" s="190"/>
      <c r="U59" s="190"/>
      <c r="V59" s="190"/>
      <c r="W59" s="190"/>
      <c r="X59" s="190"/>
      <c r="Y59" s="190"/>
      <c r="Z59" s="190"/>
      <c r="AA59" s="190"/>
      <c r="AB59" s="190"/>
      <c r="AC59" s="190"/>
      <c r="AD59" s="190"/>
      <c r="AE59" s="190"/>
      <c r="AF59" s="190"/>
      <c r="AG59" s="190"/>
      <c r="AH59" s="190"/>
      <c r="AI59" s="190"/>
      <c r="AJ59" s="190"/>
      <c r="AK59" s="190"/>
      <c r="AL59" s="190"/>
      <c r="AM59" s="190"/>
      <c r="AN59" s="190"/>
      <c r="AO59" s="190"/>
      <c r="AP59" s="190"/>
      <c r="AQ59" s="190"/>
      <c r="AR59" s="190"/>
      <c r="AS59" s="190"/>
      <c r="AT59" s="190"/>
      <c r="AU59" s="190"/>
      <c r="AV59" s="190"/>
      <c r="AW59" s="190"/>
      <c r="AX59" s="190"/>
      <c r="AY59" s="190"/>
      <c r="AZ59" s="190"/>
      <c r="BA59" s="190"/>
      <c r="BB59" s="190"/>
      <c r="BC59" s="190"/>
      <c r="BD59" s="190"/>
      <c r="BE59" s="190"/>
      <c r="BF59" s="190"/>
      <c r="BG59" s="190"/>
      <c r="BH59" s="190"/>
      <c r="BI59" s="190"/>
      <c r="BJ59" s="190"/>
      <c r="BK59" s="190"/>
      <c r="BL59" s="190"/>
      <c r="BM59" s="190"/>
      <c r="BN59" s="190"/>
      <c r="BO59" s="190"/>
      <c r="BP59" s="190"/>
      <c r="BQ59" s="190"/>
      <c r="BR59" s="190"/>
      <c r="BS59" s="190"/>
      <c r="BT59" s="190"/>
      <c r="BU59" s="190"/>
      <c r="BV59" s="190"/>
      <c r="BW59" s="190"/>
      <c r="BX59" s="190"/>
      <c r="BY59" s="190"/>
      <c r="BZ59" s="190"/>
      <c r="CA59" s="190"/>
      <c r="CB59" s="190"/>
      <c r="CC59" s="190"/>
      <c r="CD59" s="190"/>
      <c r="CE59" s="190"/>
      <c r="CF59" s="190"/>
    </row>
    <row r="60" spans="1:84" ht="15">
      <c r="A60" s="211"/>
      <c r="B60" s="201"/>
      <c r="C60" s="201"/>
      <c r="D60" s="201"/>
      <c r="E60" s="201"/>
      <c r="F60" s="201"/>
      <c r="G60" s="201"/>
      <c r="H60" s="201"/>
      <c r="I60" s="201"/>
      <c r="J60" s="201"/>
      <c r="K60" s="201"/>
      <c r="L60" s="201"/>
      <c r="M60" s="201"/>
      <c r="N60" s="201"/>
      <c r="O60" s="202"/>
      <c r="P60" s="190"/>
      <c r="Q60" s="190"/>
      <c r="R60" s="190"/>
      <c r="S60" s="190"/>
      <c r="T60" s="190"/>
      <c r="U60" s="190"/>
      <c r="V60" s="190"/>
      <c r="W60" s="190"/>
      <c r="X60" s="190"/>
      <c r="Y60" s="190"/>
      <c r="Z60" s="190"/>
      <c r="AA60" s="190"/>
      <c r="AB60" s="190"/>
      <c r="AC60" s="190"/>
      <c r="AD60" s="190"/>
      <c r="AE60" s="190"/>
      <c r="AF60" s="190"/>
      <c r="AG60" s="190"/>
      <c r="AH60" s="190"/>
      <c r="AI60" s="190"/>
      <c r="AJ60" s="190"/>
      <c r="AK60" s="190"/>
      <c r="AL60" s="190"/>
      <c r="AM60" s="190"/>
      <c r="AN60" s="190"/>
      <c r="AO60" s="190"/>
      <c r="AP60" s="190"/>
      <c r="AQ60" s="190"/>
      <c r="AR60" s="190"/>
      <c r="AS60" s="190"/>
      <c r="AT60" s="190"/>
      <c r="AU60" s="190"/>
      <c r="AV60" s="190"/>
      <c r="AW60" s="190"/>
      <c r="AX60" s="190"/>
      <c r="AY60" s="190"/>
      <c r="AZ60" s="190"/>
      <c r="BA60" s="190"/>
      <c r="BB60" s="190"/>
      <c r="BC60" s="190"/>
      <c r="BD60" s="190"/>
      <c r="BE60" s="190"/>
      <c r="BF60" s="190"/>
      <c r="BG60" s="190"/>
      <c r="BH60" s="190"/>
      <c r="BI60" s="190"/>
      <c r="BJ60" s="190"/>
      <c r="BK60" s="190"/>
      <c r="BL60" s="190"/>
      <c r="BM60" s="190"/>
      <c r="BN60" s="190"/>
      <c r="BO60" s="190"/>
      <c r="BP60" s="190"/>
      <c r="BQ60" s="190"/>
      <c r="BR60" s="190"/>
      <c r="BS60" s="190"/>
      <c r="BT60" s="190"/>
      <c r="BU60" s="190"/>
      <c r="BV60" s="190"/>
      <c r="BW60" s="190"/>
      <c r="BX60" s="190"/>
      <c r="BY60" s="190"/>
      <c r="BZ60" s="190"/>
      <c r="CA60" s="190"/>
      <c r="CB60" s="190"/>
      <c r="CC60" s="190"/>
      <c r="CD60" s="190"/>
      <c r="CE60" s="190"/>
      <c r="CF60" s="190"/>
    </row>
    <row r="61" spans="1:84" ht="15">
      <c r="A61" s="211"/>
      <c r="B61" s="201"/>
      <c r="C61" s="201"/>
      <c r="D61" s="201"/>
      <c r="E61" s="201"/>
      <c r="F61" s="201"/>
      <c r="G61" s="201"/>
      <c r="H61" s="201"/>
      <c r="I61" s="201"/>
      <c r="J61" s="201"/>
      <c r="K61" s="201"/>
      <c r="L61" s="201"/>
      <c r="M61" s="201"/>
      <c r="N61" s="201"/>
      <c r="O61" s="202"/>
      <c r="P61" s="190"/>
      <c r="Q61" s="190"/>
      <c r="R61" s="190"/>
      <c r="S61" s="190"/>
      <c r="T61" s="190"/>
      <c r="U61" s="190"/>
      <c r="V61" s="190"/>
      <c r="W61" s="190"/>
      <c r="X61" s="190"/>
      <c r="Y61" s="190"/>
      <c r="Z61" s="190"/>
      <c r="AA61" s="190"/>
      <c r="AB61" s="190"/>
      <c r="AC61" s="190"/>
      <c r="AD61" s="190"/>
      <c r="AE61" s="190"/>
      <c r="AF61" s="190"/>
      <c r="AG61" s="190"/>
      <c r="AH61" s="190"/>
      <c r="AI61" s="190"/>
      <c r="AJ61" s="190"/>
      <c r="AK61" s="190"/>
      <c r="AL61" s="190"/>
      <c r="AM61" s="190"/>
      <c r="AN61" s="190"/>
      <c r="AO61" s="190"/>
      <c r="AP61" s="190"/>
      <c r="AQ61" s="190"/>
      <c r="AR61" s="190"/>
      <c r="AS61" s="190"/>
      <c r="AT61" s="190"/>
      <c r="AU61" s="190"/>
      <c r="AV61" s="190"/>
      <c r="AW61" s="190"/>
      <c r="AX61" s="190"/>
      <c r="AY61" s="190"/>
      <c r="AZ61" s="190"/>
      <c r="BA61" s="190"/>
      <c r="BB61" s="190"/>
      <c r="BC61" s="190"/>
      <c r="BD61" s="190"/>
      <c r="BE61" s="190"/>
      <c r="BF61" s="190"/>
      <c r="BG61" s="190"/>
      <c r="BH61" s="190"/>
      <c r="BI61" s="190"/>
      <c r="BJ61" s="190"/>
      <c r="BK61" s="190"/>
      <c r="BL61" s="190"/>
      <c r="BM61" s="190"/>
      <c r="BN61" s="190"/>
      <c r="BO61" s="190"/>
      <c r="BP61" s="190"/>
      <c r="BQ61" s="190"/>
      <c r="BR61" s="190"/>
      <c r="BS61" s="190"/>
      <c r="BT61" s="190"/>
      <c r="BU61" s="190"/>
      <c r="BV61" s="190"/>
      <c r="BW61" s="190"/>
      <c r="BX61" s="190"/>
      <c r="BY61" s="190"/>
      <c r="BZ61" s="190"/>
      <c r="CA61" s="190"/>
      <c r="CB61" s="190"/>
      <c r="CC61" s="190"/>
      <c r="CD61" s="190"/>
      <c r="CE61" s="190"/>
      <c r="CF61" s="190"/>
    </row>
    <row r="62" spans="1:84" ht="15">
      <c r="A62" s="211"/>
      <c r="B62" s="201"/>
      <c r="C62" s="201"/>
      <c r="D62" s="201"/>
      <c r="E62" s="201"/>
      <c r="F62" s="201"/>
      <c r="G62" s="201"/>
      <c r="H62" s="201"/>
      <c r="I62" s="201"/>
      <c r="J62" s="201"/>
      <c r="K62" s="201"/>
      <c r="L62" s="201"/>
      <c r="M62" s="201"/>
      <c r="N62" s="201"/>
      <c r="O62" s="202"/>
      <c r="P62" s="190"/>
      <c r="Q62" s="190"/>
      <c r="R62" s="190"/>
      <c r="S62" s="190"/>
      <c r="T62" s="190"/>
      <c r="U62" s="190"/>
      <c r="V62" s="190"/>
      <c r="W62" s="190"/>
      <c r="X62" s="190"/>
      <c r="Y62" s="190"/>
      <c r="Z62" s="190"/>
      <c r="AA62" s="190"/>
      <c r="AB62" s="190"/>
      <c r="AC62" s="190"/>
      <c r="AD62" s="190"/>
      <c r="AE62" s="190"/>
      <c r="AF62" s="190"/>
      <c r="AG62" s="190"/>
      <c r="AH62" s="190"/>
      <c r="AI62" s="190"/>
      <c r="AJ62" s="190"/>
      <c r="AK62" s="190"/>
      <c r="AL62" s="190"/>
      <c r="AM62" s="190"/>
      <c r="AN62" s="190"/>
      <c r="AO62" s="190"/>
      <c r="AP62" s="190"/>
      <c r="AQ62" s="190"/>
      <c r="AR62" s="190"/>
      <c r="AS62" s="190"/>
      <c r="AT62" s="190"/>
      <c r="AU62" s="190"/>
      <c r="AV62" s="190"/>
      <c r="AW62" s="190"/>
      <c r="AX62" s="190"/>
      <c r="AY62" s="190"/>
      <c r="AZ62" s="190"/>
      <c r="BA62" s="190"/>
      <c r="BB62" s="190"/>
      <c r="BC62" s="190"/>
      <c r="BD62" s="190"/>
      <c r="BE62" s="190"/>
      <c r="BF62" s="190"/>
      <c r="BG62" s="190"/>
      <c r="BH62" s="190"/>
      <c r="BI62" s="190"/>
      <c r="BJ62" s="190"/>
      <c r="BK62" s="190"/>
      <c r="BL62" s="190"/>
      <c r="BM62" s="190"/>
      <c r="BN62" s="190"/>
      <c r="BO62" s="190"/>
      <c r="BP62" s="190"/>
      <c r="BQ62" s="190"/>
      <c r="BR62" s="190"/>
      <c r="BS62" s="190"/>
      <c r="BT62" s="190"/>
      <c r="BU62" s="190"/>
      <c r="BV62" s="190"/>
      <c r="BW62" s="190"/>
      <c r="BX62" s="190"/>
      <c r="BY62" s="190"/>
      <c r="BZ62" s="190"/>
      <c r="CA62" s="190"/>
      <c r="CB62" s="190"/>
      <c r="CC62" s="190"/>
      <c r="CD62" s="190"/>
      <c r="CE62" s="190"/>
      <c r="CF62" s="190"/>
    </row>
    <row r="63" spans="1:84" ht="15">
      <c r="A63" s="211"/>
      <c r="B63" s="201"/>
      <c r="C63" s="201"/>
      <c r="D63" s="201"/>
      <c r="E63" s="201"/>
      <c r="F63" s="201"/>
      <c r="G63" s="201"/>
      <c r="H63" s="201"/>
      <c r="I63" s="201"/>
      <c r="J63" s="201"/>
      <c r="K63" s="201"/>
      <c r="L63" s="201"/>
      <c r="M63" s="201"/>
      <c r="N63" s="201"/>
      <c r="O63" s="202"/>
      <c r="P63" s="190"/>
      <c r="Q63" s="190"/>
      <c r="R63" s="190"/>
      <c r="S63" s="190"/>
      <c r="T63" s="190"/>
      <c r="U63" s="190"/>
      <c r="V63" s="190"/>
      <c r="W63" s="190"/>
      <c r="X63" s="190"/>
      <c r="Y63" s="190"/>
      <c r="Z63" s="190"/>
      <c r="AA63" s="190"/>
      <c r="AB63" s="190"/>
      <c r="AC63" s="190"/>
      <c r="AD63" s="190"/>
      <c r="AE63" s="190"/>
      <c r="AF63" s="190"/>
      <c r="AG63" s="190"/>
      <c r="AH63" s="190"/>
      <c r="AI63" s="190"/>
      <c r="AJ63" s="190"/>
      <c r="AK63" s="190"/>
      <c r="AL63" s="190"/>
      <c r="AM63" s="190"/>
      <c r="AN63" s="190"/>
      <c r="AO63" s="190"/>
      <c r="AP63" s="190"/>
      <c r="AQ63" s="190"/>
      <c r="AR63" s="190"/>
      <c r="AS63" s="190"/>
      <c r="AT63" s="190"/>
      <c r="AU63" s="190"/>
      <c r="AV63" s="190"/>
      <c r="AW63" s="190"/>
      <c r="AX63" s="190"/>
      <c r="AY63" s="190"/>
      <c r="AZ63" s="190"/>
      <c r="BA63" s="190"/>
      <c r="BB63" s="190"/>
      <c r="BC63" s="190"/>
      <c r="BD63" s="190"/>
      <c r="BE63" s="190"/>
      <c r="BF63" s="190"/>
      <c r="BG63" s="190"/>
      <c r="BH63" s="190"/>
      <c r="BI63" s="190"/>
      <c r="BJ63" s="190"/>
      <c r="BK63" s="190"/>
      <c r="BL63" s="190"/>
      <c r="BM63" s="190"/>
      <c r="BN63" s="190"/>
      <c r="BO63" s="190"/>
      <c r="BP63" s="190"/>
      <c r="BQ63" s="190"/>
      <c r="BR63" s="190"/>
      <c r="BS63" s="190"/>
      <c r="BT63" s="190"/>
      <c r="BU63" s="190"/>
      <c r="BV63" s="190"/>
      <c r="BW63" s="190"/>
      <c r="BX63" s="190"/>
      <c r="BY63" s="190"/>
      <c r="BZ63" s="190"/>
      <c r="CA63" s="190"/>
      <c r="CB63" s="190"/>
      <c r="CC63" s="190"/>
      <c r="CD63" s="190"/>
      <c r="CE63" s="190"/>
      <c r="CF63" s="190"/>
    </row>
    <row r="64" spans="1:84" ht="15">
      <c r="A64" s="211"/>
      <c r="B64" s="201"/>
      <c r="C64" s="201"/>
      <c r="D64" s="201"/>
      <c r="E64" s="201"/>
      <c r="F64" s="201"/>
      <c r="G64" s="201"/>
      <c r="H64" s="201"/>
      <c r="I64" s="201"/>
      <c r="J64" s="201"/>
      <c r="K64" s="201"/>
      <c r="L64" s="201"/>
      <c r="M64" s="201"/>
      <c r="N64" s="201"/>
      <c r="O64" s="202"/>
      <c r="P64" s="190"/>
      <c r="Q64" s="190"/>
      <c r="R64" s="190"/>
      <c r="S64" s="190"/>
      <c r="T64" s="190"/>
      <c r="U64" s="190"/>
      <c r="V64" s="190"/>
      <c r="W64" s="190"/>
      <c r="X64" s="190"/>
      <c r="Y64" s="190"/>
      <c r="Z64" s="190"/>
      <c r="AA64" s="190"/>
      <c r="AB64" s="190"/>
      <c r="AC64" s="190"/>
      <c r="AD64" s="190"/>
      <c r="AE64" s="190"/>
      <c r="AF64" s="190"/>
      <c r="AG64" s="190"/>
      <c r="AH64" s="190"/>
      <c r="AI64" s="190"/>
      <c r="AJ64" s="190"/>
      <c r="AK64" s="190"/>
      <c r="AL64" s="190"/>
      <c r="AM64" s="190"/>
      <c r="AN64" s="190"/>
      <c r="AO64" s="190"/>
      <c r="AP64" s="190"/>
      <c r="AQ64" s="190"/>
      <c r="AR64" s="190"/>
      <c r="AS64" s="190"/>
      <c r="AT64" s="190"/>
      <c r="AU64" s="190"/>
      <c r="AV64" s="190"/>
      <c r="AW64" s="190"/>
      <c r="AX64" s="190"/>
      <c r="AY64" s="190"/>
      <c r="AZ64" s="190"/>
      <c r="BA64" s="190"/>
      <c r="BB64" s="190"/>
      <c r="BC64" s="190"/>
      <c r="BD64" s="190"/>
      <c r="BE64" s="190"/>
      <c r="BF64" s="190"/>
      <c r="BG64" s="190"/>
      <c r="BH64" s="190"/>
      <c r="BI64" s="190"/>
      <c r="BJ64" s="190"/>
      <c r="BK64" s="190"/>
      <c r="BL64" s="190"/>
      <c r="BM64" s="190"/>
      <c r="BN64" s="190"/>
      <c r="BO64" s="190"/>
      <c r="BP64" s="190"/>
      <c r="BQ64" s="190"/>
      <c r="BR64" s="190"/>
      <c r="BS64" s="190"/>
      <c r="BT64" s="190"/>
      <c r="BU64" s="190"/>
      <c r="BV64" s="190"/>
      <c r="BW64" s="190"/>
      <c r="BX64" s="190"/>
      <c r="BY64" s="190"/>
      <c r="BZ64" s="190"/>
      <c r="CA64" s="190"/>
      <c r="CB64" s="190"/>
      <c r="CC64" s="190"/>
      <c r="CD64" s="190"/>
      <c r="CE64" s="190"/>
      <c r="CF64" s="190"/>
    </row>
    <row r="65" spans="1:84" ht="14.4">
      <c r="A65" s="190"/>
      <c r="B65" s="190"/>
      <c r="C65" s="190"/>
      <c r="D65" s="190"/>
      <c r="E65" s="190"/>
      <c r="F65" s="190"/>
      <c r="G65" s="190"/>
      <c r="H65" s="190"/>
      <c r="I65" s="190"/>
      <c r="J65" s="190"/>
      <c r="K65" s="190"/>
      <c r="L65" s="190"/>
      <c r="M65" s="190"/>
      <c r="N65" s="190"/>
      <c r="O65" s="190"/>
      <c r="P65" s="190"/>
      <c r="Q65" s="190"/>
      <c r="R65" s="190"/>
      <c r="S65" s="190"/>
      <c r="T65" s="190"/>
      <c r="U65" s="190"/>
      <c r="V65" s="190"/>
      <c r="W65" s="190"/>
      <c r="X65" s="190"/>
      <c r="Y65" s="190"/>
      <c r="Z65" s="190"/>
      <c r="AA65" s="190"/>
      <c r="AB65" s="190"/>
      <c r="AC65" s="190"/>
      <c r="AD65" s="190"/>
      <c r="AE65" s="190"/>
      <c r="AF65" s="190"/>
      <c r="AG65" s="190"/>
      <c r="AH65" s="190"/>
      <c r="AI65" s="190"/>
      <c r="AJ65" s="190"/>
      <c r="AK65" s="190"/>
      <c r="AL65" s="190"/>
      <c r="AM65" s="190"/>
      <c r="AN65" s="190"/>
      <c r="AO65" s="190"/>
      <c r="AP65" s="190"/>
      <c r="AQ65" s="190"/>
      <c r="AR65" s="190"/>
      <c r="AS65" s="190"/>
      <c r="AT65" s="190"/>
      <c r="AU65" s="190"/>
      <c r="AV65" s="190"/>
      <c r="AW65" s="190"/>
      <c r="AX65" s="190"/>
      <c r="AY65" s="190"/>
      <c r="AZ65" s="190"/>
      <c r="BA65" s="190"/>
      <c r="BB65" s="190"/>
      <c r="BC65" s="190"/>
      <c r="BD65" s="190"/>
      <c r="BE65" s="190"/>
      <c r="BF65" s="190"/>
      <c r="BG65" s="190"/>
      <c r="BH65" s="190"/>
      <c r="BI65" s="190"/>
      <c r="BJ65" s="190"/>
      <c r="BK65" s="190"/>
      <c r="BL65" s="190"/>
      <c r="BM65" s="190"/>
      <c r="BN65" s="190"/>
      <c r="BO65" s="190"/>
      <c r="BP65" s="190"/>
      <c r="BQ65" s="190"/>
      <c r="BR65" s="190"/>
      <c r="BS65" s="190"/>
      <c r="BT65" s="190"/>
      <c r="BU65" s="190"/>
      <c r="BV65" s="190"/>
      <c r="BW65" s="190"/>
      <c r="BX65" s="190"/>
      <c r="BY65" s="190"/>
      <c r="BZ65" s="190"/>
      <c r="CA65" s="190"/>
      <c r="CB65" s="190"/>
      <c r="CC65" s="190"/>
      <c r="CD65" s="190"/>
      <c r="CE65" s="190"/>
      <c r="CF65" s="190"/>
    </row>
    <row r="66" spans="1:84" ht="14.4">
      <c r="A66" s="190"/>
      <c r="B66" s="190"/>
      <c r="C66" s="190"/>
      <c r="D66" s="190"/>
      <c r="E66" s="190"/>
      <c r="F66" s="190"/>
      <c r="G66" s="190"/>
      <c r="H66" s="190"/>
      <c r="I66" s="190"/>
      <c r="J66" s="190"/>
      <c r="K66" s="190"/>
      <c r="L66" s="190"/>
      <c r="M66" s="190"/>
      <c r="N66" s="190"/>
      <c r="O66" s="190"/>
      <c r="P66" s="190"/>
      <c r="Q66" s="190"/>
      <c r="R66" s="190"/>
      <c r="S66" s="190"/>
      <c r="T66" s="190"/>
      <c r="U66" s="190"/>
      <c r="V66" s="190"/>
      <c r="W66" s="190"/>
      <c r="X66" s="190"/>
      <c r="Y66" s="190"/>
      <c r="Z66" s="190"/>
      <c r="AA66" s="190"/>
      <c r="AB66" s="190"/>
      <c r="AC66" s="190"/>
      <c r="AD66" s="190"/>
      <c r="AE66" s="190"/>
      <c r="AF66" s="190"/>
      <c r="AG66" s="190"/>
      <c r="AH66" s="190"/>
      <c r="AI66" s="190"/>
      <c r="AJ66" s="190"/>
      <c r="AK66" s="190"/>
      <c r="AL66" s="190"/>
      <c r="AM66" s="190"/>
      <c r="AN66" s="190"/>
      <c r="AO66" s="190"/>
      <c r="AP66" s="190"/>
      <c r="AQ66" s="190"/>
      <c r="AR66" s="190"/>
      <c r="AS66" s="190"/>
      <c r="AT66" s="190"/>
      <c r="AU66" s="190"/>
      <c r="AV66" s="190"/>
      <c r="AW66" s="190"/>
      <c r="AX66" s="190"/>
      <c r="AY66" s="190"/>
      <c r="AZ66" s="190"/>
      <c r="BA66" s="190"/>
      <c r="BB66" s="190"/>
      <c r="BC66" s="190"/>
      <c r="BD66" s="190"/>
      <c r="BE66" s="190"/>
      <c r="BF66" s="190"/>
      <c r="BG66" s="190"/>
      <c r="BH66" s="190"/>
      <c r="BI66" s="190"/>
      <c r="BJ66" s="190"/>
      <c r="BK66" s="190"/>
      <c r="BL66" s="190"/>
      <c r="BM66" s="190"/>
      <c r="BN66" s="190"/>
      <c r="BO66" s="190"/>
      <c r="BP66" s="190"/>
      <c r="BQ66" s="190"/>
      <c r="BR66" s="190"/>
      <c r="BS66" s="190"/>
      <c r="BT66" s="190"/>
      <c r="BU66" s="190"/>
      <c r="BV66" s="190"/>
      <c r="BW66" s="190"/>
      <c r="BX66" s="190"/>
      <c r="BY66" s="190"/>
      <c r="BZ66" s="190"/>
      <c r="CA66" s="190"/>
      <c r="CB66" s="190"/>
      <c r="CC66" s="190"/>
      <c r="CD66" s="190"/>
      <c r="CE66" s="190"/>
      <c r="CF66" s="190"/>
    </row>
    <row r="67" spans="1:84" ht="14.4">
      <c r="A67" s="190"/>
      <c r="B67" s="190"/>
      <c r="C67" s="190"/>
      <c r="D67" s="190"/>
      <c r="E67" s="190"/>
      <c r="F67" s="190"/>
      <c r="G67" s="190"/>
      <c r="H67" s="190"/>
      <c r="I67" s="190"/>
      <c r="J67" s="190"/>
      <c r="K67" s="190"/>
      <c r="L67" s="190"/>
      <c r="M67" s="190"/>
      <c r="N67" s="190"/>
      <c r="O67" s="190"/>
      <c r="P67" s="190"/>
      <c r="Q67" s="190"/>
      <c r="R67" s="190"/>
      <c r="S67" s="190"/>
      <c r="T67" s="190"/>
      <c r="U67" s="190"/>
      <c r="V67" s="190"/>
      <c r="W67" s="190"/>
      <c r="X67" s="190"/>
      <c r="Y67" s="190"/>
      <c r="Z67" s="190"/>
      <c r="AA67" s="190"/>
      <c r="AB67" s="190"/>
      <c r="AC67" s="190"/>
      <c r="AD67" s="190"/>
      <c r="AE67" s="190"/>
      <c r="AF67" s="190"/>
      <c r="AG67" s="190"/>
      <c r="AH67" s="190"/>
      <c r="AI67" s="190"/>
      <c r="AJ67" s="190"/>
      <c r="AK67" s="190"/>
      <c r="AL67" s="190"/>
      <c r="AM67" s="190"/>
      <c r="AN67" s="190"/>
      <c r="AO67" s="190"/>
      <c r="AP67" s="190"/>
      <c r="AQ67" s="190"/>
      <c r="AR67" s="190"/>
      <c r="AS67" s="190"/>
      <c r="AT67" s="190"/>
      <c r="AU67" s="190"/>
      <c r="AV67" s="190"/>
      <c r="AW67" s="190"/>
      <c r="AX67" s="190"/>
      <c r="AY67" s="190"/>
      <c r="AZ67" s="190"/>
      <c r="BA67" s="190"/>
      <c r="BB67" s="190"/>
      <c r="BC67" s="190"/>
      <c r="BD67" s="190"/>
      <c r="BE67" s="190"/>
      <c r="BF67" s="190"/>
      <c r="BG67" s="190"/>
      <c r="BH67" s="190"/>
      <c r="BI67" s="190"/>
      <c r="BJ67" s="190"/>
      <c r="BK67" s="190"/>
      <c r="BL67" s="190"/>
      <c r="BM67" s="190"/>
      <c r="BN67" s="190"/>
      <c r="BO67" s="190"/>
      <c r="BP67" s="190"/>
      <c r="BQ67" s="190"/>
      <c r="BR67" s="190"/>
      <c r="BS67" s="190"/>
      <c r="BT67" s="190"/>
      <c r="BU67" s="190"/>
      <c r="BV67" s="190"/>
      <c r="BW67" s="190"/>
      <c r="BX67" s="190"/>
      <c r="BY67" s="190"/>
      <c r="BZ67" s="190"/>
      <c r="CA67" s="190"/>
      <c r="CB67" s="190"/>
      <c r="CC67" s="190"/>
      <c r="CD67" s="190"/>
      <c r="CE67" s="190"/>
      <c r="CF67" s="190"/>
    </row>
    <row r="68" spans="1:84" ht="14.4">
      <c r="A68" s="190"/>
      <c r="B68" s="190"/>
      <c r="C68" s="190"/>
      <c r="D68" s="190"/>
      <c r="E68" s="190"/>
      <c r="F68" s="190"/>
      <c r="G68" s="190"/>
      <c r="H68" s="190"/>
      <c r="I68" s="190"/>
      <c r="J68" s="190"/>
      <c r="K68" s="190"/>
      <c r="L68" s="190"/>
      <c r="M68" s="190"/>
      <c r="N68" s="190"/>
      <c r="O68" s="190"/>
      <c r="P68" s="190"/>
      <c r="Q68" s="190"/>
      <c r="R68" s="190"/>
      <c r="S68" s="190"/>
      <c r="T68" s="190"/>
      <c r="U68" s="190"/>
      <c r="V68" s="190"/>
      <c r="W68" s="190"/>
      <c r="X68" s="190"/>
      <c r="Y68" s="190"/>
      <c r="Z68" s="190"/>
      <c r="AA68" s="190"/>
      <c r="AB68" s="190"/>
      <c r="AC68" s="190"/>
      <c r="AD68" s="190"/>
      <c r="AE68" s="190"/>
      <c r="AF68" s="190"/>
      <c r="AG68" s="190"/>
      <c r="AH68" s="190"/>
      <c r="AI68" s="190"/>
      <c r="AJ68" s="190"/>
      <c r="AK68" s="190"/>
      <c r="AL68" s="190"/>
      <c r="AM68" s="190"/>
      <c r="AN68" s="190"/>
      <c r="AO68" s="190"/>
      <c r="AP68" s="190"/>
      <c r="AQ68" s="190"/>
      <c r="AR68" s="190"/>
      <c r="AS68" s="190"/>
      <c r="AT68" s="190"/>
      <c r="AU68" s="190"/>
      <c r="AV68" s="190"/>
      <c r="AW68" s="190"/>
      <c r="AX68" s="190"/>
      <c r="AY68" s="190"/>
      <c r="AZ68" s="190"/>
      <c r="BA68" s="190"/>
      <c r="BB68" s="190"/>
      <c r="BC68" s="190"/>
      <c r="BD68" s="190"/>
      <c r="BE68" s="190"/>
      <c r="BF68" s="190"/>
      <c r="BG68" s="190"/>
      <c r="BH68" s="190"/>
      <c r="BI68" s="190"/>
      <c r="BJ68" s="190"/>
      <c r="BK68" s="190"/>
      <c r="BL68" s="190"/>
      <c r="BM68" s="190"/>
      <c r="BN68" s="190"/>
      <c r="BO68" s="190"/>
      <c r="BP68" s="190"/>
      <c r="BQ68" s="190"/>
      <c r="BR68" s="190"/>
      <c r="BS68" s="190"/>
      <c r="BT68" s="190"/>
      <c r="BU68" s="190"/>
      <c r="BV68" s="190"/>
      <c r="BW68" s="190"/>
      <c r="BX68" s="190"/>
      <c r="BY68" s="190"/>
      <c r="BZ68" s="190"/>
      <c r="CA68" s="190"/>
      <c r="CB68" s="190"/>
      <c r="CC68" s="190"/>
      <c r="CD68" s="190"/>
      <c r="CE68" s="190"/>
      <c r="CF68" s="190"/>
    </row>
    <row r="69" spans="1:84" ht="14.4">
      <c r="A69" s="190"/>
      <c r="B69" s="190"/>
      <c r="C69" s="190"/>
      <c r="D69" s="190"/>
      <c r="E69" s="190"/>
      <c r="F69" s="190"/>
      <c r="G69" s="190"/>
      <c r="H69" s="190"/>
      <c r="I69" s="190"/>
      <c r="J69" s="190"/>
      <c r="K69" s="190"/>
      <c r="L69" s="190"/>
      <c r="M69" s="190"/>
      <c r="N69" s="190"/>
      <c r="O69" s="190"/>
      <c r="P69" s="190"/>
      <c r="Q69" s="190"/>
      <c r="R69" s="190"/>
      <c r="S69" s="190"/>
      <c r="T69" s="190"/>
      <c r="U69" s="190"/>
      <c r="V69" s="190"/>
      <c r="W69" s="190"/>
      <c r="X69" s="190"/>
      <c r="Y69" s="190"/>
      <c r="Z69" s="190"/>
      <c r="AA69" s="190"/>
      <c r="AB69" s="190"/>
      <c r="AC69" s="190"/>
      <c r="AD69" s="190"/>
      <c r="AE69" s="190"/>
      <c r="AF69" s="190"/>
      <c r="AG69" s="190"/>
      <c r="AH69" s="190"/>
      <c r="AI69" s="190"/>
      <c r="AJ69" s="190"/>
      <c r="AK69" s="190"/>
      <c r="AL69" s="190"/>
      <c r="AM69" s="190"/>
      <c r="AN69" s="190"/>
      <c r="AO69" s="190"/>
      <c r="AP69" s="190"/>
      <c r="AQ69" s="190"/>
      <c r="AR69" s="190"/>
      <c r="AS69" s="190"/>
      <c r="AT69" s="190"/>
      <c r="AU69" s="190"/>
      <c r="AV69" s="190"/>
      <c r="AW69" s="190"/>
      <c r="AX69" s="190"/>
      <c r="AY69" s="190"/>
      <c r="AZ69" s="190"/>
      <c r="BA69" s="190"/>
      <c r="BB69" s="190"/>
      <c r="BC69" s="190"/>
      <c r="BD69" s="190"/>
      <c r="BE69" s="190"/>
      <c r="BF69" s="190"/>
      <c r="BG69" s="190"/>
      <c r="BH69" s="190"/>
      <c r="BI69" s="190"/>
      <c r="BJ69" s="190"/>
      <c r="BK69" s="190"/>
      <c r="BL69" s="190"/>
      <c r="BM69" s="190"/>
      <c r="BN69" s="190"/>
      <c r="BO69" s="190"/>
      <c r="BP69" s="190"/>
      <c r="BQ69" s="190"/>
      <c r="BR69" s="190"/>
      <c r="BS69" s="190"/>
      <c r="BT69" s="190"/>
      <c r="BU69" s="190"/>
      <c r="BV69" s="190"/>
      <c r="BW69" s="190"/>
      <c r="BX69" s="190"/>
      <c r="BY69" s="190"/>
      <c r="BZ69" s="190"/>
      <c r="CA69" s="190"/>
      <c r="CB69" s="190"/>
      <c r="CC69" s="190"/>
      <c r="CD69" s="190"/>
      <c r="CE69" s="190"/>
      <c r="CF69" s="190"/>
    </row>
    <row r="70" spans="1:84" ht="14.4">
      <c r="A70" s="190"/>
      <c r="B70" s="190"/>
      <c r="C70" s="190"/>
      <c r="D70" s="190"/>
      <c r="E70" s="190"/>
      <c r="F70" s="190"/>
      <c r="G70" s="190"/>
      <c r="H70" s="190"/>
      <c r="I70" s="190"/>
      <c r="J70" s="190"/>
      <c r="K70" s="190"/>
      <c r="L70" s="190"/>
      <c r="M70" s="190"/>
      <c r="N70" s="190"/>
      <c r="O70" s="190"/>
      <c r="P70" s="190"/>
      <c r="Q70" s="190"/>
      <c r="R70" s="190"/>
      <c r="S70" s="190"/>
      <c r="T70" s="190"/>
      <c r="U70" s="190"/>
      <c r="V70" s="190"/>
      <c r="W70" s="190"/>
      <c r="X70" s="190"/>
      <c r="Y70" s="190"/>
      <c r="Z70" s="190"/>
      <c r="AA70" s="190"/>
      <c r="AB70" s="190"/>
      <c r="AC70" s="190"/>
      <c r="AD70" s="190"/>
      <c r="AE70" s="190"/>
      <c r="AF70" s="190"/>
      <c r="AG70" s="190"/>
      <c r="AH70" s="190"/>
      <c r="AI70" s="190"/>
      <c r="AJ70" s="190"/>
      <c r="AK70" s="190"/>
      <c r="AL70" s="190"/>
      <c r="AM70" s="190"/>
      <c r="AN70" s="190"/>
      <c r="AO70" s="190"/>
      <c r="AP70" s="190"/>
      <c r="AQ70" s="190"/>
      <c r="AR70" s="190"/>
      <c r="AS70" s="190"/>
      <c r="AT70" s="190"/>
      <c r="AU70" s="190"/>
      <c r="AV70" s="190"/>
      <c r="AW70" s="190"/>
      <c r="AX70" s="190"/>
      <c r="AY70" s="190"/>
      <c r="AZ70" s="190"/>
      <c r="BA70" s="190"/>
      <c r="BB70" s="190"/>
      <c r="BC70" s="190"/>
      <c r="BD70" s="190"/>
      <c r="BE70" s="190"/>
      <c r="BF70" s="190"/>
      <c r="BG70" s="190"/>
      <c r="BH70" s="190"/>
      <c r="BI70" s="190"/>
      <c r="BJ70" s="190"/>
      <c r="BK70" s="190"/>
      <c r="BL70" s="190"/>
      <c r="BM70" s="190"/>
      <c r="BN70" s="190"/>
      <c r="BO70" s="190"/>
      <c r="BP70" s="190"/>
      <c r="BQ70" s="190"/>
      <c r="BR70" s="190"/>
      <c r="BS70" s="190"/>
      <c r="BT70" s="190"/>
      <c r="BU70" s="190"/>
      <c r="BV70" s="190"/>
      <c r="BW70" s="190"/>
      <c r="BX70" s="190"/>
      <c r="BY70" s="190"/>
      <c r="BZ70" s="190"/>
      <c r="CA70" s="190"/>
      <c r="CB70" s="190"/>
      <c r="CC70" s="190"/>
      <c r="CD70" s="190"/>
      <c r="CE70" s="190"/>
      <c r="CF70" s="190"/>
    </row>
    <row r="71" spans="1:84" ht="14.4">
      <c r="A71" s="190"/>
      <c r="B71" s="190"/>
      <c r="C71" s="190"/>
      <c r="D71" s="190"/>
      <c r="E71" s="190"/>
      <c r="F71" s="190"/>
      <c r="G71" s="190"/>
      <c r="H71" s="190"/>
      <c r="I71" s="190"/>
      <c r="J71" s="190"/>
      <c r="K71" s="190"/>
      <c r="L71" s="190"/>
      <c r="M71" s="190"/>
      <c r="N71" s="190"/>
      <c r="O71" s="190"/>
      <c r="P71" s="190"/>
      <c r="Q71" s="190"/>
      <c r="R71" s="190"/>
      <c r="S71" s="190"/>
      <c r="T71" s="190"/>
      <c r="U71" s="190"/>
      <c r="V71" s="190"/>
      <c r="W71" s="190"/>
      <c r="X71" s="190"/>
      <c r="Y71" s="190"/>
      <c r="Z71" s="190"/>
      <c r="AA71" s="190"/>
      <c r="AB71" s="190"/>
      <c r="AC71" s="190"/>
      <c r="AD71" s="190"/>
      <c r="AE71" s="190"/>
      <c r="AF71" s="190"/>
      <c r="AG71" s="190"/>
      <c r="AH71" s="190"/>
      <c r="AI71" s="190"/>
      <c r="AJ71" s="190"/>
      <c r="AK71" s="190"/>
      <c r="AL71" s="190"/>
      <c r="AM71" s="190"/>
      <c r="AN71" s="190"/>
      <c r="AO71" s="190"/>
      <c r="AP71" s="190"/>
      <c r="AQ71" s="190"/>
      <c r="AR71" s="190"/>
      <c r="AS71" s="190"/>
      <c r="AT71" s="190"/>
      <c r="AU71" s="190"/>
      <c r="AV71" s="190"/>
      <c r="AW71" s="190"/>
      <c r="AX71" s="190"/>
      <c r="AY71" s="190"/>
      <c r="AZ71" s="190"/>
      <c r="BA71" s="190"/>
      <c r="BB71" s="190"/>
      <c r="BC71" s="190"/>
      <c r="BD71" s="190"/>
      <c r="BE71" s="190"/>
      <c r="BF71" s="190"/>
      <c r="BG71" s="190"/>
      <c r="BH71" s="190"/>
      <c r="BI71" s="190"/>
      <c r="BJ71" s="190"/>
      <c r="BK71" s="190"/>
      <c r="BL71" s="190"/>
      <c r="BM71" s="190"/>
      <c r="BN71" s="190"/>
      <c r="BO71" s="190"/>
      <c r="BP71" s="190"/>
      <c r="BQ71" s="190"/>
      <c r="BR71" s="190"/>
      <c r="BS71" s="190"/>
      <c r="BT71" s="190"/>
      <c r="BU71" s="190"/>
      <c r="BV71" s="190"/>
      <c r="BW71" s="190"/>
      <c r="BX71" s="190"/>
      <c r="BY71" s="190"/>
      <c r="BZ71" s="190"/>
      <c r="CA71" s="190"/>
      <c r="CB71" s="190"/>
      <c r="CC71" s="190"/>
      <c r="CD71" s="190"/>
      <c r="CE71" s="190"/>
      <c r="CF71" s="190"/>
    </row>
    <row r="72" spans="1:84" ht="14.4">
      <c r="A72" s="190"/>
      <c r="B72" s="190"/>
      <c r="C72" s="190"/>
      <c r="D72" s="190"/>
      <c r="E72" s="190"/>
      <c r="F72" s="190"/>
      <c r="G72" s="190"/>
      <c r="H72" s="190"/>
      <c r="I72" s="190"/>
      <c r="J72" s="190"/>
      <c r="K72" s="190"/>
      <c r="L72" s="190"/>
      <c r="M72" s="190"/>
      <c r="N72" s="190"/>
      <c r="O72" s="190"/>
      <c r="P72" s="190"/>
      <c r="Q72" s="190"/>
      <c r="R72" s="190"/>
      <c r="S72" s="190"/>
      <c r="T72" s="190"/>
      <c r="U72" s="190"/>
      <c r="V72" s="190"/>
      <c r="W72" s="190"/>
      <c r="X72" s="190"/>
      <c r="Y72" s="190"/>
      <c r="Z72" s="190"/>
      <c r="AA72" s="190"/>
      <c r="AB72" s="190"/>
      <c r="AC72" s="190"/>
      <c r="AD72" s="190"/>
      <c r="AE72" s="190"/>
      <c r="AF72" s="190"/>
      <c r="AG72" s="190"/>
      <c r="AH72" s="190"/>
      <c r="AI72" s="190"/>
      <c r="AJ72" s="190"/>
      <c r="AK72" s="190"/>
      <c r="AL72" s="190"/>
      <c r="AM72" s="190"/>
      <c r="AN72" s="190"/>
      <c r="AO72" s="190"/>
      <c r="AP72" s="190"/>
      <c r="AQ72" s="190"/>
      <c r="AR72" s="190"/>
      <c r="AS72" s="190"/>
      <c r="AT72" s="190"/>
      <c r="AU72" s="190"/>
      <c r="AV72" s="190"/>
      <c r="AW72" s="190"/>
      <c r="AX72" s="190"/>
      <c r="AY72" s="190"/>
      <c r="AZ72" s="190"/>
      <c r="BA72" s="190"/>
      <c r="BB72" s="190"/>
      <c r="BC72" s="190"/>
      <c r="BD72" s="190"/>
      <c r="BE72" s="190"/>
      <c r="BF72" s="190"/>
      <c r="BG72" s="190"/>
      <c r="BH72" s="190"/>
      <c r="BI72" s="190"/>
      <c r="BJ72" s="190"/>
      <c r="BK72" s="190"/>
      <c r="BL72" s="190"/>
      <c r="BM72" s="190"/>
      <c r="BN72" s="190"/>
      <c r="BO72" s="190"/>
      <c r="BP72" s="190"/>
      <c r="BQ72" s="190"/>
      <c r="BR72" s="190"/>
      <c r="BS72" s="190"/>
      <c r="BT72" s="190"/>
      <c r="BU72" s="190"/>
      <c r="BV72" s="190"/>
      <c r="BW72" s="190"/>
      <c r="BX72" s="190"/>
      <c r="BY72" s="190"/>
      <c r="BZ72" s="190"/>
      <c r="CA72" s="190"/>
      <c r="CB72" s="190"/>
      <c r="CC72" s="190"/>
      <c r="CD72" s="190"/>
      <c r="CE72" s="190"/>
      <c r="CF72" s="190"/>
    </row>
    <row r="73" spans="1:84" ht="14.4">
      <c r="A73" s="190"/>
      <c r="B73" s="190"/>
      <c r="C73" s="190"/>
      <c r="D73" s="190"/>
      <c r="E73" s="190"/>
      <c r="F73" s="190"/>
      <c r="G73" s="190"/>
      <c r="H73" s="190"/>
      <c r="I73" s="190"/>
      <c r="J73" s="190"/>
      <c r="K73" s="190"/>
      <c r="L73" s="190"/>
      <c r="M73" s="190"/>
      <c r="N73" s="190"/>
      <c r="O73" s="190"/>
      <c r="P73" s="190"/>
      <c r="Q73" s="190"/>
      <c r="R73" s="190"/>
      <c r="S73" s="190"/>
      <c r="T73" s="190"/>
      <c r="U73" s="190"/>
      <c r="V73" s="190"/>
      <c r="W73" s="190"/>
      <c r="X73" s="190"/>
      <c r="Y73" s="190"/>
      <c r="Z73" s="190"/>
      <c r="AA73" s="190"/>
      <c r="AB73" s="190"/>
      <c r="AC73" s="190"/>
      <c r="AD73" s="190"/>
      <c r="AE73" s="190"/>
      <c r="AF73" s="190"/>
      <c r="AG73" s="190"/>
      <c r="AH73" s="190"/>
      <c r="AI73" s="190"/>
      <c r="AJ73" s="190"/>
      <c r="AK73" s="190"/>
      <c r="AL73" s="190"/>
      <c r="AM73" s="190"/>
      <c r="AN73" s="190"/>
      <c r="AO73" s="190"/>
      <c r="AP73" s="190"/>
      <c r="AQ73" s="190"/>
      <c r="AR73" s="190"/>
      <c r="AS73" s="190"/>
      <c r="AT73" s="190"/>
      <c r="AU73" s="190"/>
      <c r="AV73" s="190"/>
      <c r="AW73" s="190"/>
      <c r="AX73" s="190"/>
      <c r="AY73" s="190"/>
      <c r="AZ73" s="190"/>
      <c r="BA73" s="190"/>
      <c r="BB73" s="190"/>
      <c r="BC73" s="190"/>
      <c r="BD73" s="190"/>
      <c r="BE73" s="190"/>
      <c r="BF73" s="190"/>
      <c r="BG73" s="190"/>
      <c r="BH73" s="190"/>
      <c r="BI73" s="190"/>
      <c r="BJ73" s="190"/>
      <c r="BK73" s="190"/>
      <c r="BL73" s="190"/>
      <c r="BM73" s="190"/>
      <c r="BN73" s="190"/>
      <c r="BO73" s="190"/>
      <c r="BP73" s="190"/>
      <c r="BQ73" s="190"/>
      <c r="BR73" s="190"/>
      <c r="BS73" s="190"/>
      <c r="BT73" s="190"/>
      <c r="BU73" s="190"/>
      <c r="BV73" s="190"/>
      <c r="BW73" s="190"/>
      <c r="BX73" s="190"/>
      <c r="BY73" s="190"/>
      <c r="BZ73" s="190"/>
      <c r="CA73" s="190"/>
      <c r="CB73" s="190"/>
      <c r="CC73" s="190"/>
      <c r="CD73" s="190"/>
      <c r="CE73" s="190"/>
      <c r="CF73" s="190"/>
    </row>
    <row r="74" spans="1:84" ht="14.4">
      <c r="A74" s="190"/>
      <c r="B74" s="190"/>
      <c r="C74" s="190"/>
      <c r="D74" s="190"/>
      <c r="E74" s="190"/>
      <c r="F74" s="190"/>
      <c r="G74" s="190"/>
      <c r="H74" s="190"/>
      <c r="I74" s="190"/>
      <c r="J74" s="190"/>
      <c r="K74" s="190"/>
      <c r="L74" s="190"/>
      <c r="M74" s="190"/>
      <c r="N74" s="190"/>
      <c r="O74" s="190"/>
      <c r="P74" s="190"/>
      <c r="Q74" s="190"/>
      <c r="R74" s="190"/>
      <c r="S74" s="190"/>
      <c r="T74" s="190"/>
      <c r="U74" s="190"/>
      <c r="V74" s="190"/>
      <c r="W74" s="190"/>
      <c r="X74" s="190"/>
      <c r="Y74" s="190"/>
      <c r="Z74" s="190"/>
      <c r="AA74" s="190"/>
      <c r="AB74" s="190"/>
      <c r="AC74" s="190"/>
      <c r="AD74" s="190"/>
      <c r="AE74" s="190"/>
      <c r="AF74" s="190"/>
      <c r="AG74" s="190"/>
      <c r="AH74" s="190"/>
      <c r="AI74" s="190"/>
      <c r="AJ74" s="190"/>
      <c r="AK74" s="190"/>
      <c r="AL74" s="190"/>
      <c r="AM74" s="190"/>
      <c r="AN74" s="190"/>
      <c r="AO74" s="190"/>
      <c r="AP74" s="190"/>
      <c r="AQ74" s="190"/>
      <c r="AR74" s="190"/>
      <c r="AS74" s="190"/>
      <c r="AT74" s="190"/>
      <c r="AU74" s="190"/>
      <c r="AV74" s="190"/>
      <c r="AW74" s="190"/>
      <c r="AX74" s="190"/>
      <c r="AY74" s="190"/>
      <c r="AZ74" s="190"/>
      <c r="BA74" s="190"/>
      <c r="BB74" s="190"/>
      <c r="BC74" s="190"/>
      <c r="BD74" s="190"/>
      <c r="BE74" s="190"/>
      <c r="BF74" s="190"/>
      <c r="BG74" s="190"/>
      <c r="BH74" s="190"/>
      <c r="BI74" s="190"/>
      <c r="BJ74" s="190"/>
      <c r="BK74" s="190"/>
      <c r="BL74" s="190"/>
      <c r="BM74" s="190"/>
      <c r="BN74" s="190"/>
      <c r="BO74" s="190"/>
      <c r="BP74" s="190"/>
      <c r="BQ74" s="190"/>
      <c r="BR74" s="190"/>
      <c r="BS74" s="190"/>
      <c r="BT74" s="190"/>
      <c r="BU74" s="190"/>
      <c r="BV74" s="190"/>
      <c r="BW74" s="190"/>
      <c r="BX74" s="190"/>
      <c r="BY74" s="190"/>
      <c r="BZ74" s="190"/>
      <c r="CA74" s="190"/>
      <c r="CB74" s="190"/>
      <c r="CC74" s="190"/>
      <c r="CD74" s="190"/>
      <c r="CE74" s="190"/>
      <c r="CF74" s="190"/>
    </row>
    <row r="75" spans="1:84" ht="14.4">
      <c r="A75" s="190"/>
      <c r="B75" s="190"/>
      <c r="C75" s="190"/>
      <c r="D75" s="190"/>
      <c r="E75" s="190"/>
      <c r="F75" s="190"/>
      <c r="G75" s="190"/>
      <c r="H75" s="190"/>
      <c r="I75" s="190"/>
      <c r="J75" s="190"/>
      <c r="K75" s="190"/>
      <c r="L75" s="190"/>
      <c r="M75" s="190"/>
      <c r="N75" s="190"/>
      <c r="O75" s="190"/>
      <c r="P75" s="190"/>
      <c r="Q75" s="190"/>
      <c r="R75" s="190"/>
      <c r="S75" s="190"/>
      <c r="T75" s="190"/>
      <c r="U75" s="190"/>
      <c r="V75" s="190"/>
      <c r="W75" s="190"/>
      <c r="X75" s="190"/>
      <c r="Y75" s="190"/>
      <c r="Z75" s="190"/>
      <c r="AA75" s="190"/>
      <c r="AB75" s="190"/>
      <c r="AC75" s="190"/>
      <c r="AD75" s="190"/>
      <c r="AE75" s="190"/>
      <c r="AF75" s="190"/>
      <c r="AG75" s="190"/>
      <c r="AH75" s="190"/>
      <c r="AI75" s="190"/>
      <c r="AJ75" s="190"/>
      <c r="AK75" s="190"/>
      <c r="AL75" s="190"/>
      <c r="AM75" s="190"/>
      <c r="AN75" s="190"/>
      <c r="AO75" s="190"/>
      <c r="AP75" s="190"/>
      <c r="AQ75" s="190"/>
      <c r="AR75" s="190"/>
      <c r="AS75" s="190"/>
      <c r="AT75" s="190"/>
      <c r="AU75" s="190"/>
      <c r="AV75" s="190"/>
      <c r="AW75" s="190"/>
      <c r="AX75" s="190"/>
      <c r="AY75" s="190"/>
      <c r="AZ75" s="190"/>
      <c r="BA75" s="190"/>
      <c r="BB75" s="190"/>
      <c r="BC75" s="190"/>
      <c r="BD75" s="190"/>
      <c r="BE75" s="190"/>
      <c r="BF75" s="190"/>
      <c r="BG75" s="190"/>
      <c r="BH75" s="190"/>
      <c r="BI75" s="190"/>
      <c r="BJ75" s="190"/>
      <c r="BK75" s="190"/>
      <c r="BL75" s="190"/>
      <c r="BM75" s="190"/>
      <c r="BN75" s="190"/>
      <c r="BO75" s="190"/>
      <c r="BP75" s="190"/>
      <c r="BQ75" s="190"/>
      <c r="BR75" s="190"/>
      <c r="BS75" s="190"/>
      <c r="BT75" s="190"/>
      <c r="BU75" s="190"/>
      <c r="BV75" s="190"/>
      <c r="BW75" s="190"/>
      <c r="BX75" s="190"/>
      <c r="BY75" s="190"/>
      <c r="BZ75" s="190"/>
      <c r="CA75" s="190"/>
      <c r="CB75" s="190"/>
      <c r="CC75" s="190"/>
      <c r="CD75" s="190"/>
      <c r="CE75" s="190"/>
      <c r="CF75" s="190"/>
    </row>
    <row r="76" spans="1:84" ht="14.4">
      <c r="A76" s="190"/>
      <c r="B76" s="190"/>
      <c r="C76" s="190"/>
      <c r="D76" s="190"/>
      <c r="E76" s="190"/>
      <c r="F76" s="190"/>
      <c r="G76" s="190"/>
      <c r="H76" s="190"/>
      <c r="I76" s="190"/>
      <c r="J76" s="190"/>
      <c r="K76" s="190"/>
      <c r="L76" s="190"/>
      <c r="M76" s="190"/>
      <c r="N76" s="190"/>
      <c r="O76" s="190"/>
      <c r="P76" s="190"/>
      <c r="Q76" s="190"/>
      <c r="R76" s="190"/>
      <c r="S76" s="190"/>
      <c r="T76" s="190"/>
      <c r="U76" s="190"/>
      <c r="V76" s="190"/>
      <c r="W76" s="190"/>
      <c r="X76" s="190"/>
      <c r="Y76" s="190"/>
      <c r="Z76" s="190"/>
      <c r="AA76" s="190"/>
      <c r="AB76" s="190"/>
      <c r="AC76" s="190"/>
      <c r="AD76" s="190"/>
      <c r="AE76" s="190"/>
      <c r="AF76" s="190"/>
      <c r="AG76" s="190"/>
      <c r="AH76" s="190"/>
      <c r="AI76" s="190"/>
      <c r="AJ76" s="190"/>
      <c r="AK76" s="190"/>
      <c r="AL76" s="190"/>
      <c r="AM76" s="190"/>
      <c r="AN76" s="190"/>
      <c r="AO76" s="190"/>
      <c r="AP76" s="190"/>
      <c r="AQ76" s="190"/>
      <c r="AR76" s="190"/>
      <c r="AS76" s="190"/>
      <c r="AT76" s="190"/>
      <c r="AU76" s="190"/>
      <c r="AV76" s="190"/>
      <c r="AW76" s="190"/>
      <c r="AX76" s="190"/>
      <c r="AY76" s="190"/>
      <c r="AZ76" s="190"/>
      <c r="BA76" s="190"/>
      <c r="BB76" s="190"/>
      <c r="BC76" s="190"/>
      <c r="BD76" s="190"/>
      <c r="BE76" s="190"/>
      <c r="BF76" s="190"/>
      <c r="BG76" s="190"/>
      <c r="BH76" s="190"/>
      <c r="BI76" s="190"/>
      <c r="BJ76" s="190"/>
      <c r="BK76" s="190"/>
      <c r="BL76" s="190"/>
      <c r="BM76" s="190"/>
      <c r="BN76" s="190"/>
      <c r="BO76" s="190"/>
      <c r="BP76" s="190"/>
      <c r="BQ76" s="190"/>
      <c r="BR76" s="190"/>
      <c r="BS76" s="190"/>
      <c r="BT76" s="190"/>
      <c r="BU76" s="190"/>
      <c r="BV76" s="190"/>
      <c r="BW76" s="190"/>
      <c r="BX76" s="190"/>
      <c r="BY76" s="190"/>
      <c r="BZ76" s="190"/>
      <c r="CA76" s="190"/>
      <c r="CB76" s="190"/>
      <c r="CC76" s="190"/>
      <c r="CD76" s="190"/>
      <c r="CE76" s="190"/>
      <c r="CF76" s="190"/>
    </row>
    <row r="77" spans="1:84" ht="14.4">
      <c r="A77" s="190"/>
      <c r="B77" s="190"/>
      <c r="C77" s="190"/>
      <c r="D77" s="190"/>
      <c r="E77" s="190"/>
      <c r="F77" s="190"/>
      <c r="G77" s="190"/>
      <c r="H77" s="190"/>
      <c r="I77" s="190"/>
      <c r="J77" s="190"/>
      <c r="K77" s="190"/>
      <c r="L77" s="190"/>
      <c r="M77" s="190"/>
      <c r="N77" s="190"/>
      <c r="O77" s="190"/>
      <c r="P77" s="190"/>
      <c r="Q77" s="190"/>
      <c r="R77" s="190"/>
      <c r="S77" s="190"/>
      <c r="T77" s="190"/>
      <c r="U77" s="190"/>
      <c r="V77" s="190"/>
      <c r="W77" s="190"/>
      <c r="X77" s="190"/>
      <c r="Y77" s="190"/>
      <c r="Z77" s="190"/>
      <c r="AA77" s="190"/>
      <c r="AB77" s="190"/>
      <c r="AC77" s="190"/>
      <c r="AD77" s="190"/>
      <c r="AE77" s="190"/>
      <c r="AF77" s="190"/>
      <c r="AG77" s="190"/>
      <c r="AH77" s="190"/>
      <c r="AI77" s="190"/>
      <c r="AJ77" s="190"/>
      <c r="AK77" s="190"/>
      <c r="AL77" s="190"/>
      <c r="AM77" s="190"/>
      <c r="AN77" s="190"/>
      <c r="AO77" s="190"/>
      <c r="AP77" s="190"/>
      <c r="AQ77" s="190"/>
      <c r="AR77" s="190"/>
      <c r="AS77" s="190"/>
      <c r="AT77" s="190"/>
      <c r="AU77" s="190"/>
      <c r="AV77" s="190"/>
      <c r="AW77" s="190"/>
      <c r="AX77" s="190"/>
      <c r="AY77" s="190"/>
      <c r="AZ77" s="190"/>
      <c r="BA77" s="190"/>
      <c r="BB77" s="190"/>
      <c r="BC77" s="190"/>
      <c r="BD77" s="190"/>
      <c r="BE77" s="190"/>
      <c r="BF77" s="190"/>
      <c r="BG77" s="190"/>
      <c r="BH77" s="190"/>
      <c r="BI77" s="190"/>
      <c r="BJ77" s="190"/>
      <c r="BK77" s="190"/>
      <c r="BL77" s="190"/>
      <c r="BM77" s="190"/>
      <c r="BN77" s="190"/>
      <c r="BO77" s="190"/>
      <c r="BP77" s="190"/>
      <c r="BQ77" s="190"/>
      <c r="BR77" s="190"/>
      <c r="BS77" s="190"/>
      <c r="BT77" s="190"/>
      <c r="BU77" s="190"/>
      <c r="BV77" s="190"/>
      <c r="BW77" s="190"/>
      <c r="BX77" s="190"/>
      <c r="BY77" s="190"/>
      <c r="BZ77" s="190"/>
      <c r="CA77" s="190"/>
      <c r="CB77" s="190"/>
      <c r="CC77" s="190"/>
      <c r="CD77" s="190"/>
      <c r="CE77" s="190"/>
      <c r="CF77" s="190"/>
    </row>
    <row r="78" spans="1:84" ht="14.4">
      <c r="A78" s="190"/>
      <c r="B78" s="190"/>
      <c r="C78" s="190"/>
      <c r="D78" s="190"/>
      <c r="E78" s="190"/>
      <c r="F78" s="190"/>
      <c r="G78" s="190"/>
      <c r="H78" s="190"/>
      <c r="I78" s="190"/>
      <c r="J78" s="190"/>
      <c r="K78" s="190"/>
      <c r="L78" s="190"/>
      <c r="M78" s="190"/>
      <c r="N78" s="190"/>
      <c r="O78" s="190"/>
      <c r="P78" s="190"/>
      <c r="Q78" s="190"/>
      <c r="R78" s="190"/>
      <c r="S78" s="190"/>
      <c r="T78" s="190"/>
      <c r="U78" s="190"/>
      <c r="V78" s="190"/>
      <c r="W78" s="190"/>
      <c r="X78" s="190"/>
      <c r="Y78" s="190"/>
      <c r="Z78" s="190"/>
      <c r="AA78" s="190"/>
      <c r="AB78" s="190"/>
      <c r="AC78" s="190"/>
      <c r="AD78" s="190"/>
      <c r="AE78" s="190"/>
      <c r="AF78" s="190"/>
      <c r="AG78" s="190"/>
      <c r="AH78" s="190"/>
      <c r="AI78" s="190"/>
      <c r="AJ78" s="190"/>
      <c r="AK78" s="190"/>
      <c r="AL78" s="190"/>
      <c r="AM78" s="190"/>
      <c r="AN78" s="190"/>
      <c r="AO78" s="190"/>
      <c r="AP78" s="190"/>
      <c r="AQ78" s="190"/>
      <c r="AR78" s="190"/>
      <c r="AS78" s="190"/>
      <c r="AT78" s="190"/>
      <c r="AU78" s="190"/>
      <c r="AV78" s="190"/>
      <c r="AW78" s="190"/>
      <c r="AX78" s="190"/>
      <c r="AY78" s="190"/>
      <c r="AZ78" s="190"/>
      <c r="BA78" s="190"/>
      <c r="BB78" s="190"/>
      <c r="BC78" s="190"/>
      <c r="BD78" s="190"/>
      <c r="BE78" s="190"/>
      <c r="BF78" s="190"/>
      <c r="BG78" s="190"/>
      <c r="BH78" s="190"/>
      <c r="BI78" s="190"/>
      <c r="BJ78" s="190"/>
      <c r="BK78" s="190"/>
      <c r="BL78" s="190"/>
      <c r="BM78" s="190"/>
      <c r="BN78" s="190"/>
      <c r="BO78" s="190"/>
      <c r="BP78" s="190"/>
      <c r="BQ78" s="190"/>
      <c r="BR78" s="190"/>
      <c r="BS78" s="190"/>
      <c r="BT78" s="190"/>
      <c r="BU78" s="190"/>
      <c r="BV78" s="190"/>
      <c r="BW78" s="190"/>
      <c r="BX78" s="190"/>
      <c r="BY78" s="190"/>
      <c r="BZ78" s="190"/>
      <c r="CA78" s="190"/>
      <c r="CB78" s="190"/>
      <c r="CC78" s="190"/>
      <c r="CD78" s="190"/>
      <c r="CE78" s="190"/>
      <c r="CF78" s="190"/>
    </row>
    <row r="79" spans="1:84" ht="14.4">
      <c r="A79" s="190"/>
      <c r="B79" s="190"/>
      <c r="C79" s="190"/>
      <c r="D79" s="190"/>
      <c r="E79" s="190"/>
      <c r="F79" s="190"/>
      <c r="G79" s="190"/>
      <c r="H79" s="190"/>
      <c r="I79" s="190"/>
      <c r="J79" s="190"/>
      <c r="K79" s="190"/>
      <c r="L79" s="190"/>
      <c r="M79" s="190"/>
      <c r="N79" s="190"/>
      <c r="O79" s="190"/>
      <c r="P79" s="190"/>
      <c r="Q79" s="190"/>
      <c r="R79" s="190"/>
      <c r="S79" s="190"/>
      <c r="T79" s="190"/>
      <c r="U79" s="190"/>
      <c r="V79" s="190"/>
      <c r="W79" s="190"/>
      <c r="X79" s="190"/>
      <c r="Y79" s="190"/>
      <c r="Z79" s="190"/>
      <c r="AA79" s="190"/>
      <c r="AB79" s="190"/>
      <c r="AC79" s="190"/>
      <c r="AD79" s="190"/>
      <c r="AE79" s="190"/>
      <c r="AF79" s="190"/>
      <c r="AG79" s="190"/>
      <c r="AH79" s="190"/>
      <c r="AI79" s="190"/>
      <c r="AJ79" s="190"/>
      <c r="AK79" s="190"/>
      <c r="AL79" s="190"/>
      <c r="AM79" s="190"/>
      <c r="AN79" s="190"/>
      <c r="AO79" s="190"/>
      <c r="AP79" s="190"/>
      <c r="AQ79" s="190"/>
      <c r="AR79" s="190"/>
      <c r="AS79" s="190"/>
      <c r="AT79" s="190"/>
      <c r="AU79" s="190"/>
      <c r="AV79" s="190"/>
      <c r="AW79" s="190"/>
      <c r="AX79" s="190"/>
      <c r="AY79" s="190"/>
      <c r="AZ79" s="190"/>
      <c r="BA79" s="190"/>
      <c r="BB79" s="190"/>
      <c r="BC79" s="190"/>
      <c r="BD79" s="190"/>
      <c r="BE79" s="190"/>
      <c r="BF79" s="190"/>
      <c r="BG79" s="190"/>
      <c r="BH79" s="190"/>
      <c r="BI79" s="190"/>
      <c r="BJ79" s="190"/>
      <c r="BK79" s="190"/>
      <c r="BL79" s="190"/>
      <c r="BM79" s="190"/>
      <c r="BN79" s="190"/>
      <c r="BO79" s="190"/>
      <c r="BP79" s="190"/>
      <c r="BQ79" s="190"/>
      <c r="BR79" s="190"/>
      <c r="BS79" s="190"/>
      <c r="BT79" s="190"/>
      <c r="BU79" s="190"/>
      <c r="BV79" s="190"/>
      <c r="BW79" s="190"/>
      <c r="BX79" s="190"/>
      <c r="BY79" s="190"/>
      <c r="BZ79" s="190"/>
      <c r="CA79" s="190"/>
      <c r="CB79" s="190"/>
      <c r="CC79" s="190"/>
      <c r="CD79" s="190"/>
      <c r="CE79" s="190"/>
      <c r="CF79" s="190"/>
    </row>
    <row r="80" spans="1:84" ht="14.4">
      <c r="A80" s="190"/>
      <c r="B80" s="190"/>
      <c r="C80" s="190"/>
      <c r="D80" s="190"/>
      <c r="E80" s="190"/>
      <c r="F80" s="190"/>
      <c r="G80" s="190"/>
      <c r="H80" s="190"/>
      <c r="I80" s="190"/>
      <c r="J80" s="190"/>
      <c r="K80" s="190"/>
      <c r="L80" s="190"/>
      <c r="M80" s="190"/>
      <c r="N80" s="190"/>
      <c r="O80" s="190"/>
      <c r="P80" s="190"/>
      <c r="Q80" s="190"/>
      <c r="R80" s="190"/>
      <c r="S80" s="190"/>
      <c r="T80" s="190"/>
      <c r="U80" s="190"/>
      <c r="V80" s="190"/>
      <c r="W80" s="190"/>
      <c r="X80" s="190"/>
      <c r="Y80" s="190"/>
      <c r="Z80" s="190"/>
      <c r="AA80" s="190"/>
      <c r="AB80" s="190"/>
      <c r="AC80" s="190"/>
      <c r="AD80" s="190"/>
      <c r="AE80" s="190"/>
      <c r="AF80" s="190"/>
      <c r="AG80" s="190"/>
      <c r="AH80" s="190"/>
      <c r="AI80" s="190"/>
      <c r="AJ80" s="190"/>
      <c r="AK80" s="190"/>
      <c r="AL80" s="190"/>
      <c r="AM80" s="190"/>
      <c r="AN80" s="190"/>
      <c r="AO80" s="190"/>
      <c r="AP80" s="190"/>
      <c r="AQ80" s="190"/>
      <c r="AR80" s="190"/>
      <c r="AS80" s="190"/>
      <c r="AT80" s="190"/>
      <c r="AU80" s="190"/>
      <c r="AV80" s="190"/>
      <c r="AW80" s="190"/>
      <c r="AX80" s="190"/>
      <c r="AY80" s="190"/>
      <c r="AZ80" s="190"/>
      <c r="BA80" s="190"/>
      <c r="BB80" s="190"/>
      <c r="BC80" s="190"/>
      <c r="BD80" s="190"/>
      <c r="BE80" s="190"/>
      <c r="BF80" s="190"/>
      <c r="BG80" s="190"/>
      <c r="BH80" s="190"/>
      <c r="BI80" s="190"/>
      <c r="BJ80" s="190"/>
      <c r="BK80" s="190"/>
      <c r="BL80" s="190"/>
      <c r="BM80" s="190"/>
      <c r="BN80" s="190"/>
      <c r="BO80" s="190"/>
      <c r="BP80" s="190"/>
      <c r="BQ80" s="190"/>
      <c r="BR80" s="190"/>
      <c r="BS80" s="190"/>
      <c r="BT80" s="190"/>
      <c r="BU80" s="190"/>
      <c r="BV80" s="190"/>
      <c r="BW80" s="190"/>
      <c r="BX80" s="190"/>
      <c r="BY80" s="190"/>
      <c r="BZ80" s="190"/>
      <c r="CA80" s="190"/>
      <c r="CB80" s="190"/>
      <c r="CC80" s="190"/>
      <c r="CD80" s="190"/>
      <c r="CE80" s="190"/>
      <c r="CF80" s="190"/>
    </row>
    <row r="81" spans="1:84" ht="14.4">
      <c r="A81" s="190"/>
      <c r="B81" s="190"/>
      <c r="C81" s="190"/>
      <c r="D81" s="190"/>
      <c r="E81" s="190"/>
      <c r="F81" s="190"/>
      <c r="G81" s="190"/>
      <c r="H81" s="190"/>
      <c r="I81" s="190"/>
      <c r="J81" s="190"/>
      <c r="K81" s="190"/>
      <c r="L81" s="190"/>
      <c r="M81" s="190"/>
      <c r="N81" s="190"/>
      <c r="O81" s="190"/>
      <c r="P81" s="190"/>
      <c r="Q81" s="190"/>
      <c r="R81" s="190"/>
      <c r="S81" s="190"/>
      <c r="T81" s="190"/>
      <c r="U81" s="190"/>
      <c r="V81" s="190"/>
      <c r="W81" s="190"/>
      <c r="X81" s="190"/>
      <c r="Y81" s="190"/>
      <c r="Z81" s="190"/>
      <c r="AA81" s="190"/>
      <c r="AB81" s="190"/>
      <c r="AC81" s="190"/>
      <c r="AD81" s="190"/>
      <c r="AE81" s="190"/>
      <c r="AF81" s="190"/>
      <c r="AG81" s="190"/>
      <c r="AH81" s="190"/>
      <c r="AI81" s="190"/>
      <c r="AJ81" s="190"/>
      <c r="AK81" s="190"/>
      <c r="AL81" s="190"/>
      <c r="AM81" s="190"/>
      <c r="AN81" s="190"/>
      <c r="AO81" s="190"/>
      <c r="AP81" s="190"/>
      <c r="AQ81" s="190"/>
      <c r="AR81" s="190"/>
      <c r="AS81" s="190"/>
      <c r="AT81" s="190"/>
      <c r="AU81" s="190"/>
      <c r="AV81" s="190"/>
      <c r="AW81" s="190"/>
      <c r="AX81" s="190"/>
      <c r="AY81" s="190"/>
      <c r="AZ81" s="190"/>
      <c r="BA81" s="190"/>
      <c r="BB81" s="190"/>
      <c r="BC81" s="190"/>
      <c r="BD81" s="190"/>
      <c r="BE81" s="190"/>
      <c r="BF81" s="190"/>
      <c r="BG81" s="190"/>
      <c r="BH81" s="190"/>
      <c r="BI81" s="190"/>
      <c r="BJ81" s="190"/>
      <c r="BK81" s="190"/>
      <c r="BL81" s="190"/>
      <c r="BM81" s="190"/>
      <c r="BN81" s="190"/>
      <c r="BO81" s="190"/>
      <c r="BP81" s="190"/>
      <c r="BQ81" s="190"/>
      <c r="BR81" s="190"/>
      <c r="BS81" s="190"/>
      <c r="BT81" s="190"/>
      <c r="BU81" s="190"/>
      <c r="BV81" s="190"/>
      <c r="BW81" s="190"/>
      <c r="BX81" s="190"/>
      <c r="BY81" s="190"/>
      <c r="BZ81" s="190"/>
      <c r="CA81" s="190"/>
      <c r="CB81" s="190"/>
      <c r="CC81" s="190"/>
      <c r="CD81" s="190"/>
      <c r="CE81" s="190"/>
      <c r="CF81" s="190"/>
    </row>
    <row r="82" spans="1:84" ht="14.4">
      <c r="A82" s="190"/>
      <c r="B82" s="190"/>
      <c r="C82" s="190"/>
      <c r="D82" s="190"/>
      <c r="E82" s="190"/>
      <c r="F82" s="190"/>
      <c r="G82" s="190"/>
      <c r="H82" s="190"/>
      <c r="I82" s="190"/>
      <c r="J82" s="190"/>
      <c r="K82" s="190"/>
      <c r="L82" s="190"/>
      <c r="M82" s="190"/>
      <c r="N82" s="190"/>
      <c r="O82" s="190"/>
      <c r="P82" s="190"/>
      <c r="Q82" s="190"/>
      <c r="R82" s="190"/>
      <c r="S82" s="190"/>
      <c r="T82" s="190"/>
      <c r="U82" s="190"/>
      <c r="V82" s="190"/>
      <c r="W82" s="190"/>
      <c r="X82" s="190"/>
      <c r="Y82" s="190"/>
      <c r="Z82" s="190"/>
      <c r="AA82" s="190"/>
      <c r="AB82" s="190"/>
      <c r="AC82" s="190"/>
      <c r="AD82" s="190"/>
      <c r="AE82" s="190"/>
      <c r="AF82" s="190"/>
      <c r="AG82" s="190"/>
      <c r="AH82" s="190"/>
      <c r="AI82" s="190"/>
      <c r="AJ82" s="190"/>
      <c r="AK82" s="190"/>
      <c r="AL82" s="190"/>
      <c r="AM82" s="190"/>
      <c r="AN82" s="190"/>
      <c r="AO82" s="190"/>
      <c r="AP82" s="190"/>
      <c r="AQ82" s="190"/>
      <c r="AR82" s="190"/>
      <c r="AS82" s="190"/>
      <c r="AT82" s="190"/>
      <c r="AU82" s="190"/>
      <c r="AV82" s="190"/>
      <c r="AW82" s="190"/>
      <c r="AX82" s="190"/>
      <c r="AY82" s="190"/>
      <c r="AZ82" s="190"/>
      <c r="BA82" s="190"/>
      <c r="BB82" s="190"/>
      <c r="BC82" s="190"/>
      <c r="BD82" s="190"/>
      <c r="BE82" s="190"/>
      <c r="BF82" s="190"/>
      <c r="BG82" s="190"/>
      <c r="BH82" s="190"/>
      <c r="BI82" s="190"/>
      <c r="BJ82" s="190"/>
      <c r="BK82" s="190"/>
      <c r="BL82" s="190"/>
      <c r="BM82" s="190"/>
      <c r="BN82" s="190"/>
      <c r="BO82" s="190"/>
      <c r="BP82" s="190"/>
      <c r="BQ82" s="190"/>
      <c r="BR82" s="190"/>
      <c r="BS82" s="190"/>
      <c r="BT82" s="190"/>
      <c r="BU82" s="190"/>
      <c r="BV82" s="190"/>
      <c r="BW82" s="190"/>
      <c r="BX82" s="190"/>
      <c r="BY82" s="190"/>
      <c r="BZ82" s="190"/>
      <c r="CA82" s="190"/>
      <c r="CB82" s="190"/>
      <c r="CC82" s="190"/>
      <c r="CD82" s="190"/>
      <c r="CE82" s="190"/>
      <c r="CF82" s="190"/>
    </row>
    <row r="83" spans="1:84" ht="14.4">
      <c r="A83" s="190"/>
      <c r="B83" s="190"/>
      <c r="C83" s="190"/>
      <c r="D83" s="190"/>
      <c r="E83" s="190"/>
      <c r="F83" s="190"/>
      <c r="G83" s="190"/>
      <c r="H83" s="190"/>
      <c r="I83" s="190"/>
      <c r="J83" s="190"/>
      <c r="K83" s="190"/>
      <c r="L83" s="190"/>
      <c r="M83" s="190"/>
      <c r="N83" s="190"/>
      <c r="O83" s="190"/>
      <c r="P83" s="190"/>
      <c r="Q83" s="190"/>
      <c r="R83" s="190"/>
      <c r="S83" s="190"/>
      <c r="T83" s="190"/>
      <c r="U83" s="190"/>
      <c r="V83" s="190"/>
      <c r="W83" s="190"/>
      <c r="X83" s="190"/>
      <c r="Y83" s="190"/>
      <c r="Z83" s="190"/>
      <c r="AA83" s="190"/>
      <c r="AB83" s="190"/>
      <c r="AC83" s="190"/>
      <c r="AD83" s="190"/>
      <c r="AE83" s="190"/>
      <c r="AF83" s="190"/>
      <c r="AG83" s="190"/>
      <c r="AH83" s="190"/>
      <c r="AI83" s="190"/>
      <c r="AJ83" s="190"/>
      <c r="AK83" s="190"/>
      <c r="AL83" s="190"/>
      <c r="AM83" s="190"/>
      <c r="AN83" s="190"/>
      <c r="AO83" s="190"/>
      <c r="AP83" s="190"/>
      <c r="AQ83" s="190"/>
      <c r="AR83" s="190"/>
      <c r="AS83" s="190"/>
      <c r="AT83" s="190"/>
      <c r="AU83" s="190"/>
      <c r="AV83" s="190"/>
      <c r="AW83" s="190"/>
      <c r="AX83" s="190"/>
      <c r="AY83" s="190"/>
      <c r="AZ83" s="190"/>
      <c r="BA83" s="190"/>
      <c r="BB83" s="190"/>
      <c r="BC83" s="190"/>
      <c r="BD83" s="190"/>
      <c r="BE83" s="190"/>
      <c r="BF83" s="190"/>
      <c r="BG83" s="190"/>
      <c r="BH83" s="190"/>
      <c r="BI83" s="190"/>
      <c r="BJ83" s="190"/>
      <c r="BK83" s="190"/>
      <c r="BL83" s="190"/>
      <c r="BM83" s="190"/>
      <c r="BN83" s="190"/>
      <c r="BO83" s="190"/>
      <c r="BP83" s="190"/>
      <c r="BQ83" s="190"/>
      <c r="BR83" s="190"/>
      <c r="BS83" s="190"/>
      <c r="BT83" s="190"/>
      <c r="BU83" s="190"/>
      <c r="BV83" s="190"/>
      <c r="BW83" s="190"/>
      <c r="BX83" s="190"/>
      <c r="BY83" s="190"/>
      <c r="BZ83" s="190"/>
      <c r="CA83" s="190"/>
      <c r="CB83" s="190"/>
      <c r="CC83" s="190"/>
      <c r="CD83" s="190"/>
      <c r="CE83" s="190"/>
      <c r="CF83" s="190"/>
    </row>
    <row r="84" spans="1:84" ht="14.4">
      <c r="A84" s="190"/>
      <c r="B84" s="190"/>
      <c r="C84" s="190"/>
      <c r="D84" s="190"/>
      <c r="E84" s="190"/>
      <c r="F84" s="190"/>
      <c r="G84" s="190"/>
      <c r="H84" s="190"/>
      <c r="I84" s="190"/>
      <c r="J84" s="190"/>
      <c r="K84" s="190"/>
      <c r="L84" s="190"/>
      <c r="M84" s="190"/>
      <c r="N84" s="190"/>
      <c r="O84" s="190"/>
      <c r="P84" s="190"/>
      <c r="Q84" s="190"/>
      <c r="R84" s="190"/>
      <c r="S84" s="190"/>
      <c r="T84" s="190"/>
      <c r="U84" s="190"/>
      <c r="V84" s="190"/>
      <c r="W84" s="190"/>
      <c r="X84" s="190"/>
      <c r="Y84" s="190"/>
      <c r="Z84" s="190"/>
      <c r="AA84" s="190"/>
      <c r="AB84" s="190"/>
      <c r="AC84" s="190"/>
      <c r="AD84" s="190"/>
      <c r="AE84" s="190"/>
      <c r="AF84" s="190"/>
      <c r="AG84" s="190"/>
      <c r="AH84" s="190"/>
      <c r="AI84" s="190"/>
      <c r="AJ84" s="190"/>
      <c r="AK84" s="190"/>
      <c r="AL84" s="190"/>
      <c r="AM84" s="190"/>
      <c r="AN84" s="190"/>
      <c r="AO84" s="190"/>
      <c r="AP84" s="190"/>
      <c r="AQ84" s="190"/>
      <c r="AR84" s="190"/>
      <c r="AS84" s="190"/>
      <c r="AT84" s="190"/>
      <c r="AU84" s="190"/>
      <c r="AV84" s="190"/>
      <c r="AW84" s="190"/>
      <c r="AX84" s="190"/>
      <c r="AY84" s="190"/>
      <c r="AZ84" s="190"/>
      <c r="BA84" s="190"/>
      <c r="BB84" s="190"/>
      <c r="BC84" s="190"/>
      <c r="BD84" s="190"/>
      <c r="BE84" s="190"/>
      <c r="BF84" s="190"/>
      <c r="BG84" s="190"/>
      <c r="BH84" s="190"/>
      <c r="BI84" s="190"/>
      <c r="BJ84" s="190"/>
      <c r="BK84" s="190"/>
      <c r="BL84" s="190"/>
      <c r="BM84" s="190"/>
      <c r="BN84" s="190"/>
      <c r="BO84" s="190"/>
      <c r="BP84" s="190"/>
      <c r="BQ84" s="190"/>
      <c r="BR84" s="190"/>
      <c r="BS84" s="190"/>
      <c r="BT84" s="190"/>
      <c r="BU84" s="190"/>
      <c r="BV84" s="190"/>
      <c r="BW84" s="190"/>
      <c r="BX84" s="190"/>
      <c r="BY84" s="190"/>
      <c r="BZ84" s="190"/>
      <c r="CA84" s="190"/>
      <c r="CB84" s="190"/>
      <c r="CC84" s="190"/>
      <c r="CD84" s="190"/>
      <c r="CE84" s="190"/>
      <c r="CF84" s="190"/>
    </row>
    <row r="85" spans="1:84" ht="14.4">
      <c r="A85" s="190"/>
      <c r="B85" s="190"/>
      <c r="C85" s="190"/>
      <c r="D85" s="190"/>
      <c r="E85" s="190"/>
      <c r="F85" s="190"/>
      <c r="G85" s="190"/>
      <c r="H85" s="190"/>
      <c r="I85" s="190"/>
      <c r="J85" s="190"/>
      <c r="K85" s="190"/>
      <c r="L85" s="190"/>
      <c r="M85" s="190"/>
      <c r="N85" s="190"/>
      <c r="O85" s="190"/>
      <c r="P85" s="190"/>
      <c r="Q85" s="190"/>
      <c r="R85" s="190"/>
      <c r="S85" s="190"/>
      <c r="T85" s="190"/>
      <c r="U85" s="190"/>
      <c r="V85" s="190"/>
      <c r="W85" s="190"/>
      <c r="X85" s="190"/>
      <c r="Y85" s="190"/>
      <c r="Z85" s="190"/>
      <c r="AA85" s="190"/>
      <c r="AB85" s="190"/>
      <c r="AC85" s="190"/>
      <c r="AD85" s="190"/>
      <c r="AE85" s="190"/>
      <c r="AF85" s="190"/>
      <c r="AG85" s="190"/>
      <c r="AH85" s="190"/>
      <c r="AI85" s="190"/>
      <c r="AJ85" s="190"/>
      <c r="AK85" s="190"/>
      <c r="AL85" s="190"/>
      <c r="AM85" s="190"/>
      <c r="AN85" s="190"/>
      <c r="AO85" s="190"/>
      <c r="AP85" s="190"/>
      <c r="AQ85" s="190"/>
      <c r="AR85" s="190"/>
      <c r="AS85" s="190"/>
      <c r="AT85" s="190"/>
      <c r="AU85" s="190"/>
      <c r="AV85" s="190"/>
      <c r="AW85" s="190"/>
      <c r="AX85" s="190"/>
      <c r="AY85" s="190"/>
      <c r="AZ85" s="190"/>
      <c r="BA85" s="190"/>
      <c r="BB85" s="190"/>
      <c r="BC85" s="190"/>
      <c r="BD85" s="190"/>
      <c r="BE85" s="190"/>
      <c r="BF85" s="190"/>
      <c r="BG85" s="190"/>
      <c r="BH85" s="190"/>
      <c r="BI85" s="190"/>
      <c r="BJ85" s="190"/>
      <c r="BK85" s="190"/>
      <c r="BL85" s="190"/>
      <c r="BM85" s="190"/>
      <c r="BN85" s="190"/>
      <c r="BO85" s="190"/>
      <c r="BP85" s="190"/>
      <c r="BQ85" s="190"/>
      <c r="BR85" s="190"/>
      <c r="BS85" s="190"/>
      <c r="BT85" s="190"/>
      <c r="BU85" s="190"/>
      <c r="BV85" s="190"/>
      <c r="BW85" s="190"/>
      <c r="BX85" s="190"/>
      <c r="BY85" s="190"/>
      <c r="BZ85" s="190"/>
      <c r="CA85" s="190"/>
      <c r="CB85" s="190"/>
      <c r="CC85" s="190"/>
      <c r="CD85" s="190"/>
      <c r="CE85" s="190"/>
      <c r="CF85" s="190"/>
    </row>
    <row r="86" spans="1:84" ht="14.4">
      <c r="A86" s="190"/>
      <c r="B86" s="190"/>
      <c r="C86" s="190"/>
      <c r="D86" s="190"/>
      <c r="E86" s="190"/>
      <c r="F86" s="190"/>
      <c r="G86" s="190"/>
      <c r="H86" s="190"/>
      <c r="I86" s="190"/>
      <c r="J86" s="190"/>
      <c r="K86" s="190"/>
      <c r="L86" s="190"/>
      <c r="M86" s="190"/>
      <c r="N86" s="190"/>
      <c r="O86" s="190"/>
      <c r="P86" s="190"/>
      <c r="Q86" s="190"/>
      <c r="R86" s="190"/>
      <c r="S86" s="190"/>
      <c r="T86" s="190"/>
      <c r="U86" s="190"/>
      <c r="V86" s="190"/>
      <c r="W86" s="190"/>
      <c r="X86" s="190"/>
      <c r="Y86" s="190"/>
      <c r="Z86" s="190"/>
      <c r="AA86" s="190"/>
      <c r="AB86" s="190"/>
      <c r="AC86" s="190"/>
      <c r="AD86" s="190"/>
      <c r="AE86" s="190"/>
      <c r="AF86" s="190"/>
      <c r="AG86" s="190"/>
      <c r="AH86" s="190"/>
      <c r="AI86" s="190"/>
      <c r="AJ86" s="190"/>
      <c r="AK86" s="190"/>
      <c r="AL86" s="190"/>
      <c r="AM86" s="190"/>
      <c r="AN86" s="190"/>
      <c r="AO86" s="190"/>
      <c r="AP86" s="190"/>
      <c r="AQ86" s="190"/>
      <c r="AR86" s="190"/>
      <c r="AS86" s="190"/>
      <c r="AT86" s="190"/>
      <c r="AU86" s="190"/>
      <c r="AV86" s="190"/>
      <c r="AW86" s="190"/>
      <c r="AX86" s="190"/>
      <c r="AY86" s="190"/>
      <c r="AZ86" s="190"/>
      <c r="BA86" s="190"/>
      <c r="BB86" s="190"/>
      <c r="BC86" s="190"/>
      <c r="BD86" s="190"/>
      <c r="BE86" s="190"/>
      <c r="BF86" s="190"/>
      <c r="BG86" s="190"/>
      <c r="BH86" s="190"/>
      <c r="BI86" s="190"/>
      <c r="BJ86" s="190"/>
      <c r="BK86" s="190"/>
      <c r="BL86" s="190"/>
      <c r="BM86" s="190"/>
      <c r="BN86" s="190"/>
      <c r="BO86" s="190"/>
      <c r="BP86" s="190"/>
      <c r="BQ86" s="190"/>
      <c r="BR86" s="190"/>
      <c r="BS86" s="190"/>
      <c r="BT86" s="190"/>
      <c r="BU86" s="190"/>
      <c r="BV86" s="190"/>
      <c r="BW86" s="190"/>
      <c r="BX86" s="190"/>
      <c r="BY86" s="190"/>
      <c r="BZ86" s="190"/>
      <c r="CA86" s="190"/>
      <c r="CB86" s="190"/>
      <c r="CC86" s="190"/>
      <c r="CD86" s="190"/>
      <c r="CE86" s="190"/>
      <c r="CF86" s="190"/>
    </row>
    <row r="87" spans="1:84" ht="14.4">
      <c r="A87" s="190"/>
      <c r="B87" s="190"/>
      <c r="C87" s="190"/>
      <c r="D87" s="190"/>
      <c r="E87" s="190"/>
      <c r="F87" s="190"/>
      <c r="G87" s="190"/>
      <c r="H87" s="190"/>
      <c r="I87" s="190"/>
      <c r="J87" s="190"/>
      <c r="K87" s="190"/>
      <c r="L87" s="190"/>
      <c r="M87" s="190"/>
      <c r="N87" s="190"/>
      <c r="O87" s="190"/>
      <c r="P87" s="190"/>
      <c r="Q87" s="190"/>
      <c r="R87" s="190"/>
      <c r="S87" s="190"/>
      <c r="T87" s="190"/>
      <c r="U87" s="190"/>
      <c r="V87" s="190"/>
      <c r="W87" s="190"/>
      <c r="X87" s="190"/>
      <c r="Y87" s="190"/>
      <c r="Z87" s="190"/>
      <c r="AA87" s="190"/>
      <c r="AB87" s="190"/>
      <c r="AC87" s="190"/>
      <c r="AD87" s="190"/>
      <c r="AE87" s="190"/>
      <c r="AF87" s="190"/>
      <c r="AG87" s="190"/>
      <c r="AH87" s="190"/>
      <c r="AI87" s="190"/>
      <c r="AJ87" s="190"/>
      <c r="AK87" s="190"/>
      <c r="AL87" s="190"/>
      <c r="AM87" s="190"/>
      <c r="AN87" s="190"/>
      <c r="AO87" s="190"/>
      <c r="AP87" s="190"/>
      <c r="AQ87" s="190"/>
      <c r="AR87" s="190"/>
      <c r="AS87" s="190"/>
      <c r="AT87" s="190"/>
      <c r="AU87" s="190"/>
      <c r="AV87" s="190"/>
      <c r="AW87" s="190"/>
      <c r="AX87" s="190"/>
      <c r="AY87" s="190"/>
      <c r="AZ87" s="190"/>
      <c r="BA87" s="190"/>
      <c r="BB87" s="190"/>
      <c r="BC87" s="190"/>
      <c r="BD87" s="190"/>
      <c r="BE87" s="190"/>
      <c r="BF87" s="190"/>
      <c r="BG87" s="190"/>
      <c r="BH87" s="190"/>
      <c r="BI87" s="190"/>
      <c r="BJ87" s="190"/>
      <c r="BK87" s="190"/>
      <c r="BL87" s="190"/>
      <c r="BM87" s="190"/>
      <c r="BN87" s="190"/>
      <c r="BO87" s="190"/>
      <c r="BP87" s="190"/>
      <c r="BQ87" s="190"/>
      <c r="BR87" s="190"/>
      <c r="BS87" s="190"/>
      <c r="BT87" s="190"/>
      <c r="BU87" s="190"/>
      <c r="BV87" s="190"/>
      <c r="BW87" s="190"/>
      <c r="BX87" s="190"/>
      <c r="BY87" s="190"/>
      <c r="BZ87" s="190"/>
      <c r="CA87" s="190"/>
      <c r="CB87" s="190"/>
      <c r="CC87" s="190"/>
      <c r="CD87" s="190"/>
      <c r="CE87" s="190"/>
      <c r="CF87" s="190"/>
    </row>
    <row r="88" spans="1:84" ht="14.4">
      <c r="A88" s="190"/>
      <c r="B88" s="190"/>
      <c r="C88" s="190"/>
      <c r="D88" s="190"/>
      <c r="E88" s="190"/>
      <c r="F88" s="190"/>
      <c r="G88" s="190"/>
      <c r="H88" s="190"/>
      <c r="I88" s="190"/>
      <c r="J88" s="190"/>
      <c r="K88" s="190"/>
      <c r="L88" s="190"/>
      <c r="M88" s="190"/>
      <c r="N88" s="190"/>
      <c r="O88" s="190"/>
      <c r="P88" s="190"/>
      <c r="Q88" s="190"/>
      <c r="R88" s="190"/>
      <c r="S88" s="190"/>
      <c r="T88" s="190"/>
      <c r="U88" s="190"/>
      <c r="V88" s="190"/>
      <c r="W88" s="190"/>
      <c r="X88" s="190"/>
      <c r="Y88" s="190"/>
      <c r="Z88" s="190"/>
      <c r="AA88" s="190"/>
      <c r="AB88" s="190"/>
      <c r="AC88" s="190"/>
      <c r="AD88" s="190"/>
      <c r="AE88" s="190"/>
      <c r="AF88" s="190"/>
      <c r="AG88" s="190"/>
      <c r="AH88" s="190"/>
      <c r="AI88" s="190"/>
      <c r="AJ88" s="190"/>
      <c r="AK88" s="190"/>
      <c r="AL88" s="190"/>
      <c r="AM88" s="190"/>
      <c r="AN88" s="190"/>
      <c r="AO88" s="190"/>
      <c r="AP88" s="190"/>
      <c r="AQ88" s="190"/>
      <c r="AR88" s="190"/>
      <c r="AS88" s="190"/>
      <c r="AT88" s="190"/>
      <c r="AU88" s="190"/>
      <c r="AV88" s="190"/>
      <c r="AW88" s="190"/>
      <c r="AX88" s="190"/>
      <c r="AY88" s="190"/>
      <c r="AZ88" s="190"/>
      <c r="BA88" s="190"/>
      <c r="BB88" s="190"/>
      <c r="BC88" s="190"/>
      <c r="BD88" s="190"/>
      <c r="BE88" s="190"/>
      <c r="BF88" s="190"/>
      <c r="BG88" s="190"/>
      <c r="BH88" s="190"/>
      <c r="BI88" s="190"/>
      <c r="BJ88" s="190"/>
      <c r="BK88" s="190"/>
      <c r="BL88" s="190"/>
      <c r="BM88" s="190"/>
      <c r="BN88" s="190"/>
      <c r="BO88" s="190"/>
      <c r="BP88" s="190"/>
      <c r="BQ88" s="190"/>
      <c r="BR88" s="190"/>
      <c r="BS88" s="190"/>
      <c r="BT88" s="190"/>
      <c r="BU88" s="190"/>
      <c r="BV88" s="190"/>
      <c r="BW88" s="190"/>
      <c r="BX88" s="190"/>
      <c r="BY88" s="190"/>
      <c r="BZ88" s="190"/>
      <c r="CA88" s="190"/>
      <c r="CB88" s="190"/>
      <c r="CC88" s="190"/>
      <c r="CD88" s="190"/>
      <c r="CE88" s="190"/>
      <c r="CF88" s="190"/>
    </row>
    <row r="89" spans="1:84" ht="14.4">
      <c r="A89" s="190"/>
      <c r="B89" s="190"/>
      <c r="C89" s="190"/>
      <c r="D89" s="190"/>
      <c r="E89" s="190"/>
      <c r="F89" s="190"/>
      <c r="G89" s="190"/>
      <c r="H89" s="190"/>
      <c r="I89" s="190"/>
      <c r="J89" s="190"/>
      <c r="K89" s="190"/>
      <c r="L89" s="190"/>
      <c r="M89" s="190"/>
      <c r="N89" s="190"/>
      <c r="O89" s="190"/>
      <c r="P89" s="190"/>
      <c r="Q89" s="190"/>
      <c r="R89" s="190"/>
      <c r="S89" s="190"/>
      <c r="T89" s="190"/>
      <c r="U89" s="190"/>
      <c r="V89" s="190"/>
      <c r="W89" s="190"/>
      <c r="X89" s="190"/>
      <c r="Y89" s="190"/>
      <c r="Z89" s="190"/>
      <c r="AA89" s="190"/>
      <c r="AB89" s="190"/>
      <c r="AC89" s="190"/>
      <c r="AD89" s="190"/>
      <c r="AE89" s="190"/>
      <c r="AF89" s="190"/>
      <c r="AG89" s="190"/>
      <c r="AH89" s="190"/>
      <c r="AI89" s="190"/>
      <c r="AJ89" s="190"/>
      <c r="AK89" s="190"/>
      <c r="AL89" s="190"/>
      <c r="AM89" s="190"/>
      <c r="AN89" s="190"/>
      <c r="AO89" s="190"/>
      <c r="AP89" s="190"/>
      <c r="AQ89" s="190"/>
      <c r="AR89" s="190"/>
      <c r="AS89" s="190"/>
      <c r="AT89" s="190"/>
      <c r="AU89" s="190"/>
      <c r="AV89" s="190"/>
      <c r="AW89" s="190"/>
      <c r="AX89" s="190"/>
      <c r="AY89" s="190"/>
      <c r="AZ89" s="190"/>
      <c r="BA89" s="190"/>
      <c r="BB89" s="190"/>
      <c r="BC89" s="190"/>
      <c r="BD89" s="190"/>
      <c r="BE89" s="190"/>
      <c r="BF89" s="190"/>
      <c r="BG89" s="190"/>
      <c r="BH89" s="190"/>
      <c r="BI89" s="190"/>
      <c r="BJ89" s="190"/>
      <c r="BK89" s="190"/>
      <c r="BL89" s="190"/>
      <c r="BM89" s="190"/>
      <c r="BN89" s="190"/>
      <c r="BO89" s="190"/>
      <c r="BP89" s="190"/>
      <c r="BQ89" s="190"/>
      <c r="BR89" s="190"/>
      <c r="BS89" s="190"/>
      <c r="BT89" s="190"/>
      <c r="BU89" s="190"/>
      <c r="BV89" s="190"/>
      <c r="BW89" s="190"/>
      <c r="BX89" s="190"/>
      <c r="BY89" s="190"/>
      <c r="BZ89" s="190"/>
      <c r="CA89" s="190"/>
      <c r="CB89" s="190"/>
      <c r="CC89" s="190"/>
      <c r="CD89" s="190"/>
      <c r="CE89" s="190"/>
      <c r="CF89" s="190"/>
    </row>
    <row r="90" spans="1:84" ht="14.4">
      <c r="A90" s="190"/>
      <c r="B90" s="190"/>
      <c r="C90" s="190"/>
      <c r="D90" s="190"/>
      <c r="E90" s="190"/>
      <c r="F90" s="190"/>
      <c r="G90" s="190"/>
      <c r="H90" s="190"/>
      <c r="I90" s="190"/>
      <c r="J90" s="190"/>
      <c r="K90" s="190"/>
      <c r="L90" s="190"/>
      <c r="M90" s="190"/>
      <c r="N90" s="190"/>
      <c r="O90" s="190"/>
      <c r="P90" s="190"/>
      <c r="Q90" s="190"/>
      <c r="R90" s="190"/>
      <c r="S90" s="190"/>
      <c r="T90" s="190"/>
      <c r="U90" s="190"/>
      <c r="V90" s="190"/>
      <c r="W90" s="190"/>
      <c r="X90" s="190"/>
      <c r="Y90" s="190"/>
      <c r="Z90" s="190"/>
      <c r="AA90" s="190"/>
      <c r="AB90" s="190"/>
      <c r="AC90" s="190"/>
      <c r="AD90" s="190"/>
      <c r="AE90" s="190"/>
      <c r="AF90" s="190"/>
      <c r="AG90" s="190"/>
      <c r="AH90" s="190"/>
      <c r="AI90" s="190"/>
      <c r="AJ90" s="190"/>
      <c r="AK90" s="190"/>
      <c r="AL90" s="190"/>
      <c r="AM90" s="190"/>
      <c r="AN90" s="190"/>
      <c r="AO90" s="190"/>
      <c r="AP90" s="190"/>
      <c r="AQ90" s="190"/>
      <c r="AR90" s="190"/>
      <c r="AS90" s="190"/>
      <c r="AT90" s="190"/>
      <c r="AU90" s="190"/>
      <c r="AV90" s="190"/>
      <c r="AW90" s="190"/>
      <c r="AX90" s="190"/>
      <c r="AY90" s="190"/>
      <c r="AZ90" s="190"/>
      <c r="BA90" s="190"/>
      <c r="BB90" s="190"/>
      <c r="BC90" s="190"/>
      <c r="BD90" s="190"/>
      <c r="BE90" s="190"/>
      <c r="BF90" s="190"/>
      <c r="BG90" s="190"/>
      <c r="BH90" s="190"/>
      <c r="BI90" s="190"/>
      <c r="BJ90" s="190"/>
      <c r="BK90" s="190"/>
      <c r="BL90" s="190"/>
      <c r="BM90" s="190"/>
      <c r="BN90" s="190"/>
      <c r="BO90" s="190"/>
      <c r="BP90" s="190"/>
      <c r="BQ90" s="190"/>
      <c r="BR90" s="190"/>
      <c r="BS90" s="190"/>
      <c r="BT90" s="190"/>
      <c r="BU90" s="190"/>
      <c r="BV90" s="190"/>
      <c r="BW90" s="190"/>
      <c r="BX90" s="190"/>
      <c r="BY90" s="190"/>
      <c r="BZ90" s="190"/>
      <c r="CA90" s="190"/>
      <c r="CB90" s="190"/>
      <c r="CC90" s="190"/>
      <c r="CD90" s="190"/>
      <c r="CE90" s="190"/>
      <c r="CF90" s="190"/>
    </row>
    <row r="91" spans="1:84" ht="14.4">
      <c r="A91" s="190"/>
      <c r="B91" s="190"/>
      <c r="C91" s="190"/>
      <c r="D91" s="190"/>
      <c r="E91" s="190"/>
      <c r="F91" s="190"/>
      <c r="G91" s="190"/>
      <c r="H91" s="190"/>
      <c r="I91" s="190"/>
      <c r="J91" s="190"/>
      <c r="K91" s="190"/>
      <c r="L91" s="190"/>
      <c r="M91" s="190"/>
      <c r="N91" s="190"/>
      <c r="O91" s="190"/>
      <c r="P91" s="190"/>
      <c r="Q91" s="190"/>
      <c r="R91" s="190"/>
      <c r="S91" s="190"/>
      <c r="T91" s="190"/>
      <c r="U91" s="190"/>
      <c r="V91" s="190"/>
      <c r="W91" s="190"/>
      <c r="X91" s="190"/>
      <c r="Y91" s="190"/>
      <c r="Z91" s="190"/>
      <c r="AA91" s="190"/>
      <c r="AB91" s="190"/>
      <c r="AC91" s="190"/>
      <c r="AD91" s="190"/>
      <c r="AE91" s="190"/>
      <c r="AF91" s="190"/>
      <c r="AG91" s="190"/>
      <c r="AH91" s="190"/>
      <c r="AI91" s="190"/>
      <c r="AJ91" s="190"/>
      <c r="AK91" s="190"/>
      <c r="AL91" s="190"/>
      <c r="AM91" s="190"/>
      <c r="AN91" s="190"/>
      <c r="AO91" s="190"/>
      <c r="AP91" s="190"/>
      <c r="AQ91" s="190"/>
      <c r="AR91" s="190"/>
      <c r="AS91" s="190"/>
      <c r="AT91" s="190"/>
      <c r="AU91" s="190"/>
      <c r="AV91" s="190"/>
      <c r="AW91" s="190"/>
      <c r="AX91" s="190"/>
      <c r="AY91" s="190"/>
      <c r="AZ91" s="190"/>
      <c r="BA91" s="190"/>
      <c r="BB91" s="190"/>
      <c r="BC91" s="190"/>
      <c r="BD91" s="190"/>
      <c r="BE91" s="190"/>
      <c r="BF91" s="190"/>
      <c r="BG91" s="190"/>
      <c r="BH91" s="190"/>
      <c r="BI91" s="190"/>
      <c r="BJ91" s="190"/>
      <c r="BK91" s="190"/>
      <c r="BL91" s="190"/>
      <c r="BM91" s="190"/>
      <c r="BN91" s="190"/>
      <c r="BO91" s="190"/>
      <c r="BP91" s="190"/>
      <c r="BQ91" s="190"/>
      <c r="BR91" s="190"/>
      <c r="BS91" s="190"/>
      <c r="BT91" s="190"/>
      <c r="BU91" s="190"/>
      <c r="BV91" s="190"/>
      <c r="BW91" s="190"/>
      <c r="BX91" s="190"/>
      <c r="BY91" s="190"/>
      <c r="BZ91" s="190"/>
      <c r="CA91" s="190"/>
      <c r="CB91" s="190"/>
      <c r="CC91" s="190"/>
      <c r="CD91" s="190"/>
      <c r="CE91" s="190"/>
      <c r="CF91" s="190"/>
    </row>
    <row r="92" spans="1:84" ht="14.4">
      <c r="A92" s="190"/>
      <c r="B92" s="190"/>
      <c r="C92" s="190"/>
      <c r="D92" s="190"/>
      <c r="E92" s="190"/>
      <c r="F92" s="190"/>
      <c r="G92" s="190"/>
      <c r="H92" s="190"/>
      <c r="I92" s="190"/>
      <c r="J92" s="190"/>
      <c r="K92" s="190"/>
      <c r="L92" s="190"/>
      <c r="M92" s="190"/>
      <c r="N92" s="190"/>
      <c r="O92" s="190"/>
      <c r="P92" s="190"/>
      <c r="Q92" s="190"/>
      <c r="R92" s="190"/>
      <c r="S92" s="190"/>
      <c r="T92" s="190"/>
      <c r="U92" s="190"/>
      <c r="V92" s="190"/>
      <c r="W92" s="190"/>
      <c r="X92" s="190"/>
      <c r="Y92" s="190"/>
      <c r="Z92" s="190"/>
      <c r="AA92" s="190"/>
      <c r="AB92" s="190"/>
      <c r="AC92" s="190"/>
      <c r="AD92" s="190"/>
      <c r="AE92" s="190"/>
      <c r="AF92" s="190"/>
      <c r="AG92" s="190"/>
      <c r="AH92" s="190"/>
      <c r="AI92" s="190"/>
      <c r="AJ92" s="190"/>
      <c r="AK92" s="190"/>
      <c r="AL92" s="190"/>
      <c r="AM92" s="190"/>
      <c r="AN92" s="190"/>
      <c r="AO92" s="190"/>
      <c r="AP92" s="190"/>
      <c r="AQ92" s="190"/>
      <c r="AR92" s="190"/>
      <c r="AS92" s="190"/>
      <c r="AT92" s="190"/>
      <c r="AU92" s="190"/>
      <c r="AV92" s="190"/>
      <c r="AW92" s="190"/>
      <c r="AX92" s="190"/>
      <c r="AY92" s="190"/>
      <c r="AZ92" s="190"/>
      <c r="BA92" s="190"/>
      <c r="BB92" s="190"/>
      <c r="BC92" s="190"/>
      <c r="BD92" s="190"/>
      <c r="BE92" s="190"/>
      <c r="BF92" s="190"/>
      <c r="BG92" s="190"/>
      <c r="BH92" s="190"/>
      <c r="BI92" s="190"/>
      <c r="BJ92" s="190"/>
      <c r="BK92" s="190"/>
      <c r="BL92" s="190"/>
      <c r="BM92" s="190"/>
      <c r="BN92" s="190"/>
      <c r="BO92" s="190"/>
      <c r="BP92" s="190"/>
      <c r="BQ92" s="190"/>
      <c r="BR92" s="190"/>
      <c r="BS92" s="190"/>
      <c r="BT92" s="190"/>
      <c r="BU92" s="190"/>
      <c r="BV92" s="190"/>
      <c r="BW92" s="190"/>
      <c r="BX92" s="190"/>
      <c r="BY92" s="190"/>
      <c r="BZ92" s="190"/>
      <c r="CA92" s="190"/>
      <c r="CB92" s="190"/>
      <c r="CC92" s="190"/>
      <c r="CD92" s="190"/>
      <c r="CE92" s="190"/>
      <c r="CF92" s="190"/>
    </row>
    <row r="93" spans="1:84" ht="14.4">
      <c r="A93" s="190"/>
      <c r="B93" s="190"/>
      <c r="C93" s="190"/>
      <c r="D93" s="190"/>
      <c r="E93" s="190"/>
      <c r="F93" s="190"/>
      <c r="G93" s="190"/>
      <c r="H93" s="190"/>
      <c r="I93" s="190"/>
      <c r="J93" s="190"/>
      <c r="K93" s="190"/>
      <c r="L93" s="190"/>
      <c r="M93" s="190"/>
      <c r="N93" s="190"/>
      <c r="O93" s="190"/>
      <c r="P93" s="190"/>
      <c r="Q93" s="190"/>
      <c r="R93" s="190"/>
      <c r="S93" s="190"/>
      <c r="T93" s="190"/>
      <c r="U93" s="190"/>
      <c r="V93" s="190"/>
      <c r="W93" s="190"/>
      <c r="X93" s="190"/>
      <c r="Y93" s="190"/>
      <c r="Z93" s="190"/>
      <c r="AA93" s="190"/>
      <c r="AB93" s="190"/>
      <c r="AC93" s="190"/>
      <c r="AD93" s="190"/>
      <c r="AE93" s="190"/>
      <c r="AF93" s="190"/>
      <c r="AG93" s="190"/>
      <c r="AH93" s="190"/>
      <c r="AI93" s="190"/>
      <c r="AJ93" s="190"/>
      <c r="AK93" s="190"/>
      <c r="AL93" s="190"/>
      <c r="AM93" s="190"/>
      <c r="AN93" s="190"/>
      <c r="AO93" s="190"/>
      <c r="AP93" s="190"/>
      <c r="AQ93" s="190"/>
      <c r="AR93" s="190"/>
      <c r="AS93" s="190"/>
      <c r="AT93" s="190"/>
      <c r="AU93" s="190"/>
      <c r="AV93" s="190"/>
      <c r="AW93" s="190"/>
      <c r="AX93" s="190"/>
      <c r="AY93" s="190"/>
      <c r="AZ93" s="190"/>
      <c r="BA93" s="190"/>
      <c r="BB93" s="190"/>
      <c r="BC93" s="190"/>
      <c r="BD93" s="190"/>
      <c r="BE93" s="190"/>
      <c r="BF93" s="190"/>
      <c r="BG93" s="190"/>
      <c r="BH93" s="190"/>
      <c r="BI93" s="190"/>
      <c r="BJ93" s="190"/>
      <c r="BK93" s="190"/>
      <c r="BL93" s="190"/>
      <c r="BM93" s="190"/>
      <c r="BN93" s="190"/>
      <c r="BO93" s="190"/>
      <c r="BP93" s="190"/>
      <c r="BQ93" s="190"/>
      <c r="BR93" s="190"/>
      <c r="BS93" s="190"/>
      <c r="BT93" s="190"/>
      <c r="BU93" s="190"/>
      <c r="BV93" s="190"/>
      <c r="BW93" s="190"/>
      <c r="BX93" s="190"/>
      <c r="BY93" s="190"/>
      <c r="BZ93" s="190"/>
      <c r="CA93" s="190"/>
      <c r="CB93" s="190"/>
      <c r="CC93" s="190"/>
      <c r="CD93" s="190"/>
      <c r="CE93" s="190"/>
      <c r="CF93" s="190"/>
    </row>
    <row r="94" spans="1:84" ht="14.4">
      <c r="A94" s="190"/>
      <c r="B94" s="190"/>
      <c r="C94" s="190"/>
      <c r="D94" s="190"/>
      <c r="E94" s="190"/>
      <c r="F94" s="190"/>
      <c r="G94" s="190"/>
      <c r="H94" s="190"/>
      <c r="I94" s="190"/>
      <c r="J94" s="190"/>
      <c r="K94" s="190"/>
      <c r="L94" s="190"/>
      <c r="M94" s="190"/>
      <c r="N94" s="190"/>
      <c r="O94" s="190"/>
      <c r="P94" s="190"/>
      <c r="Q94" s="190"/>
      <c r="R94" s="190"/>
      <c r="S94" s="190"/>
      <c r="T94" s="190"/>
      <c r="U94" s="190"/>
      <c r="V94" s="190"/>
      <c r="W94" s="190"/>
      <c r="X94" s="190"/>
      <c r="Y94" s="190"/>
      <c r="Z94" s="190"/>
      <c r="AA94" s="190"/>
      <c r="AB94" s="190"/>
      <c r="AC94" s="190"/>
      <c r="AD94" s="190"/>
      <c r="AE94" s="190"/>
      <c r="AF94" s="190"/>
      <c r="AG94" s="190"/>
      <c r="AH94" s="190"/>
      <c r="AI94" s="190"/>
      <c r="AJ94" s="190"/>
      <c r="AK94" s="190"/>
      <c r="AL94" s="190"/>
      <c r="AM94" s="190"/>
      <c r="AN94" s="190"/>
      <c r="AO94" s="190"/>
      <c r="AP94" s="190"/>
      <c r="AQ94" s="190"/>
      <c r="AR94" s="190"/>
      <c r="AS94" s="190"/>
      <c r="AT94" s="190"/>
      <c r="AU94" s="190"/>
      <c r="AV94" s="190"/>
      <c r="AW94" s="190"/>
      <c r="AX94" s="190"/>
      <c r="AY94" s="190"/>
      <c r="AZ94" s="190"/>
      <c r="BA94" s="190"/>
      <c r="BB94" s="190"/>
      <c r="BC94" s="190"/>
      <c r="BD94" s="190"/>
      <c r="BE94" s="190"/>
      <c r="BF94" s="190"/>
      <c r="BG94" s="190"/>
      <c r="BH94" s="190"/>
      <c r="BI94" s="190"/>
      <c r="BJ94" s="190"/>
      <c r="BK94" s="190"/>
      <c r="BL94" s="190"/>
      <c r="BM94" s="190"/>
      <c r="BN94" s="190"/>
      <c r="BO94" s="190"/>
      <c r="BP94" s="190"/>
      <c r="BQ94" s="190"/>
      <c r="BR94" s="190"/>
      <c r="BS94" s="190"/>
      <c r="BT94" s="190"/>
      <c r="BU94" s="190"/>
      <c r="BV94" s="190"/>
      <c r="BW94" s="190"/>
      <c r="BX94" s="190"/>
      <c r="BY94" s="190"/>
      <c r="BZ94" s="190"/>
      <c r="CA94" s="190"/>
      <c r="CB94" s="190"/>
      <c r="CC94" s="190"/>
      <c r="CD94" s="190"/>
      <c r="CE94" s="190"/>
      <c r="CF94" s="190"/>
    </row>
    <row r="95" spans="1:84" ht="14.4">
      <c r="A95" s="190"/>
      <c r="B95" s="190"/>
      <c r="C95" s="190"/>
      <c r="D95" s="190"/>
      <c r="E95" s="190"/>
      <c r="F95" s="190"/>
      <c r="G95" s="190"/>
      <c r="H95" s="190"/>
      <c r="I95" s="190"/>
      <c r="J95" s="190"/>
      <c r="K95" s="190"/>
      <c r="L95" s="190"/>
      <c r="M95" s="190"/>
      <c r="N95" s="190"/>
      <c r="O95" s="190"/>
      <c r="P95" s="190"/>
      <c r="Q95" s="190"/>
      <c r="R95" s="190"/>
      <c r="S95" s="190"/>
      <c r="T95" s="190"/>
      <c r="U95" s="190"/>
      <c r="V95" s="190"/>
      <c r="W95" s="190"/>
      <c r="X95" s="190"/>
      <c r="Y95" s="190"/>
      <c r="Z95" s="190"/>
      <c r="AA95" s="190"/>
      <c r="AB95" s="190"/>
      <c r="AC95" s="190"/>
      <c r="AD95" s="190"/>
      <c r="AE95" s="190"/>
      <c r="AF95" s="190"/>
      <c r="AG95" s="190"/>
      <c r="AH95" s="190"/>
      <c r="AI95" s="190"/>
      <c r="AJ95" s="190"/>
      <c r="AK95" s="190"/>
      <c r="AL95" s="190"/>
      <c r="AM95" s="190"/>
      <c r="AN95" s="190"/>
      <c r="AO95" s="190"/>
      <c r="AP95" s="190"/>
      <c r="AQ95" s="190"/>
      <c r="AR95" s="190"/>
      <c r="AS95" s="190"/>
      <c r="AT95" s="190"/>
      <c r="AU95" s="190"/>
      <c r="AV95" s="190"/>
      <c r="AW95" s="190"/>
      <c r="AX95" s="190"/>
      <c r="AY95" s="190"/>
      <c r="AZ95" s="190"/>
      <c r="BA95" s="190"/>
      <c r="BB95" s="190"/>
      <c r="BC95" s="190"/>
      <c r="BD95" s="190"/>
      <c r="BE95" s="190"/>
      <c r="BF95" s="190"/>
      <c r="BG95" s="190"/>
      <c r="BH95" s="190"/>
      <c r="BI95" s="190"/>
      <c r="BJ95" s="190"/>
      <c r="BK95" s="190"/>
      <c r="BL95" s="190"/>
      <c r="BM95" s="190"/>
      <c r="BN95" s="190"/>
      <c r="BO95" s="190"/>
      <c r="BP95" s="190"/>
      <c r="BQ95" s="190"/>
      <c r="BR95" s="190"/>
      <c r="BS95" s="190"/>
      <c r="BT95" s="190"/>
      <c r="BU95" s="190"/>
      <c r="BV95" s="190"/>
      <c r="BW95" s="190"/>
      <c r="BX95" s="190"/>
      <c r="BY95" s="190"/>
      <c r="BZ95" s="190"/>
      <c r="CA95" s="190"/>
      <c r="CB95" s="190"/>
      <c r="CC95" s="190"/>
      <c r="CD95" s="190"/>
      <c r="CE95" s="190"/>
      <c r="CF95" s="190"/>
    </row>
    <row r="96" spans="1:84" ht="14.4">
      <c r="A96" s="190"/>
      <c r="B96" s="190"/>
      <c r="C96" s="190"/>
      <c r="D96" s="190"/>
      <c r="E96" s="190"/>
      <c r="F96" s="190"/>
      <c r="G96" s="190"/>
      <c r="H96" s="190"/>
      <c r="I96" s="190"/>
      <c r="J96" s="190"/>
      <c r="K96" s="190"/>
      <c r="L96" s="190"/>
      <c r="M96" s="190"/>
      <c r="N96" s="190"/>
      <c r="O96" s="190"/>
      <c r="P96" s="190"/>
      <c r="Q96" s="190"/>
      <c r="R96" s="190"/>
      <c r="S96" s="190"/>
      <c r="T96" s="190"/>
      <c r="U96" s="190"/>
      <c r="V96" s="190"/>
      <c r="W96" s="190"/>
      <c r="X96" s="190"/>
      <c r="Y96" s="190"/>
      <c r="Z96" s="190"/>
      <c r="AA96" s="190"/>
      <c r="AB96" s="190"/>
      <c r="AC96" s="190"/>
      <c r="AD96" s="190"/>
      <c r="AE96" s="190"/>
      <c r="AF96" s="190"/>
      <c r="AG96" s="190"/>
      <c r="AH96" s="190"/>
      <c r="AI96" s="190"/>
      <c r="AJ96" s="190"/>
      <c r="AK96" s="190"/>
      <c r="AL96" s="190"/>
      <c r="AM96" s="190"/>
      <c r="AN96" s="190"/>
      <c r="AO96" s="190"/>
      <c r="AP96" s="190"/>
      <c r="AQ96" s="190"/>
      <c r="AR96" s="190"/>
      <c r="AS96" s="190"/>
      <c r="AT96" s="190"/>
      <c r="AU96" s="190"/>
      <c r="AV96" s="190"/>
      <c r="AW96" s="190"/>
      <c r="AX96" s="190"/>
      <c r="AY96" s="190"/>
      <c r="AZ96" s="190"/>
      <c r="BA96" s="190"/>
      <c r="BB96" s="190"/>
      <c r="BC96" s="190"/>
      <c r="BD96" s="190"/>
      <c r="BE96" s="190"/>
      <c r="BF96" s="190"/>
      <c r="BG96" s="190"/>
      <c r="BH96" s="190"/>
      <c r="BI96" s="190"/>
      <c r="BJ96" s="190"/>
      <c r="BK96" s="190"/>
      <c r="BL96" s="190"/>
      <c r="BM96" s="190"/>
      <c r="BN96" s="190"/>
      <c r="BO96" s="190"/>
      <c r="BP96" s="190"/>
      <c r="BQ96" s="190"/>
      <c r="BR96" s="190"/>
      <c r="BS96" s="190"/>
      <c r="BT96" s="190"/>
      <c r="BU96" s="190"/>
      <c r="BV96" s="190"/>
      <c r="BW96" s="190"/>
      <c r="BX96" s="190"/>
      <c r="BY96" s="190"/>
      <c r="BZ96" s="190"/>
      <c r="CA96" s="190"/>
      <c r="CB96" s="190"/>
      <c r="CC96" s="190"/>
      <c r="CD96" s="190"/>
      <c r="CE96" s="190"/>
      <c r="CF96" s="190"/>
    </row>
    <row r="97" spans="1:84" ht="14.4">
      <c r="A97" s="190"/>
      <c r="B97" s="190"/>
      <c r="C97" s="190"/>
      <c r="D97" s="190"/>
      <c r="E97" s="190"/>
      <c r="F97" s="190"/>
      <c r="G97" s="190"/>
      <c r="H97" s="190"/>
      <c r="I97" s="190"/>
      <c r="J97" s="190"/>
      <c r="K97" s="190"/>
      <c r="L97" s="190"/>
      <c r="M97" s="190"/>
      <c r="N97" s="190"/>
      <c r="O97" s="190"/>
      <c r="P97" s="190"/>
      <c r="Q97" s="190"/>
      <c r="R97" s="190"/>
      <c r="S97" s="190"/>
      <c r="T97" s="190"/>
      <c r="U97" s="190"/>
      <c r="V97" s="190"/>
      <c r="W97" s="190"/>
      <c r="X97" s="190"/>
      <c r="Y97" s="190"/>
      <c r="Z97" s="190"/>
      <c r="AA97" s="190"/>
      <c r="AB97" s="190"/>
      <c r="AC97" s="190"/>
      <c r="AD97" s="190"/>
      <c r="AE97" s="190"/>
      <c r="AF97" s="190"/>
      <c r="AG97" s="190"/>
      <c r="AH97" s="190"/>
      <c r="AI97" s="190"/>
      <c r="AJ97" s="190"/>
      <c r="AK97" s="190"/>
      <c r="AL97" s="190"/>
      <c r="AM97" s="190"/>
      <c r="AN97" s="190"/>
      <c r="AO97" s="190"/>
      <c r="AP97" s="190"/>
      <c r="AQ97" s="190"/>
      <c r="AR97" s="190"/>
      <c r="AS97" s="190"/>
      <c r="AT97" s="190"/>
      <c r="AU97" s="190"/>
      <c r="AV97" s="190"/>
      <c r="AW97" s="190"/>
      <c r="AX97" s="190"/>
      <c r="AY97" s="190"/>
      <c r="AZ97" s="190"/>
      <c r="BA97" s="190"/>
      <c r="BB97" s="190"/>
      <c r="BC97" s="190"/>
      <c r="BD97" s="190"/>
      <c r="BE97" s="190"/>
      <c r="BF97" s="190"/>
      <c r="BG97" s="190"/>
      <c r="BH97" s="190"/>
      <c r="BI97" s="190"/>
      <c r="BJ97" s="190"/>
      <c r="BK97" s="190"/>
      <c r="BL97" s="190"/>
      <c r="BM97" s="190"/>
      <c r="BN97" s="190"/>
      <c r="BO97" s="190"/>
      <c r="BP97" s="190"/>
      <c r="BQ97" s="190"/>
      <c r="BR97" s="190"/>
      <c r="BS97" s="190"/>
      <c r="BT97" s="190"/>
      <c r="BU97" s="190"/>
      <c r="BV97" s="190"/>
      <c r="BW97" s="190"/>
      <c r="BX97" s="190"/>
      <c r="BY97" s="190"/>
      <c r="BZ97" s="190"/>
      <c r="CA97" s="190"/>
      <c r="CB97" s="190"/>
      <c r="CC97" s="190"/>
      <c r="CD97" s="190"/>
      <c r="CE97" s="190"/>
      <c r="CF97" s="190"/>
    </row>
    <row r="98" spans="1:84" ht="14.4">
      <c r="A98" s="190"/>
      <c r="B98" s="190"/>
      <c r="C98" s="190"/>
      <c r="D98" s="190"/>
      <c r="E98" s="190"/>
      <c r="F98" s="190"/>
      <c r="G98" s="190"/>
      <c r="H98" s="190"/>
      <c r="I98" s="190"/>
      <c r="J98" s="190"/>
      <c r="K98" s="190"/>
      <c r="L98" s="190"/>
      <c r="M98" s="190"/>
      <c r="N98" s="190"/>
      <c r="O98" s="190"/>
      <c r="P98" s="190"/>
      <c r="Q98" s="190"/>
      <c r="R98" s="190"/>
      <c r="S98" s="190"/>
      <c r="T98" s="190"/>
      <c r="U98" s="190"/>
      <c r="V98" s="190"/>
      <c r="W98" s="190"/>
      <c r="X98" s="190"/>
      <c r="Y98" s="190"/>
      <c r="Z98" s="190"/>
      <c r="AA98" s="190"/>
      <c r="AB98" s="190"/>
      <c r="AC98" s="190"/>
      <c r="AD98" s="190"/>
      <c r="AE98" s="190"/>
      <c r="AF98" s="190"/>
      <c r="AG98" s="190"/>
      <c r="AH98" s="190"/>
      <c r="AI98" s="190"/>
      <c r="AJ98" s="190"/>
      <c r="AK98" s="190"/>
      <c r="AL98" s="190"/>
      <c r="AM98" s="190"/>
      <c r="AN98" s="190"/>
      <c r="AO98" s="190"/>
      <c r="AP98" s="190"/>
      <c r="AQ98" s="190"/>
      <c r="AR98" s="190"/>
      <c r="AS98" s="190"/>
      <c r="AT98" s="190"/>
      <c r="AU98" s="190"/>
      <c r="AV98" s="190"/>
      <c r="AW98" s="190"/>
      <c r="AX98" s="190"/>
      <c r="AY98" s="190"/>
      <c r="AZ98" s="190"/>
      <c r="BA98" s="190"/>
      <c r="BB98" s="190"/>
      <c r="BC98" s="190"/>
      <c r="BD98" s="190"/>
      <c r="BE98" s="190"/>
      <c r="BF98" s="190"/>
      <c r="BG98" s="190"/>
      <c r="BH98" s="190"/>
      <c r="BI98" s="190"/>
      <c r="BJ98" s="190"/>
      <c r="BK98" s="190"/>
      <c r="BL98" s="190"/>
      <c r="BM98" s="190"/>
      <c r="BN98" s="190"/>
      <c r="BO98" s="190"/>
      <c r="BP98" s="190"/>
      <c r="BQ98" s="190"/>
      <c r="BR98" s="190"/>
      <c r="BS98" s="190"/>
      <c r="BT98" s="190"/>
      <c r="BU98" s="190"/>
      <c r="BV98" s="190"/>
      <c r="BW98" s="190"/>
      <c r="BX98" s="190"/>
      <c r="BY98" s="190"/>
      <c r="BZ98" s="190"/>
      <c r="CA98" s="190"/>
      <c r="CB98" s="190"/>
      <c r="CC98" s="190"/>
      <c r="CD98" s="190"/>
      <c r="CE98" s="190"/>
      <c r="CF98" s="190"/>
    </row>
    <row r="99" spans="1:84" ht="14.4">
      <c r="A99" s="190"/>
      <c r="B99" s="190"/>
      <c r="C99" s="190"/>
      <c r="D99" s="190"/>
      <c r="E99" s="190"/>
      <c r="F99" s="190"/>
      <c r="G99" s="190"/>
      <c r="H99" s="190"/>
      <c r="I99" s="190"/>
      <c r="J99" s="190"/>
      <c r="K99" s="190"/>
      <c r="L99" s="190"/>
      <c r="M99" s="190"/>
      <c r="N99" s="190"/>
      <c r="O99" s="190"/>
      <c r="P99" s="190"/>
      <c r="Q99" s="190"/>
      <c r="R99" s="190"/>
      <c r="S99" s="190"/>
      <c r="T99" s="190"/>
      <c r="U99" s="190"/>
      <c r="V99" s="190"/>
      <c r="W99" s="190"/>
      <c r="X99" s="190"/>
      <c r="Y99" s="190"/>
      <c r="Z99" s="190"/>
      <c r="AA99" s="190"/>
      <c r="AB99" s="190"/>
      <c r="AC99" s="190"/>
      <c r="AD99" s="190"/>
      <c r="AE99" s="190"/>
      <c r="AF99" s="190"/>
      <c r="AG99" s="190"/>
      <c r="AH99" s="190"/>
      <c r="AI99" s="190"/>
      <c r="AJ99" s="190"/>
      <c r="AK99" s="190"/>
      <c r="AL99" s="190"/>
      <c r="AM99" s="190"/>
      <c r="AN99" s="190"/>
      <c r="AO99" s="190"/>
      <c r="AP99" s="190"/>
      <c r="AQ99" s="190"/>
      <c r="AR99" s="190"/>
      <c r="AS99" s="190"/>
      <c r="AT99" s="190"/>
      <c r="AU99" s="190"/>
      <c r="AV99" s="190"/>
      <c r="AW99" s="190"/>
      <c r="AX99" s="190"/>
      <c r="AY99" s="190"/>
      <c r="AZ99" s="190"/>
      <c r="BA99" s="190"/>
      <c r="BB99" s="190"/>
      <c r="BC99" s="190"/>
      <c r="BD99" s="190"/>
      <c r="BE99" s="190"/>
      <c r="BF99" s="190"/>
      <c r="BG99" s="190"/>
      <c r="BH99" s="190"/>
      <c r="BI99" s="190"/>
      <c r="BJ99" s="190"/>
      <c r="BK99" s="190"/>
      <c r="BL99" s="190"/>
      <c r="BM99" s="190"/>
      <c r="BN99" s="190"/>
      <c r="BO99" s="190"/>
      <c r="BP99" s="190"/>
      <c r="BQ99" s="190"/>
      <c r="BR99" s="190"/>
      <c r="BS99" s="190"/>
      <c r="BT99" s="190"/>
      <c r="BU99" s="190"/>
      <c r="BV99" s="190"/>
      <c r="BW99" s="190"/>
      <c r="BX99" s="190"/>
      <c r="BY99" s="190"/>
      <c r="BZ99" s="190"/>
      <c r="CA99" s="190"/>
      <c r="CB99" s="190"/>
      <c r="CC99" s="190"/>
      <c r="CD99" s="190"/>
      <c r="CE99" s="190"/>
      <c r="CF99" s="190"/>
    </row>
    <row r="100" spans="1:84" ht="14.4">
      <c r="A100" s="190"/>
      <c r="B100" s="190"/>
      <c r="C100" s="190"/>
      <c r="D100" s="190"/>
      <c r="E100" s="190"/>
      <c r="F100" s="190"/>
      <c r="G100" s="190"/>
      <c r="H100" s="190"/>
      <c r="I100" s="190"/>
      <c r="J100" s="190"/>
      <c r="K100" s="190"/>
      <c r="L100" s="190"/>
      <c r="M100" s="190"/>
      <c r="N100" s="190"/>
      <c r="O100" s="190"/>
      <c r="P100" s="190"/>
      <c r="Q100" s="190"/>
      <c r="R100" s="190"/>
      <c r="S100" s="190"/>
      <c r="T100" s="190"/>
      <c r="U100" s="190"/>
      <c r="V100" s="190"/>
      <c r="W100" s="190"/>
      <c r="X100" s="190"/>
      <c r="Y100" s="190"/>
      <c r="Z100" s="190"/>
      <c r="AA100" s="190"/>
      <c r="AB100" s="190"/>
      <c r="AC100" s="190"/>
      <c r="AD100" s="190"/>
      <c r="AE100" s="190"/>
      <c r="AF100" s="190"/>
      <c r="AG100" s="190"/>
      <c r="AH100" s="190"/>
      <c r="AI100" s="190"/>
      <c r="AJ100" s="190"/>
      <c r="AK100" s="190"/>
      <c r="AL100" s="190"/>
      <c r="AM100" s="190"/>
      <c r="AN100" s="190"/>
      <c r="AO100" s="190"/>
      <c r="AP100" s="190"/>
      <c r="AQ100" s="190"/>
      <c r="AR100" s="190"/>
      <c r="AS100" s="190"/>
      <c r="AT100" s="190"/>
      <c r="AU100" s="190"/>
      <c r="AV100" s="190"/>
      <c r="AW100" s="190"/>
      <c r="AX100" s="190"/>
      <c r="AY100" s="190"/>
      <c r="AZ100" s="190"/>
      <c r="BA100" s="190"/>
      <c r="BB100" s="190"/>
      <c r="BC100" s="190"/>
      <c r="BD100" s="190"/>
      <c r="BE100" s="190"/>
      <c r="BF100" s="190"/>
      <c r="BG100" s="190"/>
      <c r="BH100" s="190"/>
      <c r="BI100" s="190"/>
      <c r="BJ100" s="190"/>
      <c r="BK100" s="190"/>
      <c r="BL100" s="190"/>
      <c r="BM100" s="190"/>
      <c r="BN100" s="190"/>
      <c r="BO100" s="190"/>
      <c r="BP100" s="190"/>
      <c r="BQ100" s="190"/>
      <c r="BR100" s="190"/>
      <c r="BS100" s="190"/>
      <c r="BT100" s="190"/>
      <c r="BU100" s="190"/>
      <c r="BV100" s="190"/>
      <c r="BW100" s="190"/>
      <c r="BX100" s="190"/>
      <c r="BY100" s="190"/>
      <c r="BZ100" s="190"/>
      <c r="CA100" s="190"/>
      <c r="CB100" s="190"/>
      <c r="CC100" s="190"/>
      <c r="CD100" s="190"/>
      <c r="CE100" s="190"/>
      <c r="CF100" s="190"/>
    </row>
    <row r="101" spans="1:84" ht="14.4">
      <c r="A101" s="190"/>
      <c r="B101" s="190"/>
      <c r="C101" s="190"/>
      <c r="D101" s="190"/>
      <c r="E101" s="190"/>
      <c r="F101" s="190"/>
      <c r="G101" s="190"/>
      <c r="H101" s="190"/>
      <c r="I101" s="190"/>
      <c r="J101" s="190"/>
      <c r="K101" s="190"/>
      <c r="L101" s="190"/>
      <c r="M101" s="190"/>
      <c r="N101" s="190"/>
      <c r="O101" s="190"/>
      <c r="P101" s="190"/>
      <c r="Q101" s="190"/>
      <c r="R101" s="190"/>
      <c r="S101" s="190"/>
      <c r="T101" s="190"/>
      <c r="U101" s="190"/>
      <c r="V101" s="190"/>
      <c r="W101" s="190"/>
      <c r="X101" s="190"/>
      <c r="Y101" s="190"/>
      <c r="Z101" s="190"/>
      <c r="AA101" s="190"/>
      <c r="AB101" s="190"/>
      <c r="AC101" s="190"/>
      <c r="AD101" s="190"/>
      <c r="AE101" s="190"/>
      <c r="AF101" s="190"/>
      <c r="AG101" s="190"/>
      <c r="AH101" s="190"/>
      <c r="AI101" s="190"/>
      <c r="AJ101" s="190"/>
      <c r="AK101" s="190"/>
      <c r="AL101" s="190"/>
      <c r="AM101" s="190"/>
      <c r="AN101" s="190"/>
      <c r="AO101" s="190"/>
      <c r="AP101" s="190"/>
      <c r="AQ101" s="190"/>
      <c r="AR101" s="190"/>
      <c r="AS101" s="190"/>
      <c r="AT101" s="190"/>
      <c r="AU101" s="190"/>
      <c r="AV101" s="190"/>
      <c r="AW101" s="190"/>
      <c r="AX101" s="190"/>
      <c r="AY101" s="190"/>
      <c r="AZ101" s="190"/>
      <c r="BA101" s="190"/>
      <c r="BB101" s="190"/>
      <c r="BC101" s="190"/>
      <c r="BD101" s="190"/>
      <c r="BE101" s="190"/>
      <c r="BF101" s="190"/>
      <c r="BG101" s="190"/>
      <c r="BH101" s="190"/>
      <c r="BI101" s="190"/>
      <c r="BJ101" s="190"/>
      <c r="BK101" s="190"/>
      <c r="BL101" s="190"/>
      <c r="BM101" s="190"/>
      <c r="BN101" s="190"/>
      <c r="BO101" s="190"/>
      <c r="BP101" s="190"/>
      <c r="BQ101" s="190"/>
      <c r="BR101" s="190"/>
      <c r="BS101" s="190"/>
      <c r="BT101" s="190"/>
      <c r="BU101" s="190"/>
      <c r="BV101" s="190"/>
      <c r="BW101" s="190"/>
      <c r="BX101" s="190"/>
      <c r="BY101" s="190"/>
      <c r="BZ101" s="190"/>
      <c r="CA101" s="190"/>
      <c r="CB101" s="190"/>
      <c r="CC101" s="190"/>
      <c r="CD101" s="190"/>
      <c r="CE101" s="190"/>
      <c r="CF101" s="190"/>
    </row>
    <row r="102" spans="1:84" ht="14.4">
      <c r="A102" s="190"/>
      <c r="B102" s="190"/>
      <c r="C102" s="190"/>
      <c r="D102" s="190"/>
      <c r="E102" s="190"/>
      <c r="F102" s="190"/>
      <c r="G102" s="190"/>
      <c r="H102" s="190"/>
      <c r="I102" s="190"/>
      <c r="J102" s="190"/>
      <c r="K102" s="190"/>
      <c r="L102" s="190"/>
      <c r="M102" s="190"/>
      <c r="N102" s="190"/>
      <c r="O102" s="190"/>
      <c r="P102" s="190"/>
      <c r="Q102" s="190"/>
      <c r="R102" s="190"/>
      <c r="S102" s="190"/>
      <c r="T102" s="190"/>
      <c r="U102" s="190"/>
      <c r="V102" s="190"/>
      <c r="W102" s="190"/>
      <c r="X102" s="190"/>
      <c r="Y102" s="190"/>
      <c r="Z102" s="190"/>
      <c r="AA102" s="190"/>
      <c r="AB102" s="190"/>
      <c r="AC102" s="190"/>
      <c r="AD102" s="190"/>
      <c r="AE102" s="190"/>
      <c r="AF102" s="190"/>
      <c r="AG102" s="190"/>
      <c r="AH102" s="190"/>
      <c r="AI102" s="190"/>
      <c r="AJ102" s="190"/>
      <c r="AK102" s="190"/>
      <c r="AL102" s="190"/>
      <c r="AM102" s="190"/>
      <c r="AN102" s="190"/>
      <c r="AO102" s="190"/>
      <c r="AP102" s="190"/>
      <c r="AQ102" s="190"/>
      <c r="AR102" s="190"/>
      <c r="AS102" s="190"/>
      <c r="AT102" s="190"/>
      <c r="AU102" s="190"/>
      <c r="AV102" s="190"/>
      <c r="AW102" s="190"/>
      <c r="AX102" s="190"/>
      <c r="AY102" s="190"/>
      <c r="AZ102" s="190"/>
      <c r="BA102" s="190"/>
      <c r="BB102" s="190"/>
      <c r="BC102" s="190"/>
      <c r="BD102" s="190"/>
      <c r="BE102" s="190"/>
      <c r="BF102" s="190"/>
      <c r="BG102" s="190"/>
      <c r="BH102" s="190"/>
      <c r="BI102" s="190"/>
      <c r="BJ102" s="190"/>
      <c r="BK102" s="190"/>
      <c r="BL102" s="190"/>
      <c r="BM102" s="190"/>
      <c r="BN102" s="190"/>
      <c r="BO102" s="190"/>
      <c r="BP102" s="190"/>
      <c r="BQ102" s="190"/>
      <c r="BR102" s="190"/>
      <c r="BS102" s="190"/>
      <c r="BT102" s="190"/>
      <c r="BU102" s="190"/>
      <c r="BV102" s="190"/>
      <c r="BW102" s="190"/>
      <c r="BX102" s="190"/>
      <c r="BY102" s="190"/>
      <c r="BZ102" s="190"/>
      <c r="CA102" s="190"/>
      <c r="CB102" s="190"/>
      <c r="CC102" s="190"/>
      <c r="CD102" s="190"/>
      <c r="CE102" s="190"/>
      <c r="CF102" s="190"/>
    </row>
    <row r="103" spans="1:84" ht="14.4">
      <c r="A103" s="190"/>
      <c r="B103" s="190"/>
      <c r="C103" s="190"/>
      <c r="D103" s="190"/>
      <c r="E103" s="190"/>
      <c r="F103" s="190"/>
      <c r="G103" s="190"/>
      <c r="H103" s="190"/>
      <c r="I103" s="190"/>
      <c r="J103" s="190"/>
      <c r="K103" s="190"/>
      <c r="L103" s="190"/>
      <c r="M103" s="190"/>
      <c r="N103" s="190"/>
      <c r="O103" s="190"/>
      <c r="P103" s="190"/>
      <c r="Q103" s="190"/>
      <c r="R103" s="190"/>
      <c r="S103" s="190"/>
      <c r="T103" s="190"/>
      <c r="U103" s="190"/>
      <c r="V103" s="190"/>
      <c r="W103" s="190"/>
      <c r="X103" s="190"/>
      <c r="Y103" s="190"/>
      <c r="Z103" s="190"/>
      <c r="AA103" s="190"/>
      <c r="AB103" s="190"/>
      <c r="AC103" s="190"/>
      <c r="AD103" s="190"/>
      <c r="AE103" s="190"/>
      <c r="AF103" s="190"/>
      <c r="AG103" s="190"/>
      <c r="AH103" s="190"/>
      <c r="AI103" s="190"/>
      <c r="AJ103" s="190"/>
      <c r="AK103" s="190"/>
      <c r="AL103" s="190"/>
      <c r="AM103" s="190"/>
      <c r="AN103" s="190"/>
      <c r="AO103" s="190"/>
      <c r="AP103" s="190"/>
      <c r="AQ103" s="190"/>
      <c r="AR103" s="190"/>
      <c r="AS103" s="190"/>
      <c r="AT103" s="190"/>
      <c r="AU103" s="190"/>
      <c r="AV103" s="190"/>
      <c r="AW103" s="190"/>
      <c r="AX103" s="190"/>
      <c r="AY103" s="190"/>
      <c r="AZ103" s="190"/>
      <c r="BA103" s="190"/>
      <c r="BB103" s="190"/>
      <c r="BC103" s="190"/>
      <c r="BD103" s="190"/>
      <c r="BE103" s="190"/>
      <c r="BF103" s="190"/>
      <c r="BG103" s="190"/>
      <c r="BH103" s="190"/>
      <c r="BI103" s="190"/>
      <c r="BJ103" s="190"/>
      <c r="BK103" s="190"/>
      <c r="BL103" s="190"/>
      <c r="BM103" s="190"/>
      <c r="BN103" s="190"/>
      <c r="BO103" s="190"/>
      <c r="BP103" s="190"/>
      <c r="BQ103" s="190"/>
      <c r="BR103" s="190"/>
      <c r="BS103" s="190"/>
      <c r="BT103" s="190"/>
      <c r="BU103" s="190"/>
      <c r="BV103" s="190"/>
      <c r="BW103" s="190"/>
      <c r="BX103" s="190"/>
      <c r="BY103" s="190"/>
      <c r="BZ103" s="190"/>
      <c r="CA103" s="190"/>
      <c r="CB103" s="190"/>
      <c r="CC103" s="190"/>
      <c r="CD103" s="190"/>
      <c r="CE103" s="190"/>
      <c r="CF103" s="190"/>
    </row>
    <row r="104" spans="1:84" ht="14.4">
      <c r="A104" s="190"/>
      <c r="B104" s="190"/>
      <c r="C104" s="190"/>
      <c r="D104" s="190"/>
      <c r="E104" s="190"/>
      <c r="F104" s="190"/>
      <c r="G104" s="190"/>
      <c r="H104" s="190"/>
      <c r="I104" s="190"/>
      <c r="J104" s="190"/>
      <c r="K104" s="190"/>
      <c r="L104" s="190"/>
      <c r="M104" s="190"/>
      <c r="N104" s="190"/>
      <c r="O104" s="190"/>
      <c r="P104" s="190"/>
      <c r="Q104" s="190"/>
      <c r="R104" s="190"/>
      <c r="S104" s="190"/>
      <c r="T104" s="190"/>
      <c r="U104" s="190"/>
      <c r="V104" s="190"/>
      <c r="W104" s="190"/>
      <c r="X104" s="190"/>
      <c r="Y104" s="190"/>
      <c r="Z104" s="190"/>
      <c r="AA104" s="190"/>
      <c r="AB104" s="190"/>
      <c r="AC104" s="190"/>
      <c r="AD104" s="190"/>
      <c r="AE104" s="190"/>
      <c r="AF104" s="190"/>
      <c r="AG104" s="190"/>
      <c r="AH104" s="190"/>
      <c r="AI104" s="190"/>
      <c r="AJ104" s="190"/>
      <c r="AK104" s="190"/>
      <c r="AL104" s="190"/>
      <c r="AM104" s="190"/>
      <c r="AN104" s="190"/>
      <c r="AO104" s="190"/>
      <c r="AP104" s="190"/>
      <c r="AQ104" s="190"/>
      <c r="AR104" s="190"/>
      <c r="AS104" s="190"/>
      <c r="AT104" s="190"/>
      <c r="AU104" s="190"/>
      <c r="AV104" s="190"/>
      <c r="AW104" s="190"/>
      <c r="AX104" s="190"/>
      <c r="AY104" s="190"/>
      <c r="AZ104" s="190"/>
      <c r="BA104" s="190"/>
      <c r="BB104" s="190"/>
      <c r="BC104" s="190"/>
      <c r="BD104" s="190"/>
      <c r="BE104" s="190"/>
      <c r="BF104" s="190"/>
      <c r="BG104" s="190"/>
      <c r="BH104" s="190"/>
      <c r="BI104" s="190"/>
      <c r="BJ104" s="190"/>
      <c r="BK104" s="190"/>
      <c r="BL104" s="190"/>
      <c r="BM104" s="190"/>
      <c r="BN104" s="190"/>
      <c r="BO104" s="190"/>
      <c r="BP104" s="190"/>
      <c r="BQ104" s="190"/>
      <c r="BR104" s="190"/>
      <c r="BS104" s="190"/>
      <c r="BT104" s="190"/>
      <c r="BU104" s="190"/>
      <c r="BV104" s="190"/>
      <c r="BW104" s="190"/>
      <c r="BX104" s="190"/>
      <c r="BY104" s="190"/>
      <c r="BZ104" s="190"/>
      <c r="CA104" s="190"/>
      <c r="CB104" s="190"/>
      <c r="CC104" s="190"/>
      <c r="CD104" s="190"/>
      <c r="CE104" s="190"/>
      <c r="CF104" s="190"/>
    </row>
    <row r="105" spans="1:84" ht="14.4">
      <c r="A105" s="190"/>
      <c r="B105" s="190"/>
      <c r="C105" s="190"/>
      <c r="D105" s="190"/>
      <c r="E105" s="190"/>
      <c r="F105" s="190"/>
      <c r="G105" s="190"/>
      <c r="H105" s="190"/>
      <c r="I105" s="190"/>
      <c r="J105" s="190"/>
      <c r="K105" s="190"/>
      <c r="L105" s="190"/>
      <c r="M105" s="190"/>
      <c r="N105" s="190"/>
      <c r="O105" s="190"/>
      <c r="P105" s="190"/>
      <c r="Q105" s="190"/>
      <c r="R105" s="190"/>
      <c r="S105" s="190"/>
      <c r="T105" s="190"/>
      <c r="U105" s="190"/>
      <c r="V105" s="190"/>
      <c r="W105" s="190"/>
      <c r="X105" s="190"/>
      <c r="Y105" s="190"/>
      <c r="Z105" s="190"/>
      <c r="AA105" s="190"/>
      <c r="AB105" s="190"/>
      <c r="AC105" s="190"/>
      <c r="AD105" s="190"/>
      <c r="AE105" s="190"/>
      <c r="AF105" s="190"/>
      <c r="AG105" s="190"/>
      <c r="AH105" s="190"/>
      <c r="AI105" s="190"/>
      <c r="AJ105" s="190"/>
      <c r="AK105" s="190"/>
      <c r="AL105" s="190"/>
      <c r="AM105" s="190"/>
      <c r="AN105" s="190"/>
      <c r="AO105" s="190"/>
      <c r="AP105" s="190"/>
      <c r="AQ105" s="190"/>
      <c r="AR105" s="190"/>
      <c r="AS105" s="190"/>
      <c r="AT105" s="190"/>
      <c r="AU105" s="190"/>
      <c r="AV105" s="190"/>
      <c r="AW105" s="190"/>
      <c r="AX105" s="190"/>
      <c r="AY105" s="190"/>
      <c r="AZ105" s="190"/>
      <c r="BA105" s="190"/>
      <c r="BB105" s="190"/>
      <c r="BC105" s="190"/>
      <c r="BD105" s="190"/>
      <c r="BE105" s="190"/>
      <c r="BF105" s="190"/>
      <c r="BG105" s="190"/>
      <c r="BH105" s="190"/>
      <c r="BI105" s="190"/>
      <c r="BJ105" s="190"/>
      <c r="BK105" s="190"/>
      <c r="BL105" s="190"/>
      <c r="BM105" s="190"/>
      <c r="BN105" s="190"/>
      <c r="BO105" s="190"/>
      <c r="BP105" s="190"/>
      <c r="BQ105" s="190"/>
      <c r="BR105" s="190"/>
      <c r="BS105" s="190"/>
      <c r="BT105" s="190"/>
      <c r="BU105" s="190"/>
      <c r="BV105" s="190"/>
      <c r="BW105" s="190"/>
      <c r="BX105" s="190"/>
      <c r="BY105" s="190"/>
      <c r="BZ105" s="190"/>
      <c r="CA105" s="190"/>
      <c r="CB105" s="190"/>
      <c r="CC105" s="190"/>
      <c r="CD105" s="190"/>
      <c r="CE105" s="190"/>
      <c r="CF105" s="190"/>
    </row>
    <row r="106" spans="1:84" ht="14.4">
      <c r="A106" s="190"/>
      <c r="B106" s="190"/>
      <c r="C106" s="190"/>
      <c r="D106" s="190"/>
      <c r="E106" s="190"/>
      <c r="F106" s="190"/>
      <c r="G106" s="190"/>
      <c r="H106" s="190"/>
      <c r="I106" s="190"/>
      <c r="J106" s="190"/>
      <c r="K106" s="190"/>
      <c r="L106" s="190"/>
      <c r="M106" s="190"/>
      <c r="N106" s="190"/>
      <c r="O106" s="190"/>
      <c r="P106" s="190"/>
      <c r="Q106" s="190"/>
      <c r="R106" s="190"/>
      <c r="S106" s="190"/>
      <c r="T106" s="190"/>
      <c r="U106" s="190"/>
      <c r="V106" s="190"/>
      <c r="W106" s="190"/>
      <c r="X106" s="190"/>
      <c r="Y106" s="190"/>
      <c r="Z106" s="190"/>
      <c r="AA106" s="190"/>
      <c r="AB106" s="190"/>
      <c r="AC106" s="190"/>
      <c r="AD106" s="190"/>
      <c r="AE106" s="190"/>
      <c r="AF106" s="190"/>
      <c r="AG106" s="190"/>
      <c r="AH106" s="190"/>
      <c r="AI106" s="190"/>
      <c r="AJ106" s="190"/>
      <c r="AK106" s="190"/>
      <c r="AL106" s="190"/>
      <c r="AM106" s="190"/>
      <c r="AN106" s="190"/>
      <c r="AO106" s="190"/>
      <c r="AP106" s="190"/>
      <c r="AQ106" s="190"/>
      <c r="AR106" s="190"/>
      <c r="AS106" s="190"/>
      <c r="AT106" s="190"/>
      <c r="AU106" s="190"/>
      <c r="AV106" s="190"/>
      <c r="AW106" s="190"/>
      <c r="AX106" s="190"/>
      <c r="AY106" s="190"/>
      <c r="AZ106" s="190"/>
      <c r="BA106" s="190"/>
      <c r="BB106" s="190"/>
      <c r="BC106" s="190"/>
      <c r="BD106" s="190"/>
      <c r="BE106" s="190"/>
      <c r="BF106" s="190"/>
      <c r="BG106" s="190"/>
      <c r="BH106" s="190"/>
      <c r="BI106" s="190"/>
      <c r="BJ106" s="190"/>
      <c r="BK106" s="190"/>
      <c r="BL106" s="190"/>
      <c r="BM106" s="190"/>
      <c r="BN106" s="190"/>
      <c r="BO106" s="190"/>
      <c r="BP106" s="190"/>
      <c r="BQ106" s="190"/>
      <c r="BR106" s="190"/>
      <c r="BS106" s="190"/>
      <c r="BT106" s="190"/>
      <c r="BU106" s="190"/>
      <c r="BV106" s="190"/>
      <c r="BW106" s="190"/>
      <c r="BX106" s="190"/>
      <c r="BY106" s="190"/>
      <c r="BZ106" s="190"/>
      <c r="CA106" s="190"/>
      <c r="CB106" s="190"/>
      <c r="CC106" s="190"/>
      <c r="CD106" s="190"/>
      <c r="CE106" s="190"/>
      <c r="CF106" s="190"/>
    </row>
    <row r="107" spans="1:84" ht="14.4">
      <c r="A107" s="190"/>
      <c r="B107" s="190"/>
      <c r="C107" s="190"/>
      <c r="D107" s="190"/>
      <c r="E107" s="190"/>
      <c r="F107" s="190"/>
      <c r="G107" s="190"/>
      <c r="H107" s="190"/>
      <c r="I107" s="190"/>
      <c r="J107" s="190"/>
      <c r="K107" s="190"/>
      <c r="L107" s="190"/>
      <c r="M107" s="190"/>
      <c r="N107" s="190"/>
      <c r="O107" s="190"/>
      <c r="P107" s="190"/>
      <c r="Q107" s="190"/>
      <c r="R107" s="190"/>
      <c r="S107" s="190"/>
      <c r="T107" s="190"/>
      <c r="U107" s="190"/>
      <c r="V107" s="190"/>
      <c r="W107" s="190"/>
      <c r="X107" s="190"/>
      <c r="Y107" s="190"/>
      <c r="Z107" s="190"/>
      <c r="AA107" s="190"/>
      <c r="AB107" s="190"/>
      <c r="AC107" s="190"/>
      <c r="AD107" s="190"/>
      <c r="AE107" s="190"/>
      <c r="AF107" s="190"/>
      <c r="AG107" s="190"/>
      <c r="AH107" s="190"/>
      <c r="AI107" s="190"/>
      <c r="AJ107" s="190"/>
      <c r="AK107" s="190"/>
      <c r="AL107" s="190"/>
      <c r="AM107" s="190"/>
      <c r="AN107" s="190"/>
      <c r="AO107" s="190"/>
      <c r="AP107" s="190"/>
      <c r="AQ107" s="190"/>
      <c r="AR107" s="190"/>
      <c r="AS107" s="190"/>
      <c r="AT107" s="190"/>
      <c r="AU107" s="190"/>
      <c r="AV107" s="190"/>
      <c r="AW107" s="190"/>
      <c r="AX107" s="190"/>
      <c r="AY107" s="190"/>
      <c r="AZ107" s="190"/>
      <c r="BA107" s="190"/>
      <c r="BB107" s="190"/>
      <c r="BC107" s="190"/>
      <c r="BD107" s="190"/>
      <c r="BE107" s="190"/>
      <c r="BF107" s="190"/>
      <c r="BG107" s="190"/>
      <c r="BH107" s="190"/>
      <c r="BI107" s="190"/>
      <c r="BJ107" s="190"/>
      <c r="BK107" s="190"/>
      <c r="BL107" s="190"/>
      <c r="BM107" s="190"/>
      <c r="BN107" s="190"/>
      <c r="BO107" s="190"/>
      <c r="BP107" s="190"/>
      <c r="BQ107" s="190"/>
      <c r="BR107" s="190"/>
      <c r="BS107" s="190"/>
      <c r="BT107" s="190"/>
      <c r="BU107" s="190"/>
      <c r="BV107" s="190"/>
      <c r="BW107" s="190"/>
      <c r="BX107" s="190"/>
      <c r="BY107" s="190"/>
      <c r="BZ107" s="190"/>
      <c r="CA107" s="190"/>
      <c r="CB107" s="190"/>
      <c r="CC107" s="190"/>
      <c r="CD107" s="190"/>
      <c r="CE107" s="190"/>
      <c r="CF107" s="190"/>
    </row>
    <row r="108" spans="1:84" ht="14.4">
      <c r="A108" s="190"/>
      <c r="B108" s="190"/>
      <c r="C108" s="190"/>
      <c r="D108" s="190"/>
      <c r="E108" s="190"/>
      <c r="F108" s="190"/>
      <c r="G108" s="190"/>
      <c r="H108" s="190"/>
      <c r="I108" s="190"/>
      <c r="J108" s="190"/>
      <c r="K108" s="190"/>
      <c r="L108" s="190"/>
      <c r="M108" s="190"/>
      <c r="N108" s="190"/>
      <c r="O108" s="190"/>
      <c r="P108" s="190"/>
      <c r="Q108" s="190"/>
      <c r="R108" s="190"/>
      <c r="S108" s="190"/>
      <c r="T108" s="190"/>
      <c r="U108" s="190"/>
      <c r="V108" s="190"/>
      <c r="W108" s="190"/>
      <c r="X108" s="190"/>
      <c r="Y108" s="190"/>
      <c r="Z108" s="190"/>
      <c r="AA108" s="190"/>
      <c r="AB108" s="190"/>
      <c r="AC108" s="190"/>
      <c r="AD108" s="190"/>
      <c r="AE108" s="190"/>
      <c r="AF108" s="190"/>
      <c r="AG108" s="190"/>
      <c r="AH108" s="190"/>
      <c r="AI108" s="190"/>
      <c r="AJ108" s="190"/>
      <c r="AK108" s="190"/>
      <c r="AL108" s="190"/>
      <c r="AM108" s="190"/>
      <c r="AN108" s="190"/>
      <c r="AO108" s="190"/>
      <c r="AP108" s="190"/>
      <c r="AQ108" s="190"/>
      <c r="AR108" s="190"/>
      <c r="AS108" s="190"/>
      <c r="AT108" s="190"/>
      <c r="AU108" s="190"/>
      <c r="AV108" s="190"/>
      <c r="AW108" s="190"/>
      <c r="AX108" s="190"/>
      <c r="AY108" s="190"/>
      <c r="AZ108" s="190"/>
      <c r="BA108" s="190"/>
      <c r="BB108" s="190"/>
      <c r="BC108" s="190"/>
      <c r="BD108" s="190"/>
      <c r="BE108" s="190"/>
      <c r="BF108" s="190"/>
      <c r="BG108" s="190"/>
      <c r="BH108" s="190"/>
      <c r="BI108" s="190"/>
      <c r="BJ108" s="190"/>
      <c r="BK108" s="190"/>
      <c r="BL108" s="190"/>
      <c r="BM108" s="190"/>
      <c r="BN108" s="190"/>
      <c r="BO108" s="190"/>
      <c r="BP108" s="190"/>
      <c r="BQ108" s="190"/>
      <c r="BR108" s="190"/>
      <c r="BS108" s="190"/>
      <c r="BT108" s="190"/>
      <c r="BU108" s="190"/>
      <c r="BV108" s="190"/>
      <c r="BW108" s="190"/>
      <c r="BX108" s="190"/>
      <c r="BY108" s="190"/>
      <c r="BZ108" s="190"/>
      <c r="CA108" s="190"/>
      <c r="CB108" s="190"/>
      <c r="CC108" s="190"/>
      <c r="CD108" s="190"/>
      <c r="CE108" s="190"/>
      <c r="CF108" s="190"/>
    </row>
    <row r="109" spans="1:84" ht="14.4">
      <c r="A109" s="190"/>
      <c r="B109" s="190"/>
      <c r="C109" s="190"/>
      <c r="D109" s="190"/>
      <c r="E109" s="190"/>
      <c r="F109" s="190"/>
      <c r="G109" s="190"/>
      <c r="H109" s="190"/>
      <c r="I109" s="190"/>
      <c r="J109" s="190"/>
      <c r="K109" s="190"/>
      <c r="L109" s="190"/>
      <c r="M109" s="190"/>
      <c r="N109" s="190"/>
      <c r="O109" s="190"/>
      <c r="P109" s="190"/>
      <c r="Q109" s="190"/>
      <c r="R109" s="190"/>
      <c r="S109" s="190"/>
      <c r="T109" s="190"/>
      <c r="U109" s="190"/>
      <c r="V109" s="190"/>
      <c r="W109" s="190"/>
      <c r="X109" s="190"/>
      <c r="Y109" s="190"/>
      <c r="Z109" s="190"/>
      <c r="AA109" s="190"/>
      <c r="AB109" s="190"/>
      <c r="AC109" s="190"/>
      <c r="AD109" s="190"/>
      <c r="AE109" s="190"/>
      <c r="AF109" s="190"/>
      <c r="AG109" s="190"/>
      <c r="AH109" s="190"/>
      <c r="AI109" s="190"/>
      <c r="AJ109" s="190"/>
      <c r="AK109" s="190"/>
      <c r="AL109" s="190"/>
      <c r="AM109" s="190"/>
      <c r="AN109" s="190"/>
      <c r="AO109" s="190"/>
      <c r="AP109" s="190"/>
      <c r="AQ109" s="190"/>
      <c r="AR109" s="190"/>
      <c r="AS109" s="190"/>
      <c r="AT109" s="190"/>
      <c r="AU109" s="190"/>
      <c r="AV109" s="190"/>
      <c r="AW109" s="190"/>
      <c r="AX109" s="190"/>
      <c r="AY109" s="190"/>
      <c r="AZ109" s="190"/>
      <c r="BA109" s="190"/>
      <c r="BB109" s="190"/>
      <c r="BC109" s="190"/>
      <c r="BD109" s="190"/>
      <c r="BE109" s="190"/>
      <c r="BF109" s="190"/>
      <c r="BG109" s="190"/>
      <c r="BH109" s="190"/>
      <c r="BI109" s="190"/>
      <c r="BJ109" s="190"/>
      <c r="BK109" s="190"/>
      <c r="BL109" s="190"/>
      <c r="BM109" s="190"/>
      <c r="BN109" s="190"/>
      <c r="BO109" s="190"/>
      <c r="BP109" s="190"/>
      <c r="BQ109" s="190"/>
      <c r="BR109" s="190"/>
      <c r="BS109" s="190"/>
      <c r="BT109" s="190"/>
      <c r="BU109" s="190"/>
      <c r="BV109" s="190"/>
      <c r="BW109" s="190"/>
      <c r="BX109" s="190"/>
      <c r="BY109" s="190"/>
      <c r="BZ109" s="190"/>
      <c r="CA109" s="190"/>
      <c r="CB109" s="190"/>
      <c r="CC109" s="190"/>
      <c r="CD109" s="190"/>
      <c r="CE109" s="190"/>
      <c r="CF109" s="190"/>
    </row>
    <row r="110" spans="1:84" ht="14.4">
      <c r="A110" s="190"/>
      <c r="B110" s="190"/>
      <c r="C110" s="190"/>
      <c r="D110" s="190"/>
      <c r="E110" s="190"/>
      <c r="F110" s="190"/>
      <c r="G110" s="190"/>
      <c r="H110" s="190"/>
      <c r="I110" s="190"/>
      <c r="J110" s="190"/>
      <c r="K110" s="190"/>
      <c r="L110" s="190"/>
      <c r="M110" s="190"/>
      <c r="N110" s="190"/>
      <c r="O110" s="190"/>
      <c r="P110" s="190"/>
      <c r="Q110" s="190"/>
      <c r="R110" s="190"/>
      <c r="S110" s="190"/>
      <c r="T110" s="190"/>
      <c r="U110" s="190"/>
      <c r="V110" s="190"/>
      <c r="W110" s="190"/>
      <c r="X110" s="190"/>
      <c r="Y110" s="190"/>
      <c r="Z110" s="190"/>
      <c r="AA110" s="190"/>
      <c r="AB110" s="190"/>
      <c r="AC110" s="190"/>
      <c r="AD110" s="190"/>
      <c r="AE110" s="190"/>
      <c r="AF110" s="190"/>
      <c r="AG110" s="190"/>
      <c r="AH110" s="190"/>
      <c r="AI110" s="190"/>
      <c r="AJ110" s="190"/>
      <c r="AK110" s="190"/>
      <c r="AL110" s="190"/>
      <c r="AM110" s="190"/>
      <c r="AN110" s="190"/>
      <c r="AO110" s="190"/>
      <c r="AP110" s="190"/>
      <c r="AQ110" s="190"/>
      <c r="AR110" s="190"/>
      <c r="AS110" s="190"/>
      <c r="AT110" s="190"/>
      <c r="AU110" s="190"/>
      <c r="AV110" s="190"/>
      <c r="AW110" s="190"/>
      <c r="AX110" s="190"/>
      <c r="AY110" s="190"/>
      <c r="AZ110" s="190"/>
      <c r="BA110" s="190"/>
      <c r="BB110" s="190"/>
      <c r="BC110" s="190"/>
      <c r="BD110" s="190"/>
      <c r="BE110" s="190"/>
      <c r="BF110" s="190"/>
      <c r="BG110" s="190"/>
      <c r="BH110" s="190"/>
      <c r="BI110" s="190"/>
      <c r="BJ110" s="190"/>
      <c r="BK110" s="190"/>
      <c r="BL110" s="190"/>
      <c r="BM110" s="190"/>
      <c r="BN110" s="190"/>
      <c r="BO110" s="190"/>
      <c r="BP110" s="190"/>
      <c r="BQ110" s="190"/>
      <c r="BR110" s="190"/>
      <c r="BS110" s="190"/>
      <c r="BT110" s="190"/>
      <c r="BU110" s="190"/>
      <c r="BV110" s="190"/>
      <c r="BW110" s="190"/>
      <c r="BX110" s="190"/>
      <c r="BY110" s="190"/>
      <c r="BZ110" s="190"/>
      <c r="CA110" s="190"/>
      <c r="CB110" s="190"/>
      <c r="CC110" s="190"/>
      <c r="CD110" s="190"/>
      <c r="CE110" s="190"/>
      <c r="CF110" s="190"/>
    </row>
    <row r="111" spans="1:84" ht="14.4">
      <c r="A111" s="190"/>
      <c r="B111" s="190"/>
      <c r="C111" s="190"/>
      <c r="D111" s="190"/>
      <c r="E111" s="190"/>
      <c r="F111" s="190"/>
      <c r="G111" s="190"/>
      <c r="H111" s="190"/>
      <c r="I111" s="190"/>
      <c r="J111" s="190"/>
      <c r="K111" s="190"/>
      <c r="L111" s="190"/>
      <c r="M111" s="190"/>
      <c r="N111" s="190"/>
      <c r="O111" s="190"/>
      <c r="P111" s="190"/>
      <c r="Q111" s="190"/>
      <c r="R111" s="190"/>
      <c r="S111" s="190"/>
      <c r="T111" s="190"/>
      <c r="U111" s="190"/>
      <c r="V111" s="190"/>
      <c r="W111" s="190"/>
      <c r="X111" s="190"/>
      <c r="Y111" s="190"/>
      <c r="Z111" s="190"/>
      <c r="AA111" s="190"/>
      <c r="AB111" s="190"/>
      <c r="AC111" s="190"/>
      <c r="AD111" s="190"/>
      <c r="AE111" s="190"/>
      <c r="AF111" s="190"/>
      <c r="AG111" s="190"/>
      <c r="AH111" s="190"/>
      <c r="AI111" s="190"/>
      <c r="AJ111" s="190"/>
      <c r="AK111" s="190"/>
      <c r="AL111" s="190"/>
      <c r="AM111" s="190"/>
      <c r="AN111" s="190"/>
      <c r="AO111" s="190"/>
      <c r="AP111" s="190"/>
      <c r="AQ111" s="190"/>
      <c r="AR111" s="190"/>
      <c r="AS111" s="190"/>
      <c r="AT111" s="190"/>
      <c r="AU111" s="190"/>
      <c r="AV111" s="190"/>
      <c r="AW111" s="190"/>
      <c r="AX111" s="190"/>
      <c r="AY111" s="190"/>
      <c r="AZ111" s="190"/>
      <c r="BA111" s="190"/>
      <c r="BB111" s="190"/>
      <c r="BC111" s="190"/>
      <c r="BD111" s="190"/>
      <c r="BE111" s="190"/>
      <c r="BF111" s="190"/>
      <c r="BG111" s="190"/>
      <c r="BH111" s="190"/>
      <c r="BI111" s="190"/>
      <c r="BJ111" s="190"/>
      <c r="BK111" s="190"/>
      <c r="BL111" s="190"/>
      <c r="BM111" s="190"/>
      <c r="BN111" s="190"/>
      <c r="BO111" s="190"/>
      <c r="BP111" s="190"/>
      <c r="BQ111" s="190"/>
      <c r="BR111" s="190"/>
      <c r="BS111" s="190"/>
      <c r="BT111" s="190"/>
      <c r="BU111" s="190"/>
      <c r="BV111" s="190"/>
      <c r="BW111" s="190"/>
      <c r="BX111" s="190"/>
      <c r="BY111" s="190"/>
      <c r="BZ111" s="190"/>
      <c r="CA111" s="190"/>
      <c r="CB111" s="190"/>
      <c r="CC111" s="190"/>
      <c r="CD111" s="190"/>
      <c r="CE111" s="190"/>
      <c r="CF111" s="190"/>
    </row>
    <row r="112" spans="1:84" ht="14.4">
      <c r="A112" s="190"/>
      <c r="B112" s="190"/>
      <c r="C112" s="190"/>
      <c r="D112" s="190"/>
      <c r="E112" s="190"/>
      <c r="F112" s="190"/>
      <c r="G112" s="190"/>
      <c r="H112" s="190"/>
      <c r="I112" s="190"/>
      <c r="J112" s="190"/>
      <c r="K112" s="190"/>
      <c r="L112" s="190"/>
      <c r="M112" s="190"/>
      <c r="N112" s="190"/>
      <c r="O112" s="190"/>
      <c r="P112" s="190"/>
      <c r="Q112" s="190"/>
      <c r="R112" s="190"/>
      <c r="S112" s="190"/>
      <c r="T112" s="190"/>
      <c r="U112" s="190"/>
      <c r="V112" s="190"/>
      <c r="W112" s="190"/>
      <c r="X112" s="190"/>
      <c r="Y112" s="190"/>
      <c r="Z112" s="190"/>
      <c r="AA112" s="190"/>
      <c r="AB112" s="190"/>
      <c r="AC112" s="190"/>
      <c r="AD112" s="190"/>
      <c r="AE112" s="190"/>
      <c r="AF112" s="190"/>
      <c r="AG112" s="190"/>
      <c r="AH112" s="190"/>
      <c r="AI112" s="190"/>
      <c r="AJ112" s="190"/>
      <c r="AK112" s="190"/>
      <c r="AL112" s="190"/>
      <c r="AM112" s="190"/>
      <c r="AN112" s="190"/>
      <c r="AO112" s="190"/>
      <c r="AP112" s="190"/>
      <c r="AQ112" s="190"/>
      <c r="AR112" s="190"/>
      <c r="AS112" s="190"/>
      <c r="AT112" s="190"/>
      <c r="AU112" s="190"/>
      <c r="AV112" s="190"/>
      <c r="AW112" s="190"/>
      <c r="AX112" s="190"/>
      <c r="AY112" s="190"/>
      <c r="AZ112" s="190"/>
      <c r="BA112" s="190"/>
      <c r="BB112" s="190"/>
      <c r="BC112" s="190"/>
      <c r="BD112" s="190"/>
      <c r="BE112" s="190"/>
      <c r="BF112" s="190"/>
      <c r="BG112" s="190"/>
      <c r="BH112" s="190"/>
      <c r="BI112" s="190"/>
      <c r="BJ112" s="190"/>
      <c r="BK112" s="190"/>
      <c r="BL112" s="190"/>
      <c r="BM112" s="190"/>
      <c r="BN112" s="190"/>
      <c r="BO112" s="190"/>
      <c r="BP112" s="190"/>
      <c r="BQ112" s="190"/>
      <c r="BR112" s="190"/>
      <c r="BS112" s="190"/>
      <c r="BT112" s="190"/>
      <c r="BU112" s="190"/>
      <c r="BV112" s="190"/>
      <c r="BW112" s="190"/>
      <c r="BX112" s="190"/>
      <c r="BY112" s="190"/>
      <c r="BZ112" s="190"/>
      <c r="CA112" s="190"/>
      <c r="CB112" s="190"/>
      <c r="CC112" s="190"/>
      <c r="CD112" s="190"/>
      <c r="CE112" s="190"/>
      <c r="CF112" s="190"/>
    </row>
    <row r="113" spans="1:84" ht="14.4">
      <c r="A113" s="190"/>
      <c r="B113" s="190"/>
      <c r="C113" s="190"/>
      <c r="D113" s="190"/>
      <c r="E113" s="190"/>
      <c r="F113" s="190"/>
      <c r="G113" s="190"/>
      <c r="H113" s="190"/>
      <c r="I113" s="190"/>
      <c r="J113" s="190"/>
      <c r="K113" s="190"/>
      <c r="L113" s="190"/>
      <c r="M113" s="190"/>
      <c r="N113" s="190"/>
      <c r="O113" s="190"/>
      <c r="P113" s="190"/>
      <c r="Q113" s="190"/>
      <c r="R113" s="190"/>
      <c r="S113" s="190"/>
      <c r="T113" s="190"/>
      <c r="U113" s="190"/>
      <c r="V113" s="190"/>
      <c r="W113" s="190"/>
      <c r="X113" s="190"/>
      <c r="Y113" s="190"/>
      <c r="Z113" s="190"/>
      <c r="AA113" s="190"/>
      <c r="AB113" s="190"/>
      <c r="AC113" s="190"/>
      <c r="AD113" s="190"/>
      <c r="AE113" s="190"/>
      <c r="AF113" s="190"/>
      <c r="AG113" s="190"/>
      <c r="AH113" s="190"/>
      <c r="AI113" s="190"/>
      <c r="AJ113" s="190"/>
      <c r="AK113" s="190"/>
      <c r="AL113" s="190"/>
      <c r="AM113" s="190"/>
      <c r="AN113" s="190"/>
      <c r="AO113" s="190"/>
      <c r="AP113" s="190"/>
      <c r="AQ113" s="190"/>
      <c r="AR113" s="190"/>
      <c r="AS113" s="190"/>
      <c r="AT113" s="190"/>
      <c r="AU113" s="190"/>
      <c r="AV113" s="190"/>
      <c r="AW113" s="190"/>
      <c r="AX113" s="190"/>
      <c r="AY113" s="190"/>
      <c r="AZ113" s="190"/>
      <c r="BA113" s="190"/>
      <c r="BB113" s="190"/>
      <c r="BC113" s="190"/>
      <c r="BD113" s="190"/>
      <c r="BE113" s="190"/>
      <c r="BF113" s="190"/>
      <c r="BG113" s="190"/>
      <c r="BH113" s="190"/>
      <c r="BI113" s="190"/>
      <c r="BJ113" s="190"/>
      <c r="BK113" s="190"/>
      <c r="BL113" s="190"/>
      <c r="BM113" s="190"/>
      <c r="BN113" s="190"/>
      <c r="BO113" s="190"/>
      <c r="BP113" s="190"/>
      <c r="BQ113" s="190"/>
      <c r="BR113" s="190"/>
      <c r="BS113" s="190"/>
      <c r="BT113" s="190"/>
      <c r="BU113" s="190"/>
      <c r="BV113" s="190"/>
      <c r="BW113" s="190"/>
      <c r="BX113" s="190"/>
      <c r="BY113" s="190"/>
      <c r="BZ113" s="190"/>
      <c r="CA113" s="190"/>
      <c r="CB113" s="190"/>
      <c r="CC113" s="190"/>
      <c r="CD113" s="190"/>
      <c r="CE113" s="190"/>
      <c r="CF113" s="190"/>
    </row>
    <row r="114" spans="1:84" ht="14.4">
      <c r="A114" s="190"/>
      <c r="B114" s="190"/>
      <c r="C114" s="190"/>
      <c r="D114" s="190"/>
      <c r="E114" s="190"/>
      <c r="F114" s="190"/>
      <c r="G114" s="190"/>
      <c r="H114" s="190"/>
      <c r="I114" s="190"/>
      <c r="J114" s="190"/>
      <c r="K114" s="190"/>
      <c r="L114" s="190"/>
      <c r="M114" s="190"/>
      <c r="N114" s="190"/>
      <c r="O114" s="190"/>
      <c r="P114" s="190"/>
      <c r="Q114" s="190"/>
      <c r="R114" s="190"/>
      <c r="S114" s="190"/>
      <c r="T114" s="190"/>
      <c r="U114" s="190"/>
      <c r="V114" s="190"/>
      <c r="W114" s="190"/>
      <c r="X114" s="190"/>
      <c r="Y114" s="190"/>
      <c r="Z114" s="190"/>
      <c r="AA114" s="190"/>
      <c r="AB114" s="190"/>
      <c r="AC114" s="190"/>
      <c r="AD114" s="190"/>
      <c r="AE114" s="190"/>
      <c r="AF114" s="190"/>
      <c r="AG114" s="190"/>
      <c r="AH114" s="190"/>
      <c r="AI114" s="190"/>
      <c r="AJ114" s="190"/>
      <c r="AK114" s="190"/>
      <c r="AL114" s="190"/>
      <c r="AM114" s="190"/>
      <c r="AN114" s="190"/>
      <c r="AO114" s="190"/>
      <c r="AP114" s="190"/>
      <c r="AQ114" s="190"/>
      <c r="AR114" s="190"/>
      <c r="AS114" s="190"/>
      <c r="AT114" s="190"/>
      <c r="AU114" s="190"/>
      <c r="AV114" s="190"/>
      <c r="AW114" s="190"/>
      <c r="AX114" s="190"/>
      <c r="AY114" s="190"/>
      <c r="AZ114" s="190"/>
      <c r="BA114" s="190"/>
      <c r="BB114" s="190"/>
      <c r="BC114" s="190"/>
      <c r="BD114" s="190"/>
      <c r="BE114" s="190"/>
      <c r="BF114" s="190"/>
      <c r="BG114" s="190"/>
      <c r="BH114" s="190"/>
      <c r="BI114" s="190"/>
      <c r="BJ114" s="190"/>
      <c r="BK114" s="190"/>
      <c r="BL114" s="190"/>
      <c r="BM114" s="190"/>
      <c r="BN114" s="190"/>
      <c r="BO114" s="190"/>
      <c r="BP114" s="190"/>
      <c r="BQ114" s="190"/>
      <c r="BR114" s="190"/>
      <c r="BS114" s="190"/>
      <c r="BT114" s="190"/>
      <c r="BU114" s="190"/>
      <c r="BV114" s="190"/>
      <c r="BW114" s="190"/>
      <c r="BX114" s="190"/>
      <c r="BY114" s="190"/>
      <c r="BZ114" s="190"/>
      <c r="CA114" s="190"/>
      <c r="CB114" s="190"/>
      <c r="CC114" s="190"/>
      <c r="CD114" s="190"/>
      <c r="CE114" s="190"/>
      <c r="CF114" s="190"/>
    </row>
    <row r="115" spans="1:84" ht="14.4">
      <c r="A115" s="190"/>
      <c r="B115" s="190"/>
      <c r="C115" s="190"/>
      <c r="D115" s="190"/>
      <c r="E115" s="190"/>
      <c r="F115" s="190"/>
      <c r="G115" s="190"/>
      <c r="H115" s="190"/>
      <c r="I115" s="190"/>
      <c r="J115" s="190"/>
      <c r="K115" s="190"/>
      <c r="L115" s="190"/>
      <c r="M115" s="190"/>
      <c r="N115" s="190"/>
      <c r="O115" s="190"/>
      <c r="P115" s="190"/>
      <c r="Q115" s="190"/>
      <c r="R115" s="190"/>
      <c r="S115" s="190"/>
      <c r="T115" s="190"/>
      <c r="U115" s="190"/>
      <c r="V115" s="190"/>
      <c r="W115" s="190"/>
      <c r="X115" s="190"/>
      <c r="Y115" s="190"/>
      <c r="Z115" s="190"/>
      <c r="AA115" s="190"/>
      <c r="AB115" s="190"/>
      <c r="AC115" s="190"/>
      <c r="AD115" s="190"/>
      <c r="AE115" s="190"/>
      <c r="AF115" s="190"/>
      <c r="AG115" s="190"/>
      <c r="AH115" s="190"/>
      <c r="AI115" s="190"/>
      <c r="AJ115" s="190"/>
      <c r="AK115" s="190"/>
      <c r="AL115" s="190"/>
      <c r="AM115" s="190"/>
      <c r="AN115" s="190"/>
      <c r="AO115" s="190"/>
      <c r="AP115" s="190"/>
      <c r="AQ115" s="190"/>
      <c r="AR115" s="190"/>
      <c r="AS115" s="190"/>
      <c r="AT115" s="190"/>
      <c r="AU115" s="190"/>
      <c r="AV115" s="190"/>
      <c r="AW115" s="190"/>
      <c r="AX115" s="190"/>
      <c r="AY115" s="190"/>
      <c r="AZ115" s="190"/>
      <c r="BA115" s="190"/>
      <c r="BB115" s="190"/>
      <c r="BC115" s="190"/>
      <c r="BD115" s="190"/>
      <c r="BE115" s="190"/>
      <c r="BF115" s="190"/>
      <c r="BG115" s="190"/>
      <c r="BH115" s="190"/>
      <c r="BI115" s="190"/>
      <c r="BJ115" s="190"/>
      <c r="BK115" s="190"/>
      <c r="BL115" s="190"/>
      <c r="BM115" s="190"/>
      <c r="BN115" s="190"/>
      <c r="BO115" s="190"/>
      <c r="BP115" s="190"/>
      <c r="BQ115" s="190"/>
      <c r="BR115" s="190"/>
      <c r="BS115" s="190"/>
      <c r="BT115" s="190"/>
      <c r="BU115" s="190"/>
      <c r="BV115" s="190"/>
      <c r="BW115" s="190"/>
      <c r="BX115" s="190"/>
      <c r="BY115" s="190"/>
      <c r="BZ115" s="190"/>
      <c r="CA115" s="190"/>
      <c r="CB115" s="190"/>
      <c r="CC115" s="190"/>
      <c r="CD115" s="190"/>
      <c r="CE115" s="190"/>
      <c r="CF115" s="190"/>
    </row>
    <row r="116" spans="1:84" ht="14.4">
      <c r="A116" s="190"/>
      <c r="B116" s="190"/>
      <c r="C116" s="190"/>
      <c r="D116" s="190"/>
      <c r="E116" s="190"/>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190"/>
      <c r="AD116" s="190"/>
      <c r="AE116" s="190"/>
      <c r="AF116" s="190"/>
      <c r="AG116" s="190"/>
      <c r="AH116" s="190"/>
      <c r="AI116" s="190"/>
      <c r="AJ116" s="190"/>
      <c r="AK116" s="190"/>
      <c r="AL116" s="190"/>
      <c r="AM116" s="190"/>
      <c r="AN116" s="190"/>
      <c r="AO116" s="190"/>
      <c r="AP116" s="190"/>
      <c r="AQ116" s="190"/>
      <c r="AR116" s="190"/>
      <c r="AS116" s="190"/>
      <c r="AT116" s="190"/>
      <c r="AU116" s="190"/>
      <c r="AV116" s="190"/>
      <c r="AW116" s="190"/>
      <c r="AX116" s="190"/>
      <c r="AY116" s="190"/>
      <c r="AZ116" s="190"/>
      <c r="BA116" s="190"/>
      <c r="BB116" s="190"/>
      <c r="BC116" s="190"/>
      <c r="BD116" s="190"/>
      <c r="BE116" s="190"/>
      <c r="BF116" s="190"/>
      <c r="BG116" s="190"/>
      <c r="BH116" s="190"/>
      <c r="BI116" s="190"/>
      <c r="BJ116" s="190"/>
      <c r="BK116" s="190"/>
      <c r="BL116" s="190"/>
      <c r="BM116" s="190"/>
      <c r="BN116" s="190"/>
      <c r="BO116" s="190"/>
      <c r="BP116" s="190"/>
      <c r="BQ116" s="190"/>
      <c r="BR116" s="190"/>
      <c r="BS116" s="190"/>
      <c r="BT116" s="190"/>
      <c r="BU116" s="190"/>
      <c r="BV116" s="190"/>
      <c r="BW116" s="190"/>
      <c r="BX116" s="190"/>
      <c r="BY116" s="190"/>
      <c r="BZ116" s="190"/>
      <c r="CA116" s="190"/>
      <c r="CB116" s="190"/>
      <c r="CC116" s="190"/>
      <c r="CD116" s="190"/>
      <c r="CE116" s="190"/>
      <c r="CF116" s="190"/>
    </row>
    <row r="117" spans="1:84" ht="14.4">
      <c r="A117" s="190"/>
      <c r="B117" s="190"/>
      <c r="C117" s="190"/>
      <c r="D117" s="190"/>
      <c r="E117" s="190"/>
      <c r="F117" s="190"/>
      <c r="G117" s="190"/>
      <c r="H117" s="190"/>
      <c r="I117" s="190"/>
      <c r="J117" s="190"/>
      <c r="K117" s="190"/>
      <c r="L117" s="190"/>
      <c r="M117" s="190"/>
      <c r="N117" s="190"/>
      <c r="O117" s="190"/>
      <c r="P117" s="190"/>
      <c r="Q117" s="190"/>
      <c r="R117" s="190"/>
      <c r="S117" s="190"/>
      <c r="T117" s="190"/>
      <c r="U117" s="190"/>
      <c r="V117" s="190"/>
      <c r="W117" s="190"/>
      <c r="X117" s="190"/>
      <c r="Y117" s="190"/>
      <c r="Z117" s="190"/>
      <c r="AA117" s="190"/>
      <c r="AB117" s="190"/>
      <c r="AC117" s="190"/>
      <c r="AD117" s="190"/>
      <c r="AE117" s="190"/>
      <c r="AF117" s="190"/>
      <c r="AG117" s="190"/>
      <c r="AH117" s="190"/>
      <c r="AI117" s="190"/>
      <c r="AJ117" s="190"/>
      <c r="AK117" s="190"/>
      <c r="AL117" s="190"/>
      <c r="AM117" s="190"/>
      <c r="AN117" s="190"/>
      <c r="AO117" s="190"/>
      <c r="AP117" s="190"/>
      <c r="AQ117" s="190"/>
      <c r="AR117" s="190"/>
      <c r="AS117" s="190"/>
      <c r="AT117" s="190"/>
      <c r="AU117" s="190"/>
      <c r="AV117" s="190"/>
      <c r="AW117" s="190"/>
      <c r="AX117" s="190"/>
      <c r="AY117" s="190"/>
      <c r="AZ117" s="190"/>
      <c r="BA117" s="190"/>
      <c r="BB117" s="190"/>
      <c r="BC117" s="190"/>
      <c r="BD117" s="190"/>
      <c r="BE117" s="190"/>
      <c r="BF117" s="190"/>
      <c r="BG117" s="190"/>
      <c r="BH117" s="190"/>
      <c r="BI117" s="190"/>
      <c r="BJ117" s="190"/>
      <c r="BK117" s="190"/>
      <c r="BL117" s="190"/>
      <c r="BM117" s="190"/>
      <c r="BN117" s="190"/>
      <c r="BO117" s="190"/>
      <c r="BP117" s="190"/>
      <c r="BQ117" s="190"/>
      <c r="BR117" s="190"/>
      <c r="BS117" s="190"/>
      <c r="BT117" s="190"/>
      <c r="BU117" s="190"/>
      <c r="BV117" s="190"/>
      <c r="BW117" s="190"/>
      <c r="BX117" s="190"/>
      <c r="BY117" s="190"/>
      <c r="BZ117" s="190"/>
      <c r="CA117" s="190"/>
      <c r="CB117" s="190"/>
      <c r="CC117" s="190"/>
      <c r="CD117" s="190"/>
      <c r="CE117" s="190"/>
      <c r="CF117" s="190"/>
    </row>
    <row r="118" spans="1:84" ht="14.4">
      <c r="A118" s="190"/>
      <c r="B118" s="190"/>
      <c r="C118" s="190"/>
      <c r="D118" s="190"/>
      <c r="E118" s="190"/>
      <c r="F118" s="190"/>
      <c r="G118" s="190"/>
      <c r="H118" s="190"/>
      <c r="I118" s="190"/>
      <c r="J118" s="190"/>
      <c r="K118" s="190"/>
      <c r="L118" s="190"/>
      <c r="M118" s="190"/>
      <c r="N118" s="190"/>
      <c r="O118" s="190"/>
      <c r="P118" s="190"/>
      <c r="Q118" s="190"/>
      <c r="R118" s="190"/>
      <c r="S118" s="190"/>
      <c r="T118" s="190"/>
      <c r="U118" s="190"/>
      <c r="V118" s="190"/>
      <c r="W118" s="190"/>
      <c r="X118" s="190"/>
      <c r="Y118" s="190"/>
      <c r="Z118" s="190"/>
      <c r="AA118" s="190"/>
      <c r="AB118" s="190"/>
      <c r="AC118" s="190"/>
      <c r="AD118" s="190"/>
      <c r="AE118" s="190"/>
      <c r="AF118" s="190"/>
      <c r="AG118" s="190"/>
      <c r="AH118" s="190"/>
      <c r="AI118" s="190"/>
      <c r="AJ118" s="190"/>
      <c r="AK118" s="190"/>
      <c r="AL118" s="190"/>
      <c r="AM118" s="190"/>
      <c r="AN118" s="190"/>
      <c r="AO118" s="190"/>
      <c r="AP118" s="190"/>
      <c r="AQ118" s="190"/>
      <c r="AR118" s="190"/>
      <c r="AS118" s="190"/>
      <c r="AT118" s="190"/>
      <c r="AU118" s="190"/>
      <c r="AV118" s="190"/>
      <c r="AW118" s="190"/>
      <c r="AX118" s="190"/>
      <c r="AY118" s="190"/>
      <c r="AZ118" s="190"/>
      <c r="BA118" s="190"/>
      <c r="BB118" s="190"/>
      <c r="BC118" s="190"/>
      <c r="BD118" s="190"/>
      <c r="BE118" s="190"/>
      <c r="BF118" s="190"/>
      <c r="BG118" s="190"/>
      <c r="BH118" s="190"/>
      <c r="BI118" s="190"/>
      <c r="BJ118" s="190"/>
      <c r="BK118" s="190"/>
      <c r="BL118" s="190"/>
      <c r="BM118" s="190"/>
      <c r="BN118" s="190"/>
      <c r="BO118" s="190"/>
      <c r="BP118" s="190"/>
      <c r="BQ118" s="190"/>
      <c r="BR118" s="190"/>
      <c r="BS118" s="190"/>
      <c r="BT118" s="190"/>
      <c r="BU118" s="190"/>
      <c r="BV118" s="190"/>
      <c r="BW118" s="190"/>
      <c r="BX118" s="190"/>
      <c r="BY118" s="190"/>
      <c r="BZ118" s="190"/>
      <c r="CA118" s="190"/>
      <c r="CB118" s="190"/>
      <c r="CC118" s="190"/>
      <c r="CD118" s="190"/>
      <c r="CE118" s="190"/>
      <c r="CF118" s="190"/>
    </row>
    <row r="119" spans="1:84" ht="14.4">
      <c r="A119" s="190"/>
      <c r="B119" s="190"/>
      <c r="C119" s="190"/>
      <c r="D119" s="190"/>
      <c r="E119" s="190"/>
      <c r="F119" s="190"/>
      <c r="G119" s="190"/>
      <c r="H119" s="190"/>
      <c r="I119" s="190"/>
      <c r="J119" s="190"/>
      <c r="K119" s="190"/>
      <c r="L119" s="190"/>
      <c r="M119" s="190"/>
      <c r="N119" s="190"/>
      <c r="O119" s="190"/>
      <c r="P119" s="190"/>
      <c r="Q119" s="190"/>
      <c r="R119" s="190"/>
      <c r="S119" s="190"/>
      <c r="T119" s="190"/>
      <c r="U119" s="190"/>
      <c r="V119" s="190"/>
      <c r="W119" s="190"/>
      <c r="X119" s="190"/>
      <c r="Y119" s="190"/>
      <c r="Z119" s="190"/>
      <c r="AA119" s="190"/>
      <c r="AB119" s="190"/>
      <c r="AC119" s="190"/>
      <c r="AD119" s="190"/>
      <c r="AE119" s="190"/>
      <c r="AF119" s="190"/>
      <c r="AG119" s="190"/>
      <c r="AH119" s="190"/>
      <c r="AI119" s="190"/>
      <c r="AJ119" s="190"/>
      <c r="AK119" s="190"/>
      <c r="AL119" s="190"/>
      <c r="AM119" s="190"/>
      <c r="AN119" s="190"/>
      <c r="AO119" s="190"/>
      <c r="AP119" s="190"/>
      <c r="AQ119" s="190"/>
      <c r="AR119" s="190"/>
      <c r="AS119" s="190"/>
      <c r="AT119" s="190"/>
      <c r="AU119" s="190"/>
      <c r="AV119" s="190"/>
      <c r="AW119" s="190"/>
      <c r="AX119" s="190"/>
      <c r="AY119" s="190"/>
      <c r="AZ119" s="190"/>
      <c r="BA119" s="190"/>
      <c r="BB119" s="190"/>
      <c r="BC119" s="190"/>
      <c r="BD119" s="190"/>
      <c r="BE119" s="190"/>
      <c r="BF119" s="190"/>
      <c r="BG119" s="190"/>
      <c r="BH119" s="190"/>
      <c r="BI119" s="190"/>
      <c r="BJ119" s="190"/>
      <c r="BK119" s="190"/>
      <c r="BL119" s="190"/>
      <c r="BM119" s="190"/>
      <c r="BN119" s="190"/>
      <c r="BO119" s="190"/>
      <c r="BP119" s="190"/>
      <c r="BQ119" s="190"/>
      <c r="BR119" s="190"/>
      <c r="BS119" s="190"/>
      <c r="BT119" s="190"/>
      <c r="BU119" s="190"/>
      <c r="BV119" s="190"/>
      <c r="BW119" s="190"/>
      <c r="BX119" s="190"/>
      <c r="BY119" s="190"/>
      <c r="BZ119" s="190"/>
      <c r="CA119" s="190"/>
      <c r="CB119" s="190"/>
      <c r="CC119" s="190"/>
      <c r="CD119" s="190"/>
      <c r="CE119" s="190"/>
      <c r="CF119" s="190"/>
    </row>
    <row r="120" spans="1:84" ht="14.4">
      <c r="A120" s="190"/>
      <c r="B120" s="190"/>
      <c r="C120" s="190"/>
      <c r="D120" s="190"/>
      <c r="E120" s="190"/>
      <c r="F120" s="190"/>
      <c r="G120" s="190"/>
      <c r="H120" s="190"/>
      <c r="I120" s="190"/>
      <c r="J120" s="190"/>
      <c r="K120" s="190"/>
      <c r="L120" s="190"/>
      <c r="M120" s="190"/>
      <c r="N120" s="190"/>
      <c r="O120" s="190"/>
      <c r="P120" s="190"/>
      <c r="Q120" s="190"/>
      <c r="R120" s="190"/>
      <c r="S120" s="190"/>
      <c r="T120" s="190"/>
      <c r="U120" s="190"/>
      <c r="V120" s="190"/>
      <c r="W120" s="190"/>
      <c r="X120" s="190"/>
      <c r="Y120" s="190"/>
      <c r="Z120" s="190"/>
      <c r="AA120" s="190"/>
      <c r="AB120" s="190"/>
      <c r="AC120" s="190"/>
      <c r="AD120" s="190"/>
      <c r="AE120" s="190"/>
      <c r="AF120" s="190"/>
      <c r="AG120" s="190"/>
      <c r="AH120" s="190"/>
      <c r="AI120" s="190"/>
      <c r="AJ120" s="190"/>
      <c r="AK120" s="190"/>
      <c r="AL120" s="190"/>
      <c r="AM120" s="190"/>
      <c r="AN120" s="190"/>
      <c r="AO120" s="190"/>
      <c r="AP120" s="190"/>
      <c r="AQ120" s="190"/>
      <c r="AR120" s="190"/>
      <c r="AS120" s="190"/>
      <c r="AT120" s="190"/>
      <c r="AU120" s="190"/>
      <c r="AV120" s="190"/>
      <c r="AW120" s="190"/>
      <c r="AX120" s="190"/>
      <c r="AY120" s="190"/>
      <c r="AZ120" s="190"/>
      <c r="BA120" s="190"/>
      <c r="BB120" s="190"/>
      <c r="BC120" s="190"/>
      <c r="BD120" s="190"/>
      <c r="BE120" s="190"/>
      <c r="BF120" s="190"/>
      <c r="BG120" s="190"/>
      <c r="BH120" s="190"/>
      <c r="BI120" s="190"/>
      <c r="BJ120" s="190"/>
      <c r="BK120" s="190"/>
      <c r="BL120" s="190"/>
      <c r="BM120" s="190"/>
      <c r="BN120" s="190"/>
      <c r="BO120" s="190"/>
      <c r="BP120" s="190"/>
      <c r="BQ120" s="190"/>
      <c r="BR120" s="190"/>
      <c r="BS120" s="190"/>
      <c r="BT120" s="190"/>
      <c r="BU120" s="190"/>
      <c r="BV120" s="190"/>
      <c r="BW120" s="190"/>
      <c r="BX120" s="190"/>
      <c r="BY120" s="190"/>
      <c r="BZ120" s="190"/>
      <c r="CA120" s="190"/>
      <c r="CB120" s="190"/>
      <c r="CC120" s="190"/>
      <c r="CD120" s="190"/>
      <c r="CE120" s="190"/>
      <c r="CF120" s="190"/>
    </row>
    <row r="121" spans="1:84" ht="14.4">
      <c r="A121" s="190"/>
      <c r="B121" s="190"/>
      <c r="C121" s="190"/>
      <c r="D121" s="190"/>
      <c r="E121" s="190"/>
      <c r="F121" s="190"/>
      <c r="G121" s="190"/>
      <c r="H121" s="190"/>
      <c r="I121" s="190"/>
      <c r="J121" s="190"/>
      <c r="K121" s="190"/>
      <c r="L121" s="190"/>
      <c r="M121" s="190"/>
      <c r="N121" s="190"/>
      <c r="O121" s="190"/>
      <c r="P121" s="190"/>
      <c r="Q121" s="190"/>
      <c r="R121" s="190"/>
      <c r="S121" s="190"/>
      <c r="T121" s="190"/>
      <c r="U121" s="190"/>
      <c r="V121" s="190"/>
      <c r="W121" s="190"/>
      <c r="X121" s="190"/>
      <c r="Y121" s="190"/>
      <c r="Z121" s="190"/>
      <c r="AA121" s="190"/>
      <c r="AB121" s="190"/>
      <c r="AC121" s="190"/>
      <c r="AD121" s="190"/>
      <c r="AE121" s="190"/>
      <c r="AF121" s="190"/>
      <c r="AG121" s="190"/>
      <c r="AH121" s="190"/>
      <c r="AI121" s="190"/>
      <c r="AJ121" s="190"/>
      <c r="AK121" s="190"/>
      <c r="AL121" s="190"/>
      <c r="AM121" s="190"/>
      <c r="AN121" s="190"/>
      <c r="AO121" s="190"/>
      <c r="AP121" s="190"/>
      <c r="AQ121" s="190"/>
      <c r="AR121" s="190"/>
      <c r="AS121" s="190"/>
      <c r="AT121" s="190"/>
      <c r="AU121" s="190"/>
      <c r="AV121" s="190"/>
      <c r="AW121" s="190"/>
      <c r="AX121" s="190"/>
      <c r="AY121" s="190"/>
      <c r="AZ121" s="190"/>
      <c r="BA121" s="190"/>
      <c r="BB121" s="190"/>
      <c r="BC121" s="190"/>
      <c r="BD121" s="190"/>
      <c r="BE121" s="190"/>
      <c r="BF121" s="190"/>
      <c r="BG121" s="190"/>
      <c r="BH121" s="190"/>
      <c r="BI121" s="190"/>
      <c r="BJ121" s="190"/>
      <c r="BK121" s="190"/>
      <c r="BL121" s="190"/>
      <c r="BM121" s="190"/>
      <c r="BN121" s="190"/>
      <c r="BO121" s="190"/>
      <c r="BP121" s="190"/>
      <c r="BQ121" s="190"/>
      <c r="BR121" s="190"/>
      <c r="BS121" s="190"/>
      <c r="BT121" s="190"/>
      <c r="BU121" s="190"/>
      <c r="BV121" s="190"/>
      <c r="BW121" s="190"/>
      <c r="BX121" s="190"/>
      <c r="BY121" s="190"/>
      <c r="BZ121" s="190"/>
      <c r="CA121" s="190"/>
      <c r="CB121" s="190"/>
      <c r="CC121" s="190"/>
      <c r="CD121" s="190"/>
      <c r="CE121" s="190"/>
      <c r="CF121" s="190"/>
    </row>
    <row r="122" spans="1:84" ht="14.4">
      <c r="A122" s="190"/>
      <c r="B122" s="190"/>
      <c r="C122" s="190"/>
      <c r="D122" s="190"/>
      <c r="E122" s="190"/>
      <c r="F122" s="190"/>
      <c r="G122" s="190"/>
      <c r="H122" s="190"/>
      <c r="I122" s="190"/>
      <c r="J122" s="190"/>
      <c r="K122" s="190"/>
      <c r="L122" s="190"/>
      <c r="M122" s="190"/>
      <c r="N122" s="190"/>
      <c r="O122" s="190"/>
      <c r="P122" s="190"/>
      <c r="Q122" s="190"/>
      <c r="R122" s="190"/>
      <c r="S122" s="190"/>
      <c r="T122" s="190"/>
      <c r="U122" s="190"/>
      <c r="V122" s="190"/>
      <c r="W122" s="190"/>
      <c r="X122" s="190"/>
      <c r="Y122" s="190"/>
      <c r="Z122" s="190"/>
      <c r="AA122" s="190"/>
      <c r="AB122" s="190"/>
      <c r="AC122" s="190"/>
      <c r="AD122" s="190"/>
      <c r="AE122" s="190"/>
      <c r="AF122" s="190"/>
      <c r="AG122" s="190"/>
      <c r="AH122" s="190"/>
      <c r="AI122" s="190"/>
      <c r="AJ122" s="190"/>
      <c r="AK122" s="190"/>
      <c r="AL122" s="190"/>
      <c r="AM122" s="190"/>
      <c r="AN122" s="190"/>
      <c r="AO122" s="190"/>
      <c r="AP122" s="190"/>
      <c r="AQ122" s="190"/>
      <c r="AR122" s="190"/>
      <c r="AS122" s="190"/>
      <c r="AT122" s="190"/>
      <c r="AU122" s="190"/>
      <c r="AV122" s="190"/>
      <c r="AW122" s="190"/>
      <c r="AX122" s="190"/>
      <c r="AY122" s="190"/>
      <c r="AZ122" s="190"/>
      <c r="BA122" s="190"/>
      <c r="BB122" s="190"/>
      <c r="BC122" s="190"/>
      <c r="BD122" s="190"/>
      <c r="BE122" s="190"/>
      <c r="BF122" s="190"/>
      <c r="BG122" s="190"/>
      <c r="BH122" s="190"/>
      <c r="BI122" s="190"/>
      <c r="BJ122" s="190"/>
      <c r="BK122" s="190"/>
      <c r="BL122" s="190"/>
      <c r="BM122" s="190"/>
      <c r="BN122" s="190"/>
      <c r="BO122" s="190"/>
      <c r="BP122" s="190"/>
      <c r="BQ122" s="190"/>
      <c r="BR122" s="190"/>
      <c r="BS122" s="190"/>
      <c r="BT122" s="190"/>
      <c r="BU122" s="190"/>
      <c r="BV122" s="190"/>
      <c r="BW122" s="190"/>
      <c r="BX122" s="190"/>
      <c r="BY122" s="190"/>
      <c r="BZ122" s="190"/>
      <c r="CA122" s="190"/>
      <c r="CB122" s="190"/>
      <c r="CC122" s="190"/>
      <c r="CD122" s="190"/>
      <c r="CE122" s="190"/>
      <c r="CF122" s="190"/>
    </row>
    <row r="123" spans="1:84" ht="14.4">
      <c r="A123" s="190"/>
      <c r="B123" s="190"/>
      <c r="C123" s="190"/>
      <c r="D123" s="190"/>
      <c r="E123" s="190"/>
      <c r="F123" s="190"/>
      <c r="G123" s="190"/>
      <c r="H123" s="190"/>
      <c r="I123" s="190"/>
      <c r="J123" s="190"/>
      <c r="K123" s="190"/>
      <c r="L123" s="190"/>
      <c r="M123" s="190"/>
      <c r="N123" s="190"/>
      <c r="O123" s="190"/>
      <c r="P123" s="190"/>
      <c r="Q123" s="190"/>
      <c r="R123" s="190"/>
      <c r="S123" s="190"/>
      <c r="T123" s="190"/>
      <c r="U123" s="190"/>
      <c r="V123" s="190"/>
      <c r="W123" s="190"/>
      <c r="X123" s="190"/>
      <c r="Y123" s="190"/>
      <c r="Z123" s="190"/>
      <c r="AA123" s="190"/>
      <c r="AB123" s="190"/>
      <c r="AC123" s="190"/>
      <c r="AD123" s="190"/>
      <c r="AE123" s="190"/>
      <c r="AF123" s="190"/>
      <c r="AG123" s="190"/>
      <c r="AH123" s="190"/>
      <c r="AI123" s="190"/>
      <c r="AJ123" s="190"/>
      <c r="AK123" s="190"/>
      <c r="AL123" s="190"/>
      <c r="AM123" s="190"/>
      <c r="AN123" s="190"/>
      <c r="AO123" s="190"/>
      <c r="AP123" s="190"/>
      <c r="AQ123" s="190"/>
      <c r="AR123" s="190"/>
      <c r="AS123" s="190"/>
      <c r="AT123" s="190"/>
      <c r="AU123" s="190"/>
      <c r="AV123" s="190"/>
      <c r="AW123" s="190"/>
      <c r="AX123" s="190"/>
      <c r="AY123" s="190"/>
      <c r="AZ123" s="190"/>
      <c r="BA123" s="190"/>
      <c r="BB123" s="190"/>
      <c r="BC123" s="190"/>
      <c r="BD123" s="190"/>
      <c r="BE123" s="190"/>
      <c r="BF123" s="190"/>
      <c r="BG123" s="190"/>
      <c r="BH123" s="190"/>
      <c r="BI123" s="190"/>
      <c r="BJ123" s="190"/>
      <c r="BK123" s="190"/>
      <c r="BL123" s="190"/>
      <c r="BM123" s="190"/>
      <c r="BN123" s="190"/>
      <c r="BO123" s="190"/>
      <c r="BP123" s="190"/>
      <c r="BQ123" s="190"/>
      <c r="BR123" s="190"/>
      <c r="BS123" s="190"/>
      <c r="BT123" s="190"/>
      <c r="BU123" s="190"/>
      <c r="BV123" s="190"/>
      <c r="BW123" s="190"/>
      <c r="BX123" s="190"/>
      <c r="BY123" s="190"/>
      <c r="BZ123" s="190"/>
      <c r="CA123" s="190"/>
      <c r="CB123" s="190"/>
      <c r="CC123" s="190"/>
      <c r="CD123" s="190"/>
      <c r="CE123" s="190"/>
      <c r="CF123" s="190"/>
    </row>
    <row r="124" spans="1:84" ht="14.4">
      <c r="A124" s="190"/>
      <c r="B124" s="190"/>
      <c r="C124" s="190"/>
      <c r="D124" s="190"/>
      <c r="E124" s="190"/>
      <c r="F124" s="190"/>
      <c r="G124" s="190"/>
      <c r="H124" s="190"/>
      <c r="I124" s="190"/>
      <c r="J124" s="190"/>
      <c r="K124" s="190"/>
      <c r="L124" s="190"/>
      <c r="M124" s="190"/>
      <c r="N124" s="190"/>
      <c r="O124" s="190"/>
      <c r="P124" s="190"/>
      <c r="Q124" s="190"/>
      <c r="R124" s="190"/>
      <c r="S124" s="190"/>
      <c r="T124" s="190"/>
      <c r="U124" s="190"/>
      <c r="V124" s="190"/>
      <c r="W124" s="190"/>
      <c r="X124" s="190"/>
      <c r="Y124" s="190"/>
      <c r="Z124" s="190"/>
      <c r="AA124" s="190"/>
      <c r="AB124" s="190"/>
      <c r="AC124" s="190"/>
      <c r="AD124" s="190"/>
      <c r="AE124" s="190"/>
      <c r="AF124" s="190"/>
      <c r="AG124" s="190"/>
      <c r="AH124" s="190"/>
      <c r="AI124" s="190"/>
      <c r="AJ124" s="190"/>
      <c r="AK124" s="190"/>
      <c r="AL124" s="190"/>
      <c r="AM124" s="190"/>
      <c r="AN124" s="190"/>
      <c r="AO124" s="190"/>
      <c r="AP124" s="190"/>
      <c r="AQ124" s="190"/>
      <c r="AR124" s="190"/>
      <c r="AS124" s="190"/>
      <c r="AT124" s="190"/>
      <c r="AU124" s="190"/>
      <c r="AV124" s="190"/>
      <c r="AW124" s="190"/>
      <c r="AX124" s="190"/>
      <c r="AY124" s="190"/>
      <c r="AZ124" s="190"/>
      <c r="BA124" s="190"/>
      <c r="BB124" s="190"/>
      <c r="BC124" s="190"/>
      <c r="BD124" s="190"/>
      <c r="BE124" s="190"/>
      <c r="BF124" s="190"/>
      <c r="BG124" s="190"/>
      <c r="BH124" s="190"/>
      <c r="BI124" s="190"/>
      <c r="BJ124" s="190"/>
      <c r="BK124" s="190"/>
      <c r="BL124" s="190"/>
      <c r="BM124" s="190"/>
      <c r="BN124" s="190"/>
      <c r="BO124" s="190"/>
      <c r="BP124" s="190"/>
      <c r="BQ124" s="190"/>
      <c r="BR124" s="190"/>
      <c r="BS124" s="190"/>
      <c r="BT124" s="190"/>
      <c r="BU124" s="190"/>
      <c r="BV124" s="190"/>
      <c r="BW124" s="190"/>
      <c r="BX124" s="190"/>
      <c r="BY124" s="190"/>
      <c r="BZ124" s="190"/>
      <c r="CA124" s="190"/>
      <c r="CB124" s="190"/>
      <c r="CC124" s="190"/>
      <c r="CD124" s="190"/>
      <c r="CE124" s="190"/>
      <c r="CF124" s="190"/>
    </row>
    <row r="125" spans="1:84" ht="14.4">
      <c r="A125" s="190"/>
      <c r="B125" s="190"/>
      <c r="C125" s="190"/>
      <c r="D125" s="190"/>
      <c r="E125" s="190"/>
      <c r="F125" s="190"/>
      <c r="G125" s="190"/>
      <c r="H125" s="190"/>
      <c r="I125" s="190"/>
      <c r="J125" s="190"/>
      <c r="K125" s="190"/>
      <c r="L125" s="190"/>
      <c r="M125" s="190"/>
      <c r="N125" s="190"/>
      <c r="O125" s="190"/>
      <c r="P125" s="190"/>
      <c r="Q125" s="190"/>
      <c r="R125" s="190"/>
      <c r="S125" s="190"/>
      <c r="T125" s="190"/>
      <c r="U125" s="190"/>
      <c r="V125" s="190"/>
      <c r="W125" s="190"/>
      <c r="X125" s="190"/>
      <c r="Y125" s="190"/>
      <c r="Z125" s="190"/>
      <c r="AA125" s="190"/>
      <c r="AB125" s="190"/>
      <c r="AC125" s="190"/>
      <c r="AD125" s="190"/>
      <c r="AE125" s="190"/>
      <c r="AF125" s="190"/>
      <c r="AG125" s="190"/>
      <c r="AH125" s="190"/>
      <c r="AI125" s="190"/>
      <c r="AJ125" s="190"/>
      <c r="AK125" s="190"/>
      <c r="AL125" s="190"/>
      <c r="AM125" s="190"/>
      <c r="AN125" s="190"/>
      <c r="AO125" s="190"/>
      <c r="AP125" s="190"/>
      <c r="AQ125" s="190"/>
      <c r="AR125" s="190"/>
      <c r="AS125" s="190"/>
      <c r="AT125" s="190"/>
      <c r="AU125" s="190"/>
      <c r="AV125" s="190"/>
      <c r="AW125" s="190"/>
      <c r="AX125" s="190"/>
      <c r="AY125" s="190"/>
      <c r="AZ125" s="190"/>
      <c r="BA125" s="190"/>
      <c r="BB125" s="190"/>
      <c r="BC125" s="190"/>
      <c r="BD125" s="190"/>
      <c r="BE125" s="190"/>
      <c r="BF125" s="190"/>
      <c r="BG125" s="190"/>
      <c r="BH125" s="190"/>
      <c r="BI125" s="190"/>
      <c r="BJ125" s="190"/>
      <c r="BK125" s="190"/>
      <c r="BL125" s="190"/>
      <c r="BM125" s="190"/>
      <c r="BN125" s="190"/>
      <c r="BO125" s="190"/>
      <c r="BP125" s="190"/>
      <c r="BQ125" s="190"/>
      <c r="BR125" s="190"/>
      <c r="BS125" s="190"/>
      <c r="BT125" s="190"/>
      <c r="BU125" s="190"/>
      <c r="BV125" s="190"/>
      <c r="BW125" s="190"/>
      <c r="BX125" s="190"/>
      <c r="BY125" s="190"/>
      <c r="BZ125" s="190"/>
      <c r="CA125" s="190"/>
      <c r="CB125" s="190"/>
      <c r="CC125" s="190"/>
      <c r="CD125" s="190"/>
      <c r="CE125" s="190"/>
      <c r="CF125" s="190"/>
    </row>
    <row r="126" spans="1:84" ht="14.4">
      <c r="A126" s="190"/>
      <c r="B126" s="190"/>
      <c r="C126" s="190"/>
      <c r="D126" s="190"/>
      <c r="E126" s="190"/>
      <c r="F126" s="190"/>
      <c r="G126" s="190"/>
      <c r="H126" s="190"/>
      <c r="I126" s="190"/>
      <c r="J126" s="190"/>
      <c r="K126" s="190"/>
      <c r="L126" s="190"/>
      <c r="M126" s="190"/>
      <c r="N126" s="190"/>
      <c r="O126" s="190"/>
      <c r="P126" s="190"/>
      <c r="Q126" s="190"/>
      <c r="R126" s="190"/>
      <c r="S126" s="190"/>
      <c r="T126" s="190"/>
      <c r="U126" s="190"/>
      <c r="V126" s="190"/>
      <c r="W126" s="190"/>
      <c r="X126" s="190"/>
      <c r="Y126" s="190"/>
      <c r="Z126" s="190"/>
      <c r="AA126" s="190"/>
      <c r="AB126" s="190"/>
      <c r="AC126" s="190"/>
      <c r="AD126" s="190"/>
      <c r="AE126" s="190"/>
      <c r="AF126" s="190"/>
      <c r="AG126" s="190"/>
      <c r="AH126" s="190"/>
      <c r="AI126" s="190"/>
      <c r="AJ126" s="190"/>
      <c r="AK126" s="190"/>
      <c r="AL126" s="190"/>
      <c r="AM126" s="190"/>
      <c r="AN126" s="190"/>
      <c r="AO126" s="190"/>
      <c r="AP126" s="190"/>
      <c r="AQ126" s="190"/>
      <c r="AR126" s="190"/>
      <c r="AS126" s="190"/>
      <c r="AT126" s="190"/>
      <c r="AU126" s="190"/>
      <c r="AV126" s="190"/>
      <c r="AW126" s="190"/>
      <c r="AX126" s="190"/>
      <c r="AY126" s="190"/>
      <c r="AZ126" s="190"/>
      <c r="BA126" s="190"/>
      <c r="BB126" s="190"/>
      <c r="BC126" s="190"/>
      <c r="BD126" s="190"/>
      <c r="BE126" s="190"/>
      <c r="BF126" s="190"/>
      <c r="BG126" s="190"/>
      <c r="BH126" s="190"/>
      <c r="BI126" s="190"/>
      <c r="BJ126" s="190"/>
      <c r="BK126" s="190"/>
      <c r="BL126" s="190"/>
      <c r="BM126" s="190"/>
      <c r="BN126" s="190"/>
      <c r="BO126" s="190"/>
      <c r="BP126" s="190"/>
      <c r="BQ126" s="190"/>
      <c r="BR126" s="190"/>
      <c r="BS126" s="190"/>
      <c r="BT126" s="190"/>
      <c r="BU126" s="190"/>
      <c r="BV126" s="190"/>
      <c r="BW126" s="190"/>
      <c r="BX126" s="190"/>
      <c r="BY126" s="190"/>
      <c r="BZ126" s="190"/>
      <c r="CA126" s="190"/>
      <c r="CB126" s="190"/>
      <c r="CC126" s="190"/>
      <c r="CD126" s="190"/>
      <c r="CE126" s="190"/>
      <c r="CF126" s="190"/>
    </row>
    <row r="127" spans="1:84" ht="14.4">
      <c r="A127" s="190"/>
      <c r="B127" s="190"/>
      <c r="C127" s="190"/>
      <c r="D127" s="190"/>
      <c r="E127" s="190"/>
      <c r="F127" s="190"/>
      <c r="G127" s="190"/>
      <c r="H127" s="190"/>
      <c r="I127" s="190"/>
      <c r="J127" s="190"/>
      <c r="K127" s="190"/>
      <c r="L127" s="190"/>
      <c r="M127" s="190"/>
      <c r="N127" s="190"/>
      <c r="O127" s="190"/>
      <c r="P127" s="190"/>
      <c r="Q127" s="190"/>
      <c r="R127" s="190"/>
      <c r="S127" s="190"/>
      <c r="T127" s="190"/>
      <c r="U127" s="190"/>
      <c r="V127" s="190"/>
      <c r="W127" s="190"/>
      <c r="X127" s="190"/>
      <c r="Y127" s="190"/>
      <c r="Z127" s="190"/>
      <c r="AA127" s="190"/>
      <c r="AB127" s="190"/>
      <c r="AC127" s="190"/>
      <c r="AD127" s="190"/>
      <c r="AE127" s="190"/>
      <c r="AF127" s="190"/>
      <c r="AG127" s="190"/>
      <c r="AH127" s="190"/>
      <c r="AI127" s="190"/>
      <c r="AJ127" s="190"/>
      <c r="AK127" s="190"/>
      <c r="AL127" s="190"/>
      <c r="AM127" s="190"/>
      <c r="AN127" s="190"/>
      <c r="AO127" s="190"/>
      <c r="AP127" s="190"/>
      <c r="AQ127" s="190"/>
      <c r="AR127" s="190"/>
      <c r="AS127" s="190"/>
      <c r="AT127" s="190"/>
      <c r="AU127" s="190"/>
      <c r="AV127" s="190"/>
      <c r="AW127" s="190"/>
      <c r="AX127" s="190"/>
      <c r="AY127" s="190"/>
      <c r="AZ127" s="190"/>
      <c r="BA127" s="190"/>
      <c r="BB127" s="190"/>
      <c r="BC127" s="190"/>
      <c r="BD127" s="190"/>
      <c r="BE127" s="190"/>
      <c r="BF127" s="190"/>
      <c r="BG127" s="190"/>
      <c r="BH127" s="190"/>
      <c r="BI127" s="190"/>
      <c r="BJ127" s="190"/>
      <c r="BK127" s="190"/>
      <c r="BL127" s="190"/>
      <c r="BM127" s="190"/>
      <c r="BN127" s="190"/>
      <c r="BO127" s="190"/>
      <c r="BP127" s="190"/>
      <c r="BQ127" s="190"/>
      <c r="BR127" s="190"/>
      <c r="BS127" s="190"/>
      <c r="BT127" s="190"/>
      <c r="BU127" s="190"/>
      <c r="BV127" s="190"/>
      <c r="BW127" s="190"/>
      <c r="BX127" s="190"/>
      <c r="BY127" s="190"/>
      <c r="BZ127" s="190"/>
      <c r="CA127" s="190"/>
      <c r="CB127" s="190"/>
      <c r="CC127" s="190"/>
      <c r="CD127" s="190"/>
      <c r="CE127" s="190"/>
      <c r="CF127" s="190"/>
    </row>
    <row r="128" spans="1:84" ht="14.4">
      <c r="A128" s="190"/>
      <c r="B128" s="190"/>
      <c r="C128" s="190"/>
      <c r="D128" s="190"/>
      <c r="E128" s="190"/>
      <c r="F128" s="190"/>
      <c r="G128" s="190"/>
      <c r="H128" s="190"/>
      <c r="I128" s="190"/>
      <c r="J128" s="190"/>
      <c r="K128" s="190"/>
      <c r="L128" s="190"/>
      <c r="M128" s="190"/>
      <c r="N128" s="190"/>
      <c r="O128" s="190"/>
      <c r="P128" s="190"/>
      <c r="Q128" s="190"/>
      <c r="R128" s="190"/>
      <c r="S128" s="190"/>
      <c r="T128" s="190"/>
      <c r="U128" s="190"/>
      <c r="V128" s="190"/>
      <c r="W128" s="190"/>
      <c r="X128" s="190"/>
      <c r="Y128" s="190"/>
      <c r="Z128" s="190"/>
      <c r="AA128" s="190"/>
      <c r="AB128" s="190"/>
      <c r="AC128" s="190"/>
      <c r="AD128" s="190"/>
      <c r="AE128" s="190"/>
      <c r="AF128" s="190"/>
      <c r="AG128" s="190"/>
      <c r="AH128" s="190"/>
      <c r="AI128" s="190"/>
      <c r="AJ128" s="190"/>
      <c r="AK128" s="190"/>
      <c r="AL128" s="190"/>
      <c r="AM128" s="190"/>
      <c r="AN128" s="190"/>
      <c r="AO128" s="190"/>
      <c r="AP128" s="190"/>
      <c r="AQ128" s="190"/>
      <c r="AR128" s="190"/>
      <c r="AS128" s="190"/>
      <c r="AT128" s="190"/>
      <c r="AU128" s="190"/>
      <c r="AV128" s="190"/>
      <c r="AW128" s="190"/>
      <c r="AX128" s="190"/>
      <c r="AY128" s="190"/>
      <c r="AZ128" s="190"/>
      <c r="BA128" s="190"/>
      <c r="BB128" s="190"/>
      <c r="BC128" s="190"/>
      <c r="BD128" s="190"/>
      <c r="BE128" s="190"/>
      <c r="BF128" s="190"/>
      <c r="BG128" s="190"/>
      <c r="BH128" s="190"/>
      <c r="BI128" s="190"/>
      <c r="BJ128" s="190"/>
      <c r="BK128" s="190"/>
      <c r="BL128" s="190"/>
      <c r="BM128" s="190"/>
      <c r="BN128" s="190"/>
      <c r="BO128" s="190"/>
      <c r="BP128" s="190"/>
      <c r="BQ128" s="190"/>
      <c r="BR128" s="190"/>
      <c r="BS128" s="190"/>
      <c r="BT128" s="190"/>
      <c r="BU128" s="190"/>
      <c r="BV128" s="190"/>
      <c r="BW128" s="190"/>
      <c r="BX128" s="190"/>
      <c r="BY128" s="190"/>
      <c r="BZ128" s="190"/>
      <c r="CA128" s="190"/>
      <c r="CB128" s="190"/>
      <c r="CC128" s="190"/>
      <c r="CD128" s="190"/>
      <c r="CE128" s="190"/>
      <c r="CF128" s="190"/>
    </row>
    <row r="129" spans="1:84" ht="14.4">
      <c r="A129" s="190"/>
      <c r="B129" s="190"/>
      <c r="C129" s="190"/>
      <c r="D129" s="190"/>
      <c r="E129" s="190"/>
      <c r="F129" s="190"/>
      <c r="G129" s="190"/>
      <c r="H129" s="190"/>
      <c r="I129" s="190"/>
      <c r="J129" s="190"/>
      <c r="K129" s="190"/>
      <c r="L129" s="190"/>
      <c r="M129" s="190"/>
      <c r="N129" s="190"/>
      <c r="O129" s="190"/>
      <c r="P129" s="190"/>
      <c r="Q129" s="190"/>
      <c r="R129" s="190"/>
      <c r="S129" s="190"/>
      <c r="T129" s="190"/>
      <c r="U129" s="190"/>
      <c r="V129" s="190"/>
      <c r="W129" s="190"/>
      <c r="X129" s="190"/>
      <c r="Y129" s="190"/>
      <c r="Z129" s="190"/>
      <c r="AA129" s="190"/>
      <c r="AB129" s="190"/>
      <c r="AC129" s="190"/>
      <c r="AD129" s="190"/>
      <c r="AE129" s="190"/>
      <c r="AF129" s="190"/>
      <c r="AG129" s="190"/>
      <c r="AH129" s="190"/>
      <c r="AI129" s="190"/>
      <c r="AJ129" s="190"/>
      <c r="AK129" s="190"/>
      <c r="AL129" s="190"/>
      <c r="AM129" s="190"/>
      <c r="AN129" s="190"/>
      <c r="AO129" s="190"/>
      <c r="AP129" s="190"/>
      <c r="AQ129" s="190"/>
      <c r="AR129" s="190"/>
      <c r="AS129" s="190"/>
      <c r="AT129" s="190"/>
      <c r="AU129" s="190"/>
      <c r="AV129" s="190"/>
      <c r="AW129" s="190"/>
      <c r="AX129" s="190"/>
      <c r="AY129" s="190"/>
      <c r="AZ129" s="190"/>
      <c r="BA129" s="190"/>
      <c r="BB129" s="190"/>
      <c r="BC129" s="190"/>
      <c r="BD129" s="190"/>
      <c r="BE129" s="190"/>
      <c r="BF129" s="190"/>
      <c r="BG129" s="190"/>
      <c r="BH129" s="190"/>
      <c r="BI129" s="190"/>
      <c r="BJ129" s="190"/>
      <c r="BK129" s="190"/>
      <c r="BL129" s="190"/>
      <c r="BM129" s="190"/>
      <c r="BN129" s="190"/>
      <c r="BO129" s="190"/>
      <c r="BP129" s="190"/>
      <c r="BQ129" s="190"/>
      <c r="BR129" s="190"/>
      <c r="BS129" s="190"/>
      <c r="BT129" s="190"/>
      <c r="BU129" s="190"/>
      <c r="BV129" s="190"/>
      <c r="BW129" s="190"/>
      <c r="BX129" s="190"/>
      <c r="BY129" s="190"/>
      <c r="BZ129" s="190"/>
      <c r="CA129" s="190"/>
      <c r="CB129" s="190"/>
      <c r="CC129" s="190"/>
      <c r="CD129" s="190"/>
      <c r="CE129" s="190"/>
      <c r="CF129" s="190"/>
    </row>
    <row r="130" spans="1:84" ht="14.4">
      <c r="A130" s="190"/>
      <c r="B130" s="190"/>
      <c r="C130" s="190"/>
      <c r="D130" s="190"/>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190"/>
      <c r="AD130" s="190"/>
      <c r="AE130" s="190"/>
      <c r="AF130" s="190"/>
      <c r="AG130" s="190"/>
      <c r="AH130" s="190"/>
      <c r="AI130" s="190"/>
      <c r="AJ130" s="190"/>
      <c r="AK130" s="190"/>
      <c r="AL130" s="190"/>
      <c r="AM130" s="190"/>
      <c r="AN130" s="190"/>
      <c r="AO130" s="190"/>
      <c r="AP130" s="190"/>
      <c r="AQ130" s="190"/>
      <c r="AR130" s="190"/>
      <c r="AS130" s="190"/>
      <c r="AT130" s="190"/>
      <c r="AU130" s="190"/>
      <c r="AV130" s="190"/>
      <c r="AW130" s="190"/>
      <c r="AX130" s="190"/>
      <c r="AY130" s="190"/>
      <c r="AZ130" s="190"/>
      <c r="BA130" s="190"/>
      <c r="BB130" s="190"/>
      <c r="BC130" s="190"/>
      <c r="BD130" s="190"/>
      <c r="BE130" s="190"/>
      <c r="BF130" s="190"/>
      <c r="BG130" s="190"/>
      <c r="BH130" s="190"/>
      <c r="BI130" s="190"/>
      <c r="BJ130" s="190"/>
      <c r="BK130" s="190"/>
      <c r="BL130" s="190"/>
      <c r="BM130" s="190"/>
      <c r="BN130" s="190"/>
      <c r="BO130" s="190"/>
      <c r="BP130" s="190"/>
      <c r="BQ130" s="190"/>
      <c r="BR130" s="190"/>
      <c r="BS130" s="190"/>
      <c r="BT130" s="190"/>
      <c r="BU130" s="190"/>
      <c r="BV130" s="190"/>
      <c r="BW130" s="190"/>
      <c r="BX130" s="190"/>
      <c r="BY130" s="190"/>
      <c r="BZ130" s="190"/>
      <c r="CA130" s="190"/>
      <c r="CB130" s="190"/>
      <c r="CC130" s="190"/>
      <c r="CD130" s="190"/>
      <c r="CE130" s="190"/>
      <c r="CF130" s="190"/>
    </row>
    <row r="131" spans="1:84" ht="14.4">
      <c r="A131" s="190"/>
      <c r="B131" s="190"/>
      <c r="C131" s="190"/>
      <c r="D131" s="190"/>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190"/>
      <c r="AD131" s="190"/>
      <c r="AE131" s="190"/>
      <c r="AF131" s="190"/>
      <c r="AG131" s="190"/>
      <c r="AH131" s="190"/>
      <c r="AI131" s="190"/>
      <c r="AJ131" s="190"/>
      <c r="AK131" s="190"/>
      <c r="AL131" s="190"/>
      <c r="AM131" s="190"/>
      <c r="AN131" s="190"/>
      <c r="AO131" s="190"/>
      <c r="AP131" s="190"/>
      <c r="AQ131" s="190"/>
      <c r="AR131" s="190"/>
      <c r="AS131" s="190"/>
      <c r="AT131" s="190"/>
      <c r="AU131" s="190"/>
      <c r="AV131" s="190"/>
      <c r="AW131" s="190"/>
      <c r="AX131" s="190"/>
      <c r="AY131" s="190"/>
      <c r="AZ131" s="190"/>
      <c r="BA131" s="190"/>
      <c r="BB131" s="190"/>
      <c r="BC131" s="190"/>
      <c r="BD131" s="190"/>
      <c r="BE131" s="190"/>
      <c r="BF131" s="190"/>
      <c r="BG131" s="190"/>
      <c r="BH131" s="190"/>
      <c r="BI131" s="190"/>
      <c r="BJ131" s="190"/>
      <c r="BK131" s="190"/>
      <c r="BL131" s="190"/>
      <c r="BM131" s="190"/>
      <c r="BN131" s="190"/>
      <c r="BO131" s="190"/>
      <c r="BP131" s="190"/>
      <c r="BQ131" s="190"/>
      <c r="BR131" s="190"/>
      <c r="BS131" s="190"/>
      <c r="BT131" s="190"/>
      <c r="BU131" s="190"/>
      <c r="BV131" s="190"/>
      <c r="BW131" s="190"/>
      <c r="BX131" s="190"/>
      <c r="BY131" s="190"/>
      <c r="BZ131" s="190"/>
      <c r="CA131" s="190"/>
      <c r="CB131" s="190"/>
      <c r="CC131" s="190"/>
      <c r="CD131" s="190"/>
      <c r="CE131" s="190"/>
      <c r="CF131" s="190"/>
    </row>
  </sheetData>
  <sheetProtection sheet="1"/>
  <customSheetViews>
    <customSheetView guid="{D1431318-1DB8-4C45-813B-5A8065DFC797}" showPageBreaks="1" printArea="1" view="pageBreakPreview">
      <selection activeCell="E3" sqref="E3:G3"/>
      <pageMargins left="0.25" right="0.25" top="0.5" bottom="1" header="0.5" footer="0.5"/>
      <printOptions horizontalCentered="1"/>
      <pageSetup orientation="portrait" blackAndWhite="1" r:id="rId1"/>
      <headerFooter alignWithMargins="0"/>
    </customSheetView>
  </customSheetViews>
  <mergeCells count="11">
    <mergeCell ref="B1:D1"/>
    <mergeCell ref="E7:G9"/>
    <mergeCell ref="A10:G10"/>
    <mergeCell ref="A11:B11"/>
    <mergeCell ref="E3:G3"/>
    <mergeCell ref="E5:G5"/>
    <mergeCell ref="E11:G11"/>
    <mergeCell ref="A7:A9"/>
    <mergeCell ref="A4:G4"/>
    <mergeCell ref="A6:G6"/>
    <mergeCell ref="F2:G2"/>
  </mergeCells>
  <phoneticPr fontId="22" type="noConversion"/>
  <printOptions horizontalCentered="1"/>
  <pageMargins left="0.25" right="0.25" top="0.5" bottom="1" header="0.5" footer="0.5"/>
  <pageSetup orientation="portrait" blackAndWhite="1" r:id="rId2"/>
  <headerFooter alignWithMargins="0"/>
  <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indexed="13"/>
  </sheetPr>
  <dimension ref="A1:AI147"/>
  <sheetViews>
    <sheetView showGridLines="0" view="pageBreakPreview" topLeftCell="B1" zoomScaleNormal="100" zoomScaleSheetLayoutView="100" workbookViewId="0">
      <selection activeCell="I4" sqref="I4:J4"/>
    </sheetView>
  </sheetViews>
  <sheetFormatPr defaultColWidth="8.88671875" defaultRowHeight="13.2"/>
  <cols>
    <col min="1" max="2" width="2.44140625" customWidth="1"/>
    <col min="3" max="14" width="7.44140625" customWidth="1"/>
    <col min="15" max="15" width="8.44140625" customWidth="1"/>
    <col min="23" max="23" width="17.44140625" customWidth="1"/>
  </cols>
  <sheetData>
    <row r="1" spans="1:19" ht="54.9" customHeight="1" thickBot="1">
      <c r="B1" s="466"/>
      <c r="C1" s="466"/>
      <c r="D1" s="466"/>
      <c r="E1" s="4031" t="s">
        <v>1766</v>
      </c>
      <c r="F1" s="4031"/>
      <c r="G1" s="4031"/>
      <c r="H1" s="4031"/>
      <c r="I1" s="4031"/>
      <c r="J1" s="4031"/>
      <c r="K1" s="4031"/>
      <c r="L1" s="212"/>
      <c r="M1" s="212"/>
      <c r="N1" s="212"/>
      <c r="O1" s="215"/>
      <c r="P1" s="215"/>
      <c r="Q1" s="215"/>
      <c r="R1" s="215"/>
      <c r="S1" s="215"/>
    </row>
    <row r="2" spans="1:19" ht="18.75" customHeight="1">
      <c r="A2" s="741" t="s">
        <v>515</v>
      </c>
      <c r="B2" s="742"/>
      <c r="C2" s="742"/>
      <c r="D2" s="742"/>
      <c r="E2" s="742"/>
      <c r="F2" s="742"/>
      <c r="G2" s="742"/>
      <c r="H2" s="742"/>
      <c r="I2" s="742"/>
      <c r="J2" s="742"/>
      <c r="K2" s="742"/>
      <c r="L2" s="742"/>
      <c r="M2" s="742"/>
      <c r="N2" s="742"/>
      <c r="O2" s="743" t="str">
        <f>'Drop-Down Lists'!J40</f>
        <v>v 04.01.2021</v>
      </c>
      <c r="P2" s="215"/>
      <c r="Q2" s="215"/>
      <c r="R2" s="215"/>
      <c r="S2" s="215"/>
    </row>
    <row r="3" spans="1:19" ht="10.5" customHeight="1">
      <c r="A3" s="744"/>
      <c r="B3" s="378"/>
      <c r="C3" s="378"/>
      <c r="D3" s="378"/>
      <c r="E3" s="378"/>
      <c r="F3" s="378"/>
      <c r="G3" s="378"/>
      <c r="H3" s="378"/>
      <c r="I3" s="378"/>
      <c r="J3" s="378"/>
      <c r="K3" s="378"/>
      <c r="L3" s="378"/>
      <c r="M3" s="378"/>
      <c r="N3" s="378"/>
      <c r="O3" s="745"/>
      <c r="P3" s="215"/>
      <c r="Q3" s="215"/>
      <c r="R3" s="215"/>
      <c r="S3" s="215"/>
    </row>
    <row r="4" spans="1:19" ht="19.5" customHeight="1">
      <c r="A4" s="746"/>
      <c r="B4" s="218"/>
      <c r="C4" s="219" t="s">
        <v>204</v>
      </c>
      <c r="D4" s="219"/>
      <c r="E4" s="219"/>
      <c r="F4" s="219"/>
      <c r="G4" s="214"/>
      <c r="H4" s="214"/>
      <c r="I4" s="4044"/>
      <c r="J4" s="4045"/>
      <c r="K4" s="214" t="s">
        <v>313</v>
      </c>
      <c r="L4" s="220"/>
      <c r="M4" s="221"/>
      <c r="N4" s="221"/>
      <c r="O4" s="747"/>
      <c r="P4" s="215"/>
      <c r="Q4" s="215"/>
      <c r="R4" s="215"/>
      <c r="S4" s="215"/>
    </row>
    <row r="5" spans="1:19" ht="10.5" customHeight="1">
      <c r="A5" s="748"/>
      <c r="B5" s="377"/>
      <c r="C5" s="377"/>
      <c r="D5" s="377"/>
      <c r="E5" s="377"/>
      <c r="F5" s="377"/>
      <c r="G5" s="377"/>
      <c r="H5" s="377"/>
      <c r="I5" s="377"/>
      <c r="J5" s="377"/>
      <c r="K5" s="377"/>
      <c r="L5" s="377"/>
      <c r="M5" s="377"/>
      <c r="N5" s="377"/>
      <c r="O5" s="749"/>
      <c r="P5" s="215"/>
      <c r="Q5" s="215"/>
      <c r="R5" s="215"/>
      <c r="S5" s="215"/>
    </row>
    <row r="6" spans="1:19" ht="15">
      <c r="A6" s="3991" t="s">
        <v>355</v>
      </c>
      <c r="B6" s="3992"/>
      <c r="C6" s="3992"/>
      <c r="D6" s="3992"/>
      <c r="E6" s="3992"/>
      <c r="F6" s="3992"/>
      <c r="G6" s="3992"/>
      <c r="H6" s="3992"/>
      <c r="I6" s="3992"/>
      <c r="J6" s="3992"/>
      <c r="K6" s="3992"/>
      <c r="L6" s="3992"/>
      <c r="M6" s="3992"/>
      <c r="N6" s="3992"/>
      <c r="O6" s="3993"/>
      <c r="P6" s="215"/>
      <c r="Q6" s="215"/>
      <c r="R6" s="215"/>
      <c r="S6" s="215"/>
    </row>
    <row r="7" spans="1:19" ht="10.5" customHeight="1">
      <c r="A7" s="744"/>
      <c r="B7" s="378"/>
      <c r="C7" s="378"/>
      <c r="D7" s="378"/>
      <c r="E7" s="378"/>
      <c r="F7" s="378"/>
      <c r="G7" s="378"/>
      <c r="H7" s="378"/>
      <c r="I7" s="378"/>
      <c r="J7" s="378"/>
      <c r="K7" s="378"/>
      <c r="L7" s="378"/>
      <c r="M7" s="378"/>
      <c r="N7" s="378"/>
      <c r="O7" s="745"/>
      <c r="P7" s="215"/>
      <c r="Q7" s="215"/>
      <c r="R7" s="215"/>
      <c r="S7" s="215"/>
    </row>
    <row r="8" spans="1:19" ht="15" customHeight="1">
      <c r="A8" s="746"/>
      <c r="B8" s="222" t="s">
        <v>147</v>
      </c>
      <c r="C8" s="4026" t="s">
        <v>205</v>
      </c>
      <c r="D8" s="4040"/>
      <c r="E8" s="4040"/>
      <c r="F8" s="4040"/>
      <c r="G8" s="4040"/>
      <c r="H8" s="4040"/>
      <c r="I8" s="4040"/>
      <c r="J8" s="4040"/>
      <c r="K8" s="238"/>
      <c r="L8" s="237"/>
      <c r="M8" s="237"/>
      <c r="N8" s="216"/>
      <c r="O8" s="747"/>
      <c r="P8" s="215"/>
      <c r="Q8" s="215"/>
      <c r="R8" s="215"/>
      <c r="S8" s="215"/>
    </row>
    <row r="9" spans="1:19" ht="18" customHeight="1">
      <c r="A9" s="750"/>
      <c r="B9" s="225"/>
      <c r="C9" s="226" t="s">
        <v>514</v>
      </c>
      <c r="D9" s="226"/>
      <c r="E9" s="226"/>
      <c r="F9" s="226"/>
      <c r="G9" s="226"/>
      <c r="H9" s="226"/>
      <c r="I9" s="226"/>
      <c r="J9" s="226"/>
      <c r="K9" s="226"/>
      <c r="L9" s="226"/>
      <c r="M9" s="226"/>
      <c r="N9" s="226"/>
      <c r="O9" s="747"/>
      <c r="P9" s="215"/>
      <c r="Q9" s="215"/>
      <c r="R9" s="215"/>
      <c r="S9" s="215"/>
    </row>
    <row r="10" spans="1:19" ht="10.5" customHeight="1">
      <c r="A10" s="751"/>
      <c r="B10" s="217"/>
      <c r="C10" s="217"/>
      <c r="D10" s="217"/>
      <c r="E10" s="217"/>
      <c r="F10" s="217"/>
      <c r="G10" s="217"/>
      <c r="H10" s="217"/>
      <c r="I10" s="217"/>
      <c r="J10" s="217"/>
      <c r="K10" s="217"/>
      <c r="L10" s="217"/>
      <c r="M10" s="217"/>
      <c r="N10" s="217"/>
      <c r="O10" s="747"/>
      <c r="P10" s="215"/>
      <c r="Q10" s="215"/>
      <c r="R10" s="215"/>
      <c r="S10" s="215"/>
    </row>
    <row r="11" spans="1:19" ht="15" customHeight="1">
      <c r="A11" s="746"/>
      <c r="B11" s="222" t="s">
        <v>631</v>
      </c>
      <c r="C11" s="223" t="s">
        <v>358</v>
      </c>
      <c r="D11" s="219"/>
      <c r="E11" s="219"/>
      <c r="F11" s="214"/>
      <c r="G11" s="214"/>
      <c r="H11" s="238"/>
      <c r="I11" s="237"/>
      <c r="J11" s="216"/>
      <c r="K11" s="238"/>
      <c r="L11" s="216"/>
      <c r="M11" s="237"/>
      <c r="N11" s="237"/>
      <c r="O11" s="747"/>
      <c r="P11" s="215"/>
      <c r="Q11" s="215"/>
      <c r="R11" s="215"/>
      <c r="S11" s="215"/>
    </row>
    <row r="12" spans="1:19" ht="10.5" customHeight="1">
      <c r="A12" s="751"/>
      <c r="B12" s="217"/>
      <c r="C12" s="217"/>
      <c r="D12" s="217"/>
      <c r="E12" s="217"/>
      <c r="F12" s="217"/>
      <c r="G12" s="217"/>
      <c r="H12" s="217"/>
      <c r="I12" s="217"/>
      <c r="J12" s="217"/>
      <c r="K12" s="217"/>
      <c r="L12" s="217"/>
      <c r="M12" s="217"/>
      <c r="N12" s="217"/>
      <c r="O12" s="747"/>
      <c r="P12" s="215"/>
      <c r="Q12" s="215"/>
      <c r="R12" s="215"/>
      <c r="S12" s="215"/>
    </row>
    <row r="13" spans="1:19" ht="19.5" customHeight="1">
      <c r="A13" s="746"/>
      <c r="B13" s="222"/>
      <c r="C13" s="273" t="s">
        <v>194</v>
      </c>
      <c r="D13" s="219" t="s">
        <v>206</v>
      </c>
      <c r="E13" s="1210"/>
      <c r="F13" s="219" t="s">
        <v>359</v>
      </c>
      <c r="G13" s="4041" t="s">
        <v>906</v>
      </c>
      <c r="H13" s="4042"/>
      <c r="I13" s="4042"/>
      <c r="J13" s="4042"/>
      <c r="K13" s="4042"/>
      <c r="L13" s="4042"/>
      <c r="M13" s="4042"/>
      <c r="N13" s="4042"/>
      <c r="O13" s="747"/>
      <c r="P13" s="215"/>
      <c r="Q13" s="215"/>
      <c r="R13" s="215"/>
      <c r="S13" s="215"/>
    </row>
    <row r="14" spans="1:19" ht="15">
      <c r="A14" s="746"/>
      <c r="B14" s="222"/>
      <c r="C14" s="273"/>
      <c r="D14" s="219"/>
      <c r="E14" s="219"/>
      <c r="F14" s="219"/>
      <c r="G14" s="4042"/>
      <c r="H14" s="4042"/>
      <c r="I14" s="4042"/>
      <c r="J14" s="4042"/>
      <c r="K14" s="4042"/>
      <c r="L14" s="4042"/>
      <c r="M14" s="4042"/>
      <c r="N14" s="4042"/>
      <c r="O14" s="747"/>
      <c r="P14" s="215"/>
      <c r="Q14" s="215"/>
      <c r="R14" s="215"/>
      <c r="S14" s="215"/>
    </row>
    <row r="15" spans="1:19" ht="19.5" customHeight="1">
      <c r="A15" s="746"/>
      <c r="B15" s="222"/>
      <c r="C15" s="273" t="s">
        <v>195</v>
      </c>
      <c r="D15" s="223" t="s">
        <v>356</v>
      </c>
      <c r="E15" s="1210"/>
      <c r="F15" s="219" t="s">
        <v>359</v>
      </c>
      <c r="G15" s="4043"/>
      <c r="H15" s="4043"/>
      <c r="I15" s="4043"/>
      <c r="J15" s="4043"/>
      <c r="K15" s="4043"/>
      <c r="L15" s="4043"/>
      <c r="M15" s="4043"/>
      <c r="N15" s="4043"/>
      <c r="O15" s="747"/>
      <c r="P15" s="215"/>
      <c r="Q15" s="215"/>
      <c r="R15" s="215"/>
      <c r="S15" s="215"/>
    </row>
    <row r="16" spans="1:19" ht="10.5" customHeight="1">
      <c r="A16" s="751"/>
      <c r="B16" s="217"/>
      <c r="C16" s="411"/>
      <c r="D16" s="217"/>
      <c r="E16" s="217"/>
      <c r="F16" s="217"/>
      <c r="G16" s="217"/>
      <c r="H16" s="217"/>
      <c r="I16" s="217"/>
      <c r="J16" s="217"/>
      <c r="K16" s="217"/>
      <c r="L16" s="217"/>
      <c r="M16" s="217"/>
      <c r="N16" s="217"/>
      <c r="O16" s="747"/>
      <c r="P16" s="215"/>
      <c r="Q16" s="215"/>
      <c r="R16" s="215"/>
      <c r="S16" s="215"/>
    </row>
    <row r="17" spans="1:19" ht="19.5" customHeight="1">
      <c r="A17" s="746"/>
      <c r="B17" s="222"/>
      <c r="C17" s="273" t="s">
        <v>196</v>
      </c>
      <c r="D17" s="223" t="s">
        <v>357</v>
      </c>
      <c r="E17" s="1210"/>
      <c r="F17" s="219" t="s">
        <v>359</v>
      </c>
      <c r="G17" s="214"/>
      <c r="H17" s="214"/>
      <c r="I17" s="214"/>
      <c r="J17" s="214"/>
      <c r="K17" s="214"/>
      <c r="L17" s="214"/>
      <c r="M17" s="214"/>
      <c r="N17" s="214"/>
      <c r="O17" s="747"/>
      <c r="P17" s="215"/>
      <c r="Q17" s="215"/>
      <c r="R17" s="215"/>
      <c r="S17" s="215"/>
    </row>
    <row r="18" spans="1:19" ht="10.5" customHeight="1">
      <c r="A18" s="4046"/>
      <c r="B18" s="4047"/>
      <c r="C18" s="4047"/>
      <c r="D18" s="4047"/>
      <c r="E18" s="4047"/>
      <c r="F18" s="4047"/>
      <c r="G18" s="4047"/>
      <c r="H18" s="4047"/>
      <c r="I18" s="4047"/>
      <c r="J18" s="4047"/>
      <c r="K18" s="4047"/>
      <c r="L18" s="4047"/>
      <c r="M18" s="4047"/>
      <c r="N18" s="4047"/>
      <c r="O18" s="749"/>
      <c r="P18" s="215"/>
      <c r="Q18" s="215"/>
      <c r="R18" s="215"/>
      <c r="S18" s="215"/>
    </row>
    <row r="19" spans="1:19" ht="18.600000000000001" customHeight="1">
      <c r="A19" s="3991" t="s">
        <v>360</v>
      </c>
      <c r="B19" s="3992"/>
      <c r="C19" s="3992"/>
      <c r="D19" s="3992"/>
      <c r="E19" s="3992"/>
      <c r="F19" s="3992"/>
      <c r="G19" s="3992"/>
      <c r="H19" s="3992"/>
      <c r="I19" s="3992"/>
      <c r="J19" s="3992"/>
      <c r="K19" s="3992"/>
      <c r="L19" s="3992"/>
      <c r="M19" s="3992"/>
      <c r="N19" s="3992"/>
      <c r="O19" s="3993"/>
      <c r="P19" s="215"/>
      <c r="Q19" s="215"/>
      <c r="R19" s="215"/>
      <c r="S19" s="215"/>
    </row>
    <row r="20" spans="1:19" ht="33.75" customHeight="1">
      <c r="A20" s="4037" t="s">
        <v>907</v>
      </c>
      <c r="B20" s="4038"/>
      <c r="C20" s="4038"/>
      <c r="D20" s="4038"/>
      <c r="E20" s="4038"/>
      <c r="F20" s="4038"/>
      <c r="G20" s="4038"/>
      <c r="H20" s="4038"/>
      <c r="I20" s="4038"/>
      <c r="J20" s="4038"/>
      <c r="K20" s="4038"/>
      <c r="L20" s="4038"/>
      <c r="M20" s="4038"/>
      <c r="N20" s="4038"/>
      <c r="O20" s="745"/>
      <c r="P20" s="215"/>
      <c r="Q20" s="215"/>
      <c r="R20" s="215"/>
      <c r="S20" s="215"/>
    </row>
    <row r="21" spans="1:19" ht="10.5" customHeight="1">
      <c r="A21" s="4039"/>
      <c r="B21" s="4013"/>
      <c r="C21" s="4013"/>
      <c r="D21" s="4013"/>
      <c r="E21" s="4013"/>
      <c r="F21" s="4013"/>
      <c r="G21" s="4013"/>
      <c r="H21" s="4013"/>
      <c r="I21" s="4013"/>
      <c r="J21" s="4013"/>
      <c r="K21" s="4013"/>
      <c r="L21" s="4013"/>
      <c r="M21" s="4013"/>
      <c r="N21" s="4013"/>
      <c r="O21" s="747"/>
      <c r="P21" s="215"/>
      <c r="Q21" s="215"/>
      <c r="R21" s="215"/>
      <c r="S21" s="215"/>
    </row>
    <row r="22" spans="1:19" ht="19.5" customHeight="1">
      <c r="A22" s="746"/>
      <c r="B22" s="222" t="s">
        <v>147</v>
      </c>
      <c r="C22" s="219" t="s">
        <v>197</v>
      </c>
      <c r="D22" s="219"/>
      <c r="E22" s="219"/>
      <c r="F22" s="214"/>
      <c r="G22" s="214"/>
      <c r="H22" s="214"/>
      <c r="I22" s="4044"/>
      <c r="J22" s="4045"/>
      <c r="K22" s="214" t="s">
        <v>313</v>
      </c>
      <c r="L22" s="219"/>
      <c r="M22" s="219"/>
      <c r="N22" s="214"/>
      <c r="O22" s="747"/>
      <c r="P22" s="215"/>
      <c r="Q22" s="215"/>
      <c r="R22" s="215"/>
      <c r="S22" s="215"/>
    </row>
    <row r="23" spans="1:19" ht="15" customHeight="1">
      <c r="A23" s="746"/>
      <c r="B23" s="222"/>
      <c r="C23" s="228" t="s">
        <v>787</v>
      </c>
      <c r="D23" s="219"/>
      <c r="E23" s="219"/>
      <c r="F23" s="214"/>
      <c r="G23" s="214"/>
      <c r="H23" s="214"/>
      <c r="I23" s="214"/>
      <c r="J23" s="214"/>
      <c r="K23" s="214"/>
      <c r="L23" s="214"/>
      <c r="M23" s="214"/>
      <c r="N23" s="214"/>
      <c r="O23" s="747"/>
      <c r="P23" s="215"/>
      <c r="Q23" s="215"/>
      <c r="R23" s="215"/>
      <c r="S23" s="215"/>
    </row>
    <row r="24" spans="1:19" ht="10.5" customHeight="1">
      <c r="A24" s="751"/>
      <c r="B24" s="217"/>
      <c r="C24" s="217"/>
      <c r="D24" s="217"/>
      <c r="E24" s="217"/>
      <c r="F24" s="217"/>
      <c r="G24" s="217"/>
      <c r="H24" s="217"/>
      <c r="I24" s="217"/>
      <c r="J24" s="217"/>
      <c r="K24" s="217"/>
      <c r="L24" s="217"/>
      <c r="M24" s="217"/>
      <c r="N24" s="217"/>
      <c r="O24" s="747"/>
      <c r="P24" s="215"/>
      <c r="Q24" s="215"/>
      <c r="R24" s="215"/>
      <c r="S24" s="215"/>
    </row>
    <row r="25" spans="1:19" ht="18" customHeight="1">
      <c r="A25" s="746"/>
      <c r="B25" s="222" t="s">
        <v>631</v>
      </c>
      <c r="C25" s="223" t="s">
        <v>544</v>
      </c>
      <c r="D25" s="219"/>
      <c r="E25" s="219"/>
      <c r="F25" s="214"/>
      <c r="G25" s="214"/>
      <c r="H25" s="214"/>
      <c r="I25" s="214"/>
      <c r="J25" s="214"/>
      <c r="K25" s="214"/>
      <c r="L25" s="214"/>
      <c r="M25" s="214"/>
      <c r="N25" s="214"/>
      <c r="O25" s="747"/>
      <c r="P25" s="215"/>
      <c r="Q25" s="215"/>
      <c r="R25" s="215"/>
      <c r="S25" s="215"/>
    </row>
    <row r="26" spans="1:19" ht="19.5" customHeight="1">
      <c r="A26" s="746"/>
      <c r="B26" s="222"/>
      <c r="C26" s="3994">
        <f>I22</f>
        <v>0</v>
      </c>
      <c r="D26" s="3995"/>
      <c r="E26" s="229" t="s">
        <v>101</v>
      </c>
      <c r="F26" s="1211"/>
      <c r="G26" s="219" t="s">
        <v>503</v>
      </c>
      <c r="H26" s="229" t="s">
        <v>102</v>
      </c>
      <c r="I26" s="4048" t="str">
        <f>IF(ISBLANK(F26),"",C26*F26)</f>
        <v/>
      </c>
      <c r="J26" s="4049"/>
      <c r="K26" s="214" t="s">
        <v>96</v>
      </c>
      <c r="L26" s="214"/>
      <c r="M26" s="214"/>
      <c r="N26" s="214"/>
      <c r="O26" s="747"/>
      <c r="P26" s="215"/>
      <c r="Q26" s="215"/>
      <c r="R26" s="215"/>
      <c r="S26" s="215"/>
    </row>
    <row r="27" spans="1:19" ht="10.5" customHeight="1">
      <c r="A27" s="748"/>
      <c r="B27" s="377"/>
      <c r="C27" s="377"/>
      <c r="D27" s="377"/>
      <c r="E27" s="377"/>
      <c r="F27" s="377"/>
      <c r="G27" s="377"/>
      <c r="H27" s="377"/>
      <c r="I27" s="377"/>
      <c r="J27" s="377"/>
      <c r="K27" s="377"/>
      <c r="L27" s="377"/>
      <c r="M27" s="377"/>
      <c r="N27" s="377"/>
      <c r="O27" s="749"/>
      <c r="P27" s="215"/>
      <c r="Q27" s="215"/>
      <c r="R27" s="215"/>
      <c r="S27" s="215"/>
    </row>
    <row r="28" spans="1:19" ht="18.75" customHeight="1">
      <c r="A28" s="4032" t="s">
        <v>292</v>
      </c>
      <c r="B28" s="4033"/>
      <c r="C28" s="4033"/>
      <c r="D28" s="4033"/>
      <c r="E28" s="4033"/>
      <c r="F28" s="4033"/>
      <c r="G28" s="4033"/>
      <c r="H28" s="4033"/>
      <c r="I28" s="4033"/>
      <c r="J28" s="4033"/>
      <c r="K28" s="4033"/>
      <c r="L28" s="4033"/>
      <c r="M28" s="4033"/>
      <c r="N28" s="4033"/>
      <c r="O28" s="4034"/>
      <c r="P28" s="215"/>
      <c r="Q28" s="215"/>
      <c r="R28" s="215"/>
      <c r="S28" s="215"/>
    </row>
    <row r="29" spans="1:19" ht="10.5" customHeight="1">
      <c r="A29" s="752"/>
      <c r="B29" s="243"/>
      <c r="C29" s="246"/>
      <c r="D29" s="244"/>
      <c r="E29" s="244"/>
      <c r="F29" s="245"/>
      <c r="G29" s="246"/>
      <c r="H29" s="246"/>
      <c r="I29" s="246"/>
      <c r="J29" s="245"/>
      <c r="K29" s="390"/>
      <c r="L29" s="388"/>
      <c r="M29" s="388"/>
      <c r="N29" s="388"/>
      <c r="O29" s="745"/>
      <c r="P29" s="215"/>
      <c r="Q29" s="215"/>
      <c r="R29" s="215"/>
      <c r="S29" s="215"/>
    </row>
    <row r="30" spans="1:19" ht="15" customHeight="1">
      <c r="A30" s="746"/>
      <c r="B30" s="218" t="s">
        <v>147</v>
      </c>
      <c r="C30" s="223" t="s">
        <v>516</v>
      </c>
      <c r="D30" s="219"/>
      <c r="E30" s="219"/>
      <c r="F30" s="229"/>
      <c r="G30" s="214"/>
      <c r="H30" s="214"/>
      <c r="I30" s="214"/>
      <c r="J30" s="229"/>
      <c r="K30" s="231"/>
      <c r="L30" s="3996" t="s">
        <v>908</v>
      </c>
      <c r="M30" s="3997"/>
      <c r="N30" s="3998"/>
      <c r="O30" s="747"/>
      <c r="P30" s="215"/>
      <c r="Q30" s="215"/>
      <c r="R30" s="215"/>
      <c r="S30" s="215"/>
    </row>
    <row r="31" spans="1:19" ht="10.5" customHeight="1">
      <c r="A31" s="746"/>
      <c r="B31" s="218"/>
      <c r="C31" s="223"/>
      <c r="D31" s="219"/>
      <c r="E31" s="219"/>
      <c r="F31" s="229"/>
      <c r="G31" s="214"/>
      <c r="H31" s="214"/>
      <c r="I31" s="214"/>
      <c r="J31" s="229"/>
      <c r="K31" s="231"/>
      <c r="L31" s="3999"/>
      <c r="M31" s="4000"/>
      <c r="N31" s="4001"/>
      <c r="O31" s="747"/>
      <c r="P31" s="215"/>
      <c r="Q31" s="215"/>
      <c r="R31" s="215"/>
      <c r="S31" s="215"/>
    </row>
    <row r="32" spans="1:19" ht="19.5" customHeight="1">
      <c r="A32" s="746"/>
      <c r="B32" s="218"/>
      <c r="C32" s="232" t="s">
        <v>365</v>
      </c>
      <c r="D32" s="223"/>
      <c r="E32" s="223"/>
      <c r="F32" s="223"/>
      <c r="G32" s="214"/>
      <c r="H32" s="4015"/>
      <c r="I32" s="4016"/>
      <c r="J32" s="219" t="s">
        <v>96</v>
      </c>
      <c r="K32" s="231"/>
      <c r="L32" s="3999"/>
      <c r="M32" s="4000"/>
      <c r="N32" s="4001"/>
      <c r="O32" s="747"/>
      <c r="P32" s="215"/>
      <c r="Q32" s="215"/>
      <c r="R32" s="215"/>
      <c r="S32" s="215"/>
    </row>
    <row r="33" spans="1:19" ht="10.5" customHeight="1">
      <c r="A33" s="746"/>
      <c r="B33" s="218"/>
      <c r="C33" s="223"/>
      <c r="D33" s="219"/>
      <c r="E33" s="219"/>
      <c r="F33" s="229"/>
      <c r="G33" s="214"/>
      <c r="H33" s="214"/>
      <c r="I33" s="229"/>
      <c r="J33" s="234"/>
      <c r="K33" s="231"/>
      <c r="L33" s="3999"/>
      <c r="M33" s="4000"/>
      <c r="N33" s="4001"/>
      <c r="O33" s="747"/>
      <c r="P33" s="215"/>
      <c r="Q33" s="215"/>
      <c r="R33" s="215"/>
      <c r="S33" s="215"/>
    </row>
    <row r="34" spans="1:19" ht="19.5" customHeight="1">
      <c r="A34" s="746"/>
      <c r="B34" s="235"/>
      <c r="C34" s="232" t="s">
        <v>510</v>
      </c>
      <c r="D34" s="223"/>
      <c r="E34" s="223"/>
      <c r="F34" s="223"/>
      <c r="G34" s="223"/>
      <c r="H34" s="1212"/>
      <c r="I34" s="234"/>
      <c r="J34" s="214"/>
      <c r="K34" s="231"/>
      <c r="L34" s="3999"/>
      <c r="M34" s="4000"/>
      <c r="N34" s="4001"/>
      <c r="O34" s="747"/>
      <c r="P34" s="215"/>
      <c r="Q34" s="215"/>
      <c r="R34" s="215"/>
      <c r="S34" s="215"/>
    </row>
    <row r="35" spans="1:19" ht="10.5" customHeight="1">
      <c r="A35" s="746"/>
      <c r="B35" s="235"/>
      <c r="C35" s="214"/>
      <c r="D35" s="236"/>
      <c r="E35" s="236"/>
      <c r="F35" s="234"/>
      <c r="G35" s="214"/>
      <c r="H35" s="234"/>
      <c r="I35" s="237"/>
      <c r="J35" s="214"/>
      <c r="K35" s="231"/>
      <c r="L35" s="3999"/>
      <c r="M35" s="4000"/>
      <c r="N35" s="4001"/>
      <c r="O35" s="747"/>
      <c r="P35" s="215"/>
      <c r="Q35" s="215"/>
      <c r="R35" s="215"/>
      <c r="S35" s="215"/>
    </row>
    <row r="36" spans="1:19" ht="19.5" customHeight="1">
      <c r="A36" s="746"/>
      <c r="B36" s="235"/>
      <c r="C36" s="4013" t="s">
        <v>362</v>
      </c>
      <c r="D36" s="4014"/>
      <c r="E36" s="4014"/>
      <c r="F36" s="4014"/>
      <c r="G36" s="4014"/>
      <c r="H36" s="1212"/>
      <c r="I36" s="238" t="s">
        <v>361</v>
      </c>
      <c r="J36" s="214"/>
      <c r="K36" s="231"/>
      <c r="L36" s="4002"/>
      <c r="M36" s="4003"/>
      <c r="N36" s="4004"/>
      <c r="O36" s="747"/>
      <c r="P36" s="215"/>
      <c r="Q36" s="215"/>
      <c r="R36" s="215"/>
      <c r="S36" s="215"/>
    </row>
    <row r="37" spans="1:19" ht="10.5" customHeight="1">
      <c r="A37" s="746"/>
      <c r="B37" s="235"/>
      <c r="C37" s="214"/>
      <c r="D37" s="236"/>
      <c r="E37" s="236"/>
      <c r="F37" s="234"/>
      <c r="G37" s="214"/>
      <c r="H37" s="234"/>
      <c r="I37" s="237"/>
      <c r="J37" s="214"/>
      <c r="K37" s="231"/>
      <c r="L37" s="520"/>
      <c r="M37" s="520"/>
      <c r="N37" s="520"/>
      <c r="O37" s="747"/>
      <c r="P37" s="215"/>
      <c r="Q37" s="215"/>
      <c r="R37" s="215"/>
      <c r="S37" s="215"/>
    </row>
    <row r="38" spans="1:19" ht="15" customHeight="1">
      <c r="A38" s="746"/>
      <c r="B38" s="222" t="s">
        <v>631</v>
      </c>
      <c r="C38" s="223" t="s">
        <v>293</v>
      </c>
      <c r="D38" s="219"/>
      <c r="E38" s="219"/>
      <c r="F38" s="214"/>
      <c r="G38" s="214"/>
      <c r="H38" s="238"/>
      <c r="I38" s="237"/>
      <c r="J38" s="216"/>
      <c r="K38" s="238"/>
      <c r="L38" s="520"/>
      <c r="M38" s="520"/>
      <c r="N38" s="520"/>
      <c r="O38" s="747"/>
      <c r="P38" s="215"/>
      <c r="Q38" s="215"/>
      <c r="R38" s="215"/>
      <c r="S38" s="215"/>
    </row>
    <row r="39" spans="1:19" ht="18" customHeight="1">
      <c r="A39" s="746"/>
      <c r="B39" s="222"/>
      <c r="C39" s="223" t="s">
        <v>294</v>
      </c>
      <c r="D39" s="219"/>
      <c r="E39" s="219"/>
      <c r="F39" s="214"/>
      <c r="G39" s="214"/>
      <c r="H39" s="214"/>
      <c r="I39" s="214"/>
      <c r="J39" s="214"/>
      <c r="K39" s="214"/>
      <c r="L39" s="214"/>
      <c r="M39" s="214"/>
      <c r="N39" s="214"/>
      <c r="O39" s="747"/>
      <c r="P39" s="215"/>
      <c r="Q39" s="215"/>
      <c r="R39" s="215"/>
      <c r="S39" s="215"/>
    </row>
    <row r="40" spans="1:19" ht="19.5" customHeight="1">
      <c r="A40" s="746"/>
      <c r="B40" s="222"/>
      <c r="C40" s="4005">
        <f>I4</f>
        <v>0</v>
      </c>
      <c r="D40" s="4006"/>
      <c r="E40" s="229" t="s">
        <v>101</v>
      </c>
      <c r="F40" s="1210"/>
      <c r="G40" s="219" t="s">
        <v>503</v>
      </c>
      <c r="H40" s="229" t="s">
        <v>102</v>
      </c>
      <c r="I40" s="4058" t="str">
        <f>IF(ISBLANK(F40),"",C40*F40)</f>
        <v/>
      </c>
      <c r="J40" s="4059"/>
      <c r="K40" s="214" t="s">
        <v>96</v>
      </c>
      <c r="L40" s="214"/>
      <c r="M40" s="214"/>
      <c r="N40" s="214"/>
      <c r="O40" s="747"/>
      <c r="P40" s="215"/>
      <c r="Q40" s="215"/>
      <c r="R40" s="215"/>
      <c r="S40" s="215"/>
    </row>
    <row r="41" spans="1:19" ht="10.5" customHeight="1">
      <c r="A41" s="748"/>
      <c r="B41" s="377"/>
      <c r="C41" s="377"/>
      <c r="D41" s="377"/>
      <c r="E41" s="377"/>
      <c r="F41" s="377"/>
      <c r="G41" s="377"/>
      <c r="H41" s="377"/>
      <c r="I41" s="377"/>
      <c r="J41" s="377"/>
      <c r="K41" s="377"/>
      <c r="L41" s="377"/>
      <c r="M41" s="377"/>
      <c r="N41" s="377"/>
      <c r="O41" s="749"/>
      <c r="P41" s="215"/>
      <c r="Q41" s="215"/>
      <c r="R41" s="215"/>
      <c r="S41" s="215"/>
    </row>
    <row r="42" spans="1:19" ht="10.5" customHeight="1">
      <c r="A42" s="744"/>
      <c r="B42" s="378"/>
      <c r="C42" s="378"/>
      <c r="D42" s="378"/>
      <c r="E42" s="378"/>
      <c r="F42" s="378"/>
      <c r="G42" s="378"/>
      <c r="H42" s="378"/>
      <c r="I42" s="378"/>
      <c r="J42" s="378"/>
      <c r="K42" s="378"/>
      <c r="L42" s="378"/>
      <c r="M42" s="378"/>
      <c r="N42" s="378"/>
      <c r="O42" s="745"/>
      <c r="P42" s="215"/>
      <c r="Q42" s="215"/>
      <c r="R42" s="215"/>
      <c r="S42" s="215"/>
    </row>
    <row r="43" spans="1:19" ht="15" customHeight="1">
      <c r="A43" s="746"/>
      <c r="B43" s="218" t="s">
        <v>631</v>
      </c>
      <c r="C43" s="223" t="s">
        <v>504</v>
      </c>
      <c r="D43" s="219"/>
      <c r="E43" s="219"/>
      <c r="F43" s="229"/>
      <c r="G43" s="214"/>
      <c r="H43" s="214"/>
      <c r="I43" s="214"/>
      <c r="J43" s="229"/>
      <c r="K43" s="234"/>
      <c r="L43" s="380"/>
      <c r="M43" s="380"/>
      <c r="N43" s="380"/>
      <c r="O43" s="747"/>
      <c r="P43" s="215"/>
      <c r="Q43" s="215"/>
      <c r="R43" s="215"/>
      <c r="S43" s="215"/>
    </row>
    <row r="44" spans="1:19" ht="15" customHeight="1">
      <c r="A44" s="746"/>
      <c r="B44" s="218"/>
      <c r="C44" s="223" t="s">
        <v>542</v>
      </c>
      <c r="D44" s="219"/>
      <c r="E44" s="219"/>
      <c r="F44" s="229"/>
      <c r="G44" s="214"/>
      <c r="H44" s="214"/>
      <c r="I44" s="214"/>
      <c r="J44" s="229"/>
      <c r="K44" s="234"/>
      <c r="L44" s="214"/>
      <c r="M44" s="214"/>
      <c r="N44" s="214"/>
      <c r="O44" s="747"/>
      <c r="P44" s="215"/>
      <c r="Q44" s="215"/>
      <c r="R44" s="215"/>
      <c r="S44" s="215"/>
    </row>
    <row r="45" spans="1:19" ht="10.5" customHeight="1">
      <c r="A45" s="746"/>
      <c r="B45" s="218"/>
      <c r="C45" s="223"/>
      <c r="D45" s="219"/>
      <c r="E45" s="219"/>
      <c r="F45" s="229"/>
      <c r="G45" s="214"/>
      <c r="H45" s="214"/>
      <c r="I45" s="214"/>
      <c r="J45" s="229"/>
      <c r="K45" s="234"/>
      <c r="L45" s="4050" t="s">
        <v>910</v>
      </c>
      <c r="M45" s="4051"/>
      <c r="N45" s="4052"/>
      <c r="O45" s="747"/>
      <c r="P45" s="215"/>
      <c r="Q45" s="215"/>
      <c r="R45" s="215"/>
      <c r="S45" s="215"/>
    </row>
    <row r="46" spans="1:19" ht="19.5" customHeight="1">
      <c r="A46" s="746"/>
      <c r="B46" s="218"/>
      <c r="C46" s="4005" t="str">
        <f>IF(ISBLANK(I4)," ",I4)</f>
        <v xml:space="preserve"> </v>
      </c>
      <c r="D46" s="4006"/>
      <c r="E46" s="229" t="s">
        <v>101</v>
      </c>
      <c r="F46" s="219" t="s">
        <v>506</v>
      </c>
      <c r="G46" s="219"/>
      <c r="H46" s="4035" t="str">
        <f>IF(ISBLANK(I4), " ", C46*3)</f>
        <v xml:space="preserve"> </v>
      </c>
      <c r="I46" s="4036"/>
      <c r="J46" s="214" t="s">
        <v>96</v>
      </c>
      <c r="K46" s="214"/>
      <c r="L46" s="4053"/>
      <c r="M46" s="4042"/>
      <c r="N46" s="4054"/>
      <c r="O46" s="747"/>
      <c r="P46" s="215"/>
      <c r="Q46" s="215"/>
      <c r="R46" s="215"/>
      <c r="S46" s="215"/>
    </row>
    <row r="47" spans="1:19" ht="10.5" customHeight="1">
      <c r="A47" s="746"/>
      <c r="B47" s="218"/>
      <c r="C47" s="223"/>
      <c r="D47" s="239"/>
      <c r="E47" s="229"/>
      <c r="F47" s="214"/>
      <c r="G47" s="214"/>
      <c r="H47" s="240"/>
      <c r="I47" s="217"/>
      <c r="J47" s="214"/>
      <c r="K47" s="214"/>
      <c r="L47" s="4053"/>
      <c r="M47" s="4042"/>
      <c r="N47" s="4054"/>
      <c r="O47" s="747"/>
      <c r="P47" s="215"/>
      <c r="Q47" s="215"/>
      <c r="R47" s="215"/>
      <c r="S47" s="215"/>
    </row>
    <row r="48" spans="1:19" ht="19.5" customHeight="1">
      <c r="A48" s="746"/>
      <c r="B48" s="218"/>
      <c r="C48" s="223" t="s">
        <v>207</v>
      </c>
      <c r="D48" s="223"/>
      <c r="E48" s="223"/>
      <c r="F48" s="223"/>
      <c r="G48" s="223"/>
      <c r="H48" s="1212"/>
      <c r="I48" s="234"/>
      <c r="J48" s="214"/>
      <c r="K48" s="214"/>
      <c r="L48" s="4053"/>
      <c r="M48" s="4042"/>
      <c r="N48" s="4054"/>
      <c r="O48" s="747"/>
      <c r="P48" s="215"/>
      <c r="Q48" s="215"/>
      <c r="R48" s="215"/>
      <c r="S48" s="215"/>
    </row>
    <row r="49" spans="1:19" ht="10.5" customHeight="1">
      <c r="A49" s="746"/>
      <c r="B49" s="218"/>
      <c r="C49" s="214"/>
      <c r="D49" s="236"/>
      <c r="E49" s="236"/>
      <c r="F49" s="234"/>
      <c r="G49" s="214"/>
      <c r="H49" s="234"/>
      <c r="I49" s="237"/>
      <c r="J49" s="214"/>
      <c r="K49" s="234"/>
      <c r="L49" s="4053"/>
      <c r="M49" s="4042"/>
      <c r="N49" s="4054"/>
      <c r="O49" s="747"/>
      <c r="P49" s="215"/>
      <c r="Q49" s="215"/>
      <c r="R49" s="215"/>
      <c r="S49" s="215"/>
    </row>
    <row r="50" spans="1:19" ht="19.5" customHeight="1">
      <c r="A50" s="746"/>
      <c r="B50" s="218"/>
      <c r="C50" s="4013" t="s">
        <v>362</v>
      </c>
      <c r="D50" s="4014"/>
      <c r="E50" s="4014"/>
      <c r="F50" s="4014"/>
      <c r="G50" s="4014"/>
      <c r="H50" s="1212"/>
      <c r="I50" s="238" t="s">
        <v>361</v>
      </c>
      <c r="J50" s="214"/>
      <c r="K50" s="234"/>
      <c r="L50" s="4053"/>
      <c r="M50" s="4042"/>
      <c r="N50" s="4054"/>
      <c r="O50" s="747"/>
      <c r="P50" s="215"/>
      <c r="Q50" s="215"/>
      <c r="R50" s="215"/>
      <c r="S50" s="528"/>
    </row>
    <row r="51" spans="1:19" ht="10.5" customHeight="1">
      <c r="A51" s="746"/>
      <c r="B51" s="218"/>
      <c r="C51" s="227"/>
      <c r="D51" s="379"/>
      <c r="E51" s="379"/>
      <c r="F51" s="379"/>
      <c r="G51" s="379"/>
      <c r="H51" s="234"/>
      <c r="I51" s="234"/>
      <c r="J51" s="214"/>
      <c r="K51" s="234"/>
      <c r="L51" s="4055"/>
      <c r="M51" s="4056"/>
      <c r="N51" s="4057"/>
      <c r="O51" s="747"/>
      <c r="P51" s="215"/>
      <c r="Q51" s="215"/>
      <c r="R51" s="215"/>
      <c r="S51" s="528"/>
    </row>
    <row r="52" spans="1:19" ht="15" customHeight="1">
      <c r="A52" s="746"/>
      <c r="B52" s="218" t="s">
        <v>149</v>
      </c>
      <c r="C52" s="223" t="s">
        <v>505</v>
      </c>
      <c r="D52" s="219"/>
      <c r="E52" s="219"/>
      <c r="F52" s="229"/>
      <c r="G52" s="214"/>
      <c r="H52" s="214"/>
      <c r="I52" s="214"/>
      <c r="J52" s="229"/>
      <c r="K52" s="234"/>
      <c r="L52" s="389"/>
      <c r="M52" s="389"/>
      <c r="N52" s="389"/>
      <c r="O52" s="747"/>
      <c r="P52" s="215"/>
      <c r="Q52" s="215"/>
      <c r="R52" s="215"/>
      <c r="S52" s="215"/>
    </row>
    <row r="53" spans="1:19" ht="15" customHeight="1">
      <c r="A53" s="746"/>
      <c r="B53" s="218"/>
      <c r="C53" s="223" t="s">
        <v>543</v>
      </c>
      <c r="D53" s="219"/>
      <c r="E53" s="219"/>
      <c r="F53" s="229"/>
      <c r="G53" s="214"/>
      <c r="H53" s="214"/>
      <c r="I53" s="214"/>
      <c r="J53" s="229"/>
      <c r="K53" s="234"/>
      <c r="L53" s="234"/>
      <c r="M53" s="214"/>
      <c r="N53" s="214"/>
      <c r="O53" s="747"/>
      <c r="P53" s="215"/>
      <c r="Q53" s="215"/>
      <c r="R53" s="215"/>
      <c r="S53" s="215"/>
    </row>
    <row r="54" spans="1:19" ht="10.5" customHeight="1">
      <c r="A54" s="746"/>
      <c r="B54" s="218"/>
      <c r="C54" s="223"/>
      <c r="D54" s="219"/>
      <c r="E54" s="219"/>
      <c r="F54" s="229"/>
      <c r="G54" s="214"/>
      <c r="H54" s="214"/>
      <c r="I54" s="214"/>
      <c r="J54" s="229"/>
      <c r="K54" s="234"/>
      <c r="L54" s="234"/>
      <c r="M54" s="214"/>
      <c r="N54" s="214"/>
      <c r="O54" s="747"/>
      <c r="P54" s="215"/>
      <c r="Q54" s="215"/>
      <c r="R54" s="215"/>
      <c r="S54" s="215"/>
    </row>
    <row r="55" spans="1:19" ht="19.5" customHeight="1">
      <c r="A55" s="746"/>
      <c r="B55" s="218"/>
      <c r="C55" s="4005" t="str">
        <f>C46</f>
        <v xml:space="preserve"> </v>
      </c>
      <c r="D55" s="4006"/>
      <c r="E55" s="229" t="s">
        <v>101</v>
      </c>
      <c r="F55" s="219" t="s">
        <v>507</v>
      </c>
      <c r="G55" s="214"/>
      <c r="H55" s="4007" t="str">
        <f>IF(ISBLANK(I4), " ", C55*4)</f>
        <v xml:space="preserve"> </v>
      </c>
      <c r="I55" s="4006"/>
      <c r="J55" s="214" t="s">
        <v>96</v>
      </c>
      <c r="K55" s="214"/>
      <c r="L55" s="214"/>
      <c r="M55" s="214"/>
      <c r="N55" s="214"/>
      <c r="O55" s="747"/>
      <c r="P55" s="215"/>
      <c r="Q55" s="215"/>
      <c r="R55" s="215"/>
      <c r="S55" s="215"/>
    </row>
    <row r="56" spans="1:19" ht="10.5" customHeight="1">
      <c r="A56" s="746"/>
      <c r="B56" s="218"/>
      <c r="C56" s="223"/>
      <c r="D56" s="219"/>
      <c r="E56" s="219"/>
      <c r="F56" s="229"/>
      <c r="G56" s="214"/>
      <c r="H56" s="214"/>
      <c r="I56" s="214"/>
      <c r="J56" s="229"/>
      <c r="K56" s="214"/>
      <c r="L56" s="214"/>
      <c r="M56" s="214"/>
      <c r="N56" s="214"/>
      <c r="O56" s="747"/>
      <c r="P56" s="215"/>
      <c r="Q56" s="215"/>
      <c r="R56" s="215"/>
      <c r="S56" s="215"/>
    </row>
    <row r="57" spans="1:19" ht="19.5" customHeight="1">
      <c r="A57" s="746"/>
      <c r="B57" s="218"/>
      <c r="C57" s="223" t="s">
        <v>208</v>
      </c>
      <c r="D57" s="223"/>
      <c r="E57" s="223"/>
      <c r="F57" s="223"/>
      <c r="G57" s="223"/>
      <c r="H57" s="1212"/>
      <c r="I57" s="234"/>
      <c r="J57" s="214"/>
      <c r="K57" s="233"/>
      <c r="L57" s="233"/>
      <c r="M57" s="233"/>
      <c r="N57" s="233"/>
      <c r="O57" s="747"/>
      <c r="P57" s="215"/>
      <c r="Q57" s="215"/>
      <c r="R57" s="215"/>
      <c r="S57" s="215"/>
    </row>
    <row r="58" spans="1:19" ht="10.5" customHeight="1">
      <c r="A58" s="746"/>
      <c r="B58" s="218"/>
      <c r="C58" s="214"/>
      <c r="D58" s="236"/>
      <c r="E58" s="236"/>
      <c r="F58" s="234"/>
      <c r="G58" s="214"/>
      <c r="H58" s="234"/>
      <c r="I58" s="237"/>
      <c r="J58" s="214"/>
      <c r="K58" s="234"/>
      <c r="L58" s="234"/>
      <c r="M58" s="214"/>
      <c r="N58" s="214"/>
      <c r="O58" s="747"/>
      <c r="P58" s="215"/>
      <c r="Q58" s="215"/>
      <c r="R58" s="215"/>
      <c r="S58" s="215"/>
    </row>
    <row r="59" spans="1:19" ht="19.5" customHeight="1">
      <c r="A59" s="746"/>
      <c r="B59" s="218"/>
      <c r="C59" s="4013" t="s">
        <v>362</v>
      </c>
      <c r="D59" s="4014"/>
      <c r="E59" s="4014"/>
      <c r="F59" s="4014"/>
      <c r="G59" s="4014"/>
      <c r="H59" s="1212"/>
      <c r="I59" s="238" t="s">
        <v>361</v>
      </c>
      <c r="J59" s="214"/>
      <c r="K59" s="234"/>
      <c r="L59" s="234"/>
      <c r="M59" s="214"/>
      <c r="N59" s="214"/>
      <c r="O59" s="747"/>
      <c r="P59" s="215"/>
      <c r="Q59" s="215"/>
      <c r="R59" s="215"/>
    </row>
    <row r="60" spans="1:19" ht="10.5" customHeight="1">
      <c r="A60" s="746"/>
      <c r="B60" s="218"/>
      <c r="C60" s="214"/>
      <c r="D60" s="236"/>
      <c r="E60" s="236"/>
      <c r="F60" s="234"/>
      <c r="G60" s="214"/>
      <c r="H60" s="234"/>
      <c r="I60" s="237"/>
      <c r="J60" s="214"/>
      <c r="K60" s="234"/>
      <c r="L60" s="234"/>
      <c r="M60" s="214"/>
      <c r="N60" s="214"/>
      <c r="O60" s="747"/>
      <c r="P60" s="215"/>
      <c r="Q60" s="215"/>
      <c r="R60" s="215"/>
    </row>
    <row r="61" spans="1:19" ht="15" customHeight="1">
      <c r="A61" s="746"/>
      <c r="B61" s="218" t="s">
        <v>588</v>
      </c>
      <c r="C61" s="223" t="s">
        <v>508</v>
      </c>
      <c r="D61" s="219"/>
      <c r="E61" s="219"/>
      <c r="F61" s="229"/>
      <c r="G61" s="214"/>
      <c r="H61" s="214"/>
      <c r="I61" s="214"/>
      <c r="J61" s="229"/>
      <c r="K61" s="234"/>
      <c r="L61" s="247"/>
      <c r="M61" s="248"/>
      <c r="N61" s="248"/>
      <c r="O61" s="747"/>
      <c r="P61" s="215"/>
      <c r="Q61" s="215"/>
      <c r="R61" s="215"/>
      <c r="S61" s="215"/>
    </row>
    <row r="62" spans="1:19" ht="31.5" customHeight="1">
      <c r="A62" s="746"/>
      <c r="B62" s="218"/>
      <c r="C62" s="4008" t="s">
        <v>509</v>
      </c>
      <c r="D62" s="4009"/>
      <c r="E62" s="4009"/>
      <c r="F62" s="4009"/>
      <c r="G62" s="4009"/>
      <c r="H62" s="4009"/>
      <c r="I62" s="4009"/>
      <c r="J62" s="4009"/>
      <c r="K62" s="4009"/>
      <c r="L62" s="4009"/>
      <c r="M62" s="4009"/>
      <c r="N62" s="4009"/>
      <c r="O62" s="747"/>
      <c r="P62" s="215"/>
      <c r="Q62" s="215"/>
      <c r="R62" s="215"/>
      <c r="S62" s="215"/>
    </row>
    <row r="63" spans="1:19" ht="10.5" customHeight="1">
      <c r="A63" s="746"/>
      <c r="B63" s="218"/>
      <c r="C63" s="223"/>
      <c r="D63" s="219"/>
      <c r="E63" s="219"/>
      <c r="F63" s="229"/>
      <c r="G63" s="214"/>
      <c r="H63" s="214"/>
      <c r="I63" s="214"/>
      <c r="J63" s="229"/>
      <c r="K63" s="234"/>
      <c r="L63" s="248"/>
      <c r="M63" s="248"/>
      <c r="N63" s="248"/>
      <c r="O63" s="747"/>
      <c r="P63" s="215"/>
      <c r="Q63" s="215"/>
      <c r="R63" s="215"/>
      <c r="S63" s="215"/>
    </row>
    <row r="64" spans="1:19" ht="19.5" customHeight="1">
      <c r="A64" s="746"/>
      <c r="B64" s="218"/>
      <c r="C64" s="249"/>
      <c r="D64" s="250"/>
      <c r="E64" s="229"/>
      <c r="F64" s="214"/>
      <c r="G64" s="214"/>
      <c r="H64" s="4015"/>
      <c r="I64" s="4016"/>
      <c r="J64" s="214" t="s">
        <v>96</v>
      </c>
      <c r="K64" s="247"/>
      <c r="L64" s="248"/>
      <c r="M64" s="248"/>
      <c r="N64" s="248"/>
      <c r="O64" s="747"/>
      <c r="P64" s="215"/>
      <c r="Q64" s="215"/>
      <c r="R64" s="215"/>
      <c r="S64" s="215"/>
    </row>
    <row r="65" spans="1:27" ht="10.5" customHeight="1">
      <c r="A65" s="746"/>
      <c r="B65" s="218"/>
      <c r="C65" s="223"/>
      <c r="D65" s="219"/>
      <c r="E65" s="219"/>
      <c r="F65" s="229"/>
      <c r="G65" s="214"/>
      <c r="H65" s="214"/>
      <c r="I65" s="214"/>
      <c r="J65" s="229"/>
      <c r="K65" s="221"/>
      <c r="L65" s="248"/>
      <c r="M65" s="248"/>
      <c r="N65" s="248"/>
      <c r="O65" s="747"/>
      <c r="P65" s="215"/>
      <c r="Q65" s="215"/>
      <c r="R65" s="215"/>
      <c r="S65" s="215"/>
    </row>
    <row r="66" spans="1:27" ht="19.5" customHeight="1">
      <c r="A66" s="746"/>
      <c r="B66" s="218"/>
      <c r="C66" s="223" t="s">
        <v>208</v>
      </c>
      <c r="D66" s="223"/>
      <c r="E66" s="223"/>
      <c r="F66" s="223"/>
      <c r="G66" s="223"/>
      <c r="H66" s="1212"/>
      <c r="I66" s="234"/>
      <c r="J66" s="214"/>
      <c r="K66" s="233"/>
      <c r="L66" s="248"/>
      <c r="M66" s="248"/>
      <c r="N66" s="248"/>
      <c r="O66" s="747"/>
      <c r="P66" s="215"/>
      <c r="Q66" s="215"/>
      <c r="R66" s="215"/>
      <c r="S66" s="215"/>
    </row>
    <row r="67" spans="1:27" ht="10.5" customHeight="1">
      <c r="A67" s="746"/>
      <c r="B67" s="218"/>
      <c r="C67" s="223"/>
      <c r="D67" s="219"/>
      <c r="E67" s="219"/>
      <c r="F67" s="229"/>
      <c r="G67" s="214"/>
      <c r="H67" s="214"/>
      <c r="I67" s="214"/>
      <c r="J67" s="229"/>
      <c r="K67" s="221"/>
      <c r="L67" s="248"/>
      <c r="M67" s="248"/>
      <c r="N67" s="248"/>
      <c r="O67" s="747"/>
      <c r="P67" s="215"/>
      <c r="Q67" s="215"/>
      <c r="R67" s="215"/>
      <c r="S67" s="215"/>
    </row>
    <row r="68" spans="1:27" ht="24" customHeight="1">
      <c r="A68" s="753"/>
      <c r="B68" s="251"/>
      <c r="C68" s="4013" t="s">
        <v>305</v>
      </c>
      <c r="D68" s="4014"/>
      <c r="E68" s="4014"/>
      <c r="F68" s="4014"/>
      <c r="G68" s="4014"/>
      <c r="H68" s="409"/>
      <c r="I68" s="236"/>
      <c r="J68" s="216"/>
      <c r="K68" s="252"/>
      <c r="L68" s="253"/>
      <c r="M68" s="253"/>
      <c r="N68" s="253"/>
      <c r="O68" s="747"/>
      <c r="P68" s="215"/>
      <c r="Q68" s="215"/>
      <c r="R68" s="215"/>
      <c r="S68" s="215"/>
    </row>
    <row r="69" spans="1:27" ht="6" customHeight="1">
      <c r="A69" s="753"/>
      <c r="B69" s="251"/>
      <c r="C69" s="227"/>
      <c r="D69" s="379"/>
      <c r="E69" s="379"/>
      <c r="F69" s="379"/>
      <c r="G69" s="379"/>
      <c r="H69" s="409"/>
      <c r="I69" s="236"/>
      <c r="J69" s="216"/>
      <c r="K69" s="252"/>
      <c r="L69" s="253"/>
      <c r="M69" s="253"/>
      <c r="N69" s="253"/>
      <c r="O69" s="747"/>
      <c r="P69" s="215"/>
      <c r="Q69" s="215"/>
      <c r="R69" s="215"/>
      <c r="S69" s="215"/>
    </row>
    <row r="70" spans="1:27" ht="24" customHeight="1">
      <c r="A70" s="753"/>
      <c r="B70" s="251" t="s">
        <v>589</v>
      </c>
      <c r="C70" s="232" t="s">
        <v>1008</v>
      </c>
      <c r="D70" s="379"/>
      <c r="E70" s="379"/>
      <c r="F70" s="379"/>
      <c r="G70" s="379"/>
      <c r="H70" s="409"/>
      <c r="I70" s="236"/>
      <c r="J70" s="216"/>
      <c r="K70" s="252"/>
      <c r="L70" s="253"/>
      <c r="M70" s="253"/>
      <c r="N70" s="253"/>
      <c r="O70" s="747"/>
      <c r="P70" s="215"/>
      <c r="Q70" s="215"/>
      <c r="R70" s="215"/>
      <c r="S70" s="215"/>
    </row>
    <row r="71" spans="1:27" ht="6" customHeight="1">
      <c r="A71" s="754"/>
      <c r="B71" s="241"/>
      <c r="C71" s="254"/>
      <c r="D71" s="255"/>
      <c r="E71" s="255"/>
      <c r="F71" s="256"/>
      <c r="G71" s="242"/>
      <c r="H71" s="242"/>
      <c r="I71" s="242"/>
      <c r="J71" s="256"/>
      <c r="K71" s="257"/>
      <c r="L71" s="258"/>
      <c r="M71" s="258"/>
      <c r="N71" s="258"/>
      <c r="O71" s="749"/>
      <c r="P71" s="215"/>
      <c r="Q71" s="215"/>
      <c r="R71" s="215"/>
      <c r="S71" s="215"/>
    </row>
    <row r="72" spans="1:27" ht="18.75" customHeight="1">
      <c r="A72" s="4019" t="s">
        <v>215</v>
      </c>
      <c r="B72" s="4020"/>
      <c r="C72" s="4020"/>
      <c r="D72" s="4020"/>
      <c r="E72" s="4020"/>
      <c r="F72" s="4020"/>
      <c r="G72" s="4020"/>
      <c r="H72" s="4020"/>
      <c r="I72" s="4020"/>
      <c r="J72" s="4020"/>
      <c r="K72" s="4020"/>
      <c r="L72" s="4020"/>
      <c r="M72" s="4020"/>
      <c r="N72" s="4020"/>
      <c r="O72" s="4021"/>
    </row>
    <row r="73" spans="1:27" ht="10.5" customHeight="1">
      <c r="A73" s="752"/>
      <c r="B73" s="391"/>
      <c r="C73" s="246"/>
      <c r="D73" s="246"/>
      <c r="E73" s="246"/>
      <c r="F73" s="246"/>
      <c r="G73" s="246"/>
      <c r="H73" s="246"/>
      <c r="I73" s="246"/>
      <c r="J73" s="246"/>
      <c r="K73" s="246"/>
      <c r="L73" s="246"/>
      <c r="M73" s="246"/>
      <c r="N73" s="246"/>
      <c r="O73" s="755"/>
      <c r="P73" s="429"/>
      <c r="Q73" s="429"/>
      <c r="R73" s="429"/>
      <c r="S73" s="429"/>
      <c r="T73" s="429"/>
      <c r="U73" s="429"/>
      <c r="V73" s="429"/>
      <c r="W73" s="429"/>
      <c r="X73" s="429"/>
      <c r="Y73" s="429"/>
      <c r="Z73" s="429"/>
      <c r="AA73" s="429"/>
    </row>
    <row r="74" spans="1:27" ht="19.5" customHeight="1">
      <c r="A74" s="746"/>
      <c r="B74" s="218" t="s">
        <v>147</v>
      </c>
      <c r="C74" s="232" t="s">
        <v>306</v>
      </c>
      <c r="D74" s="223"/>
      <c r="E74" s="223"/>
      <c r="F74" s="223"/>
      <c r="G74" s="223"/>
      <c r="H74" s="3988"/>
      <c r="I74" s="3990"/>
      <c r="J74" s="219" t="s">
        <v>640</v>
      </c>
      <c r="K74" s="739" t="str">
        <f>IF(ISBLANK(H74),"",H74/12)</f>
        <v/>
      </c>
      <c r="L74" s="4025" t="s">
        <v>956</v>
      </c>
      <c r="M74" s="4026"/>
      <c r="N74" s="2116"/>
      <c r="O74" s="756" t="s">
        <v>92</v>
      </c>
      <c r="P74" s="526"/>
      <c r="Q74" s="25"/>
      <c r="R74" s="429"/>
      <c r="S74" s="429"/>
      <c r="T74" s="429"/>
      <c r="U74" s="429"/>
      <c r="V74" s="429"/>
      <c r="W74" s="429"/>
      <c r="X74" s="4068"/>
      <c r="Y74" s="4068"/>
      <c r="Z74" s="5"/>
      <c r="AA74" s="429"/>
    </row>
    <row r="75" spans="1:27" ht="10.5" customHeight="1">
      <c r="A75" s="746"/>
      <c r="B75" s="222"/>
      <c r="C75" s="219"/>
      <c r="D75" s="219"/>
      <c r="E75" s="219"/>
      <c r="F75" s="219"/>
      <c r="G75" s="214"/>
      <c r="H75" s="219"/>
      <c r="I75" s="219"/>
      <c r="J75" s="219"/>
      <c r="K75" s="219"/>
      <c r="L75" s="219"/>
      <c r="M75" s="223"/>
      <c r="N75" s="214"/>
      <c r="O75" s="756"/>
      <c r="P75" s="33"/>
      <c r="Q75" s="33"/>
      <c r="R75" s="5"/>
      <c r="S75" s="740"/>
      <c r="T75" s="740"/>
      <c r="U75" s="740"/>
      <c r="V75" s="740"/>
      <c r="W75" s="740"/>
      <c r="X75" s="5"/>
      <c r="Y75" s="51"/>
      <c r="Z75" s="51"/>
      <c r="AA75" s="429"/>
    </row>
    <row r="76" spans="1:27" ht="19.5" customHeight="1">
      <c r="A76" s="746"/>
      <c r="B76" s="24" t="s">
        <v>631</v>
      </c>
      <c r="C76" s="10" t="s">
        <v>295</v>
      </c>
      <c r="D76" s="11"/>
      <c r="E76" s="2"/>
      <c r="F76" s="93"/>
      <c r="G76" s="2"/>
      <c r="H76" s="4017"/>
      <c r="I76" s="4018"/>
      <c r="J76" s="11" t="s">
        <v>630</v>
      </c>
      <c r="K76" s="3615" t="s">
        <v>923</v>
      </c>
      <c r="L76" s="3615"/>
      <c r="M76" s="3615"/>
      <c r="N76" s="3615"/>
      <c r="O76" s="4077"/>
      <c r="P76" s="740"/>
      <c r="Q76" s="5"/>
      <c r="R76" s="429"/>
      <c r="S76" s="429"/>
      <c r="T76" s="429"/>
      <c r="U76" s="429"/>
      <c r="V76" s="429"/>
      <c r="W76" s="429"/>
      <c r="X76" s="429"/>
      <c r="Y76" s="429"/>
      <c r="Z76" s="29"/>
      <c r="AA76" s="429"/>
    </row>
    <row r="77" spans="1:27" ht="10.5" customHeight="1">
      <c r="A77" s="746"/>
      <c r="B77" s="222"/>
      <c r="C77" s="219"/>
      <c r="D77" s="219"/>
      <c r="E77" s="219"/>
      <c r="F77" s="219"/>
      <c r="G77" s="259"/>
      <c r="H77" s="260"/>
      <c r="I77" s="260"/>
      <c r="J77" s="260"/>
      <c r="K77" s="4078"/>
      <c r="L77" s="4079"/>
      <c r="M77" s="4079"/>
      <c r="N77" s="4079"/>
      <c r="O77" s="4080"/>
      <c r="P77" s="63"/>
      <c r="Q77" s="63"/>
      <c r="R77" s="63"/>
      <c r="S77" s="5"/>
      <c r="T77" s="5"/>
      <c r="U77" s="5"/>
      <c r="V77" s="5"/>
      <c r="W77" s="5"/>
      <c r="X77" s="5"/>
      <c r="Y77" s="29"/>
      <c r="Z77" s="29"/>
      <c r="AA77" s="429"/>
    </row>
    <row r="78" spans="1:27" ht="19.5" customHeight="1">
      <c r="A78" s="746"/>
      <c r="B78" s="218" t="s">
        <v>149</v>
      </c>
      <c r="C78" s="232" t="s">
        <v>209</v>
      </c>
      <c r="D78" s="223"/>
      <c r="E78" s="223"/>
      <c r="F78" s="223"/>
      <c r="G78" s="214"/>
      <c r="H78" s="4027"/>
      <c r="I78" s="4028"/>
      <c r="J78" s="223" t="s">
        <v>630</v>
      </c>
      <c r="K78" s="4081"/>
      <c r="L78" s="4082"/>
      <c r="M78" s="4082"/>
      <c r="N78" s="4082"/>
      <c r="O78" s="4083"/>
      <c r="P78" s="5"/>
      <c r="Q78" s="39"/>
      <c r="R78" s="5"/>
      <c r="S78" s="4068"/>
      <c r="T78" s="4068"/>
      <c r="U78" s="25"/>
      <c r="V78" s="5"/>
      <c r="W78" s="5"/>
      <c r="X78" s="5"/>
      <c r="Y78" s="5"/>
      <c r="Z78" s="5"/>
      <c r="AA78" s="429"/>
    </row>
    <row r="79" spans="1:27" ht="10.5" customHeight="1" thickBot="1">
      <c r="A79" s="757"/>
      <c r="B79" s="758"/>
      <c r="C79" s="759"/>
      <c r="D79" s="759"/>
      <c r="E79" s="759"/>
      <c r="F79" s="759"/>
      <c r="G79" s="759"/>
      <c r="H79" s="759"/>
      <c r="I79" s="759"/>
      <c r="J79" s="759"/>
      <c r="K79" s="759"/>
      <c r="L79" s="759"/>
      <c r="M79" s="759"/>
      <c r="N79" s="759"/>
      <c r="O79" s="760"/>
      <c r="P79" s="65"/>
      <c r="Q79" s="5"/>
      <c r="R79" s="5"/>
      <c r="S79" s="5"/>
      <c r="T79" s="5"/>
      <c r="U79" s="5"/>
      <c r="V79" s="5"/>
      <c r="W79" s="5"/>
      <c r="X79" s="5"/>
      <c r="Y79" s="5"/>
      <c r="Z79" s="5"/>
      <c r="AA79" s="429"/>
    </row>
    <row r="80" spans="1:27" ht="18.75" customHeight="1">
      <c r="A80" s="4084" t="s">
        <v>216</v>
      </c>
      <c r="B80" s="4085"/>
      <c r="C80" s="4085"/>
      <c r="D80" s="4085"/>
      <c r="E80" s="4085"/>
      <c r="F80" s="4085"/>
      <c r="G80" s="4085"/>
      <c r="H80" s="4085"/>
      <c r="I80" s="4085"/>
      <c r="J80" s="4085"/>
      <c r="K80" s="4085"/>
      <c r="L80" s="4085"/>
      <c r="M80" s="4085"/>
      <c r="N80" s="4085"/>
      <c r="O80" s="4086"/>
      <c r="P80" s="5"/>
      <c r="Q80" s="59"/>
      <c r="R80" s="29"/>
      <c r="S80" s="55"/>
      <c r="T80" s="55"/>
      <c r="U80" s="4076"/>
      <c r="V80" s="4076"/>
      <c r="W80" s="5"/>
      <c r="X80" s="5"/>
      <c r="Y80" s="5"/>
      <c r="Z80" s="5"/>
      <c r="AA80" s="429"/>
    </row>
    <row r="81" spans="1:27" ht="10.5" customHeight="1">
      <c r="A81" s="761"/>
      <c r="B81" s="391"/>
      <c r="C81" s="393"/>
      <c r="D81" s="246"/>
      <c r="E81" s="246"/>
      <c r="F81" s="246"/>
      <c r="G81" s="394"/>
      <c r="H81" s="395"/>
      <c r="I81" s="395"/>
      <c r="J81" s="246"/>
      <c r="K81" s="246"/>
      <c r="L81" s="246"/>
      <c r="M81" s="246"/>
      <c r="N81" s="246"/>
      <c r="O81" s="755"/>
      <c r="P81" s="5"/>
      <c r="Q81" s="5"/>
      <c r="R81" s="5"/>
      <c r="S81" s="5"/>
      <c r="T81" s="5"/>
      <c r="U81" s="5"/>
      <c r="V81" s="5"/>
      <c r="W81" s="5"/>
      <c r="X81" s="5"/>
      <c r="Y81" s="5"/>
      <c r="Z81" s="5"/>
      <c r="AA81" s="429"/>
    </row>
    <row r="82" spans="1:27" ht="15">
      <c r="A82" s="762"/>
      <c r="B82" s="264" t="s">
        <v>147</v>
      </c>
      <c r="C82" s="4022" t="s">
        <v>668</v>
      </c>
      <c r="D82" s="4023"/>
      <c r="E82" s="4023"/>
      <c r="F82" s="4023"/>
      <c r="G82" s="4023"/>
      <c r="H82" s="4024"/>
      <c r="I82" s="265" t="s">
        <v>631</v>
      </c>
      <c r="J82" s="401"/>
      <c r="K82" s="230"/>
      <c r="L82" s="230"/>
      <c r="M82" s="230"/>
      <c r="N82" s="214"/>
      <c r="O82" s="756"/>
      <c r="P82" s="429"/>
      <c r="Q82" s="429"/>
      <c r="R82" s="429"/>
      <c r="S82" s="429"/>
      <c r="T82" s="429"/>
      <c r="U82" s="429"/>
      <c r="V82" s="429"/>
      <c r="W82" s="429"/>
      <c r="X82" s="429"/>
      <c r="Y82" s="429"/>
      <c r="Z82" s="429"/>
      <c r="AA82" s="429"/>
    </row>
    <row r="83" spans="1:27" ht="16.5" customHeight="1">
      <c r="A83" s="762"/>
      <c r="B83" s="266"/>
      <c r="C83" s="4010" t="s">
        <v>911</v>
      </c>
      <c r="D83" s="4011"/>
      <c r="E83" s="4011"/>
      <c r="F83" s="4011"/>
      <c r="G83" s="4011"/>
      <c r="H83" s="4012"/>
      <c r="I83" s="402"/>
      <c r="J83" s="230"/>
      <c r="K83" s="230"/>
      <c r="L83" s="402"/>
      <c r="M83" s="403"/>
      <c r="N83" s="214"/>
      <c r="O83" s="756"/>
      <c r="P83" s="213"/>
      <c r="Q83" s="213"/>
      <c r="R83" s="213"/>
      <c r="S83" s="213"/>
    </row>
    <row r="84" spans="1:27" ht="10.5" customHeight="1">
      <c r="A84" s="746"/>
      <c r="B84" s="266"/>
      <c r="C84" s="267"/>
      <c r="D84" s="268"/>
      <c r="E84" s="268"/>
      <c r="F84" s="268"/>
      <c r="G84" s="268"/>
      <c r="H84" s="392"/>
      <c r="I84" s="230"/>
      <c r="J84" s="230"/>
      <c r="K84" s="230"/>
      <c r="L84" s="230"/>
      <c r="M84" s="230"/>
      <c r="N84" s="214"/>
      <c r="O84" s="756"/>
      <c r="P84" s="213"/>
      <c r="Q84" s="213"/>
      <c r="R84" s="213"/>
      <c r="S84" s="213"/>
    </row>
    <row r="85" spans="1:27" ht="19.5" customHeight="1">
      <c r="A85" s="746"/>
      <c r="B85" s="266"/>
      <c r="C85" s="4029" t="s">
        <v>669</v>
      </c>
      <c r="D85" s="4030"/>
      <c r="E85" s="3988"/>
      <c r="F85" s="3989"/>
      <c r="G85" s="3990"/>
      <c r="H85" s="224"/>
      <c r="I85" s="236"/>
      <c r="J85" s="230"/>
      <c r="K85" s="230"/>
      <c r="L85" s="404"/>
      <c r="M85" s="405"/>
      <c r="N85" s="214"/>
      <c r="O85" s="756"/>
      <c r="P85" s="213"/>
      <c r="Q85" s="213"/>
      <c r="R85" s="213"/>
      <c r="S85" s="213"/>
    </row>
    <row r="86" spans="1:27" ht="10.5" customHeight="1">
      <c r="A86" s="746"/>
      <c r="B86" s="266"/>
      <c r="C86" s="269"/>
      <c r="D86" s="270"/>
      <c r="E86" s="263"/>
      <c r="F86" s="263"/>
      <c r="G86" s="216"/>
      <c r="H86" s="224"/>
      <c r="I86" s="236"/>
      <c r="J86" s="230"/>
      <c r="K86" s="230"/>
      <c r="L86" s="404"/>
      <c r="M86" s="405"/>
      <c r="N86" s="214"/>
      <c r="O86" s="747"/>
      <c r="P86" s="215"/>
      <c r="Q86" s="215"/>
      <c r="R86" s="215"/>
      <c r="S86" s="215"/>
    </row>
    <row r="87" spans="1:27" ht="19.5" customHeight="1">
      <c r="A87" s="746"/>
      <c r="B87" s="266"/>
      <c r="C87" s="4029" t="s">
        <v>670</v>
      </c>
      <c r="D87" s="4030"/>
      <c r="E87" s="3988"/>
      <c r="F87" s="3989"/>
      <c r="G87" s="3990"/>
      <c r="H87" s="224"/>
      <c r="I87" s="236"/>
      <c r="J87" s="406"/>
      <c r="K87" s="230"/>
      <c r="L87" s="404"/>
      <c r="M87" s="405"/>
      <c r="N87" s="214"/>
      <c r="O87" s="747"/>
      <c r="P87" s="215"/>
      <c r="Q87" s="215"/>
      <c r="R87" s="215"/>
      <c r="S87" s="215"/>
    </row>
    <row r="88" spans="1:27" ht="10.5" customHeight="1">
      <c r="A88" s="746"/>
      <c r="B88" s="266"/>
      <c r="C88" s="269"/>
      <c r="D88" s="270"/>
      <c r="E88" s="263"/>
      <c r="F88" s="263"/>
      <c r="G88" s="216"/>
      <c r="H88" s="224"/>
      <c r="I88" s="236"/>
      <c r="J88" s="406"/>
      <c r="K88" s="230"/>
      <c r="L88" s="404"/>
      <c r="M88" s="405"/>
      <c r="N88" s="214"/>
      <c r="O88" s="747"/>
      <c r="P88" s="215"/>
      <c r="Q88" s="215"/>
      <c r="R88" s="215"/>
      <c r="S88" s="215"/>
    </row>
    <row r="89" spans="1:27" ht="19.5" customHeight="1">
      <c r="A89" s="746"/>
      <c r="B89" s="266"/>
      <c r="C89" s="4029" t="s">
        <v>671</v>
      </c>
      <c r="D89" s="4030"/>
      <c r="E89" s="3988"/>
      <c r="F89" s="3989"/>
      <c r="G89" s="3990"/>
      <c r="H89" s="224"/>
      <c r="I89" s="236"/>
      <c r="J89" s="406"/>
      <c r="K89" s="230"/>
      <c r="L89" s="404"/>
      <c r="M89" s="405"/>
      <c r="N89" s="214"/>
      <c r="O89" s="747"/>
      <c r="P89" s="215"/>
      <c r="Q89" s="215"/>
      <c r="R89" s="215"/>
      <c r="S89" s="215"/>
    </row>
    <row r="90" spans="1:27" ht="10.5" customHeight="1">
      <c r="A90" s="746"/>
      <c r="B90" s="266"/>
      <c r="C90" s="269"/>
      <c r="D90" s="270"/>
      <c r="E90" s="263"/>
      <c r="F90" s="263"/>
      <c r="G90" s="216"/>
      <c r="H90" s="224"/>
      <c r="I90" s="236"/>
      <c r="J90" s="406"/>
      <c r="K90" s="230"/>
      <c r="L90" s="404"/>
      <c r="M90" s="405"/>
      <c r="N90" s="214"/>
      <c r="O90" s="747"/>
      <c r="P90" s="215"/>
      <c r="Q90" s="215"/>
      <c r="R90" s="215"/>
      <c r="S90" s="215"/>
    </row>
    <row r="91" spans="1:27" ht="19.5" customHeight="1">
      <c r="A91" s="746"/>
      <c r="B91" s="266"/>
      <c r="C91" s="4029" t="s">
        <v>672</v>
      </c>
      <c r="D91" s="4030"/>
      <c r="E91" s="3988"/>
      <c r="F91" s="3989"/>
      <c r="G91" s="3990"/>
      <c r="H91" s="224"/>
      <c r="I91" s="236"/>
      <c r="J91" s="406"/>
      <c r="K91" s="230"/>
      <c r="L91" s="404"/>
      <c r="M91" s="405"/>
      <c r="N91" s="214"/>
      <c r="O91" s="747"/>
      <c r="P91" s="215"/>
      <c r="Q91" s="215"/>
      <c r="R91" s="215"/>
      <c r="S91" s="215"/>
    </row>
    <row r="92" spans="1:27" ht="10.5" customHeight="1">
      <c r="A92" s="746"/>
      <c r="B92" s="266"/>
      <c r="C92" s="269"/>
      <c r="D92" s="270"/>
      <c r="E92" s="261"/>
      <c r="F92" s="263"/>
      <c r="G92" s="216"/>
      <c r="H92" s="224"/>
      <c r="I92" s="101"/>
      <c r="J92" s="236"/>
      <c r="K92" s="406"/>
      <c r="L92" s="230"/>
      <c r="M92" s="404"/>
      <c r="N92" s="405"/>
      <c r="O92" s="747"/>
      <c r="P92" s="215"/>
      <c r="Q92" s="215"/>
      <c r="R92" s="215"/>
      <c r="S92" s="215"/>
    </row>
    <row r="93" spans="1:27" ht="19.5" customHeight="1">
      <c r="A93" s="746"/>
      <c r="B93" s="235"/>
      <c r="C93" s="4063" t="s">
        <v>632</v>
      </c>
      <c r="D93" s="4064"/>
      <c r="E93" s="4064"/>
      <c r="F93" s="4065"/>
      <c r="G93" s="4066"/>
      <c r="H93" s="224"/>
      <c r="I93" s="101"/>
      <c r="J93" s="677"/>
      <c r="K93" s="677"/>
      <c r="L93" s="677"/>
      <c r="M93" s="677"/>
      <c r="N93" s="677"/>
      <c r="O93" s="747"/>
      <c r="P93" s="215"/>
      <c r="Q93" s="215"/>
      <c r="R93" s="215"/>
      <c r="S93" s="215"/>
    </row>
    <row r="94" spans="1:27" ht="10.5" customHeight="1">
      <c r="A94" s="746"/>
      <c r="B94" s="235"/>
      <c r="C94" s="271"/>
      <c r="D94" s="242"/>
      <c r="E94" s="242"/>
      <c r="F94" s="242"/>
      <c r="G94" s="242"/>
      <c r="H94" s="272"/>
      <c r="I94" s="101"/>
      <c r="J94" s="233"/>
      <c r="K94" s="233"/>
      <c r="L94" s="233"/>
      <c r="M94" s="233"/>
      <c r="N94" s="221"/>
      <c r="O94" s="747"/>
      <c r="P94" s="215"/>
      <c r="Q94" s="215"/>
      <c r="R94" s="215"/>
      <c r="S94" s="215"/>
    </row>
    <row r="95" spans="1:27" ht="16.5" hidden="1" customHeight="1">
      <c r="A95" s="746"/>
      <c r="B95" s="235"/>
      <c r="C95" s="214"/>
      <c r="D95" s="214"/>
      <c r="E95" s="214"/>
      <c r="F95" s="214"/>
      <c r="G95" s="214"/>
      <c r="H95" s="214"/>
      <c r="I95" s="101"/>
      <c r="J95" s="101"/>
      <c r="K95" s="221"/>
      <c r="L95" s="221"/>
      <c r="M95" s="221"/>
      <c r="N95" s="221"/>
      <c r="O95" s="747"/>
      <c r="P95" s="215"/>
      <c r="Q95" s="215"/>
      <c r="R95" s="215"/>
      <c r="S95" s="215"/>
    </row>
    <row r="96" spans="1:27" ht="10.5" customHeight="1">
      <c r="A96" s="746"/>
      <c r="B96" s="214"/>
      <c r="C96" s="214"/>
      <c r="D96" s="214"/>
      <c r="E96" s="214"/>
      <c r="F96" s="214"/>
      <c r="G96" s="214"/>
      <c r="H96" s="214"/>
      <c r="I96" s="101"/>
      <c r="J96" s="101"/>
      <c r="K96" s="101"/>
      <c r="L96" s="101"/>
      <c r="M96" s="101"/>
      <c r="N96" s="101"/>
      <c r="O96" s="747"/>
      <c r="P96" s="215"/>
      <c r="Q96" s="215"/>
      <c r="R96" s="215"/>
      <c r="S96" s="215"/>
    </row>
    <row r="97" spans="1:19" ht="10.5" customHeight="1">
      <c r="A97" s="746"/>
      <c r="B97" s="214"/>
      <c r="C97" s="214"/>
      <c r="D97" s="214"/>
      <c r="E97" s="214"/>
      <c r="F97" s="214"/>
      <c r="G97" s="214"/>
      <c r="H97" s="214"/>
      <c r="I97" s="101"/>
      <c r="J97" s="101"/>
      <c r="K97" s="101"/>
      <c r="L97" s="101"/>
      <c r="M97" s="101"/>
      <c r="N97" s="101"/>
      <c r="O97" s="747"/>
      <c r="P97" s="215"/>
      <c r="Q97" s="215"/>
      <c r="R97" s="215"/>
      <c r="S97" s="215"/>
    </row>
    <row r="98" spans="1:19" ht="19.5" customHeight="1">
      <c r="A98" s="753"/>
      <c r="B98" s="218" t="s">
        <v>149</v>
      </c>
      <c r="C98" s="4067" t="s">
        <v>633</v>
      </c>
      <c r="D98" s="4067"/>
      <c r="E98" s="4067"/>
      <c r="F98" s="4061">
        <f>MIN(F93,M101)</f>
        <v>0</v>
      </c>
      <c r="G98" s="4062"/>
      <c r="H98" s="219" t="s">
        <v>86</v>
      </c>
      <c r="I98" s="101"/>
      <c r="J98" s="4075" t="s">
        <v>590</v>
      </c>
      <c r="K98" s="4075"/>
      <c r="L98" s="4075"/>
      <c r="M98" s="4075"/>
      <c r="N98" s="1213"/>
      <c r="O98" s="756" t="s">
        <v>708</v>
      </c>
      <c r="P98" s="215"/>
      <c r="Q98" s="215"/>
      <c r="R98" s="215"/>
      <c r="S98" s="215"/>
    </row>
    <row r="99" spans="1:19" ht="10.5" customHeight="1">
      <c r="A99" s="746"/>
      <c r="B99" s="222"/>
      <c r="C99" s="219"/>
      <c r="D99" s="219"/>
      <c r="E99" s="219"/>
      <c r="F99" s="219"/>
      <c r="G99" s="273"/>
      <c r="H99" s="262"/>
      <c r="I99" s="101"/>
      <c r="J99" s="4075"/>
      <c r="K99" s="4075"/>
      <c r="L99" s="4075"/>
      <c r="M99" s="4075"/>
      <c r="N99" s="237"/>
      <c r="O99" s="747"/>
      <c r="P99" s="215"/>
      <c r="Q99" s="215"/>
      <c r="R99" s="215"/>
      <c r="S99" s="215"/>
    </row>
    <row r="100" spans="1:19" ht="10.5" customHeight="1">
      <c r="A100" s="746"/>
      <c r="B100" s="101"/>
      <c r="C100" s="101"/>
      <c r="D100" s="101"/>
      <c r="E100" s="101"/>
      <c r="F100" s="101"/>
      <c r="G100" s="101"/>
      <c r="H100" s="101"/>
      <c r="I100" s="101"/>
      <c r="J100" s="101"/>
      <c r="K100" s="101"/>
      <c r="L100" s="101"/>
      <c r="M100" s="101"/>
      <c r="N100" s="101"/>
      <c r="O100" s="747"/>
      <c r="P100" s="215"/>
      <c r="Q100" s="215"/>
      <c r="R100" s="215"/>
      <c r="S100" s="215"/>
    </row>
    <row r="101" spans="1:19" ht="19.5" customHeight="1">
      <c r="A101" s="746"/>
      <c r="B101" s="222"/>
      <c r="C101" s="219"/>
      <c r="D101" s="219"/>
      <c r="E101" s="219"/>
      <c r="F101" s="219"/>
      <c r="G101" s="273"/>
      <c r="H101" s="262"/>
      <c r="I101" s="214"/>
      <c r="J101" s="237" t="s">
        <v>632</v>
      </c>
      <c r="K101" s="237"/>
      <c r="L101" s="237"/>
      <c r="M101" s="4065"/>
      <c r="N101" s="4066"/>
      <c r="O101" s="747"/>
      <c r="P101" s="215"/>
      <c r="Q101" s="215"/>
      <c r="R101" s="215"/>
      <c r="S101" s="215"/>
    </row>
    <row r="102" spans="1:19" ht="10.5" customHeight="1">
      <c r="A102" s="754"/>
      <c r="B102" s="396"/>
      <c r="C102" s="255"/>
      <c r="D102" s="255"/>
      <c r="E102" s="255"/>
      <c r="F102" s="255"/>
      <c r="G102" s="397"/>
      <c r="H102" s="398"/>
      <c r="I102" s="255"/>
      <c r="J102" s="399"/>
      <c r="K102" s="242"/>
      <c r="L102" s="399"/>
      <c r="M102" s="399"/>
      <c r="N102" s="399"/>
      <c r="O102" s="749"/>
      <c r="P102" s="215"/>
      <c r="Q102" s="215"/>
      <c r="R102" s="215"/>
      <c r="S102" s="215"/>
    </row>
    <row r="103" spans="1:19" ht="18.75" customHeight="1">
      <c r="A103" s="3991" t="s">
        <v>217</v>
      </c>
      <c r="B103" s="3992"/>
      <c r="C103" s="3992"/>
      <c r="D103" s="3992"/>
      <c r="E103" s="3992"/>
      <c r="F103" s="3992"/>
      <c r="G103" s="3992"/>
      <c r="H103" s="3992"/>
      <c r="I103" s="3992"/>
      <c r="J103" s="3992"/>
      <c r="K103" s="3992"/>
      <c r="L103" s="3992"/>
      <c r="M103" s="3992"/>
      <c r="N103" s="3992"/>
      <c r="O103" s="3993"/>
      <c r="P103" s="215"/>
      <c r="Q103" s="215"/>
      <c r="R103" s="215"/>
      <c r="S103" s="215"/>
    </row>
    <row r="104" spans="1:19" ht="10.5" customHeight="1">
      <c r="A104" s="763"/>
      <c r="B104" s="400"/>
      <c r="C104" s="400"/>
      <c r="D104" s="400"/>
      <c r="E104" s="400"/>
      <c r="F104" s="400"/>
      <c r="G104" s="400"/>
      <c r="H104" s="400"/>
      <c r="I104" s="400"/>
      <c r="J104" s="400"/>
      <c r="K104" s="400"/>
      <c r="L104" s="400"/>
      <c r="M104" s="400"/>
      <c r="N104" s="400"/>
      <c r="O104" s="745"/>
      <c r="P104" s="215"/>
      <c r="Q104" s="215"/>
      <c r="R104" s="215"/>
      <c r="S104" s="215"/>
    </row>
    <row r="105" spans="1:19" ht="15" customHeight="1">
      <c r="A105" s="764"/>
      <c r="B105" s="408" t="s">
        <v>147</v>
      </c>
      <c r="C105" s="407" t="s">
        <v>363</v>
      </c>
      <c r="D105" s="274"/>
      <c r="E105" s="274"/>
      <c r="F105" s="274"/>
      <c r="G105" s="237"/>
      <c r="H105" s="261"/>
      <c r="I105" s="237"/>
      <c r="J105" s="261"/>
      <c r="K105" s="216"/>
      <c r="L105" s="216"/>
      <c r="M105" s="274"/>
      <c r="N105" s="274"/>
      <c r="O105" s="747"/>
      <c r="P105" s="215"/>
      <c r="Q105" s="215"/>
      <c r="R105" s="215"/>
      <c r="S105" s="215"/>
    </row>
    <row r="106" spans="1:19" ht="10.5" customHeight="1">
      <c r="A106" s="746"/>
      <c r="B106" s="222"/>
      <c r="C106" s="219"/>
      <c r="D106" s="219"/>
      <c r="E106" s="219"/>
      <c r="F106" s="219"/>
      <c r="G106" s="273"/>
      <c r="H106" s="262"/>
      <c r="I106" s="219"/>
      <c r="J106" s="237"/>
      <c r="K106" s="214"/>
      <c r="L106" s="237"/>
      <c r="M106" s="237"/>
      <c r="N106" s="237"/>
      <c r="O106" s="747"/>
      <c r="P106" s="215"/>
      <c r="Q106" s="215"/>
      <c r="R106" s="215"/>
      <c r="S106" s="215"/>
    </row>
    <row r="107" spans="1:19" ht="19.5" customHeight="1">
      <c r="A107" s="746"/>
      <c r="B107" s="222" t="s">
        <v>631</v>
      </c>
      <c r="C107" s="4013" t="s">
        <v>210</v>
      </c>
      <c r="D107" s="4013"/>
      <c r="E107" s="4013"/>
      <c r="F107" s="4013"/>
      <c r="G107" s="4013"/>
      <c r="H107" s="4013"/>
      <c r="I107" s="4069"/>
      <c r="J107" s="4070"/>
      <c r="K107" s="4070"/>
      <c r="L107" s="4070"/>
      <c r="M107" s="4071"/>
      <c r="N107" s="101"/>
      <c r="O107" s="747"/>
      <c r="P107" s="215"/>
      <c r="Q107" s="215"/>
      <c r="R107" s="215"/>
      <c r="S107" s="215"/>
    </row>
    <row r="108" spans="1:19" ht="10.5" customHeight="1">
      <c r="A108" s="746"/>
      <c r="B108" s="222"/>
      <c r="C108" s="219"/>
      <c r="D108" s="219"/>
      <c r="E108" s="219"/>
      <c r="F108" s="219"/>
      <c r="G108" s="273"/>
      <c r="H108" s="262"/>
      <c r="I108" s="219"/>
      <c r="J108" s="237"/>
      <c r="K108" s="214"/>
      <c r="L108" s="237"/>
      <c r="M108" s="237"/>
      <c r="N108" s="237"/>
      <c r="O108" s="747"/>
      <c r="P108" s="215"/>
      <c r="Q108" s="215"/>
      <c r="R108" s="215"/>
      <c r="S108" s="215"/>
    </row>
    <row r="109" spans="1:19" ht="24" customHeight="1">
      <c r="A109" s="746"/>
      <c r="B109" s="222" t="s">
        <v>149</v>
      </c>
      <c r="C109" s="228" t="s">
        <v>364</v>
      </c>
      <c r="D109" s="219"/>
      <c r="E109" s="33"/>
      <c r="F109" s="33"/>
      <c r="G109" s="33"/>
      <c r="H109" s="33"/>
      <c r="I109" s="33"/>
      <c r="J109" s="33"/>
      <c r="K109" s="33"/>
      <c r="L109" s="33"/>
      <c r="M109" s="33"/>
      <c r="N109" s="33"/>
      <c r="O109" s="3"/>
      <c r="P109" s="215"/>
      <c r="Q109" s="215"/>
      <c r="R109" s="215"/>
      <c r="S109" s="215"/>
    </row>
    <row r="110" spans="1:19" ht="10.5" customHeight="1">
      <c r="A110" s="746"/>
      <c r="B110" s="218"/>
      <c r="C110" s="219"/>
      <c r="D110" s="219"/>
      <c r="E110" s="219"/>
      <c r="F110" s="219"/>
      <c r="G110" s="273"/>
      <c r="H110" s="262"/>
      <c r="I110" s="219"/>
      <c r="J110" s="237"/>
      <c r="K110" s="214"/>
      <c r="L110" s="237"/>
      <c r="M110" s="237"/>
      <c r="N110" s="237"/>
      <c r="O110" s="747"/>
      <c r="P110" s="215"/>
      <c r="Q110" s="215"/>
      <c r="R110" s="215"/>
      <c r="S110" s="215"/>
    </row>
    <row r="111" spans="1:19" ht="19.5" customHeight="1">
      <c r="A111" s="746"/>
      <c r="B111" s="218" t="s">
        <v>588</v>
      </c>
      <c r="C111" s="228" t="s">
        <v>541</v>
      </c>
      <c r="D111" s="219"/>
      <c r="E111" s="219"/>
      <c r="F111" s="219"/>
      <c r="G111" s="273"/>
      <c r="H111" s="262"/>
      <c r="I111" s="216"/>
      <c r="J111" s="237"/>
      <c r="K111" s="4072"/>
      <c r="L111" s="4073"/>
      <c r="M111" s="4073"/>
      <c r="N111" s="4074"/>
      <c r="O111" s="747"/>
      <c r="P111" s="215"/>
      <c r="Q111" s="215"/>
      <c r="R111" s="215"/>
      <c r="S111" s="215"/>
    </row>
    <row r="112" spans="1:19" ht="10.5" customHeight="1">
      <c r="A112" s="746"/>
      <c r="B112" s="218"/>
      <c r="C112" s="219"/>
      <c r="D112" s="219"/>
      <c r="E112" s="219"/>
      <c r="F112" s="219"/>
      <c r="G112" s="273"/>
      <c r="H112" s="262"/>
      <c r="I112" s="219"/>
      <c r="J112" s="237"/>
      <c r="K112" s="214"/>
      <c r="L112" s="237"/>
      <c r="M112" s="237"/>
      <c r="N112" s="237"/>
      <c r="O112" s="747"/>
      <c r="P112" s="215"/>
      <c r="Q112" s="215"/>
      <c r="R112" s="215"/>
      <c r="S112" s="215"/>
    </row>
    <row r="113" spans="1:35" ht="19.5" customHeight="1">
      <c r="A113" s="746"/>
      <c r="B113" s="218" t="s">
        <v>589</v>
      </c>
      <c r="C113" s="232" t="s">
        <v>211</v>
      </c>
      <c r="D113" s="223"/>
      <c r="E113" s="223"/>
      <c r="F113" s="3988"/>
      <c r="G113" s="3989"/>
      <c r="H113" s="3989"/>
      <c r="I113" s="3989"/>
      <c r="J113" s="3989"/>
      <c r="K113" s="3990"/>
      <c r="L113" s="214"/>
      <c r="M113" s="234"/>
      <c r="N113" s="234"/>
      <c r="O113" s="747"/>
      <c r="P113" s="215"/>
      <c r="Q113" s="215"/>
      <c r="R113" s="215"/>
      <c r="S113" s="215"/>
    </row>
    <row r="114" spans="1:35" s="381" customFormat="1" ht="24" customHeight="1">
      <c r="A114" s="753"/>
      <c r="B114" s="251"/>
      <c r="C114" s="4060" t="s">
        <v>214</v>
      </c>
      <c r="D114" s="4060"/>
      <c r="E114" s="4060"/>
      <c r="F114" s="4060"/>
      <c r="G114" s="4060"/>
      <c r="H114" s="4060"/>
      <c r="I114" s="4060"/>
      <c r="J114" s="4060"/>
      <c r="K114" s="4060"/>
      <c r="L114" s="4060"/>
      <c r="M114" s="234"/>
      <c r="N114" s="234"/>
      <c r="O114" s="765"/>
      <c r="P114" s="410"/>
      <c r="Q114" s="410"/>
      <c r="R114" s="410"/>
      <c r="S114" s="410"/>
    </row>
    <row r="115" spans="1:35" ht="10.5" customHeight="1">
      <c r="A115" s="746"/>
      <c r="B115" s="235"/>
      <c r="C115" s="4060"/>
      <c r="D115" s="4060"/>
      <c r="E115" s="4060"/>
      <c r="F115" s="4060"/>
      <c r="G115" s="4060"/>
      <c r="H115" s="4060"/>
      <c r="I115" s="4060"/>
      <c r="J115" s="4060"/>
      <c r="K115" s="4060"/>
      <c r="L115" s="4060"/>
      <c r="M115" s="216"/>
      <c r="N115" s="275"/>
      <c r="O115" s="747"/>
      <c r="P115" s="215"/>
      <c r="Q115" s="215"/>
      <c r="R115" s="215"/>
      <c r="S115" s="215"/>
    </row>
    <row r="116" spans="1:35" ht="10.5" customHeight="1" thickBot="1">
      <c r="A116" s="766"/>
      <c r="B116" s="767"/>
      <c r="C116" s="768"/>
      <c r="D116" s="768"/>
      <c r="E116" s="768"/>
      <c r="F116" s="768"/>
      <c r="G116" s="768"/>
      <c r="H116" s="768"/>
      <c r="I116" s="768"/>
      <c r="J116" s="768"/>
      <c r="K116" s="768"/>
      <c r="L116" s="768"/>
      <c r="M116" s="769"/>
      <c r="N116" s="770"/>
      <c r="O116" s="771"/>
      <c r="P116" s="215"/>
      <c r="Q116" s="215"/>
      <c r="R116" s="215"/>
      <c r="S116" s="215"/>
    </row>
    <row r="117" spans="1:35" ht="15">
      <c r="A117" s="276"/>
      <c r="B117" s="277"/>
      <c r="C117" s="213"/>
      <c r="D117" s="213"/>
      <c r="E117" s="213"/>
      <c r="F117" s="213"/>
      <c r="G117" s="213"/>
      <c r="H117" s="213"/>
      <c r="I117" s="213"/>
      <c r="J117" s="213"/>
      <c r="K117" s="213"/>
      <c r="L117" s="214"/>
      <c r="M117" s="213"/>
      <c r="N117" s="213"/>
      <c r="O117" s="215"/>
      <c r="P117" s="215"/>
      <c r="Q117" s="215"/>
      <c r="R117" s="110"/>
      <c r="S117" s="110"/>
      <c r="T117" s="112"/>
      <c r="U117" s="110"/>
      <c r="V117" s="112"/>
      <c r="W117" s="113"/>
      <c r="X117" s="114"/>
      <c r="Y117" s="114"/>
      <c r="Z117" s="110"/>
      <c r="AA117" s="115"/>
      <c r="AB117" s="110"/>
      <c r="AC117" s="124"/>
      <c r="AD117" s="123"/>
      <c r="AE117" s="1"/>
      <c r="AF117" s="1"/>
      <c r="AG117" s="41"/>
      <c r="AH117" s="1"/>
      <c r="AI117" s="110"/>
    </row>
    <row r="118" spans="1:35" ht="15">
      <c r="A118" s="276"/>
      <c r="B118" s="277"/>
      <c r="C118" s="213"/>
      <c r="D118" s="213"/>
      <c r="E118" s="213"/>
      <c r="F118" s="213"/>
      <c r="G118" s="213"/>
      <c r="H118" s="213"/>
      <c r="I118" s="213"/>
      <c r="J118" s="213"/>
      <c r="K118" s="213"/>
      <c r="L118" s="214"/>
      <c r="M118" s="213"/>
      <c r="N118" s="213"/>
      <c r="O118" s="215"/>
      <c r="P118" s="215"/>
      <c r="Q118" s="215"/>
      <c r="R118" s="110"/>
      <c r="S118" s="110"/>
      <c r="T118" s="116"/>
      <c r="U118" s="110"/>
      <c r="V118" s="117"/>
      <c r="W118" s="113"/>
      <c r="X118" s="114"/>
      <c r="Y118" s="114"/>
      <c r="Z118" s="110"/>
      <c r="AA118" s="115"/>
      <c r="AB118" s="110"/>
      <c r="AC118" s="124"/>
      <c r="AD118" s="123"/>
      <c r="AE118" s="1"/>
      <c r="AF118" s="1"/>
      <c r="AG118" s="41"/>
      <c r="AH118" s="1"/>
      <c r="AI118" s="110"/>
    </row>
    <row r="119" spans="1:35" ht="15">
      <c r="A119" s="276"/>
      <c r="B119" s="215"/>
      <c r="C119" s="215"/>
      <c r="D119" s="215"/>
      <c r="E119" s="215"/>
      <c r="F119" s="215"/>
      <c r="G119" s="215"/>
      <c r="H119" s="215"/>
      <c r="I119" s="215"/>
      <c r="J119" s="215"/>
      <c r="K119" s="215"/>
      <c r="L119" s="215"/>
      <c r="M119" s="215"/>
      <c r="N119" s="215"/>
      <c r="O119" s="215"/>
      <c r="P119" s="215"/>
      <c r="Q119" s="215"/>
      <c r="R119" s="110"/>
      <c r="S119" s="110"/>
      <c r="T119" s="112"/>
      <c r="U119" s="110"/>
      <c r="V119" s="117"/>
      <c r="W119" s="15"/>
      <c r="X119" s="118"/>
      <c r="Y119" s="114"/>
      <c r="Z119" s="110"/>
      <c r="AA119" s="115"/>
      <c r="AB119" s="110"/>
      <c r="AC119" s="124"/>
      <c r="AD119" s="1"/>
      <c r="AE119" s="1"/>
      <c r="AF119" s="1"/>
      <c r="AG119" s="1"/>
      <c r="AH119" s="1"/>
      <c r="AI119" s="110"/>
    </row>
    <row r="120" spans="1:35" ht="15">
      <c r="A120" s="276"/>
      <c r="B120" s="215"/>
      <c r="C120" s="215"/>
      <c r="D120" s="215"/>
      <c r="E120" s="215"/>
      <c r="F120" s="215"/>
      <c r="G120" s="215"/>
      <c r="H120" s="215"/>
      <c r="I120" s="215"/>
      <c r="J120" s="215"/>
      <c r="K120" s="215"/>
      <c r="L120" s="215"/>
      <c r="M120" s="215"/>
      <c r="N120" s="215"/>
      <c r="O120" s="215"/>
      <c r="P120" s="215"/>
      <c r="Q120" s="215"/>
      <c r="R120" s="110"/>
      <c r="S120" s="110"/>
      <c r="T120" s="116"/>
      <c r="U120" s="110"/>
      <c r="V120" s="117"/>
      <c r="W120" s="15"/>
      <c r="X120" s="118"/>
      <c r="Y120" s="110"/>
      <c r="Z120" s="110"/>
      <c r="AA120" s="115"/>
      <c r="AB120" s="110"/>
      <c r="AC120" s="124"/>
      <c r="AD120" s="1"/>
      <c r="AE120" s="1"/>
      <c r="AF120" s="1"/>
      <c r="AG120" s="1"/>
      <c r="AH120" s="1"/>
      <c r="AI120" s="110"/>
    </row>
    <row r="121" spans="1:35" ht="15">
      <c r="A121" s="276"/>
      <c r="B121" s="215"/>
      <c r="C121" s="215"/>
      <c r="D121" s="215"/>
      <c r="E121" s="215"/>
      <c r="F121" s="215"/>
      <c r="G121" s="215"/>
      <c r="H121" s="215"/>
      <c r="I121" s="215"/>
      <c r="J121" s="215"/>
      <c r="K121" s="215"/>
      <c r="L121" s="215"/>
      <c r="M121" s="215"/>
      <c r="N121" s="215"/>
      <c r="O121" s="215"/>
      <c r="P121" s="215"/>
      <c r="Q121" s="215"/>
      <c r="R121" s="110"/>
      <c r="S121" s="110"/>
      <c r="T121" s="116"/>
      <c r="U121" s="110"/>
      <c r="V121" s="117"/>
      <c r="W121" s="113"/>
      <c r="X121" s="114"/>
      <c r="Y121" s="110"/>
      <c r="Z121" s="110"/>
      <c r="AA121" s="115"/>
      <c r="AB121" s="110"/>
      <c r="AC121" s="110"/>
      <c r="AD121" s="110"/>
      <c r="AE121" s="110"/>
      <c r="AF121" s="110"/>
      <c r="AG121" s="110"/>
      <c r="AH121" s="110"/>
      <c r="AI121" s="110"/>
    </row>
    <row r="122" spans="1:35" ht="15">
      <c r="A122" s="276"/>
      <c r="B122" s="215"/>
      <c r="C122" s="215"/>
      <c r="D122" s="215"/>
      <c r="E122" s="215"/>
      <c r="F122" s="215"/>
      <c r="G122" s="215"/>
      <c r="H122" s="215"/>
      <c r="I122" s="215"/>
      <c r="J122" s="215"/>
      <c r="K122" s="215"/>
      <c r="L122" s="215"/>
      <c r="M122" s="215"/>
      <c r="N122" s="215"/>
      <c r="O122" s="215"/>
      <c r="P122" s="215"/>
      <c r="Q122" s="215"/>
      <c r="R122" s="110"/>
      <c r="S122" s="110"/>
      <c r="T122" s="116"/>
      <c r="U122" s="110"/>
      <c r="V122" s="117"/>
      <c r="W122" s="15"/>
      <c r="X122" s="118"/>
      <c r="Y122" s="110"/>
      <c r="Z122" s="110"/>
      <c r="AA122" s="115"/>
      <c r="AB122" s="110"/>
      <c r="AC122" s="110"/>
      <c r="AD122" s="110"/>
      <c r="AE122" s="110"/>
      <c r="AF122" s="110"/>
      <c r="AG122" s="110"/>
      <c r="AH122" s="110"/>
      <c r="AI122" s="110"/>
    </row>
    <row r="123" spans="1:35" ht="15">
      <c r="A123" s="215"/>
      <c r="B123" s="215"/>
      <c r="C123" s="215"/>
      <c r="D123" s="215"/>
      <c r="E123" s="215"/>
      <c r="F123" s="215"/>
      <c r="G123" s="215"/>
      <c r="H123" s="215"/>
      <c r="I123" s="215"/>
      <c r="J123" s="215"/>
      <c r="K123" s="215"/>
      <c r="L123" s="215"/>
      <c r="M123" s="215"/>
      <c r="N123" s="215"/>
      <c r="O123" s="215"/>
      <c r="P123" s="215"/>
      <c r="Q123" s="215"/>
      <c r="R123" s="111"/>
      <c r="S123" s="111"/>
      <c r="T123" s="111"/>
      <c r="U123" s="110"/>
      <c r="V123" s="117"/>
      <c r="W123" s="113"/>
      <c r="X123" s="114"/>
      <c r="Y123" s="110"/>
      <c r="Z123" s="110"/>
      <c r="AA123" s="115"/>
      <c r="AB123" s="110"/>
      <c r="AC123" s="110"/>
      <c r="AD123" s="110"/>
      <c r="AE123" s="110"/>
      <c r="AF123" s="110"/>
      <c r="AG123" s="110"/>
      <c r="AH123" s="110"/>
      <c r="AI123" s="110"/>
    </row>
    <row r="124" spans="1:35" ht="15">
      <c r="A124" s="215"/>
      <c r="B124" s="215"/>
      <c r="C124" s="215"/>
      <c r="D124" s="215"/>
      <c r="E124" s="215"/>
      <c r="F124" s="215"/>
      <c r="G124" s="215"/>
      <c r="H124" s="215"/>
      <c r="I124" s="215"/>
      <c r="J124" s="215"/>
      <c r="K124" s="215"/>
      <c r="L124" s="215"/>
      <c r="M124" s="215"/>
      <c r="N124" s="215"/>
      <c r="O124" s="215"/>
      <c r="P124" s="215"/>
      <c r="Q124" s="215"/>
      <c r="R124" s="110"/>
      <c r="S124" s="110"/>
      <c r="T124" s="110"/>
      <c r="U124" s="110"/>
      <c r="V124" s="117"/>
      <c r="W124" s="15"/>
      <c r="X124" s="118"/>
      <c r="Y124" s="110"/>
      <c r="Z124" s="110"/>
      <c r="AA124" s="115"/>
      <c r="AB124" s="110"/>
      <c r="AC124" s="110"/>
      <c r="AD124" s="110"/>
      <c r="AE124" s="110"/>
      <c r="AF124" s="110"/>
      <c r="AG124" s="110"/>
      <c r="AH124" s="110"/>
      <c r="AI124" s="110"/>
    </row>
    <row r="125" spans="1:35" ht="15">
      <c r="A125" s="215"/>
      <c r="B125" s="215"/>
      <c r="C125" s="215"/>
      <c r="D125" s="215"/>
      <c r="E125" s="215"/>
      <c r="F125" s="215"/>
      <c r="G125" s="215"/>
      <c r="H125" s="215"/>
      <c r="I125" s="215"/>
      <c r="J125" s="215"/>
      <c r="K125" s="215"/>
      <c r="L125" s="215"/>
      <c r="M125" s="215"/>
      <c r="N125" s="215"/>
      <c r="O125" s="215"/>
      <c r="P125" s="215"/>
      <c r="Q125" s="215"/>
      <c r="R125" s="110"/>
      <c r="S125" s="110"/>
      <c r="T125" s="110"/>
      <c r="U125" s="110"/>
      <c r="V125" s="117"/>
      <c r="W125" s="113"/>
      <c r="X125" s="118"/>
      <c r="Y125" s="110"/>
      <c r="Z125" s="110"/>
      <c r="AA125" s="110"/>
      <c r="AB125" s="110"/>
      <c r="AC125" s="110"/>
      <c r="AD125" s="110"/>
      <c r="AE125" s="110"/>
      <c r="AF125" s="110"/>
      <c r="AG125" s="110"/>
      <c r="AH125" s="110"/>
      <c r="AI125" s="110"/>
    </row>
    <row r="126" spans="1:35" ht="15">
      <c r="A126" s="215"/>
      <c r="B126" s="215"/>
      <c r="C126" s="215"/>
      <c r="D126" s="215"/>
      <c r="E126" s="215"/>
      <c r="F126" s="215"/>
      <c r="G126" s="215"/>
      <c r="H126" s="215"/>
      <c r="I126" s="215"/>
      <c r="J126" s="215"/>
      <c r="K126" s="215"/>
      <c r="L126" s="215"/>
      <c r="M126" s="215"/>
      <c r="N126" s="215"/>
      <c r="O126" s="215"/>
      <c r="P126" s="215"/>
      <c r="Q126" s="215"/>
      <c r="R126" s="110"/>
      <c r="S126" s="110"/>
      <c r="T126" s="110"/>
      <c r="U126" s="110"/>
      <c r="V126" s="117"/>
      <c r="W126" s="113"/>
      <c r="X126" s="118"/>
      <c r="Y126" s="110"/>
      <c r="Z126" s="110"/>
      <c r="AA126" s="110"/>
      <c r="AB126" s="110"/>
      <c r="AC126" s="110"/>
      <c r="AD126" s="110"/>
      <c r="AE126" s="110"/>
      <c r="AF126" s="110"/>
      <c r="AG126" s="110"/>
      <c r="AH126" s="110"/>
      <c r="AI126" s="110"/>
    </row>
    <row r="127" spans="1:35" ht="15">
      <c r="A127" s="215"/>
      <c r="B127" s="215"/>
      <c r="C127" s="215"/>
      <c r="D127" s="215"/>
      <c r="E127" s="215"/>
      <c r="F127" s="215"/>
      <c r="G127" s="215"/>
      <c r="H127" s="215"/>
      <c r="I127" s="215"/>
      <c r="J127" s="215"/>
      <c r="K127" s="215"/>
      <c r="L127" s="215"/>
      <c r="M127" s="215"/>
      <c r="N127" s="215"/>
      <c r="O127" s="215"/>
      <c r="P127" s="215"/>
      <c r="Q127" s="215"/>
      <c r="R127" s="110"/>
      <c r="S127" s="110"/>
      <c r="T127" s="110"/>
      <c r="U127" s="110"/>
      <c r="V127" s="117"/>
      <c r="W127" s="113"/>
      <c r="X127" s="118"/>
      <c r="Y127" s="110"/>
      <c r="Z127" s="110"/>
      <c r="AA127" s="110"/>
      <c r="AB127" s="110"/>
      <c r="AC127" s="110"/>
      <c r="AD127" s="110"/>
      <c r="AE127" s="110"/>
      <c r="AF127" s="110"/>
      <c r="AG127" s="110"/>
      <c r="AH127" s="110"/>
      <c r="AI127" s="110"/>
    </row>
    <row r="128" spans="1:35" ht="15">
      <c r="A128" s="215"/>
      <c r="B128" s="215"/>
      <c r="C128" s="215"/>
      <c r="D128" s="215"/>
      <c r="E128" s="215"/>
      <c r="F128" s="215"/>
      <c r="G128" s="215"/>
      <c r="H128" s="215"/>
      <c r="I128" s="215"/>
      <c r="J128" s="215"/>
      <c r="K128" s="215"/>
      <c r="L128" s="215"/>
      <c r="M128" s="215"/>
      <c r="N128" s="215"/>
      <c r="O128" s="215"/>
      <c r="P128" s="215"/>
      <c r="Q128" s="215"/>
      <c r="R128" s="110"/>
      <c r="S128" s="110"/>
      <c r="T128" s="110"/>
      <c r="U128" s="110"/>
      <c r="V128" s="117"/>
      <c r="W128" s="113"/>
      <c r="X128" s="110"/>
      <c r="Y128" s="110"/>
      <c r="Z128" s="110"/>
      <c r="AA128" s="110"/>
      <c r="AB128" s="110"/>
      <c r="AC128" s="110"/>
      <c r="AD128" s="110"/>
      <c r="AE128" s="110"/>
      <c r="AF128" s="110"/>
      <c r="AG128" s="110"/>
      <c r="AH128" s="110"/>
      <c r="AI128" s="110"/>
    </row>
    <row r="129" spans="1:35" ht="15">
      <c r="A129" s="215"/>
      <c r="B129" s="215"/>
      <c r="C129" s="215"/>
      <c r="D129" s="215"/>
      <c r="E129" s="215"/>
      <c r="F129" s="215"/>
      <c r="G129" s="215"/>
      <c r="H129" s="215"/>
      <c r="I129" s="215"/>
      <c r="J129" s="215"/>
      <c r="K129" s="215"/>
      <c r="L129" s="215"/>
      <c r="M129" s="215"/>
      <c r="N129" s="215"/>
      <c r="O129" s="215"/>
      <c r="P129" s="215"/>
      <c r="Q129" s="215"/>
      <c r="R129" s="110"/>
      <c r="S129" s="110"/>
      <c r="T129" s="110"/>
      <c r="U129" s="110"/>
      <c r="V129" s="117"/>
      <c r="W129" s="113"/>
      <c r="X129" s="110"/>
      <c r="Y129" s="110"/>
      <c r="Z129" s="110"/>
      <c r="AA129" s="110"/>
      <c r="AB129" s="110"/>
      <c r="AC129" s="110"/>
      <c r="AD129" s="110"/>
      <c r="AE129" s="110"/>
      <c r="AF129" s="110"/>
      <c r="AG129" s="110"/>
      <c r="AH129" s="110"/>
      <c r="AI129" s="110"/>
    </row>
    <row r="130" spans="1:35" ht="15">
      <c r="A130" s="215"/>
      <c r="B130" s="215"/>
      <c r="C130" s="215"/>
      <c r="D130" s="215"/>
      <c r="E130" s="215"/>
      <c r="F130" s="215"/>
      <c r="G130" s="215"/>
      <c r="H130" s="215"/>
      <c r="I130" s="215"/>
      <c r="J130" s="215"/>
      <c r="K130" s="215"/>
      <c r="L130" s="215"/>
      <c r="M130" s="215"/>
      <c r="N130" s="215"/>
      <c r="O130" s="215"/>
      <c r="P130" s="215"/>
      <c r="Q130" s="215"/>
      <c r="R130" s="110"/>
      <c r="S130" s="110"/>
      <c r="T130" s="110"/>
      <c r="U130" s="110"/>
      <c r="V130" s="117"/>
      <c r="W130" s="15"/>
      <c r="X130" s="110"/>
      <c r="Y130" s="110"/>
      <c r="Z130" s="110"/>
      <c r="AA130" s="110"/>
      <c r="AB130" s="110"/>
      <c r="AC130" s="110"/>
      <c r="AD130" s="110"/>
      <c r="AE130" s="110"/>
      <c r="AF130" s="110"/>
      <c r="AG130" s="110"/>
      <c r="AH130" s="110"/>
      <c r="AI130" s="110"/>
    </row>
    <row r="131" spans="1:35" ht="15">
      <c r="A131" s="215"/>
      <c r="B131" s="215"/>
      <c r="C131" s="215"/>
      <c r="D131" s="215"/>
      <c r="E131" s="215"/>
      <c r="F131" s="215"/>
      <c r="G131" s="215"/>
      <c r="H131" s="215"/>
      <c r="I131" s="215"/>
      <c r="J131" s="215"/>
      <c r="K131" s="215"/>
      <c r="L131" s="215"/>
      <c r="M131" s="215"/>
      <c r="N131" s="215"/>
      <c r="O131" s="215"/>
      <c r="P131" s="215"/>
      <c r="Q131" s="215"/>
      <c r="R131" s="110"/>
      <c r="S131" s="110"/>
      <c r="T131" s="110"/>
      <c r="U131" s="110"/>
      <c r="V131" s="117"/>
      <c r="W131" s="15"/>
      <c r="X131" s="110"/>
      <c r="Y131" s="110"/>
      <c r="Z131" s="110"/>
      <c r="AA131" s="110"/>
      <c r="AB131" s="110"/>
      <c r="AC131" s="110"/>
      <c r="AD131" s="110"/>
      <c r="AE131" s="110"/>
      <c r="AF131" s="110"/>
      <c r="AG131" s="110"/>
      <c r="AH131" s="110"/>
      <c r="AI131" s="110"/>
    </row>
    <row r="132" spans="1:35" ht="15">
      <c r="A132" s="215"/>
      <c r="B132" s="215"/>
      <c r="C132" s="215"/>
      <c r="D132" s="215"/>
      <c r="E132" s="215"/>
      <c r="F132" s="215"/>
      <c r="G132" s="215"/>
      <c r="H132" s="215"/>
      <c r="I132" s="215"/>
      <c r="J132" s="215"/>
      <c r="K132" s="215"/>
      <c r="L132" s="215"/>
      <c r="M132" s="215"/>
      <c r="N132" s="215"/>
      <c r="O132" s="215"/>
      <c r="P132" s="215"/>
      <c r="Q132" s="215"/>
      <c r="R132" s="110"/>
      <c r="S132" s="110"/>
      <c r="T132" s="110"/>
      <c r="U132" s="110"/>
      <c r="V132" s="117"/>
      <c r="W132" s="15"/>
      <c r="X132" s="110"/>
      <c r="Y132" s="110"/>
      <c r="Z132" s="110"/>
      <c r="AA132" s="110"/>
      <c r="AB132" s="110"/>
      <c r="AC132" s="110"/>
      <c r="AD132" s="110"/>
      <c r="AE132" s="110"/>
      <c r="AF132" s="110"/>
      <c r="AG132" s="110"/>
      <c r="AH132" s="110"/>
      <c r="AI132" s="110"/>
    </row>
    <row r="133" spans="1:35" ht="15">
      <c r="A133" s="215"/>
      <c r="B133" s="215"/>
      <c r="C133" s="215"/>
      <c r="D133" s="215"/>
      <c r="E133" s="215"/>
      <c r="F133" s="215"/>
      <c r="G133" s="215"/>
      <c r="H133" s="215"/>
      <c r="I133" s="215"/>
      <c r="J133" s="215"/>
      <c r="K133" s="215"/>
      <c r="L133" s="215"/>
      <c r="M133" s="215"/>
      <c r="N133" s="215"/>
      <c r="O133" s="215"/>
      <c r="P133" s="215"/>
      <c r="Q133" s="215"/>
      <c r="R133" s="110"/>
      <c r="S133" s="110"/>
      <c r="T133" s="110"/>
      <c r="U133" s="110"/>
      <c r="V133" s="117"/>
      <c r="W133" s="15"/>
      <c r="X133" s="110"/>
      <c r="Y133" s="110"/>
      <c r="Z133" s="110"/>
      <c r="AA133" s="110"/>
      <c r="AB133" s="110"/>
      <c r="AC133" s="110"/>
      <c r="AD133" s="110"/>
      <c r="AE133" s="110"/>
      <c r="AF133" s="110"/>
      <c r="AG133" s="110"/>
      <c r="AH133" s="110"/>
      <c r="AI133" s="110"/>
    </row>
    <row r="134" spans="1:35" ht="15">
      <c r="A134" s="215"/>
      <c r="B134" s="215"/>
      <c r="C134" s="215"/>
      <c r="D134" s="215"/>
      <c r="E134" s="215"/>
      <c r="F134" s="215"/>
      <c r="G134" s="215"/>
      <c r="H134" s="215"/>
      <c r="I134" s="215"/>
      <c r="J134" s="215"/>
      <c r="K134" s="215"/>
      <c r="L134" s="215"/>
      <c r="M134" s="215"/>
      <c r="N134" s="215"/>
      <c r="O134" s="215"/>
      <c r="P134" s="215"/>
      <c r="Q134" s="215"/>
      <c r="R134" s="110"/>
      <c r="S134" s="110"/>
      <c r="T134" s="110"/>
      <c r="U134" s="110"/>
      <c r="V134" s="117"/>
      <c r="W134" s="15"/>
      <c r="X134" s="110"/>
      <c r="Y134" s="110"/>
      <c r="Z134" s="110"/>
      <c r="AA134" s="110"/>
      <c r="AB134" s="110"/>
      <c r="AC134" s="110"/>
      <c r="AD134" s="110"/>
      <c r="AE134" s="110"/>
      <c r="AF134" s="110"/>
      <c r="AG134" s="110"/>
      <c r="AH134" s="110"/>
      <c r="AI134" s="110"/>
    </row>
    <row r="135" spans="1:35" ht="15">
      <c r="A135" s="215"/>
      <c r="B135" s="215"/>
      <c r="C135" s="215"/>
      <c r="D135" s="215"/>
      <c r="E135" s="215"/>
      <c r="F135" s="215"/>
      <c r="G135" s="215"/>
      <c r="H135" s="215"/>
      <c r="I135" s="215"/>
      <c r="J135" s="215"/>
      <c r="K135" s="215"/>
      <c r="L135" s="215"/>
      <c r="M135" s="215"/>
      <c r="N135" s="215"/>
      <c r="O135" s="215"/>
      <c r="P135" s="215"/>
      <c r="Q135" s="215"/>
      <c r="R135" s="110"/>
      <c r="S135" s="110"/>
      <c r="T135" s="110"/>
      <c r="U135" s="110"/>
      <c r="V135" s="117"/>
      <c r="W135" s="15"/>
      <c r="X135" s="110"/>
      <c r="Y135" s="110"/>
      <c r="Z135" s="110"/>
      <c r="AA135" s="110"/>
      <c r="AB135" s="110"/>
      <c r="AC135" s="110"/>
      <c r="AD135" s="110"/>
      <c r="AE135" s="110"/>
      <c r="AF135" s="110"/>
      <c r="AG135" s="110"/>
      <c r="AH135" s="110"/>
      <c r="AI135" s="110"/>
    </row>
    <row r="136" spans="1:35" ht="15">
      <c r="A136" s="215"/>
      <c r="B136" s="215"/>
      <c r="C136" s="215"/>
      <c r="D136" s="215"/>
      <c r="E136" s="215"/>
      <c r="F136" s="215"/>
      <c r="G136" s="215"/>
      <c r="H136" s="215"/>
      <c r="I136" s="215"/>
      <c r="J136" s="215"/>
      <c r="K136" s="215"/>
      <c r="L136" s="215"/>
      <c r="M136" s="215"/>
      <c r="N136" s="215"/>
      <c r="O136" s="215"/>
      <c r="P136" s="215"/>
      <c r="Q136" s="215"/>
      <c r="R136" s="110"/>
      <c r="S136" s="110"/>
      <c r="T136" s="110"/>
      <c r="U136" s="110"/>
      <c r="V136" s="117"/>
      <c r="W136" s="110"/>
      <c r="X136" s="110"/>
      <c r="Y136" s="110"/>
      <c r="Z136" s="110"/>
      <c r="AA136" s="110"/>
      <c r="AB136" s="110"/>
      <c r="AC136" s="110"/>
      <c r="AD136" s="110"/>
      <c r="AE136" s="110"/>
      <c r="AF136" s="110"/>
      <c r="AG136" s="110"/>
      <c r="AH136" s="110"/>
      <c r="AI136" s="110"/>
    </row>
    <row r="137" spans="1:35" ht="15">
      <c r="A137" s="215"/>
      <c r="B137" s="215"/>
      <c r="C137" s="215"/>
      <c r="D137" s="215"/>
      <c r="E137" s="215"/>
      <c r="F137" s="215"/>
      <c r="G137" s="215"/>
      <c r="H137" s="215"/>
      <c r="I137" s="215"/>
      <c r="J137" s="215"/>
      <c r="K137" s="215"/>
      <c r="L137" s="215"/>
      <c r="M137" s="215"/>
      <c r="N137" s="215"/>
      <c r="O137" s="215"/>
      <c r="P137" s="215"/>
      <c r="Q137" s="215"/>
      <c r="R137" s="110"/>
      <c r="S137" s="110"/>
      <c r="T137" s="110"/>
      <c r="U137" s="110"/>
      <c r="V137" s="117"/>
      <c r="W137" s="110"/>
      <c r="X137" s="110"/>
      <c r="Y137" s="110"/>
      <c r="Z137" s="110"/>
      <c r="AA137" s="110"/>
      <c r="AB137" s="110"/>
      <c r="AC137" s="110"/>
      <c r="AD137" s="110"/>
      <c r="AE137" s="110"/>
      <c r="AF137" s="110"/>
      <c r="AG137" s="110"/>
      <c r="AH137" s="110"/>
      <c r="AI137" s="110"/>
    </row>
    <row r="138" spans="1:35" ht="15">
      <c r="A138" s="215"/>
      <c r="B138" s="215"/>
      <c r="C138" s="215"/>
      <c r="D138" s="215"/>
      <c r="E138" s="215"/>
      <c r="F138" s="215"/>
      <c r="G138" s="215"/>
      <c r="H138" s="215"/>
      <c r="I138" s="215"/>
      <c r="J138" s="215"/>
      <c r="K138" s="215"/>
      <c r="L138" s="215"/>
      <c r="M138" s="215"/>
      <c r="N138" s="215"/>
      <c r="O138" s="215"/>
      <c r="P138" s="215"/>
      <c r="Q138" s="215"/>
      <c r="R138" s="110"/>
      <c r="S138" s="110"/>
      <c r="T138" s="110"/>
      <c r="U138" s="110"/>
      <c r="V138" s="117"/>
      <c r="W138" s="110"/>
      <c r="X138" s="110"/>
      <c r="Y138" s="110"/>
      <c r="Z138" s="110"/>
      <c r="AA138" s="110"/>
      <c r="AB138" s="110"/>
      <c r="AC138" s="110"/>
      <c r="AD138" s="110"/>
      <c r="AE138" s="110"/>
      <c r="AF138" s="110"/>
      <c r="AG138" s="110"/>
      <c r="AH138" s="110"/>
      <c r="AI138" s="110"/>
    </row>
    <row r="139" spans="1:35" ht="15">
      <c r="A139" s="215"/>
      <c r="P139" s="215"/>
      <c r="Q139" s="215"/>
      <c r="R139" s="110"/>
      <c r="S139" s="110"/>
      <c r="T139" s="110"/>
      <c r="U139" s="110"/>
      <c r="V139" s="117"/>
      <c r="W139" s="110"/>
      <c r="X139" s="110"/>
      <c r="Y139" s="110"/>
      <c r="Z139" s="110"/>
      <c r="AA139" s="110"/>
      <c r="AB139" s="110"/>
      <c r="AC139" s="110"/>
      <c r="AD139" s="110"/>
      <c r="AE139" s="110"/>
      <c r="AF139" s="110"/>
      <c r="AG139" s="110"/>
      <c r="AH139" s="110"/>
      <c r="AI139" s="110"/>
    </row>
    <row r="140" spans="1:35" ht="15">
      <c r="A140" s="215"/>
      <c r="P140" s="215"/>
      <c r="Q140" s="215"/>
      <c r="R140" s="110"/>
      <c r="S140" s="110"/>
      <c r="T140" s="110"/>
      <c r="U140" s="110"/>
      <c r="V140" s="117"/>
      <c r="W140" s="15"/>
      <c r="X140" s="110"/>
      <c r="Y140" s="110"/>
      <c r="Z140" s="110"/>
      <c r="AA140" s="110"/>
      <c r="AB140" s="110"/>
      <c r="AC140" s="110"/>
      <c r="AD140" s="110"/>
      <c r="AE140" s="110"/>
      <c r="AF140" s="110"/>
      <c r="AG140" s="110"/>
      <c r="AH140" s="110"/>
      <c r="AI140" s="110"/>
    </row>
    <row r="141" spans="1:35" ht="15">
      <c r="A141" s="215"/>
      <c r="P141" s="215"/>
      <c r="Q141" s="215"/>
      <c r="R141" s="110"/>
      <c r="S141" s="110"/>
      <c r="T141" s="110"/>
      <c r="U141" s="110"/>
      <c r="V141" s="117"/>
      <c r="W141" s="15"/>
      <c r="X141" s="110"/>
      <c r="Y141" s="110"/>
      <c r="Z141" s="110"/>
      <c r="AA141" s="110"/>
      <c r="AB141" s="110"/>
      <c r="AC141" s="110"/>
      <c r="AD141" s="110"/>
      <c r="AE141" s="110"/>
      <c r="AF141" s="110"/>
      <c r="AG141" s="110"/>
      <c r="AH141" s="110"/>
      <c r="AI141" s="110"/>
    </row>
    <row r="142" spans="1:35" ht="15">
      <c r="A142" s="215"/>
      <c r="P142" s="215"/>
      <c r="Q142" s="215"/>
      <c r="R142" s="110"/>
      <c r="S142" s="110"/>
      <c r="T142" s="110"/>
      <c r="U142" s="110"/>
      <c r="V142" s="117"/>
      <c r="W142" s="110"/>
      <c r="X142" s="110"/>
      <c r="Y142" s="110"/>
      <c r="Z142" s="110"/>
      <c r="AA142" s="110"/>
      <c r="AB142" s="110"/>
      <c r="AC142" s="110"/>
      <c r="AD142" s="110"/>
      <c r="AE142" s="110"/>
      <c r="AF142" s="110"/>
      <c r="AG142" s="110"/>
      <c r="AH142" s="110"/>
      <c r="AI142" s="110"/>
    </row>
    <row r="143" spans="1:35" ht="15">
      <c r="P143" s="215"/>
      <c r="Q143" s="215"/>
      <c r="R143" s="110"/>
      <c r="S143" s="110"/>
      <c r="T143" s="110"/>
      <c r="U143" s="110"/>
      <c r="V143" s="117"/>
      <c r="W143" s="110"/>
      <c r="X143" s="110"/>
      <c r="Y143" s="110"/>
      <c r="Z143" s="110"/>
      <c r="AA143" s="110"/>
      <c r="AB143" s="110"/>
      <c r="AC143" s="110"/>
      <c r="AD143" s="110"/>
      <c r="AE143" s="110"/>
      <c r="AF143" s="110"/>
      <c r="AG143" s="110"/>
      <c r="AH143" s="110"/>
      <c r="AI143" s="110"/>
    </row>
    <row r="144" spans="1:35" ht="15">
      <c r="P144" s="215"/>
      <c r="Q144" s="215"/>
      <c r="R144" s="110"/>
      <c r="S144" s="110"/>
      <c r="T144" s="110"/>
      <c r="U144" s="110"/>
      <c r="V144" s="117"/>
      <c r="W144" s="110"/>
      <c r="X144" s="111"/>
      <c r="Y144" s="111"/>
      <c r="Z144" s="111"/>
      <c r="AA144" s="111"/>
      <c r="AB144" s="111"/>
      <c r="AC144" s="111"/>
      <c r="AD144" s="111"/>
      <c r="AE144" s="111"/>
      <c r="AF144" s="111"/>
      <c r="AG144" s="111"/>
      <c r="AH144" s="111"/>
      <c r="AI144" s="111"/>
    </row>
    <row r="145" spans="16:35" ht="15">
      <c r="P145" s="215"/>
      <c r="Q145" s="215"/>
      <c r="R145" s="110"/>
      <c r="S145" s="110"/>
      <c r="T145" s="110"/>
      <c r="U145" s="110"/>
      <c r="V145" s="117"/>
      <c r="W145" s="110"/>
      <c r="X145" s="110"/>
      <c r="Y145" s="110"/>
      <c r="Z145" s="110"/>
      <c r="AA145" s="110"/>
      <c r="AB145" s="110"/>
      <c r="AC145" s="110"/>
      <c r="AD145" s="110"/>
      <c r="AE145" s="110"/>
      <c r="AF145" s="110"/>
      <c r="AG145" s="110"/>
      <c r="AH145" s="110"/>
      <c r="AI145" s="110"/>
    </row>
    <row r="146" spans="16:35" ht="15">
      <c r="P146" s="215"/>
      <c r="Q146" s="215"/>
      <c r="R146" s="110"/>
      <c r="S146" s="110"/>
      <c r="T146" s="110"/>
      <c r="U146" s="110"/>
      <c r="V146" s="117"/>
      <c r="W146" s="110"/>
      <c r="X146" s="110"/>
      <c r="Y146" s="110"/>
      <c r="Z146" s="110"/>
      <c r="AA146" s="110"/>
      <c r="AB146" s="110"/>
      <c r="AC146" s="110"/>
      <c r="AD146" s="110"/>
      <c r="AE146" s="110"/>
      <c r="AF146" s="110"/>
      <c r="AG146" s="110"/>
      <c r="AH146" s="110"/>
      <c r="AI146" s="110"/>
    </row>
    <row r="147" spans="16:35" ht="14.4">
      <c r="R147" s="110"/>
      <c r="S147" s="110"/>
      <c r="T147" s="110"/>
      <c r="U147" s="110"/>
      <c r="V147" s="117"/>
      <c r="W147" s="110"/>
      <c r="X147" s="110"/>
      <c r="Y147" s="110"/>
      <c r="Z147" s="110"/>
      <c r="AA147" s="110"/>
      <c r="AB147" s="110"/>
      <c r="AC147" s="110"/>
      <c r="AD147" s="110"/>
      <c r="AE147" s="110"/>
      <c r="AF147" s="110"/>
      <c r="AG147" s="110"/>
      <c r="AH147" s="110"/>
      <c r="AI147" s="110"/>
    </row>
  </sheetData>
  <sheetProtection sheet="1" objects="1" scenarios="1"/>
  <customSheetViews>
    <customSheetView guid="{D1431318-1DB8-4C45-813B-5A8065DFC797}" showPageBreaks="1" printArea="1" hiddenRows="1" view="pageBreakPreview">
      <selection activeCell="M66" sqref="M66"/>
      <rowBreaks count="2" manualBreakCount="2">
        <brk id="41" max="13" man="1"/>
        <brk id="79" max="16383" man="1"/>
      </rowBreaks>
      <pageMargins left="0.25" right="0.25" top="0.42" bottom="0.42" header="0.17" footer="0.5"/>
      <pageSetup fitToHeight="4" orientation="portrait" blackAndWhite="1" r:id="rId1"/>
      <headerFooter alignWithMargins="0"/>
    </customSheetView>
  </customSheetViews>
  <mergeCells count="60">
    <mergeCell ref="X74:Y74"/>
    <mergeCell ref="S78:T78"/>
    <mergeCell ref="I107:M107"/>
    <mergeCell ref="A103:O103"/>
    <mergeCell ref="K111:N111"/>
    <mergeCell ref="J98:M99"/>
    <mergeCell ref="U80:V80"/>
    <mergeCell ref="K76:O76"/>
    <mergeCell ref="K77:O78"/>
    <mergeCell ref="M101:N101"/>
    <mergeCell ref="C89:D89"/>
    <mergeCell ref="E91:G91"/>
    <mergeCell ref="E89:G89"/>
    <mergeCell ref="C91:D91"/>
    <mergeCell ref="C87:D87"/>
    <mergeCell ref="A80:O80"/>
    <mergeCell ref="C114:L115"/>
    <mergeCell ref="F98:G98"/>
    <mergeCell ref="C93:E93"/>
    <mergeCell ref="F113:K113"/>
    <mergeCell ref="F93:G93"/>
    <mergeCell ref="C107:H107"/>
    <mergeCell ref="C98:E98"/>
    <mergeCell ref="E1:K1"/>
    <mergeCell ref="A28:O28"/>
    <mergeCell ref="H46:I46"/>
    <mergeCell ref="A19:O19"/>
    <mergeCell ref="A20:N21"/>
    <mergeCell ref="C8:J8"/>
    <mergeCell ref="G13:N15"/>
    <mergeCell ref="I22:J22"/>
    <mergeCell ref="A18:N18"/>
    <mergeCell ref="I26:J26"/>
    <mergeCell ref="L45:N51"/>
    <mergeCell ref="C46:D46"/>
    <mergeCell ref="I40:J40"/>
    <mergeCell ref="H32:I32"/>
    <mergeCell ref="C36:G36"/>
    <mergeCell ref="I4:J4"/>
    <mergeCell ref="C82:H82"/>
    <mergeCell ref="H74:I74"/>
    <mergeCell ref="L74:M74"/>
    <mergeCell ref="H78:I78"/>
    <mergeCell ref="C85:D85"/>
    <mergeCell ref="E87:G87"/>
    <mergeCell ref="A6:O6"/>
    <mergeCell ref="C26:D26"/>
    <mergeCell ref="L30:N36"/>
    <mergeCell ref="C40:D40"/>
    <mergeCell ref="H55:I55"/>
    <mergeCell ref="C55:D55"/>
    <mergeCell ref="C62:N62"/>
    <mergeCell ref="C83:H83"/>
    <mergeCell ref="E85:G85"/>
    <mergeCell ref="C59:G59"/>
    <mergeCell ref="C50:G50"/>
    <mergeCell ref="H64:I64"/>
    <mergeCell ref="H76:I76"/>
    <mergeCell ref="C68:G68"/>
    <mergeCell ref="A72:O72"/>
  </mergeCells>
  <phoneticPr fontId="22" type="noConversion"/>
  <dataValidations count="10">
    <dataValidation type="list" allowBlank="1" showInputMessage="1" sqref="H76:I76">
      <formula1>Slope</formula1>
    </dataValidation>
    <dataValidation type="list" allowBlank="1" showInputMessage="1" showErrorMessage="1" sqref="E87:G87">
      <formula1>StructureShape</formula1>
    </dataValidation>
    <dataValidation type="list" allowBlank="1" showInputMessage="1" showErrorMessage="1" sqref="E89:G89">
      <formula1>StructureGrade</formula1>
    </dataValidation>
    <dataValidation type="list" allowBlank="1" showInputMessage="1" showErrorMessage="1" sqref="E91:G91">
      <formula1>StructureConsistence</formula1>
    </dataValidation>
    <dataValidation type="list" allowBlank="1" showInputMessage="1" showErrorMessage="1" sqref="F93:G93 M101:N101">
      <formula1>SHLR</formula1>
    </dataValidation>
    <dataValidation type="list" allowBlank="1" showInputMessage="1" showErrorMessage="1" sqref="I107:M107">
      <formula1>STA</formula1>
    </dataValidation>
    <dataValidation type="list" allowBlank="1" showInputMessage="1" showErrorMessage="1" sqref="F113:K113">
      <formula1>DistType</formula1>
    </dataValidation>
    <dataValidation type="list" allowBlank="1" showInputMessage="1" showErrorMessage="1" sqref="H78:I78">
      <formula1>Slope</formula1>
    </dataValidation>
    <dataValidation type="list" allowBlank="1" showInputMessage="1" showErrorMessage="1" sqref="E85:G85">
      <formula1>SoilTexture7080</formula1>
    </dataValidation>
    <dataValidation type="list" allowBlank="1" showInputMessage="1" showErrorMessage="1" sqref="H36 H59 H50">
      <formula1>EffScreen</formula1>
    </dataValidation>
  </dataValidations>
  <pageMargins left="0.25" right="0.25" top="0.42" bottom="0.42" header="0.17" footer="0.5"/>
  <pageSetup fitToHeight="4" orientation="portrait" blackAndWhite="1" r:id="rId2"/>
  <headerFooter alignWithMargins="0"/>
  <rowBreaks count="2" manualBreakCount="2">
    <brk id="41" max="13" man="1"/>
    <brk id="79" max="16383" man="1"/>
  </rowBreaks>
  <drawing r:id="rId3"/>
  <legacyDrawing r:id="rId4"/>
  <mc:AlternateContent xmlns:mc="http://schemas.openxmlformats.org/markup-compatibility/2006">
    <mc:Choice Requires="x14">
      <controls>
        <mc:AlternateContent xmlns:mc="http://schemas.openxmlformats.org/markup-compatibility/2006">
          <mc:Choice Requires="x14">
            <control shapeId="39285" r:id="rId5" name="Check Box 373">
              <controlPr defaultSize="0" autoFill="0" autoLine="0" autoPict="0">
                <anchor moveWithCells="1">
                  <from>
                    <xdr:col>5</xdr:col>
                    <xdr:colOff>83820</xdr:colOff>
                    <xdr:row>37</xdr:row>
                    <xdr:rowOff>0</xdr:rowOff>
                  </from>
                  <to>
                    <xdr:col>6</xdr:col>
                    <xdr:colOff>144780</xdr:colOff>
                    <xdr:row>38</xdr:row>
                    <xdr:rowOff>7620</xdr:rowOff>
                  </to>
                </anchor>
              </controlPr>
            </control>
          </mc:Choice>
        </mc:AlternateContent>
        <mc:AlternateContent xmlns:mc="http://schemas.openxmlformats.org/markup-compatibility/2006">
          <mc:Choice Requires="x14">
            <control shapeId="39286" r:id="rId6" name="Check Box 374">
              <controlPr defaultSize="0" autoFill="0" autoLine="0" autoPict="0">
                <anchor moveWithCells="1">
                  <from>
                    <xdr:col>6</xdr:col>
                    <xdr:colOff>266700</xdr:colOff>
                    <xdr:row>37</xdr:row>
                    <xdr:rowOff>0</xdr:rowOff>
                  </from>
                  <to>
                    <xdr:col>7</xdr:col>
                    <xdr:colOff>220980</xdr:colOff>
                    <xdr:row>38</xdr:row>
                    <xdr:rowOff>30480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C00000"/>
  </sheetPr>
  <dimension ref="A1:AF1303"/>
  <sheetViews>
    <sheetView showZeros="0" view="pageBreakPreview" zoomScaleNormal="100" zoomScaleSheetLayoutView="100" workbookViewId="0">
      <selection activeCell="S5" sqref="S5:U5"/>
    </sheetView>
  </sheetViews>
  <sheetFormatPr defaultColWidth="9.109375" defaultRowHeight="14.4"/>
  <cols>
    <col min="1" max="1" width="1.109375" style="970" customWidth="1"/>
    <col min="2" max="21" width="4.88671875" style="970" customWidth="1"/>
    <col min="22" max="22" width="1.109375" style="970" customWidth="1"/>
    <col min="23" max="16384" width="9.109375" style="970"/>
  </cols>
  <sheetData>
    <row r="1" spans="1:24" ht="15.75" customHeight="1">
      <c r="A1" s="1704"/>
      <c r="B1" s="1710" t="s">
        <v>1736</v>
      </c>
      <c r="C1" s="1706"/>
      <c r="D1" s="1711"/>
      <c r="E1" s="1712"/>
      <c r="F1" s="1712"/>
      <c r="G1" s="1706"/>
      <c r="H1" s="1706"/>
      <c r="I1" s="1706"/>
      <c r="J1" s="1713"/>
      <c r="K1" s="1714"/>
      <c r="L1" s="1713"/>
      <c r="M1" s="1713"/>
      <c r="N1" s="1715"/>
      <c r="O1" s="1715"/>
      <c r="P1" s="1706"/>
      <c r="Q1" s="1706"/>
      <c r="R1" s="1706"/>
      <c r="S1" s="2794" t="str">
        <f>'Drop-Down Lists'!J40</f>
        <v>v 04.01.2021</v>
      </c>
      <c r="T1" s="2794"/>
      <c r="U1" s="2794"/>
      <c r="V1" s="1716"/>
      <c r="W1" s="1277"/>
      <c r="X1" s="1277"/>
    </row>
    <row r="2" spans="1:24" ht="6" customHeight="1">
      <c r="A2" s="1297"/>
      <c r="B2" s="2576"/>
      <c r="C2" s="1930"/>
      <c r="D2" s="1930"/>
      <c r="E2" s="1930"/>
      <c r="F2" s="2577"/>
      <c r="G2" s="2576"/>
      <c r="H2" s="2578"/>
      <c r="I2" s="1930"/>
      <c r="J2" s="2577"/>
      <c r="K2" s="1930"/>
      <c r="L2" s="1930"/>
      <c r="M2" s="1930"/>
      <c r="N2" s="2575"/>
      <c r="O2" s="2575"/>
      <c r="P2" s="1930"/>
      <c r="Q2" s="1930"/>
      <c r="R2" s="1930"/>
      <c r="S2" s="1930"/>
      <c r="T2" s="1930"/>
      <c r="U2" s="1930"/>
      <c r="V2" s="1935"/>
      <c r="W2" s="1277"/>
      <c r="X2" s="1277"/>
    </row>
    <row r="3" spans="1:24" ht="18" customHeight="1">
      <c r="A3" s="1297"/>
      <c r="B3" s="2842" t="s">
        <v>29</v>
      </c>
      <c r="C3" s="2842"/>
      <c r="D3" s="2842"/>
      <c r="E3" s="2842"/>
      <c r="F3" s="2843"/>
      <c r="G3" s="2839" t="str">
        <f>IF(ISBLANK(Prelim!G3),"  ", Prelim!G3)</f>
        <v xml:space="preserve">  </v>
      </c>
      <c r="H3" s="2840"/>
      <c r="I3" s="2840"/>
      <c r="J3" s="2840"/>
      <c r="K3" s="2840"/>
      <c r="L3" s="2840"/>
      <c r="M3" s="2840"/>
      <c r="N3" s="2840"/>
      <c r="O3" s="2840"/>
      <c r="P3" s="2841"/>
      <c r="Q3" s="2823" t="s">
        <v>1015</v>
      </c>
      <c r="R3" s="2824"/>
      <c r="S3" s="2833" t="str">
        <f>IF(ISBLANK(Prelim!S5)," ",Prelim!S5)</f>
        <v xml:space="preserve"> </v>
      </c>
      <c r="T3" s="2834"/>
      <c r="U3" s="2835"/>
      <c r="V3" s="1935"/>
      <c r="W3" s="1277"/>
      <c r="X3" s="1277"/>
    </row>
    <row r="4" spans="1:24" ht="6" customHeight="1">
      <c r="A4" s="1297"/>
      <c r="B4" s="2826"/>
      <c r="C4" s="2826"/>
      <c r="D4" s="2826"/>
      <c r="E4" s="2826"/>
      <c r="F4" s="2826"/>
      <c r="G4" s="2826"/>
      <c r="H4" s="2826"/>
      <c r="I4" s="2826"/>
      <c r="J4" s="2826"/>
      <c r="K4" s="2826"/>
      <c r="L4" s="2826"/>
      <c r="M4" s="1930"/>
      <c r="N4" s="2575"/>
      <c r="O4" s="2575"/>
      <c r="P4" s="1930"/>
      <c r="Q4" s="1930"/>
      <c r="R4" s="1930"/>
      <c r="S4" s="1930"/>
      <c r="T4" s="1930"/>
      <c r="U4" s="1930"/>
      <c r="V4" s="1935"/>
      <c r="W4" s="1277"/>
      <c r="X4" s="1277"/>
    </row>
    <row r="5" spans="1:24" ht="18" customHeight="1">
      <c r="A5" s="1297"/>
      <c r="B5" s="2577"/>
      <c r="C5" s="2575"/>
      <c r="D5" s="2574" t="s">
        <v>782</v>
      </c>
      <c r="E5" s="2839" t="str">
        <f>IF(ISBLANK(Prelim!G5),"  ", Prelim!G5)</f>
        <v xml:space="preserve">  </v>
      </c>
      <c r="F5" s="2840"/>
      <c r="G5" s="2840"/>
      <c r="H5" s="2840"/>
      <c r="I5" s="2840"/>
      <c r="J5" s="2840"/>
      <c r="K5" s="2840"/>
      <c r="L5" s="2840"/>
      <c r="M5" s="2840"/>
      <c r="N5" s="2841"/>
      <c r="O5" s="2575"/>
      <c r="P5" s="2826" t="s">
        <v>1778</v>
      </c>
      <c r="Q5" s="2826"/>
      <c r="R5" s="2826"/>
      <c r="S5" s="2836"/>
      <c r="T5" s="2837"/>
      <c r="U5" s="2838"/>
      <c r="V5" s="1935"/>
      <c r="W5" s="1484"/>
      <c r="X5" s="1484"/>
    </row>
    <row r="6" spans="1:24" ht="5.25" customHeight="1">
      <c r="A6" s="1297"/>
      <c r="B6" s="2577"/>
      <c r="C6" s="2577"/>
      <c r="D6" s="2577"/>
      <c r="E6" s="2577"/>
      <c r="F6" s="2577"/>
      <c r="G6" s="2577"/>
      <c r="H6" s="2577"/>
      <c r="I6" s="2577"/>
      <c r="J6" s="2577"/>
      <c r="K6" s="2577"/>
      <c r="L6" s="2577"/>
      <c r="M6" s="1930"/>
      <c r="N6" s="2575"/>
      <c r="O6" s="2575"/>
      <c r="P6" s="1892"/>
      <c r="Q6" s="1892"/>
      <c r="R6" s="1892"/>
      <c r="S6" s="1893"/>
      <c r="T6" s="1893"/>
      <c r="U6" s="1893"/>
      <c r="V6" s="1935"/>
      <c r="W6" s="1484"/>
      <c r="X6" s="1484"/>
    </row>
    <row r="7" spans="1:24" ht="15.75" customHeight="1">
      <c r="A7" s="1708"/>
      <c r="B7" s="2790" t="s">
        <v>1132</v>
      </c>
      <c r="C7" s="2810"/>
      <c r="D7" s="2810"/>
      <c r="E7" s="2810"/>
      <c r="F7" s="2811"/>
      <c r="G7" s="2811"/>
      <c r="H7" s="2811"/>
      <c r="I7" s="2811"/>
      <c r="J7" s="2811"/>
      <c r="K7" s="2811"/>
      <c r="L7" s="2811"/>
      <c r="M7" s="2579"/>
      <c r="N7" s="2579"/>
      <c r="O7" s="2579"/>
      <c r="P7" s="2579"/>
      <c r="Q7" s="2579"/>
      <c r="R7" s="2579"/>
      <c r="S7" s="2579"/>
      <c r="T7" s="2579"/>
      <c r="U7" s="2579"/>
      <c r="V7" s="1709"/>
      <c r="W7" s="1277"/>
      <c r="X7" s="1277"/>
    </row>
    <row r="8" spans="1:24" ht="5.25" customHeight="1">
      <c r="A8" s="1297"/>
      <c r="B8" s="2576"/>
      <c r="C8" s="1930"/>
      <c r="D8" s="1930"/>
      <c r="E8" s="1930"/>
      <c r="F8" s="2577"/>
      <c r="G8" s="2576"/>
      <c r="H8" s="2578"/>
      <c r="I8" s="1930"/>
      <c r="J8" s="2577"/>
      <c r="K8" s="1930"/>
      <c r="L8" s="1930"/>
      <c r="M8" s="1930"/>
      <c r="N8" s="2575"/>
      <c r="O8" s="2575"/>
      <c r="P8" s="1930"/>
      <c r="Q8" s="1930"/>
      <c r="R8" s="1930"/>
      <c r="S8" s="1930"/>
      <c r="T8" s="1930"/>
      <c r="U8" s="1930"/>
      <c r="V8" s="1935"/>
      <c r="W8" s="1277"/>
      <c r="X8" s="1277"/>
    </row>
    <row r="9" spans="1:24" ht="18" customHeight="1">
      <c r="A9" s="1297"/>
      <c r="B9" s="1930" t="s">
        <v>1133</v>
      </c>
      <c r="C9" s="1930"/>
      <c r="D9" s="2575"/>
      <c r="E9" s="2575"/>
      <c r="F9" s="1930"/>
      <c r="G9" s="1930"/>
      <c r="H9" s="1930"/>
      <c r="I9" s="1930"/>
      <c r="J9" s="1930"/>
      <c r="K9" s="2752"/>
      <c r="L9" s="2769"/>
      <c r="M9" s="2753"/>
      <c r="N9" s="2575"/>
      <c r="O9" s="2575"/>
      <c r="P9" s="1930"/>
      <c r="Q9" s="1930"/>
      <c r="R9" s="2752"/>
      <c r="S9" s="2769"/>
      <c r="T9" s="2769"/>
      <c r="U9" s="2753"/>
      <c r="V9" s="1935"/>
      <c r="W9" s="1277"/>
      <c r="X9" s="1277"/>
    </row>
    <row r="10" spans="1:24" ht="5.25" customHeight="1">
      <c r="A10" s="1297"/>
      <c r="B10" s="2576"/>
      <c r="C10" s="1930"/>
      <c r="D10" s="1930"/>
      <c r="E10" s="1930"/>
      <c r="F10" s="2577"/>
      <c r="G10" s="2576"/>
      <c r="H10" s="2578"/>
      <c r="I10" s="1930"/>
      <c r="J10" s="2577"/>
      <c r="K10" s="1930"/>
      <c r="L10" s="1930"/>
      <c r="M10" s="1930"/>
      <c r="N10" s="2575"/>
      <c r="O10" s="2575"/>
      <c r="P10" s="1930"/>
      <c r="Q10" s="1930"/>
      <c r="R10" s="1930"/>
      <c r="S10" s="1930"/>
      <c r="T10" s="1930"/>
      <c r="U10" s="1930"/>
      <c r="V10" s="1935"/>
      <c r="W10" s="1277"/>
      <c r="X10" s="1277"/>
    </row>
    <row r="11" spans="1:24" ht="18" customHeight="1">
      <c r="A11" s="1297"/>
      <c r="B11" s="1930" t="s">
        <v>1134</v>
      </c>
      <c r="C11" s="1930"/>
      <c r="D11" s="1930"/>
      <c r="E11" s="1930"/>
      <c r="F11" s="2577"/>
      <c r="G11" s="1930"/>
      <c r="H11" s="2577"/>
      <c r="I11" s="1930"/>
      <c r="J11" s="2577"/>
      <c r="K11" s="1937"/>
      <c r="L11" s="1937"/>
      <c r="M11" s="1940"/>
      <c r="N11" s="2575"/>
      <c r="O11" s="2575"/>
      <c r="P11" s="2591"/>
      <c r="Q11" s="1930"/>
      <c r="R11" s="1930"/>
      <c r="S11" s="1930"/>
      <c r="T11" s="1930"/>
      <c r="U11" s="1930"/>
      <c r="V11" s="1935"/>
      <c r="W11" s="1277"/>
      <c r="X11" s="1277"/>
    </row>
    <row r="12" spans="1:24" ht="6" customHeight="1">
      <c r="A12" s="1297"/>
      <c r="B12" s="2826"/>
      <c r="C12" s="2826"/>
      <c r="D12" s="2826"/>
      <c r="E12" s="2826"/>
      <c r="F12" s="2826"/>
      <c r="G12" s="2826"/>
      <c r="H12" s="2826"/>
      <c r="I12" s="2826"/>
      <c r="J12" s="2826"/>
      <c r="K12" s="2826"/>
      <c r="L12" s="2826"/>
      <c r="M12" s="1940"/>
      <c r="N12" s="2575"/>
      <c r="O12" s="2575"/>
      <c r="P12" s="2591"/>
      <c r="Q12" s="1930"/>
      <c r="R12" s="1930"/>
      <c r="S12" s="1930"/>
      <c r="T12" s="1930"/>
      <c r="U12" s="1930"/>
      <c r="V12" s="1935"/>
      <c r="W12" s="1277"/>
      <c r="X12" s="1277"/>
    </row>
    <row r="13" spans="1:24" ht="15.75" customHeight="1">
      <c r="A13" s="1708"/>
      <c r="B13" s="2790" t="s">
        <v>1135</v>
      </c>
      <c r="C13" s="2810"/>
      <c r="D13" s="2810"/>
      <c r="E13" s="2810"/>
      <c r="F13" s="2811"/>
      <c r="G13" s="2811"/>
      <c r="H13" s="2811"/>
      <c r="I13" s="2811"/>
      <c r="J13" s="2811"/>
      <c r="K13" s="2811"/>
      <c r="L13" s="2811"/>
      <c r="M13" s="2579"/>
      <c r="N13" s="2579"/>
      <c r="O13" s="2579"/>
      <c r="P13" s="2579"/>
      <c r="Q13" s="2579"/>
      <c r="R13" s="2579"/>
      <c r="S13" s="2579"/>
      <c r="T13" s="2579"/>
      <c r="U13" s="2579"/>
      <c r="V13" s="1709"/>
      <c r="W13" s="1277"/>
      <c r="X13" s="1277"/>
    </row>
    <row r="14" spans="1:24" s="1277" customFormat="1" ht="6" customHeight="1">
      <c r="A14" s="1297"/>
      <c r="B14" s="2826"/>
      <c r="C14" s="2826"/>
      <c r="D14" s="2826"/>
      <c r="E14" s="2826"/>
      <c r="F14" s="2826"/>
      <c r="G14" s="2826"/>
      <c r="H14" s="2826"/>
      <c r="I14" s="2826"/>
      <c r="J14" s="2826"/>
      <c r="K14" s="2826"/>
      <c r="L14" s="2826"/>
      <c r="M14" s="1940"/>
      <c r="N14" s="2575"/>
      <c r="O14" s="2575"/>
      <c r="P14" s="2591"/>
      <c r="Q14" s="1930"/>
      <c r="R14" s="1930"/>
      <c r="S14" s="1930"/>
      <c r="T14" s="1930"/>
      <c r="U14" s="1930"/>
      <c r="V14" s="1935"/>
    </row>
    <row r="15" spans="1:24" s="1277" customFormat="1" ht="18" customHeight="1">
      <c r="A15" s="1297"/>
      <c r="B15" s="2825" t="s">
        <v>1652</v>
      </c>
      <c r="C15" s="2825"/>
      <c r="D15" s="2825"/>
      <c r="E15" s="2825"/>
      <c r="F15" s="2771"/>
      <c r="G15" s="2772"/>
      <c r="H15" s="2772"/>
      <c r="I15" s="2772"/>
      <c r="J15" s="2772"/>
      <c r="K15" s="2772"/>
      <c r="L15" s="2773"/>
      <c r="M15" s="2575"/>
      <c r="N15" s="2575"/>
      <c r="O15" s="2591"/>
      <c r="P15" s="1524" t="s">
        <v>1655</v>
      </c>
      <c r="Q15" s="2771"/>
      <c r="R15" s="2772"/>
      <c r="S15" s="2772"/>
      <c r="T15" s="2773"/>
      <c r="U15" s="2575"/>
      <c r="V15" s="1935"/>
    </row>
    <row r="16" spans="1:24" s="1277" customFormat="1" ht="6" customHeight="1">
      <c r="A16" s="1297"/>
      <c r="B16" s="1334"/>
      <c r="C16" s="1334"/>
      <c r="D16" s="1334"/>
      <c r="E16" s="1334"/>
      <c r="F16" s="1334"/>
      <c r="G16" s="1930"/>
      <c r="H16" s="1930"/>
      <c r="I16" s="1523"/>
      <c r="J16" s="1930"/>
      <c r="K16" s="1930"/>
      <c r="L16" s="1930"/>
      <c r="M16" s="1940"/>
      <c r="N16" s="2575"/>
      <c r="O16" s="2575"/>
      <c r="P16" s="2591"/>
      <c r="Q16" s="1930"/>
      <c r="R16" s="1930"/>
      <c r="S16" s="1930"/>
      <c r="T16" s="1930"/>
      <c r="U16" s="2575"/>
      <c r="V16" s="1935"/>
    </row>
    <row r="17" spans="1:24" s="1408" customFormat="1" ht="18" customHeight="1">
      <c r="A17" s="1297"/>
      <c r="B17" s="1930"/>
      <c r="C17" s="1334"/>
      <c r="D17" s="1960" t="s">
        <v>1654</v>
      </c>
      <c r="E17" s="2771"/>
      <c r="F17" s="2772"/>
      <c r="G17" s="2773"/>
      <c r="H17" s="1930" t="s">
        <v>630</v>
      </c>
      <c r="I17" s="1484"/>
      <c r="J17" s="1930"/>
      <c r="K17" s="1960" t="s">
        <v>1656</v>
      </c>
      <c r="L17" s="2771"/>
      <c r="M17" s="2772"/>
      <c r="N17" s="2773"/>
      <c r="O17" s="2575"/>
      <c r="P17" s="2591"/>
      <c r="Q17" s="1524" t="s">
        <v>1653</v>
      </c>
      <c r="R17" s="2771"/>
      <c r="S17" s="2772"/>
      <c r="T17" s="2773"/>
      <c r="U17" s="2575"/>
      <c r="V17" s="1935"/>
    </row>
    <row r="18" spans="1:24" s="1408" customFormat="1" ht="6" customHeight="1">
      <c r="A18" s="1297"/>
      <c r="B18" s="1334"/>
      <c r="C18" s="1334"/>
      <c r="D18" s="1334"/>
      <c r="E18" s="1960"/>
      <c r="F18" s="1334"/>
      <c r="G18" s="1930"/>
      <c r="H18" s="1930"/>
      <c r="I18" s="1523"/>
      <c r="J18" s="1930"/>
      <c r="K18" s="1930"/>
      <c r="L18" s="1930"/>
      <c r="M18" s="1940"/>
      <c r="N18" s="2575"/>
      <c r="O18" s="2575"/>
      <c r="P18" s="2591"/>
      <c r="Q18" s="1930"/>
      <c r="R18" s="1930"/>
      <c r="S18" s="1930"/>
      <c r="T18" s="1930"/>
      <c r="U18" s="2575"/>
      <c r="V18" s="1935"/>
    </row>
    <row r="19" spans="1:24" s="1408" customFormat="1" ht="6" customHeight="1">
      <c r="A19" s="1297"/>
      <c r="B19" s="1334"/>
      <c r="C19" s="1334"/>
      <c r="D19" s="1334"/>
      <c r="E19" s="1334"/>
      <c r="F19" s="1334"/>
      <c r="G19" s="1930"/>
      <c r="H19" s="1930"/>
      <c r="I19" s="1930"/>
      <c r="J19" s="1930"/>
      <c r="K19" s="1930"/>
      <c r="L19" s="1930"/>
      <c r="M19" s="1940"/>
      <c r="N19" s="2575"/>
      <c r="O19" s="2575"/>
      <c r="P19" s="2591"/>
      <c r="Q19" s="1930"/>
      <c r="R19" s="1930"/>
      <c r="S19" s="1930"/>
      <c r="T19" s="1930"/>
      <c r="U19" s="1930"/>
      <c r="V19" s="1935"/>
    </row>
    <row r="20" spans="1:24" s="1277" customFormat="1" ht="18" customHeight="1">
      <c r="A20" s="1297"/>
      <c r="B20" s="1930"/>
      <c r="C20" s="1334"/>
      <c r="D20" s="1334"/>
      <c r="E20" s="1334"/>
      <c r="F20" s="1334"/>
      <c r="G20" s="1930"/>
      <c r="H20" s="1930"/>
      <c r="I20" s="1930"/>
      <c r="J20" s="1960" t="s">
        <v>1657</v>
      </c>
      <c r="K20" s="2786"/>
      <c r="L20" s="2787"/>
      <c r="M20" s="2787"/>
      <c r="N20" s="2787"/>
      <c r="O20" s="2787"/>
      <c r="P20" s="2787"/>
      <c r="Q20" s="2787"/>
      <c r="R20" s="2787"/>
      <c r="S20" s="2787"/>
      <c r="T20" s="2787"/>
      <c r="U20" s="2788"/>
      <c r="V20" s="1935"/>
    </row>
    <row r="21" spans="1:24" s="1277" customFormat="1" ht="6" customHeight="1">
      <c r="A21" s="1297"/>
      <c r="B21" s="1334"/>
      <c r="C21" s="1334"/>
      <c r="D21" s="1334"/>
      <c r="E21" s="1334"/>
      <c r="F21" s="1334"/>
      <c r="G21" s="1930"/>
      <c r="H21" s="1930"/>
      <c r="I21" s="1930"/>
      <c r="J21" s="1930"/>
      <c r="K21" s="1930"/>
      <c r="L21" s="1930"/>
      <c r="M21" s="1930"/>
      <c r="N21" s="1930"/>
      <c r="O21" s="1930"/>
      <c r="P21" s="2591"/>
      <c r="Q21" s="1930"/>
      <c r="R21" s="1930"/>
      <c r="S21" s="1930"/>
      <c r="T21" s="1930"/>
      <c r="U21" s="1930"/>
      <c r="V21" s="1935"/>
    </row>
    <row r="22" spans="1:24" s="1277" customFormat="1" ht="18" customHeight="1">
      <c r="A22" s="1297"/>
      <c r="B22" s="1930"/>
      <c r="C22" s="1930"/>
      <c r="D22" s="1930"/>
      <c r="E22" s="1930"/>
      <c r="F22" s="1334"/>
      <c r="G22" s="1930"/>
      <c r="H22" s="1334"/>
      <c r="I22" s="1334"/>
      <c r="J22" s="1960" t="s">
        <v>1658</v>
      </c>
      <c r="K22" s="2786"/>
      <c r="L22" s="2787"/>
      <c r="M22" s="2787"/>
      <c r="N22" s="2787"/>
      <c r="O22" s="2787"/>
      <c r="P22" s="2787"/>
      <c r="Q22" s="2787"/>
      <c r="R22" s="2787"/>
      <c r="S22" s="2787"/>
      <c r="T22" s="2787"/>
      <c r="U22" s="2788"/>
      <c r="V22" s="1935"/>
    </row>
    <row r="23" spans="1:24" s="1484" customFormat="1" ht="6" customHeight="1">
      <c r="A23" s="1297"/>
      <c r="B23" s="1930"/>
      <c r="C23" s="1930"/>
      <c r="D23" s="1930"/>
      <c r="E23" s="1930"/>
      <c r="F23" s="1930"/>
      <c r="G23" s="1930"/>
      <c r="H23" s="1930"/>
      <c r="I23" s="1930"/>
      <c r="J23" s="1930"/>
      <c r="K23" s="1930"/>
      <c r="L23" s="1930"/>
      <c r="M23" s="1930"/>
      <c r="N23" s="1930"/>
      <c r="O23" s="1930"/>
      <c r="P23" s="1930"/>
      <c r="Q23" s="1930"/>
      <c r="R23" s="1930"/>
      <c r="S23" s="1930"/>
      <c r="T23" s="1930"/>
      <c r="U23" s="1930"/>
      <c r="V23" s="1935"/>
    </row>
    <row r="24" spans="1:24" s="1484" customFormat="1" ht="18" customHeight="1">
      <c r="A24" s="1297"/>
      <c r="B24" s="1930"/>
      <c r="C24" s="1930"/>
      <c r="D24" s="1960" t="s">
        <v>1744</v>
      </c>
      <c r="E24" s="2796"/>
      <c r="F24" s="2797"/>
      <c r="G24" s="2797"/>
      <c r="H24" s="2797"/>
      <c r="I24" s="2797"/>
      <c r="J24" s="2797"/>
      <c r="K24" s="2797"/>
      <c r="L24" s="2797"/>
      <c r="M24" s="2797"/>
      <c r="N24" s="2797"/>
      <c r="O24" s="2797"/>
      <c r="P24" s="2797"/>
      <c r="Q24" s="2797"/>
      <c r="R24" s="2797"/>
      <c r="S24" s="2797"/>
      <c r="T24" s="2797"/>
      <c r="U24" s="2798"/>
      <c r="V24" s="1935"/>
    </row>
    <row r="25" spans="1:24" s="1277" customFormat="1" ht="6" customHeight="1">
      <c r="A25" s="1297"/>
      <c r="B25" s="1334"/>
      <c r="C25" s="1334"/>
      <c r="D25" s="1334"/>
      <c r="E25" s="1334"/>
      <c r="F25" s="1334"/>
      <c r="G25" s="1930"/>
      <c r="H25" s="1930"/>
      <c r="I25" s="1930"/>
      <c r="J25" s="1930"/>
      <c r="K25" s="1930"/>
      <c r="L25" s="1930"/>
      <c r="M25" s="1940"/>
      <c r="N25" s="2575"/>
      <c r="O25" s="2575"/>
      <c r="P25" s="2591"/>
      <c r="Q25" s="1930"/>
      <c r="R25" s="1930"/>
      <c r="S25" s="1930"/>
      <c r="T25" s="1930"/>
      <c r="U25" s="1930"/>
      <c r="V25" s="1935"/>
    </row>
    <row r="26" spans="1:24" s="1277" customFormat="1" ht="18" customHeight="1">
      <c r="A26" s="1297"/>
      <c r="B26" s="1930"/>
      <c r="C26" s="1930"/>
      <c r="D26" s="1930"/>
      <c r="E26" s="1930"/>
      <c r="F26" s="1334"/>
      <c r="G26" s="1930"/>
      <c r="H26" s="1334"/>
      <c r="I26" s="1334"/>
      <c r="J26" s="1960" t="s">
        <v>1659</v>
      </c>
      <c r="K26" s="2752"/>
      <c r="L26" s="2769"/>
      <c r="M26" s="2753"/>
      <c r="N26" s="2575"/>
      <c r="O26" s="2575"/>
      <c r="P26" s="2576" t="s">
        <v>1580</v>
      </c>
      <c r="Q26" s="2752"/>
      <c r="R26" s="2769"/>
      <c r="S26" s="2769"/>
      <c r="T26" s="2769"/>
      <c r="U26" s="2753"/>
      <c r="V26" s="1935"/>
    </row>
    <row r="27" spans="1:24" s="1277" customFormat="1" ht="6" customHeight="1">
      <c r="A27" s="1297"/>
      <c r="B27" s="1335"/>
      <c r="C27" s="1335"/>
      <c r="D27" s="2581"/>
      <c r="E27" s="1334"/>
      <c r="F27" s="1334"/>
      <c r="G27" s="1930"/>
      <c r="H27" s="2577"/>
      <c r="I27" s="1930"/>
      <c r="J27" s="2577"/>
      <c r="K27" s="1937"/>
      <c r="L27" s="1937"/>
      <c r="M27" s="1940"/>
      <c r="N27" s="2575"/>
      <c r="O27" s="2575"/>
      <c r="P27" s="2591"/>
      <c r="Q27" s="1930"/>
      <c r="R27" s="1930"/>
      <c r="S27" s="1930"/>
      <c r="T27" s="1930"/>
      <c r="U27" s="1930"/>
      <c r="V27" s="1935"/>
    </row>
    <row r="28" spans="1:24" ht="15.75" customHeight="1">
      <c r="A28" s="1708"/>
      <c r="B28" s="2790" t="s">
        <v>1515</v>
      </c>
      <c r="C28" s="2810"/>
      <c r="D28" s="2810"/>
      <c r="E28" s="2810"/>
      <c r="F28" s="2811"/>
      <c r="G28" s="2811"/>
      <c r="H28" s="2811"/>
      <c r="I28" s="2811"/>
      <c r="J28" s="2811"/>
      <c r="K28" s="2811"/>
      <c r="L28" s="2811"/>
      <c r="M28" s="2579"/>
      <c r="N28" s="2579"/>
      <c r="O28" s="2579"/>
      <c r="P28" s="2579"/>
      <c r="Q28" s="2579"/>
      <c r="R28" s="2579"/>
      <c r="S28" s="2579"/>
      <c r="T28" s="2579"/>
      <c r="U28" s="2579"/>
      <c r="V28" s="1709"/>
      <c r="W28" s="1277"/>
      <c r="X28" s="1277"/>
    </row>
    <row r="29" spans="1:24" s="1277" customFormat="1" ht="6" customHeight="1">
      <c r="A29" s="1297"/>
      <c r="B29" s="2826"/>
      <c r="C29" s="2826"/>
      <c r="D29" s="2826"/>
      <c r="E29" s="2826"/>
      <c r="F29" s="2826"/>
      <c r="G29" s="2826"/>
      <c r="H29" s="2826"/>
      <c r="I29" s="2826"/>
      <c r="J29" s="2826"/>
      <c r="K29" s="2826"/>
      <c r="L29" s="2826"/>
      <c r="M29" s="1940"/>
      <c r="N29" s="2575"/>
      <c r="O29" s="2575"/>
      <c r="P29" s="2591"/>
      <c r="Q29" s="1930"/>
      <c r="R29" s="1930"/>
      <c r="S29" s="1930"/>
      <c r="T29" s="1930"/>
      <c r="U29" s="1930"/>
      <c r="V29" s="1935"/>
    </row>
    <row r="30" spans="1:24" ht="18" customHeight="1">
      <c r="A30" s="2807" t="s">
        <v>1782</v>
      </c>
      <c r="B30" s="2808"/>
      <c r="C30" s="2808"/>
      <c r="D30" s="2808"/>
      <c r="E30" s="2808"/>
      <c r="F30" s="2808"/>
      <c r="G30" s="2808"/>
      <c r="H30" s="2808"/>
      <c r="I30" s="2808"/>
      <c r="J30" s="2752"/>
      <c r="K30" s="2769"/>
      <c r="L30" s="2753"/>
      <c r="M30" s="1484"/>
      <c r="N30" s="1484"/>
      <c r="O30" s="1484"/>
      <c r="P30" s="1484"/>
      <c r="Q30" s="1484"/>
      <c r="R30" s="1484"/>
      <c r="S30" s="1484"/>
      <c r="T30" s="1484"/>
      <c r="U30" s="1484"/>
      <c r="V30" s="1935"/>
      <c r="W30" s="1277"/>
      <c r="X30" s="1277"/>
    </row>
    <row r="31" spans="1:24" s="1277" customFormat="1" ht="6" customHeight="1">
      <c r="A31" s="1297"/>
      <c r="B31" s="2826"/>
      <c r="C31" s="2826"/>
      <c r="D31" s="2826"/>
      <c r="E31" s="2826"/>
      <c r="F31" s="2826"/>
      <c r="G31" s="2826"/>
      <c r="H31" s="2826"/>
      <c r="I31" s="2826"/>
      <c r="J31" s="2826"/>
      <c r="K31" s="2826"/>
      <c r="L31" s="2826"/>
      <c r="M31" s="1940"/>
      <c r="N31" s="2575"/>
      <c r="O31" s="2575"/>
      <c r="P31" s="2591"/>
      <c r="Q31" s="1930"/>
      <c r="R31" s="1930"/>
      <c r="S31" s="1930"/>
      <c r="T31" s="1930"/>
      <c r="U31" s="1930"/>
      <c r="V31" s="1935"/>
    </row>
    <row r="32" spans="1:24" s="1484" customFormat="1" ht="34.5" customHeight="1">
      <c r="A32" s="1297"/>
      <c r="B32" s="1930"/>
      <c r="C32" s="2575"/>
      <c r="D32" s="2574" t="s">
        <v>1580</v>
      </c>
      <c r="E32" s="2809"/>
      <c r="F32" s="2809"/>
      <c r="G32" s="2809"/>
      <c r="H32" s="2809"/>
      <c r="I32" s="2809"/>
      <c r="J32" s="2809"/>
      <c r="K32" s="2809"/>
      <c r="L32" s="2809"/>
      <c r="M32" s="2809"/>
      <c r="N32" s="2809"/>
      <c r="O32" s="2809"/>
      <c r="P32" s="2809"/>
      <c r="Q32" s="2809"/>
      <c r="R32" s="2809"/>
      <c r="S32" s="2809"/>
      <c r="T32" s="2809"/>
      <c r="U32" s="2809"/>
      <c r="V32" s="1935"/>
    </row>
    <row r="33" spans="1:24" s="1480" customFormat="1" ht="7.5" customHeight="1">
      <c r="A33" s="1942"/>
      <c r="B33" s="2575"/>
      <c r="C33" s="2575"/>
      <c r="D33" s="2574"/>
      <c r="E33" s="2575"/>
      <c r="F33" s="2575"/>
      <c r="G33" s="2575"/>
      <c r="H33" s="2575"/>
      <c r="I33" s="2575"/>
      <c r="J33" s="2575"/>
      <c r="K33" s="2575"/>
      <c r="L33" s="2575"/>
      <c r="M33" s="2575"/>
      <c r="N33" s="2575"/>
      <c r="O33" s="2575"/>
      <c r="P33" s="2575"/>
      <c r="Q33" s="2575"/>
      <c r="R33" s="2575"/>
      <c r="S33" s="2575"/>
      <c r="T33" s="2575"/>
      <c r="U33" s="2575"/>
      <c r="V33" s="1409"/>
    </row>
    <row r="34" spans="1:24" ht="18" customHeight="1">
      <c r="A34" s="1297"/>
      <c r="B34" s="1930"/>
      <c r="C34" s="1930"/>
      <c r="D34" s="1930"/>
      <c r="E34" s="1930"/>
      <c r="F34" s="1930"/>
      <c r="G34" s="1930"/>
      <c r="H34" s="2575"/>
      <c r="I34" s="1930"/>
      <c r="J34" s="2575"/>
      <c r="K34" s="1930"/>
      <c r="L34" s="1930"/>
      <c r="M34" s="1930"/>
      <c r="N34" s="1484"/>
      <c r="O34" s="1484"/>
      <c r="P34" s="1484"/>
      <c r="Q34" s="1484"/>
      <c r="R34" s="2576" t="s">
        <v>1660</v>
      </c>
      <c r="S34" s="2752"/>
      <c r="T34" s="2769"/>
      <c r="U34" s="2753"/>
      <c r="V34" s="1935"/>
      <c r="W34" s="1277"/>
      <c r="X34" s="1277"/>
    </row>
    <row r="35" spans="1:24" s="1277" customFormat="1" ht="6" customHeight="1">
      <c r="A35" s="1297"/>
      <c r="B35" s="2826"/>
      <c r="C35" s="2826"/>
      <c r="D35" s="2826"/>
      <c r="E35" s="2826"/>
      <c r="F35" s="2826"/>
      <c r="G35" s="2826"/>
      <c r="H35" s="2826"/>
      <c r="I35" s="2826"/>
      <c r="J35" s="2826"/>
      <c r="K35" s="2826"/>
      <c r="L35" s="2826"/>
      <c r="M35" s="1940"/>
      <c r="N35" s="1484"/>
      <c r="O35" s="1484"/>
      <c r="P35" s="1484"/>
      <c r="Q35" s="1484"/>
      <c r="R35" s="2575"/>
      <c r="S35" s="2575"/>
      <c r="T35" s="2591"/>
      <c r="U35" s="1930"/>
      <c r="V35" s="1935"/>
    </row>
    <row r="36" spans="1:24" ht="18" customHeight="1">
      <c r="A36" s="1297"/>
      <c r="B36" s="1930"/>
      <c r="C36" s="1930"/>
      <c r="D36" s="1930"/>
      <c r="E36" s="1930"/>
      <c r="F36" s="1930"/>
      <c r="G36" s="1930"/>
      <c r="H36" s="1930"/>
      <c r="I36" s="1930"/>
      <c r="J36" s="2575"/>
      <c r="K36" s="2575"/>
      <c r="L36" s="2575"/>
      <c r="M36" s="2575"/>
      <c r="N36" s="1484"/>
      <c r="O36" s="1484"/>
      <c r="P36" s="1484"/>
      <c r="Q36" s="1484"/>
      <c r="R36" s="2576" t="s">
        <v>1661</v>
      </c>
      <c r="S36" s="2752"/>
      <c r="T36" s="2769"/>
      <c r="U36" s="2753"/>
      <c r="V36" s="1935"/>
      <c r="W36" s="1277"/>
      <c r="X36" s="1277"/>
    </row>
    <row r="37" spans="1:24" s="1277" customFormat="1" ht="6" customHeight="1">
      <c r="A37" s="1297"/>
      <c r="B37" s="1930"/>
      <c r="C37" s="1930"/>
      <c r="D37" s="1930"/>
      <c r="E37" s="1930"/>
      <c r="F37" s="1930"/>
      <c r="G37" s="1930"/>
      <c r="H37" s="1930"/>
      <c r="I37" s="1930"/>
      <c r="J37" s="1930"/>
      <c r="K37" s="1930"/>
      <c r="L37" s="1930"/>
      <c r="M37" s="1940"/>
      <c r="N37" s="2575"/>
      <c r="O37" s="2575"/>
      <c r="P37" s="2591"/>
      <c r="Q37" s="1930"/>
      <c r="R37" s="1930"/>
      <c r="S37" s="1930"/>
      <c r="T37" s="1930"/>
      <c r="U37" s="1930"/>
      <c r="V37" s="1935"/>
    </row>
    <row r="38" spans="1:24" ht="18" customHeight="1">
      <c r="A38" s="1297"/>
      <c r="B38" s="1930"/>
      <c r="C38" s="1930"/>
      <c r="D38" s="1930"/>
      <c r="E38" s="1930"/>
      <c r="F38" s="1930"/>
      <c r="G38" s="1930"/>
      <c r="H38" s="2576" t="s">
        <v>1671</v>
      </c>
      <c r="I38" s="2752"/>
      <c r="J38" s="2769"/>
      <c r="K38" s="2753"/>
      <c r="L38" s="1930"/>
      <c r="M38" s="2575"/>
      <c r="N38" s="1484"/>
      <c r="O38" s="1484"/>
      <c r="P38" s="1484"/>
      <c r="Q38" s="1484"/>
      <c r="R38" s="2576" t="s">
        <v>1670</v>
      </c>
      <c r="S38" s="2752"/>
      <c r="T38" s="2769"/>
      <c r="U38" s="2753"/>
      <c r="V38" s="1935"/>
      <c r="W38" s="1277"/>
      <c r="X38" s="1277"/>
    </row>
    <row r="39" spans="1:24" s="1277" customFormat="1" ht="6" customHeight="1">
      <c r="A39" s="1297"/>
      <c r="B39" s="1930"/>
      <c r="C39" s="1930"/>
      <c r="D39" s="1930"/>
      <c r="E39" s="1930"/>
      <c r="F39" s="1930"/>
      <c r="G39" s="1930"/>
      <c r="H39" s="1930"/>
      <c r="I39" s="1930"/>
      <c r="J39" s="1930"/>
      <c r="K39" s="1930"/>
      <c r="L39" s="1930"/>
      <c r="M39" s="1940"/>
      <c r="N39" s="1484"/>
      <c r="O39" s="1484"/>
      <c r="P39" s="1484"/>
      <c r="Q39" s="1484"/>
      <c r="R39" s="2575"/>
      <c r="S39" s="2575"/>
      <c r="T39" s="2591"/>
      <c r="U39" s="1930"/>
      <c r="V39" s="1935"/>
    </row>
    <row r="40" spans="1:24" ht="18" customHeight="1">
      <c r="A40" s="1297"/>
      <c r="B40" s="1930"/>
      <c r="C40" s="1930"/>
      <c r="D40" s="1930"/>
      <c r="E40" s="1930"/>
      <c r="F40" s="1930"/>
      <c r="G40" s="1930"/>
      <c r="H40" s="2575"/>
      <c r="I40" s="1930"/>
      <c r="J40" s="2575"/>
      <c r="K40" s="2575"/>
      <c r="L40" s="1930"/>
      <c r="M40" s="2575"/>
      <c r="N40" s="1484"/>
      <c r="O40" s="1484"/>
      <c r="P40" s="1484"/>
      <c r="Q40" s="1484"/>
      <c r="R40" s="2576" t="s">
        <v>1669</v>
      </c>
      <c r="S40" s="2752"/>
      <c r="T40" s="2769"/>
      <c r="U40" s="2753"/>
      <c r="V40" s="1935"/>
      <c r="W40" s="1277"/>
      <c r="X40" s="1277"/>
    </row>
    <row r="41" spans="1:24" ht="6" customHeight="1">
      <c r="A41" s="1297"/>
      <c r="B41" s="1930"/>
      <c r="C41" s="1930"/>
      <c r="D41" s="1930"/>
      <c r="E41" s="1930"/>
      <c r="F41" s="1930"/>
      <c r="G41" s="1930"/>
      <c r="H41" s="1930"/>
      <c r="I41" s="1930"/>
      <c r="J41" s="1930"/>
      <c r="K41" s="1930"/>
      <c r="L41" s="1930"/>
      <c r="M41" s="2575"/>
      <c r="N41" s="2575"/>
      <c r="O41" s="2575"/>
      <c r="P41" s="2588"/>
      <c r="Q41" s="1930"/>
      <c r="R41" s="1930"/>
      <c r="S41" s="1930"/>
      <c r="T41" s="1930"/>
      <c r="U41" s="1930"/>
      <c r="V41" s="1935"/>
      <c r="W41" s="1277"/>
      <c r="X41" s="1277"/>
    </row>
    <row r="42" spans="1:24" ht="15.75" customHeight="1">
      <c r="A42" s="1708"/>
      <c r="B42" s="2790" t="s">
        <v>1136</v>
      </c>
      <c r="C42" s="2810"/>
      <c r="D42" s="2810"/>
      <c r="E42" s="2810"/>
      <c r="F42" s="2811"/>
      <c r="G42" s="2811"/>
      <c r="H42" s="2811"/>
      <c r="I42" s="2811"/>
      <c r="J42" s="2811"/>
      <c r="K42" s="2811"/>
      <c r="L42" s="2811"/>
      <c r="M42" s="2579"/>
      <c r="N42" s="2579"/>
      <c r="O42" s="2579"/>
      <c r="P42" s="2579"/>
      <c r="Q42" s="2579"/>
      <c r="R42" s="2579"/>
      <c r="S42" s="2579"/>
      <c r="T42" s="2579"/>
      <c r="U42" s="2579"/>
      <c r="V42" s="1709"/>
      <c r="W42" s="1277"/>
      <c r="X42" s="1277"/>
    </row>
    <row r="43" spans="1:24" s="1356" customFormat="1" ht="16.350000000000001" customHeight="1">
      <c r="A43" s="1942"/>
      <c r="B43" s="1940"/>
      <c r="C43" s="2575"/>
      <c r="D43" s="2575"/>
      <c r="E43" s="2575"/>
      <c r="F43" s="2575"/>
      <c r="G43" s="2830" t="s">
        <v>1549</v>
      </c>
      <c r="H43" s="2830"/>
      <c r="I43" s="1318"/>
      <c r="J43" s="2829" t="s">
        <v>1550</v>
      </c>
      <c r="K43" s="2829"/>
      <c r="L43" s="2829"/>
      <c r="M43" s="2575"/>
      <c r="N43" s="2575"/>
      <c r="O43" s="2575"/>
      <c r="P43" s="2575"/>
      <c r="Q43" s="2575"/>
      <c r="R43" s="2575"/>
      <c r="S43" s="2575"/>
      <c r="T43" s="2575"/>
      <c r="U43" s="2575"/>
      <c r="V43" s="1409"/>
      <c r="W43" s="1355"/>
      <c r="X43" s="1355"/>
    </row>
    <row r="44" spans="1:24" s="1356" customFormat="1" ht="16.350000000000001" customHeight="1">
      <c r="A44" s="1942"/>
      <c r="B44" s="2831" t="s">
        <v>2076</v>
      </c>
      <c r="C44" s="2831"/>
      <c r="D44" s="2831"/>
      <c r="E44" s="2831"/>
      <c r="F44" s="2832"/>
      <c r="G44" s="2820"/>
      <c r="H44" s="2821"/>
      <c r="I44" s="2575" t="s">
        <v>94</v>
      </c>
      <c r="J44" s="2822"/>
      <c r="K44" s="2822"/>
      <c r="L44" s="2822"/>
      <c r="M44" s="1930" t="s">
        <v>92</v>
      </c>
      <c r="N44" s="2486" t="s">
        <v>2075</v>
      </c>
      <c r="O44" s="2575"/>
      <c r="P44" s="2575"/>
      <c r="Q44" s="2575"/>
      <c r="R44" s="2575"/>
      <c r="S44" s="2575"/>
      <c r="T44" s="2575"/>
      <c r="U44" s="2575"/>
      <c r="V44" s="1409"/>
      <c r="W44" s="1480"/>
      <c r="X44" s="1480"/>
    </row>
    <row r="45" spans="1:24" ht="18" customHeight="1">
      <c r="A45" s="1297"/>
      <c r="B45" s="1930"/>
      <c r="C45" s="2575"/>
      <c r="D45" s="2575"/>
      <c r="E45" s="1930"/>
      <c r="F45" s="2576" t="s">
        <v>1664</v>
      </c>
      <c r="G45" s="2762"/>
      <c r="H45" s="2763"/>
      <c r="I45" s="2575" t="s">
        <v>94</v>
      </c>
      <c r="J45" s="2816"/>
      <c r="K45" s="2816"/>
      <c r="L45" s="2816"/>
      <c r="M45" s="1930" t="s">
        <v>92</v>
      </c>
      <c r="N45" s="2575"/>
      <c r="O45" s="2575"/>
      <c r="P45" s="2575"/>
      <c r="Q45" s="2576" t="s">
        <v>298</v>
      </c>
      <c r="R45" s="2752"/>
      <c r="S45" s="2769"/>
      <c r="T45" s="2769"/>
      <c r="U45" s="2753"/>
      <c r="V45" s="1935"/>
      <c r="W45" s="1277"/>
      <c r="X45" s="1277"/>
    </row>
    <row r="46" spans="1:24" ht="18" customHeight="1">
      <c r="A46" s="1297"/>
      <c r="B46" s="1930"/>
      <c r="C46" s="1930"/>
      <c r="D46" s="1930"/>
      <c r="E46" s="1930"/>
      <c r="F46" s="2574" t="s">
        <v>1662</v>
      </c>
      <c r="G46" s="2762"/>
      <c r="H46" s="2763"/>
      <c r="I46" s="1930" t="s">
        <v>94</v>
      </c>
      <c r="J46" s="2816"/>
      <c r="K46" s="2816"/>
      <c r="L46" s="2816"/>
      <c r="M46" s="1930" t="s">
        <v>92</v>
      </c>
      <c r="N46" s="2575"/>
      <c r="O46" s="1930"/>
      <c r="P46" s="1930"/>
      <c r="Q46" s="2576" t="s">
        <v>1665</v>
      </c>
      <c r="R46" s="2827"/>
      <c r="S46" s="2828"/>
      <c r="T46" s="1930" t="s">
        <v>1137</v>
      </c>
      <c r="U46" s="1930"/>
      <c r="V46" s="1935"/>
      <c r="W46" s="1277"/>
      <c r="X46" s="1277"/>
    </row>
    <row r="47" spans="1:24" ht="18" customHeight="1">
      <c r="A47" s="1297"/>
      <c r="B47" s="1930"/>
      <c r="C47" s="1930"/>
      <c r="D47" s="1930"/>
      <c r="E47" s="1930"/>
      <c r="F47" s="2576" t="s">
        <v>1663</v>
      </c>
      <c r="G47" s="2812"/>
      <c r="H47" s="2812"/>
      <c r="I47" s="1930" t="s">
        <v>94</v>
      </c>
      <c r="J47" s="2816"/>
      <c r="K47" s="2816"/>
      <c r="L47" s="2816"/>
      <c r="M47" s="1930" t="s">
        <v>92</v>
      </c>
      <c r="N47" s="2575"/>
      <c r="O47" s="1930"/>
      <c r="P47" s="1930"/>
      <c r="Q47" s="2576" t="s">
        <v>1834</v>
      </c>
      <c r="R47" s="2771"/>
      <c r="S47" s="2773"/>
      <c r="T47" s="1930" t="s">
        <v>1138</v>
      </c>
      <c r="U47" s="1930"/>
      <c r="V47" s="1935"/>
      <c r="W47" s="1277"/>
      <c r="X47" s="1277"/>
    </row>
    <row r="48" spans="1:24" ht="18" customHeight="1">
      <c r="A48" s="1297"/>
      <c r="B48" s="1930"/>
      <c r="C48" s="1484"/>
      <c r="D48" s="1484"/>
      <c r="E48" s="1484"/>
      <c r="F48" s="2576" t="s">
        <v>1984</v>
      </c>
      <c r="G48" s="2817"/>
      <c r="H48" s="2818"/>
      <c r="I48" s="2819"/>
      <c r="J48" s="1930" t="s">
        <v>92</v>
      </c>
      <c r="K48" s="1484"/>
      <c r="L48" s="1484"/>
      <c r="M48" s="1930"/>
      <c r="N48" s="1484"/>
      <c r="O48" s="1484"/>
      <c r="P48" s="1484"/>
      <c r="Q48" s="1484"/>
      <c r="R48" s="1960" t="s">
        <v>1986</v>
      </c>
      <c r="S48" s="2752"/>
      <c r="T48" s="2769"/>
      <c r="U48" s="2753"/>
      <c r="V48" s="1935"/>
      <c r="W48" s="1484"/>
      <c r="X48" s="1484"/>
    </row>
    <row r="49" spans="1:24" s="1920" customFormat="1" ht="4.5" customHeight="1">
      <c r="A49" s="1942"/>
      <c r="B49" s="2575"/>
      <c r="C49" s="2575"/>
      <c r="D49" s="2575"/>
      <c r="E49" s="2575"/>
      <c r="F49" s="2574"/>
      <c r="G49" s="2575"/>
      <c r="H49" s="2575"/>
      <c r="I49" s="2575"/>
      <c r="J49" s="2588"/>
      <c r="K49" s="2588"/>
      <c r="L49" s="2588"/>
      <c r="M49" s="2575"/>
      <c r="N49" s="2588"/>
      <c r="O49" s="2588"/>
      <c r="P49" s="2588"/>
      <c r="Q49" s="2588"/>
      <c r="R49" s="2588"/>
      <c r="S49" s="2588"/>
      <c r="T49" s="2588"/>
      <c r="U49" s="2588"/>
      <c r="V49" s="1409"/>
      <c r="W49" s="2102"/>
      <c r="X49" s="2102"/>
    </row>
    <row r="50" spans="1:24" s="1356" customFormat="1" ht="18" customHeight="1">
      <c r="A50" s="1942"/>
      <c r="B50" s="1480" t="s">
        <v>1985</v>
      </c>
      <c r="C50" s="1480"/>
      <c r="D50" s="1480"/>
      <c r="E50" s="1480"/>
      <c r="F50" s="1480"/>
      <c r="G50" s="2250"/>
      <c r="H50" s="2796"/>
      <c r="I50" s="2797"/>
      <c r="J50" s="2797"/>
      <c r="K50" s="2797"/>
      <c r="L50" s="2797"/>
      <c r="M50" s="2797"/>
      <c r="N50" s="2797"/>
      <c r="O50" s="2797"/>
      <c r="P50" s="2797"/>
      <c r="Q50" s="2797"/>
      <c r="R50" s="2797"/>
      <c r="S50" s="2797"/>
      <c r="T50" s="2797"/>
      <c r="U50" s="2798"/>
      <c r="V50" s="1409"/>
      <c r="W50" s="1480"/>
      <c r="X50" s="1480"/>
    </row>
    <row r="51" spans="1:24" s="1480" customFormat="1" ht="4.5" customHeight="1">
      <c r="A51" s="1942"/>
      <c r="B51" s="2575"/>
      <c r="C51" s="2575"/>
      <c r="D51" s="2575"/>
      <c r="E51" s="2575"/>
      <c r="F51" s="2574"/>
      <c r="G51" s="2588"/>
      <c r="H51" s="2588"/>
      <c r="I51" s="2575"/>
      <c r="J51" s="2575"/>
      <c r="K51" s="2588"/>
      <c r="L51" s="2588"/>
      <c r="M51" s="2575"/>
      <c r="N51" s="2575"/>
      <c r="O51" s="1930"/>
      <c r="P51" s="1930"/>
      <c r="Q51" s="1930"/>
      <c r="R51" s="1930"/>
      <c r="S51" s="2577"/>
      <c r="T51" s="1930"/>
      <c r="U51" s="1930"/>
      <c r="V51" s="1409"/>
    </row>
    <row r="52" spans="1:24" s="1277" customFormat="1" ht="18" customHeight="1">
      <c r="A52" s="1297"/>
      <c r="B52" s="1930"/>
      <c r="C52" s="1334"/>
      <c r="D52" s="1334"/>
      <c r="E52" s="1334"/>
      <c r="F52" s="1334"/>
      <c r="G52" s="1930"/>
      <c r="H52" s="2575"/>
      <c r="I52" s="1930"/>
      <c r="J52" s="1525" t="s">
        <v>1666</v>
      </c>
      <c r="K52" s="2813"/>
      <c r="L52" s="2814"/>
      <c r="M52" s="2814"/>
      <c r="N52" s="2814"/>
      <c r="O52" s="2814"/>
      <c r="P52" s="2814"/>
      <c r="Q52" s="2814"/>
      <c r="R52" s="2814"/>
      <c r="S52" s="2814"/>
      <c r="T52" s="2814"/>
      <c r="U52" s="2815"/>
      <c r="V52" s="1935"/>
    </row>
    <row r="53" spans="1:24" s="1480" customFormat="1" ht="4.5" customHeight="1">
      <c r="A53" s="1942"/>
      <c r="B53" s="2575"/>
      <c r="C53" s="2575"/>
      <c r="D53" s="2575"/>
      <c r="E53" s="2575"/>
      <c r="F53" s="2575"/>
      <c r="G53" s="2575"/>
      <c r="H53" s="2575"/>
      <c r="I53" s="2575"/>
      <c r="J53" s="1526"/>
      <c r="K53" s="1527"/>
      <c r="L53" s="1527"/>
      <c r="M53" s="1527"/>
      <c r="N53" s="1527"/>
      <c r="O53" s="1527"/>
      <c r="P53" s="1527"/>
      <c r="Q53" s="1527"/>
      <c r="R53" s="1527"/>
      <c r="S53" s="1527"/>
      <c r="T53" s="1527"/>
      <c r="U53" s="1527"/>
      <c r="V53" s="1409"/>
    </row>
    <row r="54" spans="1:24" ht="18" customHeight="1">
      <c r="A54" s="1297"/>
      <c r="B54" s="1930"/>
      <c r="C54" s="1930"/>
      <c r="D54" s="1930"/>
      <c r="E54" s="1930"/>
      <c r="F54" s="1930"/>
      <c r="G54" s="1930"/>
      <c r="H54" s="1930"/>
      <c r="I54" s="2575"/>
      <c r="J54" s="1525" t="s">
        <v>1667</v>
      </c>
      <c r="K54" s="2813"/>
      <c r="L54" s="2814"/>
      <c r="M54" s="2814"/>
      <c r="N54" s="2814"/>
      <c r="O54" s="2814"/>
      <c r="P54" s="2814"/>
      <c r="Q54" s="2814"/>
      <c r="R54" s="2814"/>
      <c r="S54" s="2814"/>
      <c r="T54" s="2814"/>
      <c r="U54" s="2815"/>
      <c r="V54" s="1935"/>
      <c r="W54" s="1277"/>
      <c r="X54" s="1277"/>
    </row>
    <row r="55" spans="1:24" s="1480" customFormat="1" ht="3" customHeight="1">
      <c r="A55" s="1942"/>
      <c r="B55" s="2575"/>
      <c r="C55" s="2575"/>
      <c r="D55" s="2575"/>
      <c r="E55" s="2575"/>
      <c r="F55" s="2575"/>
      <c r="G55" s="2575"/>
      <c r="H55" s="2575"/>
      <c r="I55" s="2575"/>
      <c r="J55" s="1526"/>
      <c r="K55" s="1527"/>
      <c r="L55" s="1527"/>
      <c r="M55" s="1527"/>
      <c r="N55" s="1527"/>
      <c r="O55" s="1527"/>
      <c r="P55" s="1527"/>
      <c r="Q55" s="1527"/>
      <c r="R55" s="1527"/>
      <c r="S55" s="1527"/>
      <c r="T55" s="1527"/>
      <c r="U55" s="1527"/>
      <c r="V55" s="1409"/>
    </row>
    <row r="56" spans="1:24" ht="38.25" customHeight="1">
      <c r="A56" s="1297"/>
      <c r="B56" s="1930"/>
      <c r="C56" s="1930"/>
      <c r="D56" s="1930"/>
      <c r="E56" s="1930"/>
      <c r="F56" s="1484"/>
      <c r="G56" s="1525" t="s">
        <v>1668</v>
      </c>
      <c r="H56" s="2806"/>
      <c r="I56" s="2806"/>
      <c r="J56" s="2806"/>
      <c r="K56" s="2806"/>
      <c r="L56" s="2806"/>
      <c r="M56" s="2806"/>
      <c r="N56" s="2806"/>
      <c r="O56" s="2806"/>
      <c r="P56" s="2806"/>
      <c r="Q56" s="2806"/>
      <c r="R56" s="2806"/>
      <c r="S56" s="2806"/>
      <c r="T56" s="2806"/>
      <c r="U56" s="2806"/>
      <c r="V56" s="1935"/>
      <c r="W56" s="1277"/>
      <c r="X56" s="1277"/>
    </row>
    <row r="57" spans="1:24" ht="3.75" customHeight="1" thickBot="1">
      <c r="A57" s="2024"/>
      <c r="B57" s="2025"/>
      <c r="C57" s="2025"/>
      <c r="D57" s="2025"/>
      <c r="E57" s="2025"/>
      <c r="F57" s="2025"/>
      <c r="G57" s="2025"/>
      <c r="H57" s="2025"/>
      <c r="I57" s="2025"/>
      <c r="J57" s="2025"/>
      <c r="K57" s="2025"/>
      <c r="L57" s="2025"/>
      <c r="M57" s="2025"/>
      <c r="N57" s="2025"/>
      <c r="O57" s="2025"/>
      <c r="P57" s="2025"/>
      <c r="Q57" s="2025"/>
      <c r="R57" s="2025"/>
      <c r="S57" s="2025"/>
      <c r="T57" s="2025"/>
      <c r="U57" s="2025"/>
      <c r="V57" s="2026"/>
    </row>
    <row r="58" spans="1:24">
      <c r="A58" s="1484"/>
      <c r="B58" s="1277"/>
    </row>
    <row r="59" spans="1:24">
      <c r="B59" s="1277"/>
    </row>
    <row r="60" spans="1:24">
      <c r="B60" s="1277"/>
    </row>
    <row r="61" spans="1:24">
      <c r="B61" s="1277"/>
    </row>
    <row r="62" spans="1:24">
      <c r="B62" s="1277"/>
    </row>
    <row r="63" spans="1:24">
      <c r="B63" s="1277"/>
    </row>
    <row r="64" spans="1:24">
      <c r="B64" s="1277"/>
    </row>
    <row r="65" spans="2:24">
      <c r="B65" s="1277"/>
    </row>
    <row r="66" spans="2:24">
      <c r="B66" s="1277"/>
    </row>
    <row r="67" spans="2:24">
      <c r="B67" s="1277"/>
    </row>
    <row r="68" spans="2:24">
      <c r="B68" s="1277"/>
      <c r="C68" s="1277"/>
      <c r="D68" s="1277"/>
      <c r="E68" s="1277"/>
      <c r="F68" s="921"/>
      <c r="G68" s="1277"/>
      <c r="H68" s="921"/>
      <c r="I68" s="1277"/>
      <c r="J68" s="921"/>
      <c r="K68" s="1277"/>
      <c r="L68" s="1277"/>
      <c r="M68" s="919"/>
      <c r="N68" s="1355"/>
      <c r="O68" s="1355"/>
      <c r="P68" s="1357"/>
      <c r="Q68" s="1353"/>
      <c r="R68" s="1353"/>
      <c r="S68" s="1277"/>
      <c r="T68" s="1277"/>
      <c r="U68" s="1277"/>
      <c r="V68" s="1277"/>
      <c r="W68" s="1277"/>
      <c r="X68" s="1277"/>
    </row>
    <row r="69" spans="2:24">
      <c r="B69" s="1277"/>
      <c r="C69" s="1277"/>
      <c r="D69" s="1277"/>
      <c r="E69" s="1277"/>
      <c r="F69" s="921"/>
      <c r="G69" s="1277"/>
      <c r="H69" s="921"/>
      <c r="I69" s="1277"/>
      <c r="J69" s="921"/>
      <c r="K69" s="1277"/>
      <c r="L69" s="1277"/>
      <c r="M69" s="919"/>
      <c r="N69" s="1355"/>
      <c r="O69" s="1355"/>
      <c r="P69" s="1357"/>
      <c r="Q69" s="1353"/>
      <c r="R69" s="1353"/>
      <c r="S69" s="1277"/>
      <c r="T69" s="1277"/>
      <c r="U69" s="1277"/>
      <c r="V69" s="1277"/>
      <c r="W69" s="1277"/>
      <c r="X69" s="1277"/>
    </row>
    <row r="70" spans="2:24">
      <c r="B70" s="1277"/>
      <c r="C70" s="1277"/>
      <c r="D70" s="1277"/>
      <c r="E70" s="1277"/>
      <c r="F70" s="921"/>
      <c r="G70" s="1277"/>
      <c r="H70" s="921"/>
      <c r="I70" s="1277"/>
      <c r="J70" s="921"/>
      <c r="K70" s="1277"/>
      <c r="L70" s="1277"/>
      <c r="M70" s="919"/>
      <c r="N70" s="1355"/>
      <c r="O70" s="1355"/>
      <c r="P70" s="1357"/>
      <c r="Q70" s="1353"/>
      <c r="R70" s="1353"/>
      <c r="S70" s="1277"/>
      <c r="T70" s="1277"/>
      <c r="U70" s="1277"/>
      <c r="V70" s="1277"/>
      <c r="W70" s="1277"/>
      <c r="X70" s="1277"/>
    </row>
    <row r="71" spans="2:24">
      <c r="B71" s="1277"/>
      <c r="C71" s="1277"/>
      <c r="D71" s="1277"/>
      <c r="E71" s="1277"/>
      <c r="F71" s="921"/>
      <c r="G71" s="1277"/>
      <c r="H71" s="921"/>
      <c r="I71" s="1277"/>
      <c r="J71" s="921"/>
      <c r="K71" s="1277"/>
      <c r="L71" s="1277"/>
      <c r="M71" s="919"/>
      <c r="N71" s="1355"/>
      <c r="O71" s="1355"/>
      <c r="P71" s="1357"/>
      <c r="Q71" s="1353"/>
      <c r="R71" s="1353"/>
      <c r="S71" s="1277"/>
      <c r="T71" s="1277"/>
      <c r="U71" s="1277"/>
      <c r="V71" s="1277"/>
      <c r="W71" s="1277"/>
      <c r="X71" s="1277"/>
    </row>
    <row r="72" spans="2:24">
      <c r="B72" s="1277"/>
      <c r="C72" s="1277"/>
      <c r="D72" s="1277"/>
      <c r="E72" s="1277"/>
      <c r="F72" s="921"/>
      <c r="G72" s="1277"/>
      <c r="H72" s="921"/>
      <c r="I72" s="1277"/>
      <c r="J72" s="921"/>
      <c r="K72" s="1277"/>
      <c r="L72" s="1277"/>
      <c r="M72" s="919"/>
      <c r="N72" s="1355"/>
      <c r="O72" s="1355"/>
      <c r="P72" s="1357"/>
      <c r="Q72" s="1353"/>
      <c r="R72" s="1353"/>
      <c r="S72" s="1277"/>
      <c r="T72" s="1277"/>
      <c r="U72" s="1277"/>
      <c r="V72" s="1277"/>
      <c r="W72" s="1277"/>
      <c r="X72" s="1277"/>
    </row>
    <row r="73" spans="2:24">
      <c r="B73" s="1277"/>
      <c r="C73" s="1277"/>
      <c r="D73" s="1277"/>
      <c r="E73" s="1277"/>
      <c r="F73" s="921"/>
      <c r="G73" s="1277"/>
      <c r="H73" s="921"/>
      <c r="I73" s="1277"/>
      <c r="J73" s="921"/>
      <c r="K73" s="1277"/>
      <c r="L73" s="1277"/>
      <c r="M73" s="919"/>
      <c r="N73" s="1355"/>
      <c r="O73" s="1355"/>
      <c r="P73" s="1357"/>
      <c r="Q73" s="1353"/>
      <c r="R73" s="1353"/>
      <c r="S73" s="1277"/>
      <c r="T73" s="1277"/>
      <c r="U73" s="1277"/>
      <c r="V73" s="1277"/>
      <c r="W73" s="1277"/>
      <c r="X73" s="1277"/>
    </row>
    <row r="74" spans="2:24">
      <c r="B74" s="1277"/>
      <c r="C74" s="1277"/>
      <c r="D74" s="1277"/>
      <c r="E74" s="1277"/>
      <c r="F74" s="921"/>
      <c r="G74" s="1277"/>
      <c r="H74" s="921"/>
      <c r="I74" s="1277"/>
      <c r="J74" s="921"/>
      <c r="K74" s="1277"/>
      <c r="L74" s="1277"/>
      <c r="M74" s="919"/>
      <c r="N74" s="1355"/>
      <c r="O74" s="1355"/>
      <c r="P74" s="1357"/>
      <c r="Q74" s="1353"/>
      <c r="R74" s="1353"/>
      <c r="S74" s="1277"/>
      <c r="T74" s="1277"/>
      <c r="U74" s="1277"/>
      <c r="V74" s="1277"/>
      <c r="W74" s="1277"/>
      <c r="X74" s="1277"/>
    </row>
    <row r="75" spans="2:24">
      <c r="B75" s="1277"/>
      <c r="C75" s="1277"/>
      <c r="D75" s="1277"/>
      <c r="E75" s="1277"/>
      <c r="F75" s="921"/>
      <c r="G75" s="1277"/>
      <c r="H75" s="921"/>
      <c r="I75" s="1277"/>
      <c r="J75" s="921"/>
      <c r="K75" s="1277"/>
      <c r="L75" s="1277"/>
      <c r="M75" s="919"/>
      <c r="N75" s="1355"/>
      <c r="O75" s="1355"/>
      <c r="P75" s="1357"/>
      <c r="Q75" s="1353"/>
      <c r="R75" s="1353"/>
      <c r="S75" s="1277"/>
      <c r="T75" s="1277"/>
      <c r="U75" s="1277"/>
      <c r="V75" s="1277"/>
      <c r="W75" s="1277"/>
      <c r="X75" s="1277"/>
    </row>
    <row r="76" spans="2:24">
      <c r="B76" s="1277"/>
      <c r="C76" s="1277"/>
      <c r="D76" s="1277"/>
      <c r="E76" s="1277"/>
      <c r="F76" s="921"/>
      <c r="G76" s="1277"/>
      <c r="H76" s="921"/>
      <c r="I76" s="1277"/>
      <c r="J76" s="921"/>
      <c r="K76" s="1277"/>
      <c r="L76" s="1277"/>
      <c r="M76" s="919"/>
      <c r="N76" s="1355"/>
      <c r="O76" s="1355"/>
      <c r="P76" s="1353"/>
      <c r="Q76" s="1353"/>
      <c r="R76" s="1353"/>
      <c r="S76" s="1277"/>
      <c r="T76" s="1277"/>
      <c r="U76" s="1277"/>
      <c r="V76" s="1277"/>
      <c r="W76" s="1277"/>
      <c r="X76" s="1277"/>
    </row>
    <row r="77" spans="2:24">
      <c r="B77" s="1277"/>
      <c r="C77" s="1277"/>
      <c r="D77" s="1277"/>
      <c r="E77" s="1277"/>
      <c r="F77" s="921"/>
      <c r="G77" s="1277"/>
      <c r="H77" s="921"/>
      <c r="I77" s="1277"/>
      <c r="J77" s="921"/>
      <c r="K77" s="1277"/>
      <c r="L77" s="1277"/>
      <c r="M77" s="919"/>
      <c r="N77" s="1355"/>
      <c r="O77" s="1355"/>
      <c r="P77" s="1357"/>
      <c r="Q77" s="1353"/>
      <c r="R77" s="1353"/>
      <c r="S77" s="1277"/>
      <c r="T77" s="1277"/>
      <c r="U77" s="1277"/>
      <c r="V77" s="1277"/>
      <c r="W77" s="1277"/>
      <c r="X77" s="1277"/>
    </row>
    <row r="78" spans="2:24">
      <c r="B78" s="1277"/>
      <c r="C78" s="1277"/>
      <c r="D78" s="1277"/>
      <c r="E78" s="1277"/>
      <c r="F78" s="921"/>
      <c r="G78" s="1277"/>
      <c r="H78" s="921"/>
      <c r="I78" s="1277"/>
      <c r="J78" s="921"/>
      <c r="K78" s="1277"/>
      <c r="L78" s="1277"/>
      <c r="M78" s="919"/>
      <c r="N78" s="1355"/>
      <c r="O78" s="1355"/>
      <c r="P78" s="1357"/>
      <c r="Q78" s="1353"/>
      <c r="R78" s="1353"/>
      <c r="S78" s="1277"/>
      <c r="T78" s="1277"/>
      <c r="U78" s="1277"/>
      <c r="V78" s="1277"/>
      <c r="W78" s="1277"/>
      <c r="X78" s="1277"/>
    </row>
    <row r="79" spans="2:24">
      <c r="B79" s="1277"/>
      <c r="C79" s="1277"/>
      <c r="D79" s="1277"/>
      <c r="E79" s="1277"/>
      <c r="F79" s="921"/>
      <c r="G79" s="1277"/>
      <c r="H79" s="921"/>
      <c r="I79" s="1277"/>
      <c r="J79" s="921"/>
      <c r="K79" s="1277"/>
      <c r="L79" s="1277"/>
      <c r="M79" s="919"/>
      <c r="N79" s="1355"/>
      <c r="O79" s="1355"/>
      <c r="P79" s="1357"/>
      <c r="Q79" s="1353"/>
      <c r="R79" s="1353"/>
      <c r="S79" s="1277"/>
      <c r="T79" s="1277"/>
      <c r="U79" s="1277"/>
      <c r="V79" s="1277"/>
      <c r="W79" s="1277"/>
      <c r="X79" s="1277"/>
    </row>
    <row r="80" spans="2:24">
      <c r="B80" s="1277"/>
      <c r="C80" s="1277"/>
      <c r="D80" s="1277"/>
      <c r="E80" s="1277"/>
      <c r="F80" s="921"/>
      <c r="G80" s="1277"/>
      <c r="H80" s="921"/>
      <c r="I80" s="1277"/>
      <c r="J80" s="921"/>
      <c r="K80" s="1277"/>
      <c r="L80" s="1277"/>
      <c r="M80" s="919"/>
      <c r="N80" s="1355"/>
      <c r="O80" s="1355"/>
      <c r="P80" s="1357"/>
      <c r="Q80" s="1353"/>
      <c r="R80" s="1353"/>
      <c r="S80" s="1277"/>
      <c r="T80" s="1277"/>
      <c r="U80" s="1277"/>
      <c r="V80" s="1277"/>
      <c r="W80" s="1277"/>
      <c r="X80" s="1277"/>
    </row>
    <row r="81" spans="2:32">
      <c r="B81" s="1277"/>
      <c r="C81" s="1277"/>
      <c r="D81" s="1277"/>
      <c r="E81" s="1277"/>
      <c r="F81" s="921"/>
      <c r="G81" s="1277"/>
      <c r="H81" s="921"/>
      <c r="I81" s="1277"/>
      <c r="J81" s="921"/>
      <c r="K81" s="1277"/>
      <c r="L81" s="1277"/>
      <c r="M81" s="919"/>
      <c r="N81" s="1355"/>
      <c r="O81" s="1355"/>
      <c r="P81" s="1357"/>
      <c r="Q81" s="1353"/>
      <c r="R81" s="1353"/>
      <c r="S81" s="1277"/>
      <c r="T81" s="1277"/>
      <c r="U81" s="1277"/>
      <c r="V81" s="1277"/>
      <c r="W81" s="1277"/>
      <c r="X81" s="1277"/>
    </row>
    <row r="82" spans="2:32">
      <c r="B82" s="1277"/>
      <c r="C82" s="1277"/>
      <c r="D82" s="1277"/>
      <c r="E82" s="1277"/>
      <c r="F82" s="921"/>
      <c r="G82" s="1277"/>
      <c r="H82" s="921"/>
      <c r="I82" s="1277"/>
      <c r="J82" s="921"/>
      <c r="K82" s="1277"/>
      <c r="L82" s="1277"/>
      <c r="M82" s="919"/>
      <c r="N82" s="1355"/>
      <c r="O82" s="1355"/>
      <c r="P82" s="1357"/>
      <c r="Q82" s="1353"/>
      <c r="R82" s="1353"/>
      <c r="S82" s="1277"/>
      <c r="T82" s="1277"/>
      <c r="U82" s="1277"/>
      <c r="V82" s="1277"/>
      <c r="W82" s="1277"/>
      <c r="X82" s="1277"/>
    </row>
    <row r="83" spans="2:32">
      <c r="B83" s="1277"/>
      <c r="C83" s="1277"/>
      <c r="D83" s="1277"/>
      <c r="E83" s="1277"/>
      <c r="F83" s="921"/>
      <c r="G83" s="1277"/>
      <c r="H83" s="921"/>
      <c r="I83" s="1277"/>
      <c r="J83" s="921"/>
      <c r="K83" s="1277"/>
      <c r="L83" s="1277"/>
      <c r="O83" s="1355"/>
      <c r="P83" s="1357"/>
      <c r="Q83" s="1353"/>
      <c r="R83" s="1353"/>
      <c r="S83" s="1277"/>
      <c r="T83" s="1277"/>
      <c r="U83" s="1277"/>
      <c r="Y83" s="1277"/>
      <c r="Z83" s="1277"/>
      <c r="AA83" s="1277"/>
      <c r="AB83" s="1277"/>
      <c r="AC83" s="1277"/>
      <c r="AD83" s="1277"/>
      <c r="AE83" s="1277"/>
      <c r="AF83" s="1277"/>
    </row>
    <row r="84" spans="2:32">
      <c r="B84" s="1277"/>
      <c r="C84" s="1277"/>
      <c r="D84" s="1277"/>
      <c r="E84" s="1277"/>
      <c r="F84" s="921"/>
      <c r="G84" s="1277"/>
      <c r="H84" s="921"/>
      <c r="I84" s="1277"/>
      <c r="J84" s="921"/>
      <c r="K84" s="1277"/>
      <c r="L84" s="1277"/>
    </row>
    <row r="85" spans="2:32">
      <c r="B85" s="1277"/>
      <c r="C85" s="1277"/>
      <c r="D85" s="1277"/>
      <c r="E85" s="1277"/>
      <c r="F85" s="921"/>
      <c r="G85" s="1277"/>
      <c r="H85" s="921"/>
      <c r="I85" s="1277"/>
      <c r="J85" s="921"/>
      <c r="K85" s="1277"/>
      <c r="L85" s="1277"/>
    </row>
    <row r="86" spans="2:32">
      <c r="B86" s="1277"/>
      <c r="C86" s="1277"/>
      <c r="D86" s="1277"/>
      <c r="E86" s="1277"/>
      <c r="F86" s="921"/>
      <c r="G86" s="1277"/>
      <c r="H86" s="921"/>
      <c r="I86" s="1277"/>
      <c r="J86" s="921"/>
      <c r="K86" s="1277"/>
      <c r="L86" s="1277"/>
    </row>
    <row r="87" spans="2:32">
      <c r="B87" s="1277"/>
      <c r="C87" s="1277"/>
      <c r="D87" s="1277"/>
      <c r="E87" s="1277"/>
      <c r="F87" s="921"/>
      <c r="G87" s="1277"/>
      <c r="H87" s="921"/>
      <c r="I87" s="1277"/>
      <c r="J87" s="921"/>
      <c r="K87" s="1277"/>
      <c r="L87" s="1277"/>
    </row>
    <row r="88" spans="2:32">
      <c r="B88" s="1277"/>
      <c r="C88" s="1277"/>
      <c r="D88" s="1277"/>
      <c r="E88" s="1277"/>
      <c r="F88" s="921"/>
      <c r="G88" s="1277"/>
      <c r="H88" s="921"/>
      <c r="I88" s="1277"/>
      <c r="J88" s="921"/>
      <c r="K88" s="1277"/>
      <c r="L88" s="1277"/>
    </row>
    <row r="89" spans="2:32">
      <c r="B89" s="1277"/>
      <c r="C89" s="1277"/>
      <c r="D89" s="1277"/>
      <c r="E89" s="1277"/>
      <c r="F89" s="921"/>
      <c r="G89" s="1277"/>
      <c r="H89" s="921"/>
      <c r="I89" s="1277"/>
      <c r="J89" s="921"/>
      <c r="K89" s="1277"/>
      <c r="L89" s="1277"/>
    </row>
    <row r="90" spans="2:32">
      <c r="B90" s="1277"/>
      <c r="C90" s="1277"/>
      <c r="D90" s="1277"/>
      <c r="E90" s="1277"/>
      <c r="F90" s="921"/>
      <c r="G90" s="1277"/>
      <c r="H90" s="921"/>
      <c r="I90" s="1277"/>
      <c r="J90" s="921"/>
      <c r="K90" s="1277"/>
      <c r="L90" s="1277"/>
    </row>
    <row r="91" spans="2:32">
      <c r="B91" s="1277"/>
      <c r="C91" s="1277"/>
      <c r="D91" s="1277"/>
      <c r="E91" s="1277"/>
      <c r="F91" s="921"/>
      <c r="G91" s="1277"/>
      <c r="H91" s="921"/>
      <c r="I91" s="1277"/>
      <c r="J91" s="921"/>
      <c r="K91" s="1277"/>
      <c r="L91" s="1277"/>
      <c r="M91" s="919"/>
      <c r="N91" s="1355"/>
      <c r="V91" s="1277"/>
      <c r="W91" s="1277"/>
      <c r="X91" s="1277"/>
    </row>
    <row r="92" spans="2:32">
      <c r="B92" s="1277"/>
      <c r="C92" s="1277"/>
      <c r="D92" s="1277"/>
      <c r="E92" s="1277"/>
      <c r="F92" s="921"/>
      <c r="G92" s="1277"/>
      <c r="H92" s="921"/>
      <c r="I92" s="1277"/>
      <c r="J92" s="921"/>
      <c r="K92" s="1277"/>
      <c r="L92" s="1277"/>
      <c r="M92" s="919"/>
      <c r="N92" s="1355"/>
      <c r="O92" s="1355"/>
      <c r="P92" s="1357"/>
      <c r="Q92" s="1353"/>
      <c r="R92" s="1353"/>
      <c r="S92" s="1277"/>
      <c r="T92" s="1277"/>
      <c r="U92" s="1277"/>
      <c r="V92" s="1277"/>
      <c r="W92" s="1277"/>
      <c r="X92" s="1277"/>
    </row>
    <row r="93" spans="2:32">
      <c r="B93" s="1277"/>
      <c r="C93" s="1277"/>
      <c r="D93" s="1277"/>
      <c r="E93" s="1277"/>
      <c r="F93" s="921"/>
      <c r="G93" s="1277"/>
      <c r="H93" s="921"/>
      <c r="I93" s="1277"/>
      <c r="J93" s="921"/>
      <c r="K93" s="1277"/>
      <c r="L93" s="1277"/>
      <c r="M93" s="919"/>
      <c r="N93" s="1355"/>
      <c r="O93" s="1357"/>
      <c r="P93" s="1357"/>
      <c r="Q93" s="1353"/>
      <c r="R93" s="1353"/>
      <c r="S93" s="1277"/>
      <c r="T93" s="1277"/>
      <c r="U93" s="1277"/>
      <c r="V93" s="1277"/>
      <c r="W93" s="1277"/>
      <c r="X93" s="1277"/>
    </row>
    <row r="94" spans="2:32">
      <c r="B94" s="1277"/>
      <c r="C94" s="1277"/>
      <c r="D94" s="1277"/>
      <c r="E94" s="1277"/>
      <c r="F94" s="921"/>
      <c r="G94" s="1277"/>
      <c r="H94" s="921"/>
      <c r="I94" s="1277"/>
      <c r="J94" s="921"/>
      <c r="K94" s="1277"/>
      <c r="L94" s="1277"/>
      <c r="M94" s="919"/>
      <c r="N94" s="1355"/>
      <c r="O94" s="1357"/>
      <c r="P94" s="1357"/>
      <c r="Q94" s="1353"/>
      <c r="R94" s="1353"/>
      <c r="S94" s="1277"/>
      <c r="T94" s="1277"/>
      <c r="U94" s="1277"/>
      <c r="V94" s="1277"/>
      <c r="W94" s="1277"/>
      <c r="X94" s="1277"/>
    </row>
    <row r="95" spans="2:32">
      <c r="B95" s="1277"/>
      <c r="C95" s="1277"/>
      <c r="D95" s="1277"/>
      <c r="E95" s="1277"/>
      <c r="F95" s="921"/>
      <c r="G95" s="1277"/>
      <c r="H95" s="921"/>
      <c r="I95" s="1277"/>
      <c r="J95" s="921"/>
      <c r="K95" s="1277"/>
      <c r="L95" s="1277"/>
      <c r="M95" s="1277"/>
      <c r="N95" s="1353"/>
      <c r="O95" s="1355"/>
      <c r="P95" s="1353"/>
      <c r="Q95" s="1353"/>
      <c r="R95" s="1353"/>
      <c r="S95" s="1277"/>
      <c r="T95" s="1277"/>
      <c r="U95" s="1277"/>
    </row>
    <row r="96" spans="2:32">
      <c r="B96" s="1277"/>
      <c r="C96" s="1277"/>
      <c r="D96" s="1277"/>
      <c r="E96" s="1277"/>
      <c r="F96" s="921"/>
      <c r="G96" s="1277"/>
      <c r="H96" s="921"/>
      <c r="I96" s="1277"/>
      <c r="J96" s="921"/>
      <c r="K96" s="1277"/>
      <c r="L96" s="1277"/>
      <c r="M96" s="1277"/>
      <c r="N96" s="1353"/>
      <c r="O96" s="1353"/>
      <c r="P96" s="1354"/>
      <c r="Q96" s="1354"/>
      <c r="R96" s="1354"/>
      <c r="S96" s="921"/>
    </row>
    <row r="97" spans="2:24">
      <c r="B97" s="1277"/>
      <c r="C97" s="1277"/>
      <c r="D97" s="1277"/>
      <c r="E97" s="1277"/>
      <c r="F97" s="921"/>
      <c r="G97" s="1277"/>
      <c r="H97" s="921"/>
      <c r="I97" s="1277"/>
      <c r="J97" s="921"/>
      <c r="K97" s="1277"/>
      <c r="L97" s="1277"/>
      <c r="M97" s="1277"/>
      <c r="N97" s="1353"/>
      <c r="O97" s="1353"/>
      <c r="P97" s="1354"/>
      <c r="Q97" s="1354"/>
      <c r="R97" s="1354"/>
      <c r="S97" s="921"/>
    </row>
    <row r="98" spans="2:24">
      <c r="B98" s="1277"/>
      <c r="C98" s="1277"/>
      <c r="D98" s="1277"/>
      <c r="E98" s="1277"/>
      <c r="F98" s="921"/>
      <c r="G98" s="1277"/>
      <c r="H98" s="921"/>
      <c r="I98" s="1277"/>
      <c r="J98" s="921"/>
      <c r="K98" s="1277"/>
      <c r="L98" s="1277"/>
      <c r="M98" s="1277"/>
      <c r="N98" s="1353"/>
      <c r="O98" s="1353"/>
      <c r="P98" s="1353"/>
      <c r="Q98" s="1353"/>
      <c r="R98" s="1353"/>
      <c r="S98" s="1277"/>
    </row>
    <row r="99" spans="2:24">
      <c r="B99" s="1277"/>
      <c r="C99" s="1277"/>
      <c r="D99" s="1277"/>
      <c r="E99" s="1277"/>
      <c r="F99" s="921"/>
      <c r="G99" s="1277"/>
      <c r="H99" s="921"/>
      <c r="I99" s="1277"/>
      <c r="J99" s="921"/>
      <c r="K99" s="1277"/>
      <c r="L99" s="1277"/>
      <c r="M99" s="1277"/>
      <c r="N99" s="1353"/>
      <c r="O99" s="1353"/>
      <c r="P99" s="1353"/>
      <c r="Q99" s="1353"/>
      <c r="R99" s="1353"/>
      <c r="S99" s="1277"/>
    </row>
    <row r="100" spans="2:24">
      <c r="B100" s="1277"/>
      <c r="C100" s="1277"/>
      <c r="D100" s="1277"/>
      <c r="E100" s="1277"/>
      <c r="F100" s="921"/>
      <c r="G100" s="1277"/>
      <c r="H100" s="921"/>
      <c r="I100" s="1277"/>
      <c r="J100" s="921"/>
      <c r="K100" s="1277"/>
      <c r="L100" s="1277"/>
      <c r="M100" s="1277"/>
      <c r="N100" s="1353"/>
      <c r="O100" s="1353"/>
      <c r="P100" s="1353"/>
      <c r="Q100" s="1353"/>
      <c r="R100" s="1353"/>
      <c r="S100" s="1277"/>
    </row>
    <row r="101" spans="2:24">
      <c r="B101" s="1277"/>
      <c r="C101" s="1277"/>
      <c r="D101" s="1277"/>
      <c r="E101" s="1277"/>
      <c r="F101" s="921"/>
      <c r="G101" s="1277"/>
      <c r="H101" s="921"/>
      <c r="I101" s="1277"/>
      <c r="J101" s="921"/>
      <c r="K101" s="1277"/>
      <c r="L101" s="1277"/>
      <c r="M101" s="1277"/>
      <c r="N101" s="1353"/>
      <c r="O101" s="1353"/>
      <c r="P101" s="1353"/>
      <c r="Q101" s="1353"/>
      <c r="R101" s="1353"/>
      <c r="S101" s="1277"/>
    </row>
    <row r="102" spans="2:24">
      <c r="B102" s="1277"/>
      <c r="C102" s="1277"/>
      <c r="D102" s="1277"/>
      <c r="E102" s="1277"/>
      <c r="F102" s="921"/>
      <c r="G102" s="1277"/>
      <c r="H102" s="921"/>
      <c r="I102" s="1277"/>
      <c r="J102" s="921"/>
      <c r="K102" s="1277"/>
      <c r="L102" s="1277"/>
      <c r="M102" s="1277"/>
      <c r="N102" s="1353"/>
      <c r="O102" s="1353"/>
      <c r="P102" s="1353"/>
      <c r="Q102" s="1353"/>
      <c r="R102" s="1353"/>
      <c r="S102" s="1277"/>
    </row>
    <row r="103" spans="2:24">
      <c r="B103" s="1277"/>
      <c r="C103" s="1277"/>
      <c r="D103" s="1277"/>
      <c r="E103" s="1277"/>
      <c r="F103" s="921"/>
      <c r="G103" s="1277"/>
      <c r="H103" s="921"/>
      <c r="I103" s="1277"/>
      <c r="J103" s="921"/>
      <c r="K103" s="1277"/>
      <c r="L103" s="1277"/>
      <c r="M103" s="1277"/>
      <c r="N103" s="1353"/>
      <c r="O103" s="1353"/>
      <c r="P103" s="1353"/>
      <c r="Q103" s="1353"/>
      <c r="R103" s="1353"/>
      <c r="S103" s="1277"/>
    </row>
    <row r="104" spans="2:24">
      <c r="B104" s="1277"/>
      <c r="C104" s="1277"/>
      <c r="D104" s="1277"/>
      <c r="E104" s="1277"/>
      <c r="F104" s="921"/>
      <c r="G104" s="1277"/>
      <c r="H104" s="921"/>
      <c r="I104" s="1277"/>
      <c r="J104" s="921"/>
      <c r="K104" s="1277"/>
      <c r="L104" s="1277"/>
      <c r="M104" s="919"/>
      <c r="N104" s="1355"/>
      <c r="O104" s="1353"/>
      <c r="P104" s="1353"/>
      <c r="Q104" s="1353"/>
      <c r="R104" s="1353"/>
      <c r="S104" s="1277"/>
      <c r="V104" s="1277"/>
      <c r="W104" s="1277"/>
      <c r="X104" s="1277"/>
    </row>
    <row r="105" spans="2:24">
      <c r="B105" s="1277"/>
      <c r="C105" s="1277"/>
      <c r="D105" s="1277"/>
      <c r="E105" s="1277"/>
      <c r="F105" s="921"/>
      <c r="G105" s="1277"/>
      <c r="H105" s="921"/>
      <c r="I105" s="1277"/>
      <c r="J105" s="921"/>
      <c r="K105" s="1277"/>
      <c r="L105" s="1277"/>
      <c r="M105" s="919"/>
      <c r="N105" s="1355"/>
      <c r="O105" s="1355"/>
      <c r="P105" s="1353"/>
      <c r="Q105" s="1353"/>
      <c r="R105" s="1353"/>
      <c r="S105" s="1277"/>
      <c r="T105" s="1277"/>
      <c r="U105" s="1277"/>
      <c r="V105" s="1277"/>
      <c r="W105" s="1277"/>
      <c r="X105" s="1277"/>
    </row>
    <row r="106" spans="2:24">
      <c r="B106" s="1277"/>
      <c r="C106" s="1277"/>
      <c r="D106" s="1277"/>
      <c r="E106" s="1277"/>
      <c r="F106" s="921"/>
      <c r="G106" s="1277"/>
      <c r="H106" s="921"/>
      <c r="I106" s="1277"/>
      <c r="J106" s="921"/>
      <c r="K106" s="1277"/>
      <c r="L106" s="1277"/>
      <c r="M106" s="1277"/>
      <c r="N106" s="1357"/>
      <c r="O106" s="1355"/>
      <c r="P106" s="1353"/>
      <c r="Q106" s="1353"/>
      <c r="R106" s="1353"/>
      <c r="S106" s="1277"/>
      <c r="T106" s="1277"/>
      <c r="U106" s="1277"/>
      <c r="V106" s="1277"/>
      <c r="W106" s="1277"/>
      <c r="X106" s="1277"/>
    </row>
    <row r="107" spans="2:24">
      <c r="B107" s="1277"/>
      <c r="C107" s="1277"/>
      <c r="D107" s="1277"/>
      <c r="E107" s="1277"/>
      <c r="F107" s="921"/>
      <c r="G107" s="1277"/>
      <c r="H107" s="921"/>
      <c r="I107" s="1277"/>
      <c r="J107" s="921"/>
      <c r="K107" s="1277"/>
      <c r="L107" s="1277"/>
      <c r="M107" s="1277"/>
      <c r="N107" s="1355"/>
      <c r="O107" s="1355"/>
      <c r="P107" s="1353"/>
      <c r="Q107" s="1353"/>
      <c r="R107" s="1354"/>
      <c r="S107" s="1277"/>
      <c r="T107" s="1277"/>
      <c r="U107" s="1277"/>
      <c r="V107" s="1277"/>
      <c r="W107" s="1277"/>
      <c r="X107" s="1277"/>
    </row>
    <row r="108" spans="2:24">
      <c r="B108" s="1277"/>
      <c r="C108" s="1277"/>
      <c r="D108" s="1277"/>
      <c r="E108" s="1277"/>
      <c r="F108" s="921"/>
      <c r="G108" s="1277"/>
      <c r="H108" s="921"/>
      <c r="I108" s="1277"/>
      <c r="J108" s="921"/>
      <c r="K108" s="1277"/>
      <c r="L108" s="1277"/>
      <c r="M108" s="1277"/>
      <c r="N108" s="919"/>
      <c r="O108" s="1355"/>
      <c r="P108" s="1353"/>
      <c r="Q108" s="1353"/>
      <c r="R108" s="1353"/>
      <c r="S108" s="1277"/>
      <c r="T108" s="1277"/>
      <c r="U108" s="1277"/>
      <c r="V108" s="1277"/>
      <c r="W108" s="1277"/>
      <c r="X108" s="1277"/>
    </row>
    <row r="109" spans="2:24">
      <c r="B109" s="1277"/>
      <c r="C109" s="1277"/>
      <c r="D109" s="1277"/>
      <c r="E109" s="1277"/>
      <c r="F109" s="921"/>
      <c r="G109" s="1277"/>
      <c r="H109" s="921"/>
      <c r="I109" s="1277"/>
      <c r="J109" s="921"/>
      <c r="K109" s="1277"/>
      <c r="L109" s="1277"/>
      <c r="M109" s="1277"/>
      <c r="N109" s="919"/>
      <c r="O109" s="919"/>
      <c r="P109" s="1277"/>
      <c r="Q109" s="1277"/>
      <c r="R109" s="1277"/>
      <c r="S109" s="1277"/>
      <c r="T109" s="1277"/>
      <c r="U109" s="1277"/>
      <c r="V109" s="1277"/>
      <c r="W109" s="1277"/>
      <c r="X109" s="1277"/>
    </row>
    <row r="110" spans="2:24">
      <c r="B110" s="1277"/>
      <c r="C110" s="1277"/>
      <c r="D110" s="1277"/>
      <c r="E110" s="1277"/>
      <c r="F110" s="921"/>
      <c r="G110" s="1277"/>
      <c r="H110" s="921"/>
      <c r="I110" s="1277"/>
      <c r="J110" s="921"/>
      <c r="K110" s="1277"/>
      <c r="L110" s="1277"/>
      <c r="M110" s="1277"/>
      <c r="N110" s="919"/>
      <c r="O110" s="919"/>
      <c r="P110" s="1277"/>
      <c r="Q110" s="1277"/>
      <c r="R110" s="1277"/>
      <c r="S110" s="1277"/>
      <c r="T110" s="1277"/>
      <c r="U110" s="1277"/>
      <c r="V110" s="1277"/>
      <c r="W110" s="1277"/>
      <c r="X110" s="1277"/>
    </row>
    <row r="111" spans="2:24">
      <c r="B111" s="1277"/>
      <c r="C111" s="1277"/>
      <c r="D111" s="1277"/>
      <c r="E111" s="1277"/>
      <c r="F111" s="921"/>
      <c r="G111" s="1277"/>
      <c r="H111" s="921"/>
      <c r="I111" s="1277"/>
      <c r="J111" s="921"/>
      <c r="K111" s="1277"/>
      <c r="L111" s="1277"/>
      <c r="M111" s="1277"/>
      <c r="N111" s="919"/>
      <c r="O111" s="919"/>
      <c r="P111" s="1277"/>
      <c r="Q111" s="1277"/>
      <c r="R111" s="1277"/>
      <c r="S111" s="1277"/>
      <c r="T111" s="1277"/>
      <c r="U111" s="1277"/>
      <c r="V111" s="1277"/>
      <c r="W111" s="1277"/>
      <c r="X111" s="1277"/>
    </row>
    <row r="112" spans="2:24">
      <c r="B112" s="1277"/>
      <c r="C112" s="1277"/>
      <c r="D112" s="1277"/>
      <c r="E112" s="1277"/>
      <c r="F112" s="921"/>
      <c r="G112" s="1277"/>
      <c r="H112" s="921"/>
      <c r="I112" s="1277"/>
      <c r="J112" s="921"/>
      <c r="K112" s="1277"/>
      <c r="L112" s="1277"/>
      <c r="M112" s="919"/>
      <c r="N112" s="919"/>
      <c r="O112" s="919"/>
      <c r="P112" s="1277"/>
      <c r="Q112" s="1277"/>
      <c r="R112" s="1277"/>
      <c r="S112" s="1277"/>
      <c r="T112" s="1277"/>
      <c r="U112" s="1277"/>
      <c r="V112" s="1277"/>
      <c r="W112" s="1277"/>
      <c r="X112" s="1277"/>
    </row>
    <row r="113" spans="2:24">
      <c r="B113" s="1277"/>
      <c r="C113" s="1277"/>
      <c r="D113" s="1277"/>
      <c r="E113" s="1277"/>
      <c r="F113" s="921"/>
      <c r="G113" s="1277"/>
      <c r="H113" s="921"/>
      <c r="I113" s="1277"/>
      <c r="J113" s="921"/>
      <c r="K113" s="1277"/>
      <c r="L113" s="1277"/>
      <c r="M113" s="919"/>
      <c r="N113" s="919"/>
      <c r="O113" s="919"/>
      <c r="P113" s="1277"/>
      <c r="Q113" s="1277"/>
      <c r="R113" s="1277"/>
      <c r="S113" s="1277"/>
      <c r="T113" s="1277"/>
      <c r="U113" s="1277"/>
      <c r="V113" s="1277"/>
      <c r="W113" s="1277"/>
      <c r="X113" s="1277"/>
    </row>
    <row r="114" spans="2:24">
      <c r="B114" s="1277"/>
      <c r="C114" s="1277"/>
      <c r="D114" s="1277"/>
      <c r="E114" s="1277"/>
      <c r="F114" s="921"/>
      <c r="G114" s="1277"/>
      <c r="H114" s="921"/>
      <c r="I114" s="1277"/>
      <c r="J114" s="921"/>
      <c r="K114" s="1277"/>
      <c r="L114" s="1277"/>
      <c r="M114" s="919"/>
      <c r="N114" s="919"/>
      <c r="O114" s="919"/>
      <c r="P114" s="1277"/>
      <c r="Q114" s="1277"/>
      <c r="R114" s="1277"/>
      <c r="S114" s="1277"/>
      <c r="T114" s="1277"/>
      <c r="U114" s="1277"/>
      <c r="V114" s="1277"/>
      <c r="W114" s="1277"/>
      <c r="X114" s="1277"/>
    </row>
    <row r="115" spans="2:24">
      <c r="B115" s="1277"/>
      <c r="C115" s="1277"/>
      <c r="D115" s="1277"/>
      <c r="E115" s="1277"/>
      <c r="F115" s="921"/>
      <c r="G115" s="1277"/>
      <c r="H115" s="921"/>
      <c r="I115" s="1277"/>
      <c r="J115" s="921"/>
      <c r="K115" s="1277"/>
      <c r="L115" s="1277"/>
      <c r="M115" s="919"/>
      <c r="N115" s="919"/>
      <c r="O115" s="919"/>
      <c r="P115" s="1277"/>
      <c r="Q115" s="1277"/>
      <c r="R115" s="1277"/>
      <c r="S115" s="1277"/>
      <c r="T115" s="1277"/>
      <c r="U115" s="1277"/>
      <c r="V115" s="1277"/>
      <c r="W115" s="1277"/>
      <c r="X115" s="1277"/>
    </row>
    <row r="116" spans="2:24">
      <c r="B116" s="1277"/>
      <c r="C116" s="1277"/>
      <c r="D116" s="1277"/>
      <c r="E116" s="1277"/>
      <c r="F116" s="921"/>
      <c r="G116" s="1277"/>
      <c r="H116" s="921"/>
      <c r="I116" s="1277"/>
      <c r="J116" s="921"/>
      <c r="K116" s="1277"/>
      <c r="L116" s="1277"/>
      <c r="M116" s="919"/>
      <c r="N116" s="919"/>
      <c r="O116" s="919"/>
      <c r="P116" s="1277"/>
      <c r="Q116" s="1277"/>
      <c r="R116" s="1277"/>
      <c r="S116" s="1277"/>
      <c r="T116" s="1277"/>
      <c r="U116" s="1277"/>
      <c r="V116" s="1277"/>
      <c r="W116" s="1277"/>
      <c r="X116" s="1277"/>
    </row>
    <row r="117" spans="2:24">
      <c r="B117" s="1277"/>
      <c r="C117" s="1277"/>
      <c r="D117" s="1277"/>
      <c r="E117" s="1277"/>
      <c r="F117" s="921"/>
      <c r="G117" s="1277"/>
      <c r="H117" s="921"/>
      <c r="I117" s="1277"/>
      <c r="J117" s="921"/>
      <c r="K117" s="1277"/>
      <c r="L117" s="1277"/>
      <c r="M117" s="919"/>
      <c r="N117" s="919"/>
      <c r="O117" s="919"/>
      <c r="P117" s="1277"/>
      <c r="Q117" s="1277"/>
      <c r="R117" s="1277"/>
      <c r="S117" s="1277"/>
      <c r="T117" s="1277"/>
      <c r="U117" s="1277"/>
      <c r="V117" s="1277"/>
      <c r="W117" s="1277"/>
      <c r="X117" s="1277"/>
    </row>
    <row r="118" spans="2:24">
      <c r="B118" s="1277"/>
      <c r="C118" s="1277"/>
      <c r="D118" s="1277"/>
      <c r="E118" s="1277"/>
      <c r="F118" s="921"/>
      <c r="G118" s="1277"/>
      <c r="H118" s="921"/>
      <c r="I118" s="1277"/>
      <c r="J118" s="921"/>
      <c r="K118" s="1277"/>
      <c r="L118" s="1277"/>
      <c r="M118" s="919"/>
      <c r="N118" s="919"/>
      <c r="O118" s="919"/>
      <c r="P118" s="1277"/>
      <c r="Q118" s="1277"/>
      <c r="R118" s="1277"/>
      <c r="S118" s="1277"/>
      <c r="T118" s="1277"/>
      <c r="U118" s="1277"/>
      <c r="V118" s="1277"/>
      <c r="W118" s="1277"/>
      <c r="X118" s="1277"/>
    </row>
    <row r="119" spans="2:24">
      <c r="B119" s="1277"/>
      <c r="C119" s="1277"/>
      <c r="D119" s="1277"/>
      <c r="E119" s="1277"/>
      <c r="F119" s="921"/>
      <c r="G119" s="1277"/>
      <c r="H119" s="921"/>
      <c r="I119" s="1277"/>
      <c r="J119" s="921"/>
      <c r="K119" s="1277"/>
      <c r="L119" s="1277"/>
      <c r="M119" s="919"/>
      <c r="N119" s="919"/>
      <c r="O119" s="919"/>
      <c r="P119" s="1277"/>
      <c r="Q119" s="1277"/>
      <c r="R119" s="1277"/>
      <c r="S119" s="1277"/>
      <c r="T119" s="1277"/>
      <c r="U119" s="1277"/>
      <c r="V119" s="1277"/>
      <c r="W119" s="1277"/>
      <c r="X119" s="1277"/>
    </row>
    <row r="120" spans="2:24">
      <c r="B120" s="1277"/>
      <c r="C120" s="1277"/>
      <c r="D120" s="1277"/>
      <c r="E120" s="1277"/>
      <c r="F120" s="921"/>
      <c r="G120" s="1277"/>
      <c r="H120" s="921"/>
      <c r="I120" s="1277"/>
      <c r="J120" s="921"/>
      <c r="K120" s="1277"/>
      <c r="L120" s="1277"/>
      <c r="M120" s="919"/>
      <c r="N120" s="919"/>
      <c r="O120" s="919"/>
      <c r="P120" s="1277"/>
      <c r="Q120" s="1277"/>
      <c r="R120" s="1277"/>
      <c r="S120" s="1277"/>
      <c r="T120" s="1277"/>
      <c r="U120" s="1277"/>
      <c r="V120" s="1277"/>
      <c r="W120" s="1277"/>
      <c r="X120" s="1277"/>
    </row>
    <row r="121" spans="2:24">
      <c r="B121" s="1277"/>
      <c r="C121" s="1277"/>
      <c r="D121" s="1277"/>
      <c r="E121" s="1277"/>
      <c r="F121" s="921"/>
      <c r="G121" s="1277"/>
      <c r="H121" s="921"/>
      <c r="I121" s="1277"/>
      <c r="J121" s="921"/>
      <c r="K121" s="1277"/>
      <c r="L121" s="1277"/>
      <c r="M121" s="919"/>
      <c r="N121" s="919"/>
      <c r="O121" s="919"/>
      <c r="P121" s="1277"/>
      <c r="Q121" s="1277"/>
      <c r="R121" s="1277"/>
      <c r="S121" s="1277"/>
      <c r="T121" s="1277"/>
      <c r="U121" s="1277"/>
      <c r="V121" s="1277"/>
      <c r="W121" s="1277"/>
      <c r="X121" s="1277"/>
    </row>
    <row r="122" spans="2:24">
      <c r="B122" s="1277"/>
      <c r="C122" s="1277"/>
      <c r="D122" s="1277"/>
      <c r="E122" s="1277"/>
      <c r="F122" s="921"/>
      <c r="G122" s="1277"/>
      <c r="H122" s="921"/>
      <c r="I122" s="1277"/>
      <c r="J122" s="921"/>
      <c r="K122" s="1277"/>
      <c r="L122" s="1277"/>
      <c r="M122" s="919"/>
      <c r="N122" s="919"/>
      <c r="O122" s="919"/>
      <c r="P122" s="1277"/>
      <c r="Q122" s="1277"/>
      <c r="R122" s="1277"/>
      <c r="S122" s="1277"/>
      <c r="T122" s="1277"/>
      <c r="U122" s="1277"/>
      <c r="V122" s="1277"/>
      <c r="W122" s="1277"/>
      <c r="X122" s="1277"/>
    </row>
    <row r="123" spans="2:24">
      <c r="B123" s="1277"/>
      <c r="C123" s="1277"/>
      <c r="D123" s="1277"/>
      <c r="E123" s="1277"/>
      <c r="F123" s="921"/>
      <c r="G123" s="1277"/>
      <c r="H123" s="921"/>
      <c r="I123" s="1277"/>
      <c r="J123" s="921"/>
      <c r="K123" s="1277"/>
      <c r="L123" s="1277"/>
      <c r="M123" s="919"/>
      <c r="N123" s="919"/>
      <c r="O123" s="919"/>
      <c r="P123" s="1277"/>
      <c r="Q123" s="1277"/>
      <c r="R123" s="1277"/>
      <c r="S123" s="1277"/>
      <c r="T123" s="1277"/>
      <c r="U123" s="1277"/>
      <c r="V123" s="1277"/>
      <c r="W123" s="1277"/>
      <c r="X123" s="1277"/>
    </row>
    <row r="124" spans="2:24">
      <c r="B124" s="1277"/>
      <c r="C124" s="1277"/>
      <c r="D124" s="1277"/>
      <c r="E124" s="1277"/>
      <c r="F124" s="921"/>
      <c r="G124" s="1277"/>
      <c r="H124" s="921"/>
      <c r="I124" s="1277"/>
      <c r="J124" s="921"/>
      <c r="K124" s="1277"/>
      <c r="L124" s="1277"/>
      <c r="M124" s="919"/>
      <c r="N124" s="919"/>
      <c r="O124" s="919"/>
      <c r="P124" s="1277"/>
      <c r="Q124" s="1277"/>
      <c r="R124" s="1277"/>
      <c r="S124" s="1277"/>
      <c r="T124" s="1277"/>
      <c r="U124" s="1277"/>
      <c r="V124" s="1277"/>
      <c r="W124" s="1277"/>
      <c r="X124" s="1277"/>
    </row>
    <row r="125" spans="2:24">
      <c r="B125" s="1277"/>
      <c r="C125" s="1277"/>
      <c r="D125" s="1277"/>
      <c r="E125" s="1277"/>
      <c r="F125" s="921"/>
      <c r="G125" s="1277"/>
      <c r="H125" s="921"/>
      <c r="I125" s="1277"/>
      <c r="J125" s="921"/>
      <c r="K125" s="1277"/>
      <c r="L125" s="1277"/>
      <c r="M125" s="919"/>
      <c r="N125" s="919"/>
      <c r="O125" s="919"/>
      <c r="P125" s="1277"/>
      <c r="Q125" s="1277"/>
      <c r="R125" s="1277"/>
      <c r="S125" s="1277"/>
      <c r="T125" s="1277"/>
      <c r="U125" s="1277"/>
      <c r="V125" s="1277"/>
      <c r="W125" s="1277"/>
      <c r="X125" s="1277"/>
    </row>
    <row r="126" spans="2:24">
      <c r="B126" s="1277"/>
      <c r="C126" s="1277"/>
      <c r="D126" s="1277"/>
      <c r="E126" s="1277"/>
      <c r="F126" s="921"/>
      <c r="G126" s="1277"/>
      <c r="H126" s="921"/>
      <c r="I126" s="1277"/>
      <c r="J126" s="921"/>
      <c r="K126" s="1277"/>
      <c r="L126" s="1277"/>
      <c r="M126" s="919"/>
      <c r="N126" s="919"/>
      <c r="O126" s="919"/>
      <c r="P126" s="1277"/>
      <c r="Q126" s="1277"/>
      <c r="R126" s="1277"/>
      <c r="S126" s="1277"/>
      <c r="T126" s="1277"/>
      <c r="U126" s="1277"/>
      <c r="V126" s="1277"/>
      <c r="W126" s="1277"/>
      <c r="X126" s="1277"/>
    </row>
    <row r="127" spans="2:24">
      <c r="B127" s="1277"/>
      <c r="C127" s="1277"/>
      <c r="D127" s="1277"/>
      <c r="E127" s="1277"/>
      <c r="F127" s="921"/>
      <c r="G127" s="1277"/>
      <c r="H127" s="921"/>
      <c r="I127" s="1277"/>
      <c r="J127" s="921"/>
      <c r="K127" s="1277"/>
      <c r="L127" s="1277"/>
      <c r="M127" s="919"/>
      <c r="N127" s="919"/>
      <c r="O127" s="919"/>
      <c r="P127" s="1277"/>
      <c r="Q127" s="1277"/>
      <c r="R127" s="1277"/>
      <c r="S127" s="1277"/>
      <c r="T127" s="1277"/>
      <c r="U127" s="1277"/>
      <c r="V127" s="1277"/>
      <c r="W127" s="1277"/>
      <c r="X127" s="1277"/>
    </row>
    <row r="128" spans="2:24">
      <c r="B128" s="1277"/>
      <c r="C128" s="1277"/>
      <c r="D128" s="1277"/>
      <c r="E128" s="1277"/>
      <c r="F128" s="921"/>
      <c r="G128" s="1277"/>
      <c r="H128" s="921"/>
      <c r="I128" s="1277"/>
      <c r="J128" s="921"/>
      <c r="K128" s="1277"/>
      <c r="L128" s="1277"/>
      <c r="M128" s="919"/>
      <c r="N128" s="919"/>
      <c r="O128" s="919"/>
      <c r="P128" s="1277"/>
      <c r="Q128" s="1277"/>
      <c r="R128" s="1277"/>
      <c r="S128" s="1277"/>
      <c r="T128" s="1277"/>
      <c r="U128" s="1277"/>
      <c r="V128" s="1277"/>
      <c r="W128" s="1277"/>
      <c r="X128" s="1277"/>
    </row>
    <row r="129" spans="2:32">
      <c r="B129" s="1277"/>
      <c r="C129" s="1277"/>
      <c r="D129" s="1277"/>
      <c r="E129" s="1277"/>
      <c r="F129" s="921"/>
      <c r="G129" s="1277"/>
      <c r="H129" s="921"/>
      <c r="I129" s="1277"/>
      <c r="J129" s="921"/>
      <c r="K129" s="1277"/>
      <c r="L129" s="1277"/>
      <c r="M129" s="919"/>
      <c r="N129" s="919"/>
      <c r="O129" s="919"/>
      <c r="P129" s="1277"/>
      <c r="Q129" s="1277"/>
      <c r="R129" s="1277"/>
      <c r="S129" s="1277"/>
      <c r="T129" s="1277"/>
      <c r="U129" s="1277"/>
      <c r="V129" s="1277"/>
      <c r="W129" s="1277"/>
      <c r="X129" s="1277"/>
    </row>
    <row r="130" spans="2:32">
      <c r="B130" s="1277"/>
      <c r="C130" s="1277"/>
      <c r="D130" s="1277"/>
      <c r="E130" s="1277"/>
      <c r="F130" s="921"/>
      <c r="G130" s="1277"/>
      <c r="H130" s="921"/>
      <c r="I130" s="1277"/>
      <c r="J130" s="921"/>
      <c r="K130" s="1277"/>
      <c r="L130" s="1277"/>
      <c r="M130" s="919"/>
      <c r="N130" s="919"/>
      <c r="O130" s="919"/>
      <c r="P130" s="1277"/>
      <c r="Q130" s="1277"/>
      <c r="R130" s="1277"/>
      <c r="S130" s="1277"/>
      <c r="T130" s="1277"/>
      <c r="U130" s="1277"/>
      <c r="V130" s="1277"/>
      <c r="W130" s="1277"/>
      <c r="X130" s="1277"/>
    </row>
    <row r="131" spans="2:32">
      <c r="B131" s="1277"/>
      <c r="C131" s="1277"/>
      <c r="D131" s="1277"/>
      <c r="E131" s="1277"/>
      <c r="F131" s="921"/>
      <c r="G131" s="1277"/>
      <c r="H131" s="921"/>
      <c r="I131" s="1277"/>
      <c r="J131" s="921"/>
      <c r="K131" s="1277"/>
      <c r="L131" s="1277"/>
      <c r="M131" s="919"/>
      <c r="N131" s="919"/>
      <c r="O131" s="919"/>
      <c r="P131" s="1277"/>
      <c r="Q131" s="1277"/>
      <c r="R131" s="1277"/>
      <c r="S131" s="1277"/>
      <c r="T131" s="1277"/>
      <c r="U131" s="1277"/>
      <c r="V131" s="1277"/>
      <c r="W131" s="1277"/>
      <c r="X131" s="1277"/>
    </row>
    <row r="132" spans="2:32">
      <c r="B132" s="1277"/>
      <c r="C132" s="1277"/>
      <c r="D132" s="1277"/>
      <c r="E132" s="1277"/>
      <c r="F132" s="921"/>
      <c r="G132" s="1277"/>
      <c r="H132" s="921"/>
      <c r="I132" s="1277"/>
      <c r="J132" s="921"/>
      <c r="K132" s="1277"/>
      <c r="L132" s="1277"/>
      <c r="M132" s="919"/>
      <c r="N132" s="919"/>
      <c r="O132" s="919"/>
      <c r="P132" s="1277"/>
      <c r="Q132" s="1277"/>
      <c r="R132" s="1277"/>
      <c r="S132" s="1277"/>
      <c r="T132" s="1277"/>
      <c r="U132" s="1277"/>
      <c r="V132" s="1277"/>
      <c r="W132" s="1277"/>
      <c r="X132" s="1277"/>
    </row>
    <row r="133" spans="2:32">
      <c r="B133" s="1277"/>
      <c r="C133" s="1277"/>
      <c r="D133" s="1277"/>
      <c r="E133" s="1277"/>
      <c r="F133" s="921"/>
      <c r="G133" s="1277"/>
      <c r="H133" s="921"/>
      <c r="I133" s="1277"/>
      <c r="J133" s="921"/>
      <c r="K133" s="1277"/>
      <c r="L133" s="1277"/>
      <c r="M133" s="919"/>
      <c r="N133" s="919"/>
      <c r="O133" s="919"/>
      <c r="P133" s="1277"/>
      <c r="Q133" s="1277"/>
      <c r="R133" s="1277"/>
      <c r="S133" s="1277"/>
      <c r="T133" s="1277"/>
      <c r="U133" s="1277"/>
      <c r="V133" s="1277"/>
      <c r="W133" s="1277"/>
      <c r="X133" s="1277"/>
    </row>
    <row r="134" spans="2:32">
      <c r="B134" s="1277"/>
      <c r="C134" s="1277"/>
      <c r="D134" s="1277"/>
      <c r="E134" s="1277"/>
      <c r="F134" s="921"/>
      <c r="G134" s="1277"/>
      <c r="H134" s="921"/>
      <c r="I134" s="1277"/>
      <c r="J134" s="921"/>
      <c r="K134" s="1277"/>
      <c r="L134" s="1277"/>
      <c r="M134" s="919"/>
      <c r="N134" s="919"/>
      <c r="O134" s="919"/>
      <c r="P134" s="1277"/>
      <c r="Q134" s="1277"/>
      <c r="R134" s="1277"/>
      <c r="S134" s="1277"/>
      <c r="T134" s="1277"/>
      <c r="U134" s="1277"/>
      <c r="V134" s="1277"/>
      <c r="W134" s="1277"/>
      <c r="X134" s="1277"/>
    </row>
    <row r="135" spans="2:32">
      <c r="B135" s="1277"/>
      <c r="C135" s="1277"/>
      <c r="D135" s="1277"/>
      <c r="E135" s="1277"/>
      <c r="F135" s="921"/>
      <c r="G135" s="1277"/>
      <c r="H135" s="921"/>
      <c r="I135" s="1277"/>
      <c r="J135" s="921"/>
      <c r="K135" s="1277"/>
      <c r="L135" s="1277"/>
      <c r="M135" s="919"/>
      <c r="N135" s="919"/>
      <c r="O135" s="919"/>
      <c r="P135" s="1277"/>
      <c r="Q135" s="1277"/>
      <c r="R135" s="1277"/>
      <c r="S135" s="1277"/>
      <c r="T135" s="1277"/>
      <c r="U135" s="1277"/>
      <c r="V135" s="1277"/>
      <c r="W135" s="1277"/>
      <c r="X135" s="1277"/>
    </row>
    <row r="136" spans="2:32">
      <c r="B136" s="1277"/>
      <c r="C136" s="1277"/>
      <c r="D136" s="1277"/>
      <c r="E136" s="1277"/>
      <c r="F136" s="921"/>
      <c r="G136" s="1277"/>
      <c r="H136" s="921"/>
      <c r="I136" s="1277"/>
      <c r="J136" s="921"/>
      <c r="K136" s="1277"/>
      <c r="L136" s="1277"/>
      <c r="M136" s="919"/>
      <c r="N136" s="919"/>
      <c r="O136" s="919"/>
      <c r="P136" s="1277"/>
      <c r="Q136" s="1277"/>
      <c r="R136" s="1277"/>
      <c r="S136" s="1277"/>
      <c r="T136" s="1277"/>
      <c r="U136" s="1277"/>
      <c r="V136" s="1277"/>
      <c r="W136" s="1277"/>
      <c r="X136" s="1277"/>
    </row>
    <row r="137" spans="2:32">
      <c r="B137" s="1277"/>
      <c r="C137" s="1277"/>
      <c r="D137" s="1277"/>
      <c r="E137" s="1277"/>
      <c r="F137" s="921"/>
      <c r="G137" s="1277"/>
      <c r="H137" s="921"/>
      <c r="I137" s="1277"/>
      <c r="J137" s="921"/>
      <c r="K137" s="1277"/>
      <c r="L137" s="1277"/>
      <c r="M137" s="919"/>
      <c r="N137" s="919"/>
      <c r="O137" s="919"/>
      <c r="P137" s="1277"/>
      <c r="Q137" s="1277"/>
      <c r="R137" s="1277"/>
      <c r="S137" s="1277"/>
      <c r="T137" s="1277"/>
      <c r="U137" s="1277"/>
      <c r="V137" s="1277"/>
      <c r="W137" s="1277"/>
      <c r="X137" s="1277"/>
    </row>
    <row r="138" spans="2:32">
      <c r="F138" s="921"/>
      <c r="G138" s="1277"/>
      <c r="H138" s="921"/>
      <c r="I138" s="1277"/>
      <c r="J138" s="921"/>
      <c r="K138" s="1277"/>
      <c r="L138" s="1277"/>
      <c r="M138" s="919"/>
      <c r="N138" s="919"/>
      <c r="O138" s="919"/>
      <c r="P138" s="1277"/>
      <c r="Q138" s="1277"/>
      <c r="R138" s="1277"/>
      <c r="S138" s="1277"/>
      <c r="T138" s="1277"/>
      <c r="U138" s="1277"/>
      <c r="V138" s="1277"/>
      <c r="W138" s="1277"/>
      <c r="X138" s="1277"/>
      <c r="Y138" s="1277"/>
      <c r="Z138" s="1277"/>
      <c r="AA138" s="1277"/>
      <c r="AB138" s="1277"/>
      <c r="AC138" s="1277"/>
      <c r="AD138" s="1277"/>
      <c r="AE138" s="1277"/>
      <c r="AF138" s="1277"/>
    </row>
    <row r="139" spans="2:32">
      <c r="F139" s="921"/>
      <c r="G139" s="1277"/>
      <c r="H139" s="921"/>
      <c r="I139" s="1277"/>
      <c r="J139" s="921"/>
      <c r="K139" s="1277"/>
      <c r="L139" s="1277"/>
      <c r="M139" s="919"/>
      <c r="N139" s="919"/>
      <c r="O139" s="919"/>
      <c r="P139" s="1277"/>
      <c r="Q139" s="1277"/>
      <c r="R139" s="1277"/>
      <c r="S139" s="1277"/>
      <c r="T139" s="1277"/>
      <c r="U139" s="1277"/>
      <c r="V139" s="1277"/>
      <c r="W139" s="1277"/>
      <c r="X139" s="1277"/>
      <c r="Y139" s="1277"/>
      <c r="Z139" s="1277"/>
      <c r="AA139" s="1277"/>
      <c r="AB139" s="1277"/>
      <c r="AC139" s="1277"/>
      <c r="AD139" s="1277"/>
      <c r="AE139" s="1277"/>
      <c r="AF139" s="1277"/>
    </row>
    <row r="140" spans="2:32">
      <c r="F140" s="921"/>
      <c r="G140" s="1277"/>
      <c r="H140" s="921"/>
      <c r="I140" s="1277"/>
      <c r="J140" s="921"/>
      <c r="K140" s="1277"/>
      <c r="L140" s="1277"/>
      <c r="M140" s="919"/>
      <c r="N140" s="919"/>
      <c r="O140" s="919"/>
      <c r="P140" s="1277"/>
      <c r="Q140" s="1277"/>
      <c r="R140" s="1277"/>
      <c r="S140" s="1277"/>
      <c r="T140" s="1277"/>
      <c r="U140" s="1277"/>
      <c r="V140" s="1277"/>
      <c r="W140" s="1277"/>
      <c r="X140" s="1277"/>
      <c r="Y140" s="1277"/>
      <c r="Z140" s="1277"/>
      <c r="AA140" s="1277"/>
      <c r="AB140" s="1277"/>
      <c r="AC140" s="1277"/>
      <c r="AD140" s="1277"/>
      <c r="AE140" s="1277"/>
      <c r="AF140" s="1277"/>
    </row>
    <row r="141" spans="2:32">
      <c r="F141" s="921"/>
      <c r="G141" s="1277"/>
      <c r="H141" s="921"/>
      <c r="I141" s="1277"/>
      <c r="J141" s="921"/>
      <c r="K141" s="1277"/>
      <c r="L141" s="1277"/>
      <c r="M141" s="919"/>
      <c r="N141" s="919"/>
      <c r="O141" s="919"/>
      <c r="P141" s="1277"/>
      <c r="Q141" s="1277"/>
      <c r="R141" s="1277"/>
      <c r="S141" s="1277"/>
      <c r="T141" s="1277"/>
      <c r="U141" s="1277"/>
      <c r="V141" s="1277"/>
      <c r="W141" s="1277"/>
      <c r="X141" s="1277"/>
      <c r="Y141" s="1277"/>
      <c r="Z141" s="1277"/>
      <c r="AA141" s="1277"/>
      <c r="AB141" s="1277"/>
      <c r="AC141" s="1277"/>
      <c r="AD141" s="1277"/>
      <c r="AE141" s="1277"/>
      <c r="AF141" s="1277"/>
    </row>
    <row r="142" spans="2:32">
      <c r="F142" s="921"/>
      <c r="G142" s="1277"/>
      <c r="H142" s="921"/>
      <c r="I142" s="1277"/>
      <c r="J142" s="921"/>
      <c r="K142" s="1277"/>
      <c r="L142" s="1277"/>
      <c r="M142" s="919"/>
      <c r="N142" s="919"/>
      <c r="O142" s="919"/>
      <c r="P142" s="1277"/>
      <c r="Q142" s="1277"/>
      <c r="R142" s="1277"/>
      <c r="S142" s="1277"/>
      <c r="T142" s="1277"/>
      <c r="U142" s="1277"/>
      <c r="V142" s="1277"/>
      <c r="W142" s="1277"/>
      <c r="X142" s="1277"/>
      <c r="Y142" s="1277"/>
      <c r="Z142" s="1277"/>
      <c r="AA142" s="1277"/>
      <c r="AB142" s="1277"/>
      <c r="AC142" s="1277"/>
      <c r="AD142" s="1277"/>
      <c r="AE142" s="1277"/>
      <c r="AF142" s="1277"/>
    </row>
    <row r="143" spans="2:32">
      <c r="F143" s="921"/>
      <c r="G143" s="1277"/>
      <c r="H143" s="921"/>
      <c r="I143" s="1277"/>
      <c r="J143" s="921"/>
      <c r="K143" s="1277"/>
      <c r="L143" s="1277"/>
      <c r="M143" s="919"/>
      <c r="N143" s="919"/>
      <c r="O143" s="919"/>
      <c r="P143" s="1277"/>
      <c r="Q143" s="1277"/>
      <c r="R143" s="1277"/>
      <c r="S143" s="1277"/>
      <c r="T143" s="1277"/>
      <c r="U143" s="1277"/>
      <c r="V143" s="1277"/>
      <c r="W143" s="1277"/>
      <c r="X143" s="1277"/>
      <c r="Y143" s="1277"/>
      <c r="Z143" s="1277"/>
      <c r="AA143" s="1277"/>
      <c r="AB143" s="1277"/>
      <c r="AC143" s="1277"/>
      <c r="AD143" s="1277"/>
      <c r="AE143" s="1277"/>
      <c r="AF143" s="1277"/>
    </row>
    <row r="144" spans="2:32">
      <c r="F144" s="921"/>
      <c r="G144" s="1277"/>
      <c r="H144" s="921"/>
      <c r="I144" s="1277"/>
      <c r="J144" s="921"/>
      <c r="K144" s="1277"/>
      <c r="L144" s="1277"/>
      <c r="M144" s="919"/>
      <c r="N144" s="919"/>
      <c r="O144" s="919"/>
      <c r="P144" s="1277"/>
      <c r="Q144" s="1277"/>
      <c r="R144" s="1277"/>
      <c r="S144" s="1277"/>
      <c r="T144" s="1277"/>
      <c r="U144" s="1277"/>
      <c r="V144" s="1277"/>
      <c r="W144" s="1277"/>
      <c r="X144" s="1277"/>
      <c r="Y144" s="1277"/>
      <c r="Z144" s="1277"/>
      <c r="AA144" s="1277"/>
      <c r="AB144" s="1277"/>
      <c r="AC144" s="1277"/>
      <c r="AD144" s="1277"/>
      <c r="AE144" s="1277"/>
      <c r="AF144" s="1277"/>
    </row>
    <row r="145" spans="6:32">
      <c r="F145" s="921"/>
      <c r="G145" s="1277"/>
      <c r="H145" s="921"/>
      <c r="I145" s="1277"/>
      <c r="J145" s="921"/>
      <c r="K145" s="1277"/>
      <c r="L145" s="1277"/>
      <c r="M145" s="919"/>
      <c r="N145" s="919"/>
      <c r="O145" s="919"/>
      <c r="P145" s="1277"/>
      <c r="Q145" s="1277"/>
      <c r="R145" s="1277"/>
      <c r="S145" s="1277"/>
      <c r="T145" s="1277"/>
      <c r="U145" s="1277"/>
      <c r="V145" s="1277"/>
      <c r="W145" s="1277"/>
      <c r="X145" s="1277"/>
      <c r="Y145" s="1277"/>
      <c r="Z145" s="1277"/>
      <c r="AA145" s="1277"/>
      <c r="AB145" s="1277"/>
      <c r="AC145" s="1277"/>
      <c r="AD145" s="1277"/>
      <c r="AE145" s="1277"/>
      <c r="AF145" s="1277"/>
    </row>
    <row r="146" spans="6:32">
      <c r="F146" s="921"/>
      <c r="G146" s="1277"/>
      <c r="H146" s="921"/>
      <c r="I146" s="1277"/>
      <c r="J146" s="921"/>
      <c r="K146" s="1277"/>
      <c r="L146" s="1277"/>
      <c r="M146" s="919"/>
      <c r="N146" s="919"/>
      <c r="O146" s="919"/>
      <c r="P146" s="1277"/>
      <c r="Q146" s="1277"/>
      <c r="R146" s="1277"/>
      <c r="S146" s="1277"/>
      <c r="T146" s="1277"/>
      <c r="U146" s="1277"/>
      <c r="V146" s="1277"/>
      <c r="W146" s="1277"/>
      <c r="X146" s="1277"/>
      <c r="Y146" s="1277"/>
      <c r="Z146" s="1277"/>
      <c r="AA146" s="1277"/>
      <c r="AB146" s="1277"/>
      <c r="AC146" s="1277"/>
      <c r="AD146" s="1277"/>
      <c r="AE146" s="1277"/>
      <c r="AF146" s="1277"/>
    </row>
    <row r="147" spans="6:32">
      <c r="F147" s="921"/>
      <c r="G147" s="1277"/>
      <c r="H147" s="921"/>
      <c r="I147" s="1277"/>
      <c r="J147" s="921"/>
      <c r="K147" s="1277"/>
      <c r="L147" s="1277"/>
      <c r="M147" s="919"/>
      <c r="N147" s="919"/>
      <c r="O147" s="919"/>
      <c r="P147" s="1277"/>
      <c r="Q147" s="1277"/>
      <c r="R147" s="1277"/>
      <c r="S147" s="1277"/>
      <c r="T147" s="1277"/>
      <c r="U147" s="1277"/>
      <c r="V147" s="1277"/>
      <c r="W147" s="1277"/>
      <c r="X147" s="1277"/>
    </row>
    <row r="148" spans="6:32">
      <c r="F148" s="921"/>
      <c r="G148" s="1277"/>
      <c r="H148" s="921"/>
      <c r="I148" s="1277"/>
      <c r="J148" s="921"/>
      <c r="K148" s="1277"/>
      <c r="L148" s="1277"/>
      <c r="M148" s="919"/>
      <c r="N148" s="919"/>
      <c r="O148" s="919"/>
      <c r="P148" s="1277"/>
      <c r="Q148" s="1277"/>
      <c r="R148" s="1277"/>
      <c r="S148" s="1277"/>
      <c r="T148" s="1277"/>
      <c r="U148" s="1277"/>
      <c r="V148" s="1277"/>
      <c r="W148" s="1277"/>
      <c r="X148" s="1277"/>
    </row>
    <row r="149" spans="6:32">
      <c r="F149" s="921"/>
      <c r="G149" s="1277"/>
      <c r="H149" s="921"/>
      <c r="I149" s="1277"/>
      <c r="J149" s="921"/>
      <c r="K149" s="1277"/>
      <c r="L149" s="1277"/>
      <c r="M149" s="919"/>
      <c r="N149" s="919"/>
      <c r="O149" s="919"/>
      <c r="P149" s="1277"/>
      <c r="Q149" s="1277"/>
      <c r="R149" s="1277"/>
      <c r="S149" s="1277"/>
      <c r="T149" s="1277"/>
      <c r="U149" s="1277"/>
      <c r="V149" s="1277"/>
      <c r="W149" s="1277"/>
      <c r="X149" s="1277"/>
    </row>
    <row r="150" spans="6:32">
      <c r="F150" s="921"/>
      <c r="G150" s="1277"/>
      <c r="H150" s="921"/>
      <c r="I150" s="1277"/>
      <c r="J150" s="921"/>
      <c r="K150" s="1277"/>
      <c r="L150" s="1277"/>
      <c r="M150" s="919"/>
      <c r="N150" s="919"/>
      <c r="O150" s="919"/>
      <c r="P150" s="1277"/>
      <c r="Q150" s="1277"/>
      <c r="R150" s="1277"/>
      <c r="S150" s="1277"/>
      <c r="T150" s="1277"/>
      <c r="U150" s="1277"/>
      <c r="V150" s="1277"/>
      <c r="W150" s="1277"/>
      <c r="X150" s="1277"/>
    </row>
    <row r="151" spans="6:32">
      <c r="F151" s="921"/>
      <c r="G151" s="1277"/>
      <c r="H151" s="921"/>
      <c r="I151" s="1277"/>
      <c r="J151" s="921"/>
      <c r="K151" s="1277"/>
      <c r="L151" s="1277"/>
      <c r="M151" s="919"/>
      <c r="N151" s="919"/>
      <c r="O151" s="919"/>
      <c r="P151" s="1277"/>
      <c r="Q151" s="1277"/>
      <c r="R151" s="1277"/>
      <c r="S151" s="1277"/>
      <c r="T151" s="1277"/>
      <c r="U151" s="1277"/>
      <c r="V151" s="1277"/>
      <c r="W151" s="1277"/>
      <c r="X151" s="1277"/>
    </row>
    <row r="152" spans="6:32">
      <c r="F152" s="921"/>
      <c r="G152" s="1277"/>
      <c r="H152" s="921"/>
      <c r="I152" s="1277"/>
      <c r="J152" s="921"/>
      <c r="K152" s="1277"/>
      <c r="L152" s="1277"/>
      <c r="M152" s="919"/>
      <c r="N152" s="919"/>
      <c r="O152" s="919"/>
      <c r="P152" s="1277"/>
      <c r="Q152" s="1277"/>
      <c r="R152" s="1277"/>
      <c r="S152" s="1277"/>
      <c r="T152" s="1277"/>
      <c r="U152" s="1277"/>
      <c r="V152" s="1277"/>
      <c r="W152" s="1277"/>
      <c r="X152" s="1277"/>
    </row>
    <row r="153" spans="6:32">
      <c r="F153" s="921"/>
      <c r="G153" s="1277"/>
      <c r="H153" s="921"/>
      <c r="I153" s="1277"/>
      <c r="J153" s="921"/>
      <c r="K153" s="1277"/>
      <c r="L153" s="1277"/>
      <c r="M153" s="919"/>
      <c r="N153" s="919"/>
      <c r="O153" s="919"/>
      <c r="P153" s="1277"/>
      <c r="Q153" s="1277"/>
      <c r="R153" s="1277"/>
      <c r="S153" s="1277"/>
      <c r="T153" s="1277"/>
      <c r="U153" s="1277"/>
      <c r="V153" s="1277"/>
      <c r="W153" s="1277"/>
      <c r="X153" s="1277"/>
    </row>
    <row r="154" spans="6:32">
      <c r="F154" s="921"/>
      <c r="G154" s="1277"/>
      <c r="H154" s="921"/>
      <c r="I154" s="1277"/>
      <c r="J154" s="921"/>
      <c r="K154" s="1277"/>
      <c r="L154" s="1277"/>
      <c r="M154" s="919"/>
      <c r="N154" s="919"/>
      <c r="O154" s="919"/>
      <c r="P154" s="1277"/>
      <c r="Q154" s="1277"/>
      <c r="R154" s="1277"/>
      <c r="S154" s="1277"/>
      <c r="T154" s="1277"/>
      <c r="U154" s="1277"/>
      <c r="V154" s="1277"/>
      <c r="W154" s="1277"/>
      <c r="X154" s="1277"/>
    </row>
    <row r="155" spans="6:32">
      <c r="F155" s="921"/>
      <c r="G155" s="1277"/>
      <c r="H155" s="921"/>
      <c r="I155" s="1277"/>
      <c r="J155" s="921"/>
      <c r="K155" s="1277"/>
      <c r="L155" s="1277"/>
      <c r="M155" s="919"/>
      <c r="N155" s="919"/>
      <c r="O155" s="919"/>
      <c r="P155" s="1277"/>
      <c r="Q155" s="1277"/>
      <c r="R155" s="1277"/>
      <c r="S155" s="1277"/>
      <c r="T155" s="1277"/>
      <c r="U155" s="1277"/>
      <c r="V155" s="1277"/>
      <c r="W155" s="1277"/>
      <c r="X155" s="1277"/>
    </row>
    <row r="156" spans="6:32">
      <c r="F156" s="921"/>
      <c r="G156" s="1277"/>
      <c r="H156" s="921"/>
      <c r="I156" s="1277"/>
      <c r="J156" s="921"/>
      <c r="K156" s="1277"/>
      <c r="L156" s="1277"/>
      <c r="M156" s="919"/>
      <c r="N156" s="919"/>
      <c r="O156" s="919"/>
      <c r="P156" s="1277"/>
      <c r="Q156" s="1277"/>
      <c r="R156" s="1277"/>
      <c r="S156" s="1277"/>
      <c r="T156" s="1277"/>
      <c r="U156" s="1277"/>
      <c r="V156" s="1277"/>
      <c r="W156" s="1277"/>
      <c r="X156" s="1277"/>
    </row>
    <row r="157" spans="6:32">
      <c r="F157" s="921"/>
      <c r="G157" s="1277"/>
      <c r="H157" s="921"/>
      <c r="I157" s="1277"/>
      <c r="J157" s="921"/>
      <c r="K157" s="1277"/>
      <c r="L157" s="1277"/>
      <c r="M157" s="919"/>
      <c r="N157" s="919"/>
      <c r="O157" s="919"/>
      <c r="P157" s="1277"/>
      <c r="Q157" s="1277"/>
      <c r="R157" s="1277"/>
      <c r="S157" s="1277"/>
      <c r="T157" s="1277"/>
      <c r="U157" s="1277"/>
      <c r="V157" s="1277"/>
      <c r="W157" s="1277"/>
      <c r="X157" s="1277"/>
    </row>
    <row r="158" spans="6:32">
      <c r="F158" s="921"/>
      <c r="G158" s="1277"/>
      <c r="H158" s="921"/>
      <c r="I158" s="1277"/>
      <c r="J158" s="921"/>
      <c r="K158" s="1277"/>
      <c r="L158" s="1277"/>
      <c r="M158" s="919"/>
      <c r="N158" s="919"/>
      <c r="O158" s="919"/>
      <c r="P158" s="1277"/>
      <c r="Q158" s="1277"/>
      <c r="R158" s="1277"/>
      <c r="S158" s="1277"/>
      <c r="T158" s="1277"/>
      <c r="U158" s="1277"/>
      <c r="V158" s="1277"/>
      <c r="W158" s="1277"/>
      <c r="X158" s="1277"/>
    </row>
    <row r="159" spans="6:32">
      <c r="F159" s="921"/>
      <c r="G159" s="1277"/>
      <c r="H159" s="921"/>
      <c r="I159" s="1277"/>
      <c r="J159" s="921"/>
      <c r="K159" s="1277"/>
      <c r="L159" s="1277"/>
      <c r="M159" s="919"/>
      <c r="N159" s="919"/>
      <c r="O159" s="919"/>
      <c r="P159" s="1277"/>
      <c r="Q159" s="1277"/>
      <c r="R159" s="1277"/>
      <c r="S159" s="1277"/>
      <c r="T159" s="1277"/>
      <c r="U159" s="1277"/>
      <c r="V159" s="1277"/>
      <c r="W159" s="1277"/>
      <c r="X159" s="1277"/>
    </row>
    <row r="160" spans="6:32">
      <c r="F160" s="921"/>
      <c r="G160" s="1277"/>
      <c r="H160" s="921"/>
      <c r="I160" s="1277"/>
      <c r="J160" s="921"/>
      <c r="K160" s="1277"/>
      <c r="L160" s="1277"/>
      <c r="M160" s="919"/>
      <c r="N160" s="919"/>
      <c r="O160" s="919"/>
      <c r="P160" s="1277"/>
      <c r="Q160" s="1277"/>
      <c r="R160" s="1277"/>
      <c r="S160" s="1277"/>
      <c r="T160" s="1277"/>
      <c r="U160" s="1277"/>
      <c r="V160" s="1277"/>
      <c r="W160" s="1277"/>
      <c r="X160" s="1277"/>
    </row>
    <row r="161" spans="6:24">
      <c r="F161" s="921"/>
      <c r="G161" s="1277"/>
      <c r="H161" s="921"/>
      <c r="I161" s="1277"/>
      <c r="J161" s="921"/>
      <c r="K161" s="1277"/>
      <c r="L161" s="1277"/>
      <c r="M161" s="919"/>
      <c r="N161" s="919"/>
      <c r="O161" s="919"/>
      <c r="P161" s="1277"/>
      <c r="Q161" s="1277"/>
      <c r="R161" s="1277"/>
      <c r="S161" s="1277"/>
      <c r="T161" s="1277"/>
      <c r="U161" s="1277"/>
      <c r="V161" s="1277"/>
      <c r="W161" s="1277"/>
      <c r="X161" s="1277"/>
    </row>
    <row r="162" spans="6:24">
      <c r="F162" s="921"/>
      <c r="G162" s="1277"/>
      <c r="H162" s="921"/>
      <c r="I162" s="1277"/>
      <c r="J162" s="921"/>
      <c r="K162" s="1277"/>
      <c r="L162" s="1277"/>
      <c r="M162" s="919"/>
      <c r="N162" s="919"/>
      <c r="O162" s="919"/>
      <c r="P162" s="1277"/>
      <c r="Q162" s="1277"/>
      <c r="R162" s="1277"/>
      <c r="S162" s="1277"/>
      <c r="T162" s="1277"/>
      <c r="U162" s="1277"/>
      <c r="V162" s="1277"/>
      <c r="W162" s="1277"/>
      <c r="X162" s="1277"/>
    </row>
    <row r="163" spans="6:24">
      <c r="F163" s="921"/>
      <c r="G163" s="1277"/>
      <c r="H163" s="921"/>
      <c r="I163" s="1277"/>
      <c r="J163" s="921"/>
      <c r="K163" s="1277"/>
      <c r="L163" s="1277"/>
      <c r="M163" s="919"/>
      <c r="N163" s="919"/>
      <c r="O163" s="919"/>
      <c r="P163" s="1277"/>
      <c r="Q163" s="1277"/>
      <c r="R163" s="1277"/>
      <c r="S163" s="1277"/>
      <c r="T163" s="1277"/>
      <c r="U163" s="1277"/>
      <c r="V163" s="1277"/>
      <c r="W163" s="1277"/>
      <c r="X163" s="1277"/>
    </row>
    <row r="164" spans="6:24">
      <c r="F164" s="921"/>
      <c r="G164" s="1277"/>
      <c r="H164" s="921"/>
      <c r="I164" s="1277"/>
      <c r="J164" s="921"/>
      <c r="K164" s="1277"/>
      <c r="L164" s="1277"/>
      <c r="M164" s="919"/>
      <c r="N164" s="919"/>
      <c r="O164" s="919"/>
      <c r="P164" s="1277"/>
      <c r="Q164" s="1277"/>
      <c r="R164" s="1277"/>
      <c r="S164" s="1277"/>
      <c r="T164" s="1277"/>
      <c r="U164" s="1277"/>
      <c r="V164" s="1277"/>
      <c r="W164" s="1277"/>
      <c r="X164" s="1277"/>
    </row>
    <row r="165" spans="6:24">
      <c r="F165" s="921"/>
      <c r="G165" s="1277"/>
      <c r="H165" s="921"/>
      <c r="I165" s="1277"/>
      <c r="J165" s="921"/>
      <c r="K165" s="1277"/>
      <c r="L165" s="1277"/>
      <c r="M165" s="919"/>
      <c r="N165" s="919"/>
      <c r="O165" s="919"/>
      <c r="P165" s="1277"/>
      <c r="Q165" s="1277"/>
      <c r="R165" s="1277"/>
      <c r="S165" s="1277"/>
      <c r="T165" s="1277"/>
      <c r="U165" s="1277"/>
      <c r="V165" s="1277"/>
      <c r="W165" s="1277"/>
      <c r="X165" s="1277"/>
    </row>
    <row r="166" spans="6:24">
      <c r="F166" s="921"/>
      <c r="G166" s="1277"/>
      <c r="H166" s="921"/>
      <c r="I166" s="1277"/>
      <c r="J166" s="921"/>
      <c r="K166" s="1277"/>
      <c r="L166" s="1277"/>
      <c r="M166" s="919"/>
      <c r="N166" s="919"/>
      <c r="O166" s="919"/>
      <c r="P166" s="1277"/>
      <c r="Q166" s="1277"/>
      <c r="R166" s="1277"/>
      <c r="S166" s="1277"/>
      <c r="T166" s="1277"/>
      <c r="U166" s="1277"/>
      <c r="V166" s="1277"/>
      <c r="W166" s="1277"/>
      <c r="X166" s="1277"/>
    </row>
    <row r="167" spans="6:24">
      <c r="F167" s="921"/>
      <c r="G167" s="1277"/>
      <c r="H167" s="921"/>
      <c r="I167" s="1277"/>
      <c r="J167" s="921"/>
      <c r="K167" s="1277"/>
      <c r="L167" s="1277"/>
      <c r="M167" s="919"/>
      <c r="N167" s="919"/>
      <c r="O167" s="919"/>
      <c r="P167" s="1277"/>
      <c r="Q167" s="1277"/>
      <c r="R167" s="1277"/>
      <c r="S167" s="1277"/>
      <c r="T167" s="1277"/>
      <c r="U167" s="1277"/>
      <c r="V167" s="1277"/>
      <c r="W167" s="1277"/>
      <c r="X167" s="1277"/>
    </row>
    <row r="168" spans="6:24">
      <c r="F168" s="921"/>
      <c r="G168" s="1277"/>
      <c r="H168" s="921"/>
      <c r="I168" s="1277"/>
      <c r="J168" s="921"/>
      <c r="K168" s="1277"/>
      <c r="L168" s="1277"/>
      <c r="M168" s="919"/>
      <c r="N168" s="919"/>
      <c r="O168" s="919"/>
      <c r="P168" s="1277"/>
      <c r="Q168" s="1277"/>
      <c r="R168" s="1277"/>
      <c r="S168" s="1277"/>
      <c r="T168" s="1277"/>
      <c r="U168" s="1277"/>
      <c r="V168" s="1277"/>
      <c r="W168" s="1277"/>
      <c r="X168" s="1277"/>
    </row>
    <row r="169" spans="6:24">
      <c r="F169" s="921"/>
      <c r="G169" s="1277"/>
      <c r="H169" s="921"/>
      <c r="I169" s="1277"/>
      <c r="J169" s="921"/>
      <c r="K169" s="1277"/>
      <c r="L169" s="1277"/>
      <c r="M169" s="919"/>
      <c r="N169" s="919"/>
      <c r="O169" s="919"/>
      <c r="P169" s="1277"/>
      <c r="Q169" s="1277"/>
      <c r="R169" s="1277"/>
      <c r="S169" s="1277"/>
      <c r="T169" s="1277"/>
      <c r="U169" s="1277"/>
      <c r="V169" s="1277"/>
      <c r="W169" s="1277"/>
      <c r="X169" s="1277"/>
    </row>
    <row r="170" spans="6:24">
      <c r="F170" s="921"/>
      <c r="G170" s="1277"/>
      <c r="H170" s="921"/>
      <c r="I170" s="1277"/>
      <c r="J170" s="921"/>
      <c r="K170" s="1277"/>
      <c r="L170" s="1277"/>
      <c r="M170" s="919"/>
      <c r="N170" s="919"/>
      <c r="O170" s="919"/>
      <c r="P170" s="1277"/>
      <c r="Q170" s="1277"/>
      <c r="R170" s="1277"/>
      <c r="S170" s="1277"/>
      <c r="T170" s="1277"/>
      <c r="U170" s="1277"/>
      <c r="V170" s="1277"/>
      <c r="W170" s="1277"/>
      <c r="X170" s="1277"/>
    </row>
    <row r="171" spans="6:24">
      <c r="F171" s="921"/>
      <c r="G171" s="1277"/>
      <c r="H171" s="921"/>
      <c r="I171" s="1277"/>
      <c r="J171" s="921"/>
      <c r="K171" s="1277"/>
      <c r="L171" s="1277"/>
      <c r="M171" s="919"/>
      <c r="N171" s="919"/>
      <c r="O171" s="919"/>
      <c r="P171" s="1277"/>
      <c r="Q171" s="1277"/>
      <c r="R171" s="1277"/>
      <c r="S171" s="1277"/>
      <c r="T171" s="1277"/>
      <c r="U171" s="1277"/>
      <c r="V171" s="1277"/>
      <c r="W171" s="1277"/>
      <c r="X171" s="1277"/>
    </row>
    <row r="172" spans="6:24">
      <c r="F172" s="921"/>
      <c r="G172" s="1277"/>
      <c r="H172" s="921"/>
      <c r="I172" s="1277"/>
      <c r="J172" s="921"/>
      <c r="K172" s="1277"/>
      <c r="L172" s="1277"/>
      <c r="M172" s="919"/>
      <c r="N172" s="919"/>
      <c r="O172" s="919"/>
      <c r="P172" s="1277"/>
      <c r="Q172" s="1277"/>
      <c r="R172" s="1277"/>
      <c r="S172" s="1277"/>
      <c r="T172" s="1277"/>
      <c r="U172" s="1277"/>
      <c r="V172" s="1277"/>
      <c r="W172" s="1277"/>
      <c r="X172" s="1277"/>
    </row>
    <row r="173" spans="6:24">
      <c r="F173" s="921"/>
      <c r="G173" s="1277"/>
      <c r="H173" s="921"/>
      <c r="I173" s="1277"/>
      <c r="J173" s="921"/>
      <c r="K173" s="1277"/>
      <c r="L173" s="1277"/>
      <c r="M173" s="919"/>
      <c r="N173" s="919"/>
      <c r="O173" s="919"/>
      <c r="P173" s="1277"/>
      <c r="Q173" s="1277"/>
      <c r="R173" s="1277"/>
      <c r="S173" s="1277"/>
      <c r="T173" s="1277"/>
      <c r="U173" s="1277"/>
      <c r="V173" s="1277"/>
      <c r="W173" s="1277"/>
      <c r="X173" s="1277"/>
    </row>
    <row r="174" spans="6:24">
      <c r="F174" s="921"/>
      <c r="G174" s="1277"/>
      <c r="H174" s="921"/>
      <c r="I174" s="1277"/>
      <c r="J174" s="921"/>
      <c r="K174" s="1277"/>
      <c r="L174" s="1277"/>
      <c r="M174" s="919"/>
      <c r="N174" s="919"/>
      <c r="O174" s="919"/>
      <c r="P174" s="1277"/>
      <c r="Q174" s="1277"/>
      <c r="R174" s="1277"/>
      <c r="S174" s="1277"/>
      <c r="T174" s="1277"/>
      <c r="U174" s="1277"/>
      <c r="V174" s="1277"/>
      <c r="W174" s="1277"/>
      <c r="X174" s="1277"/>
    </row>
    <row r="175" spans="6:24">
      <c r="F175" s="921"/>
      <c r="G175" s="1277"/>
      <c r="H175" s="921"/>
      <c r="I175" s="1277"/>
      <c r="J175" s="921"/>
      <c r="K175" s="1277"/>
      <c r="L175" s="1277"/>
      <c r="M175" s="919"/>
      <c r="N175" s="919"/>
      <c r="O175" s="919"/>
      <c r="P175" s="1277"/>
      <c r="Q175" s="1277"/>
      <c r="R175" s="1277"/>
      <c r="S175" s="1277"/>
      <c r="T175" s="1277"/>
      <c r="U175" s="1277"/>
      <c r="V175" s="1277"/>
      <c r="W175" s="1277"/>
      <c r="X175" s="1277"/>
    </row>
    <row r="176" spans="6:24">
      <c r="F176" s="921"/>
      <c r="G176" s="1277"/>
      <c r="H176" s="921"/>
      <c r="I176" s="1277"/>
      <c r="J176" s="921"/>
      <c r="K176" s="1277"/>
      <c r="L176" s="1277"/>
      <c r="M176" s="919"/>
      <c r="N176" s="919"/>
      <c r="O176" s="919"/>
      <c r="P176" s="1277"/>
      <c r="Q176" s="1277"/>
      <c r="R176" s="1277"/>
      <c r="S176" s="1277"/>
      <c r="T176" s="1277"/>
      <c r="U176" s="1277"/>
      <c r="V176" s="1277"/>
      <c r="W176" s="1277"/>
      <c r="X176" s="1277"/>
    </row>
    <row r="177" spans="6:24">
      <c r="F177" s="921"/>
      <c r="G177" s="1277"/>
      <c r="H177" s="921"/>
      <c r="I177" s="1277"/>
      <c r="J177" s="921"/>
      <c r="K177" s="1277"/>
      <c r="L177" s="1277"/>
      <c r="M177" s="919"/>
      <c r="N177" s="919"/>
      <c r="O177" s="919"/>
      <c r="P177" s="1277"/>
      <c r="Q177" s="1277"/>
      <c r="R177" s="1277"/>
      <c r="S177" s="1277"/>
      <c r="T177" s="1277"/>
      <c r="U177" s="1277"/>
      <c r="V177" s="1277"/>
      <c r="W177" s="1277"/>
      <c r="X177" s="1277"/>
    </row>
    <row r="178" spans="6:24">
      <c r="F178" s="921"/>
      <c r="G178" s="1277"/>
      <c r="H178" s="921"/>
      <c r="I178" s="1277"/>
      <c r="J178" s="921"/>
      <c r="K178" s="1277"/>
      <c r="L178" s="1277"/>
      <c r="M178" s="919"/>
      <c r="N178" s="919"/>
      <c r="O178" s="919"/>
      <c r="P178" s="1277"/>
      <c r="Q178" s="1277"/>
      <c r="R178" s="1277"/>
      <c r="S178" s="1277"/>
      <c r="T178" s="1277"/>
      <c r="U178" s="1277"/>
      <c r="V178" s="1277"/>
      <c r="W178" s="1277"/>
      <c r="X178" s="1277"/>
    </row>
    <row r="179" spans="6:24">
      <c r="F179" s="921"/>
      <c r="G179" s="1277"/>
      <c r="H179" s="921"/>
      <c r="I179" s="1277"/>
      <c r="J179" s="921"/>
      <c r="K179" s="1277"/>
      <c r="L179" s="1277"/>
      <c r="M179" s="919"/>
      <c r="N179" s="919"/>
      <c r="O179" s="919"/>
      <c r="P179" s="1277"/>
      <c r="Q179" s="1277"/>
      <c r="R179" s="1277"/>
      <c r="S179" s="1277"/>
      <c r="T179" s="1277"/>
      <c r="U179" s="1277"/>
      <c r="V179" s="1277"/>
      <c r="W179" s="1277"/>
      <c r="X179" s="1277"/>
    </row>
    <row r="180" spans="6:24">
      <c r="F180" s="921"/>
      <c r="G180" s="1277"/>
      <c r="H180" s="921"/>
      <c r="I180" s="1277"/>
      <c r="J180" s="921"/>
      <c r="K180" s="1277"/>
      <c r="L180" s="1277"/>
      <c r="M180" s="919"/>
      <c r="N180" s="919"/>
      <c r="O180" s="919"/>
      <c r="P180" s="1277"/>
      <c r="Q180" s="1277"/>
      <c r="R180" s="1277"/>
      <c r="S180" s="1277"/>
      <c r="T180" s="1277"/>
      <c r="U180" s="1277"/>
      <c r="V180" s="1277"/>
      <c r="W180" s="1277"/>
      <c r="X180" s="1277"/>
    </row>
    <row r="181" spans="6:24">
      <c r="F181" s="921"/>
      <c r="G181" s="1277"/>
      <c r="H181" s="921"/>
      <c r="I181" s="1277"/>
      <c r="J181" s="921"/>
      <c r="K181" s="1277"/>
      <c r="L181" s="1277"/>
      <c r="M181" s="919"/>
      <c r="N181" s="919"/>
      <c r="O181" s="919"/>
      <c r="P181" s="1277"/>
      <c r="Q181" s="1277"/>
      <c r="R181" s="1277"/>
      <c r="S181" s="1277"/>
      <c r="T181" s="1277"/>
      <c r="U181" s="1277"/>
      <c r="V181" s="1277"/>
      <c r="W181" s="1277"/>
      <c r="X181" s="1277"/>
    </row>
    <row r="182" spans="6:24">
      <c r="F182" s="921"/>
      <c r="G182" s="1277"/>
      <c r="H182" s="921"/>
      <c r="I182" s="1277"/>
      <c r="J182" s="921"/>
      <c r="K182" s="1277"/>
      <c r="L182" s="1277"/>
      <c r="M182" s="919"/>
      <c r="N182" s="919"/>
      <c r="O182" s="919"/>
      <c r="P182" s="1277"/>
      <c r="Q182" s="1277"/>
      <c r="R182" s="1277"/>
      <c r="S182" s="1277"/>
      <c r="T182" s="1277"/>
      <c r="U182" s="1277"/>
      <c r="V182" s="1277"/>
      <c r="W182" s="1277"/>
      <c r="X182" s="1277"/>
    </row>
    <row r="183" spans="6:24">
      <c r="F183" s="921"/>
      <c r="G183" s="1277"/>
      <c r="H183" s="921"/>
      <c r="I183" s="1277"/>
      <c r="J183" s="921"/>
      <c r="K183" s="1277"/>
      <c r="L183" s="1277"/>
      <c r="M183" s="919"/>
      <c r="N183" s="919"/>
      <c r="O183" s="919"/>
      <c r="P183" s="1277"/>
      <c r="Q183" s="1277"/>
      <c r="R183" s="1277"/>
      <c r="S183" s="1277"/>
      <c r="T183" s="1277"/>
      <c r="U183" s="1277"/>
      <c r="V183" s="1277"/>
      <c r="W183" s="1277"/>
      <c r="X183" s="1277"/>
    </row>
    <row r="184" spans="6:24">
      <c r="F184" s="921"/>
      <c r="G184" s="1277"/>
      <c r="H184" s="921"/>
      <c r="I184" s="1277"/>
      <c r="J184" s="921"/>
      <c r="K184" s="1277"/>
      <c r="L184" s="1277"/>
      <c r="M184" s="919"/>
      <c r="N184" s="919"/>
      <c r="O184" s="919"/>
      <c r="P184" s="1277"/>
      <c r="Q184" s="1277"/>
      <c r="R184" s="1277"/>
      <c r="S184" s="1277"/>
      <c r="T184" s="1277"/>
      <c r="U184" s="1277"/>
      <c r="V184" s="1277"/>
      <c r="W184" s="1277"/>
      <c r="X184" s="1277"/>
    </row>
    <row r="185" spans="6:24">
      <c r="F185" s="921"/>
      <c r="G185" s="1277"/>
      <c r="H185" s="921"/>
      <c r="I185" s="1277"/>
      <c r="J185" s="921"/>
      <c r="K185" s="1277"/>
      <c r="L185" s="1277"/>
      <c r="M185" s="919"/>
      <c r="N185" s="919"/>
      <c r="O185" s="919"/>
      <c r="P185" s="1277"/>
      <c r="Q185" s="1277"/>
      <c r="R185" s="1277"/>
      <c r="S185" s="1277"/>
      <c r="T185" s="1277"/>
      <c r="U185" s="1277"/>
      <c r="V185" s="1277"/>
      <c r="W185" s="1277"/>
      <c r="X185" s="1277"/>
    </row>
    <row r="186" spans="6:24">
      <c r="F186" s="921"/>
      <c r="G186" s="1277"/>
      <c r="H186" s="921"/>
      <c r="I186" s="1277"/>
      <c r="J186" s="921"/>
      <c r="K186" s="1277"/>
      <c r="L186" s="1277"/>
      <c r="M186" s="919"/>
      <c r="N186" s="919"/>
      <c r="O186" s="919"/>
      <c r="P186" s="1277"/>
      <c r="Q186" s="1277"/>
      <c r="R186" s="1277"/>
      <c r="S186" s="1277"/>
      <c r="T186" s="1277"/>
      <c r="U186" s="1277"/>
      <c r="V186" s="1277"/>
      <c r="W186" s="1277"/>
      <c r="X186" s="1277"/>
    </row>
    <row r="187" spans="6:24">
      <c r="F187" s="921"/>
      <c r="G187" s="1277"/>
      <c r="H187" s="921"/>
      <c r="I187" s="1277"/>
      <c r="J187" s="921"/>
      <c r="K187" s="1277"/>
      <c r="L187" s="1277"/>
      <c r="M187" s="919"/>
      <c r="N187" s="919"/>
      <c r="O187" s="919"/>
      <c r="P187" s="1277"/>
      <c r="Q187" s="1277"/>
      <c r="R187" s="1277"/>
      <c r="S187" s="1277"/>
      <c r="T187" s="1277"/>
      <c r="U187" s="1277"/>
      <c r="V187" s="1277"/>
      <c r="W187" s="1277"/>
      <c r="X187" s="1277"/>
    </row>
    <row r="188" spans="6:24">
      <c r="F188" s="921"/>
      <c r="G188" s="1277"/>
      <c r="H188" s="921"/>
      <c r="I188" s="1277"/>
      <c r="J188" s="921"/>
      <c r="K188" s="1277"/>
      <c r="L188" s="1277"/>
      <c r="M188" s="919"/>
      <c r="N188" s="919"/>
      <c r="O188" s="919"/>
      <c r="P188" s="1277"/>
      <c r="Q188" s="1277"/>
      <c r="R188" s="1277"/>
      <c r="S188" s="1277"/>
      <c r="T188" s="1277"/>
      <c r="U188" s="1277"/>
      <c r="V188" s="1277"/>
      <c r="W188" s="1277"/>
      <c r="X188" s="1277"/>
    </row>
    <row r="189" spans="6:24">
      <c r="F189" s="921"/>
      <c r="G189" s="1277"/>
      <c r="H189" s="921"/>
      <c r="I189" s="1277"/>
      <c r="J189" s="921"/>
      <c r="K189" s="1277"/>
      <c r="L189" s="1277"/>
      <c r="M189" s="919"/>
      <c r="N189" s="919"/>
      <c r="O189" s="919"/>
      <c r="P189" s="1277"/>
      <c r="Q189" s="1277"/>
      <c r="R189" s="1277"/>
      <c r="S189" s="1277"/>
      <c r="T189" s="1277"/>
      <c r="U189" s="1277"/>
      <c r="V189" s="1277"/>
      <c r="W189" s="1277"/>
      <c r="X189" s="1277"/>
    </row>
    <row r="190" spans="6:24">
      <c r="F190" s="921"/>
      <c r="G190" s="1277"/>
      <c r="H190" s="921"/>
      <c r="I190" s="1277"/>
      <c r="J190" s="921"/>
      <c r="K190" s="1277"/>
      <c r="L190" s="1277"/>
      <c r="M190" s="919"/>
      <c r="N190" s="919"/>
      <c r="O190" s="919"/>
      <c r="P190" s="1277"/>
      <c r="Q190" s="1277"/>
      <c r="R190" s="1277"/>
      <c r="S190" s="1277"/>
      <c r="T190" s="1277"/>
      <c r="U190" s="1277"/>
      <c r="V190" s="1277"/>
      <c r="W190" s="1277"/>
      <c r="X190" s="1277"/>
    </row>
    <row r="191" spans="6:24">
      <c r="F191" s="921"/>
      <c r="G191" s="1277"/>
      <c r="H191" s="921"/>
      <c r="I191" s="1277"/>
      <c r="J191" s="921"/>
      <c r="K191" s="1277"/>
      <c r="L191" s="1277"/>
      <c r="M191" s="919"/>
      <c r="N191" s="919"/>
      <c r="O191" s="919"/>
      <c r="P191" s="1277"/>
      <c r="Q191" s="1277"/>
      <c r="R191" s="1277"/>
      <c r="S191" s="1277"/>
      <c r="T191" s="1277"/>
      <c r="U191" s="1277"/>
      <c r="V191" s="1277"/>
      <c r="W191" s="1277"/>
      <c r="X191" s="1277"/>
    </row>
    <row r="192" spans="6:24">
      <c r="F192" s="921"/>
      <c r="G192" s="1277"/>
      <c r="H192" s="921"/>
      <c r="I192" s="1277"/>
      <c r="J192" s="921"/>
      <c r="K192" s="1277"/>
      <c r="L192" s="1277"/>
      <c r="M192" s="919"/>
      <c r="N192" s="919"/>
      <c r="O192" s="919"/>
      <c r="P192" s="1277"/>
      <c r="Q192" s="1277"/>
      <c r="R192" s="1277"/>
      <c r="S192" s="1277"/>
      <c r="T192" s="1277"/>
      <c r="U192" s="1277"/>
      <c r="V192" s="1277"/>
      <c r="W192" s="1277"/>
      <c r="X192" s="1277"/>
    </row>
    <row r="193" spans="6:24">
      <c r="F193" s="921"/>
      <c r="G193" s="1277"/>
      <c r="H193" s="921"/>
      <c r="I193" s="1277"/>
      <c r="J193" s="921"/>
      <c r="K193" s="1277"/>
      <c r="L193" s="1277"/>
      <c r="M193" s="919"/>
      <c r="N193" s="919"/>
      <c r="O193" s="919"/>
      <c r="P193" s="1277"/>
      <c r="Q193" s="1277"/>
      <c r="R193" s="1277"/>
      <c r="S193" s="1277"/>
      <c r="T193" s="1277"/>
      <c r="U193" s="1277"/>
      <c r="V193" s="1277"/>
      <c r="W193" s="1277"/>
      <c r="X193" s="1277"/>
    </row>
    <row r="194" spans="6:24">
      <c r="F194" s="921"/>
      <c r="G194" s="1277"/>
      <c r="H194" s="921"/>
      <c r="I194" s="1277"/>
      <c r="J194" s="921"/>
      <c r="K194" s="1277"/>
      <c r="L194" s="1277"/>
      <c r="M194" s="919"/>
      <c r="N194" s="919"/>
      <c r="O194" s="919"/>
      <c r="P194" s="1277"/>
      <c r="Q194" s="1277"/>
      <c r="R194" s="1277"/>
      <c r="S194" s="1277"/>
      <c r="T194" s="1277"/>
      <c r="U194" s="1277"/>
      <c r="V194" s="1277"/>
      <c r="W194" s="1277"/>
      <c r="X194" s="1277"/>
    </row>
    <row r="195" spans="6:24">
      <c r="F195" s="921"/>
      <c r="G195" s="1277"/>
      <c r="H195" s="921"/>
      <c r="I195" s="1277"/>
      <c r="J195" s="921"/>
      <c r="K195" s="1277"/>
      <c r="L195" s="1277"/>
      <c r="M195" s="919"/>
      <c r="N195" s="919"/>
      <c r="O195" s="919"/>
      <c r="P195" s="1277"/>
      <c r="Q195" s="1277"/>
      <c r="R195" s="1277"/>
      <c r="S195" s="1277"/>
      <c r="T195" s="1277"/>
      <c r="U195" s="1277"/>
      <c r="V195" s="1277"/>
      <c r="W195" s="1277"/>
      <c r="X195" s="1277"/>
    </row>
    <row r="196" spans="6:24">
      <c r="F196" s="921"/>
      <c r="G196" s="1277"/>
      <c r="H196" s="921"/>
      <c r="I196" s="1277"/>
      <c r="J196" s="921"/>
      <c r="K196" s="1277"/>
      <c r="L196" s="1277"/>
      <c r="M196" s="919"/>
      <c r="N196" s="919"/>
      <c r="O196" s="919"/>
      <c r="P196" s="1277"/>
      <c r="Q196" s="1277"/>
      <c r="R196" s="1277"/>
      <c r="S196" s="1277"/>
      <c r="T196" s="1277"/>
      <c r="U196" s="1277"/>
      <c r="V196" s="1277"/>
      <c r="W196" s="1277"/>
      <c r="X196" s="1277"/>
    </row>
    <row r="197" spans="6:24">
      <c r="F197" s="921"/>
      <c r="G197" s="1277"/>
      <c r="H197" s="921"/>
      <c r="I197" s="1277"/>
      <c r="J197" s="921"/>
      <c r="K197" s="1277"/>
      <c r="L197" s="1277"/>
      <c r="M197" s="919"/>
      <c r="N197" s="919"/>
      <c r="O197" s="919"/>
      <c r="P197" s="1277"/>
      <c r="Q197" s="1277"/>
      <c r="R197" s="1277"/>
      <c r="S197" s="1277"/>
      <c r="T197" s="1277"/>
      <c r="U197" s="1277"/>
      <c r="V197" s="1277"/>
      <c r="W197" s="1277"/>
      <c r="X197" s="1277"/>
    </row>
    <row r="198" spans="6:24">
      <c r="F198" s="921"/>
      <c r="G198" s="1277"/>
      <c r="H198" s="921"/>
      <c r="I198" s="1277"/>
      <c r="J198" s="921"/>
      <c r="K198" s="1277"/>
      <c r="L198" s="1277"/>
      <c r="M198" s="919"/>
      <c r="N198" s="919"/>
      <c r="O198" s="919"/>
      <c r="P198" s="1277"/>
      <c r="Q198" s="1277"/>
      <c r="R198" s="1277"/>
      <c r="S198" s="1277"/>
      <c r="T198" s="1277"/>
      <c r="U198" s="1277"/>
      <c r="V198" s="1277"/>
      <c r="W198" s="1277"/>
      <c r="X198" s="1277"/>
    </row>
    <row r="199" spans="6:24">
      <c r="F199" s="921"/>
      <c r="G199" s="1277"/>
      <c r="H199" s="921"/>
      <c r="I199" s="1277"/>
      <c r="J199" s="921"/>
      <c r="K199" s="1277"/>
      <c r="L199" s="1277"/>
      <c r="M199" s="919"/>
      <c r="N199" s="919"/>
      <c r="O199" s="919"/>
      <c r="P199" s="1277"/>
      <c r="Q199" s="1277"/>
      <c r="R199" s="1277"/>
      <c r="S199" s="1277"/>
      <c r="T199" s="1277"/>
      <c r="U199" s="1277"/>
      <c r="V199" s="1277"/>
      <c r="W199" s="1277"/>
      <c r="X199" s="1277"/>
    </row>
    <row r="200" spans="6:24">
      <c r="F200" s="921"/>
      <c r="G200" s="1277"/>
      <c r="H200" s="921"/>
      <c r="I200" s="1277"/>
      <c r="J200" s="921"/>
      <c r="K200" s="1277"/>
      <c r="L200" s="1277"/>
      <c r="M200" s="919"/>
      <c r="N200" s="919"/>
      <c r="O200" s="919"/>
      <c r="P200" s="1277"/>
      <c r="Q200" s="1277"/>
      <c r="R200" s="1277"/>
      <c r="S200" s="1277"/>
      <c r="T200" s="1277"/>
      <c r="U200" s="1277"/>
      <c r="V200" s="1277"/>
      <c r="W200" s="1277"/>
      <c r="X200" s="1277"/>
    </row>
    <row r="201" spans="6:24">
      <c r="F201" s="921"/>
      <c r="G201" s="1277"/>
      <c r="H201" s="921"/>
      <c r="I201" s="1277"/>
      <c r="J201" s="921"/>
      <c r="K201" s="1277"/>
      <c r="L201" s="1277"/>
      <c r="M201" s="919"/>
      <c r="N201" s="919"/>
      <c r="O201" s="919"/>
      <c r="P201" s="1277"/>
      <c r="Q201" s="1277"/>
      <c r="R201" s="1277"/>
      <c r="S201" s="1277"/>
      <c r="T201" s="1277"/>
      <c r="U201" s="1277"/>
      <c r="V201" s="1277"/>
      <c r="W201" s="1277"/>
      <c r="X201" s="1277"/>
    </row>
    <row r="202" spans="6:24">
      <c r="F202" s="921"/>
      <c r="G202" s="1277"/>
      <c r="H202" s="921"/>
      <c r="I202" s="1277"/>
      <c r="J202" s="921"/>
      <c r="K202" s="1277"/>
      <c r="L202" s="1277"/>
      <c r="M202" s="919"/>
      <c r="N202" s="919"/>
      <c r="O202" s="919"/>
      <c r="P202" s="1277"/>
      <c r="Q202" s="1277"/>
      <c r="R202" s="1277"/>
      <c r="S202" s="1277"/>
      <c r="T202" s="1277"/>
      <c r="U202" s="1277"/>
      <c r="V202" s="1277"/>
      <c r="W202" s="1277"/>
      <c r="X202" s="1277"/>
    </row>
    <row r="203" spans="6:24">
      <c r="F203" s="921"/>
      <c r="G203" s="1277"/>
      <c r="H203" s="921"/>
      <c r="I203" s="1277"/>
      <c r="J203" s="921"/>
      <c r="K203" s="1277"/>
      <c r="L203" s="1277"/>
      <c r="M203" s="919"/>
      <c r="N203" s="919"/>
      <c r="O203" s="919"/>
      <c r="P203" s="1277"/>
      <c r="Q203" s="1277"/>
      <c r="R203" s="1277"/>
      <c r="S203" s="1277"/>
      <c r="T203" s="1277"/>
      <c r="U203" s="1277"/>
      <c r="V203" s="1277"/>
      <c r="W203" s="1277"/>
      <c r="X203" s="1277"/>
    </row>
    <row r="204" spans="6:24">
      <c r="F204" s="921"/>
      <c r="G204" s="1277"/>
      <c r="H204" s="921"/>
      <c r="I204" s="1277"/>
      <c r="J204" s="921"/>
      <c r="K204" s="1277"/>
      <c r="L204" s="1277"/>
      <c r="M204" s="919"/>
      <c r="N204" s="919"/>
      <c r="O204" s="919"/>
      <c r="P204" s="1277"/>
      <c r="Q204" s="1277"/>
      <c r="R204" s="1277"/>
      <c r="S204" s="1277"/>
      <c r="T204" s="1277"/>
      <c r="U204" s="1277"/>
      <c r="V204" s="1277"/>
      <c r="W204" s="1277"/>
      <c r="X204" s="1277"/>
    </row>
    <row r="205" spans="6:24">
      <c r="F205" s="921"/>
      <c r="G205" s="1277"/>
      <c r="H205" s="921"/>
      <c r="I205" s="1277"/>
      <c r="J205" s="921"/>
      <c r="K205" s="1277"/>
      <c r="L205" s="1277"/>
      <c r="M205" s="919"/>
      <c r="N205" s="919"/>
      <c r="O205" s="919"/>
      <c r="P205" s="1277"/>
      <c r="Q205" s="1277"/>
      <c r="R205" s="1277"/>
      <c r="S205" s="1277"/>
      <c r="T205" s="1277"/>
      <c r="U205" s="1277"/>
      <c r="V205" s="1277"/>
      <c r="W205" s="1277"/>
      <c r="X205" s="1277"/>
    </row>
    <row r="206" spans="6:24">
      <c r="F206" s="921"/>
      <c r="G206" s="1277"/>
      <c r="H206" s="921"/>
      <c r="I206" s="1277"/>
      <c r="J206" s="921"/>
      <c r="K206" s="1277"/>
      <c r="L206" s="1277"/>
      <c r="M206" s="919"/>
      <c r="N206" s="919"/>
      <c r="O206" s="919"/>
      <c r="P206" s="1277"/>
      <c r="Q206" s="1277"/>
      <c r="R206" s="1277"/>
      <c r="S206" s="1277"/>
      <c r="T206" s="1277"/>
      <c r="U206" s="1277"/>
      <c r="V206" s="1277"/>
      <c r="W206" s="1277"/>
      <c r="X206" s="1277"/>
    </row>
    <row r="207" spans="6:24">
      <c r="F207" s="921"/>
      <c r="G207" s="1277"/>
      <c r="H207" s="921"/>
      <c r="I207" s="1277"/>
      <c r="J207" s="921"/>
      <c r="K207" s="1277"/>
      <c r="L207" s="1277"/>
      <c r="M207" s="919"/>
      <c r="N207" s="919"/>
      <c r="O207" s="919"/>
      <c r="P207" s="1277"/>
      <c r="Q207" s="1277"/>
      <c r="R207" s="1277"/>
      <c r="S207" s="1277"/>
      <c r="T207" s="1277"/>
      <c r="U207" s="1277"/>
      <c r="V207" s="1277"/>
      <c r="W207" s="1277"/>
      <c r="X207" s="1277"/>
    </row>
    <row r="208" spans="6:24">
      <c r="F208" s="921"/>
      <c r="G208" s="1277"/>
      <c r="H208" s="921"/>
      <c r="I208" s="1277"/>
      <c r="J208" s="921"/>
      <c r="K208" s="1277"/>
      <c r="L208" s="1277"/>
      <c r="M208" s="919"/>
      <c r="N208" s="919"/>
      <c r="O208" s="919"/>
      <c r="P208" s="1277"/>
      <c r="Q208" s="1277"/>
      <c r="R208" s="1277"/>
      <c r="S208" s="1277"/>
      <c r="T208" s="1277"/>
      <c r="U208" s="1277"/>
      <c r="V208" s="1277"/>
      <c r="W208" s="1277"/>
      <c r="X208" s="1277"/>
    </row>
    <row r="209" spans="2:32">
      <c r="F209" s="921"/>
      <c r="G209" s="1277"/>
      <c r="H209" s="921"/>
      <c r="I209" s="1277"/>
      <c r="J209" s="921"/>
      <c r="K209" s="1277"/>
      <c r="L209" s="1277"/>
      <c r="M209" s="919"/>
      <c r="N209" s="919"/>
      <c r="O209" s="919"/>
      <c r="P209" s="1277"/>
      <c r="Q209" s="1277"/>
      <c r="R209" s="1277"/>
      <c r="S209" s="1277"/>
      <c r="T209" s="1277"/>
      <c r="U209" s="1277"/>
      <c r="V209" s="1277"/>
      <c r="W209" s="1277"/>
      <c r="X209" s="1277"/>
    </row>
    <row r="210" spans="2:32">
      <c r="F210" s="921"/>
      <c r="G210" s="1277"/>
      <c r="H210" s="921"/>
      <c r="I210" s="1277"/>
      <c r="J210" s="921"/>
      <c r="K210" s="1277"/>
      <c r="L210" s="1277"/>
      <c r="M210" s="919"/>
      <c r="N210" s="919"/>
      <c r="O210" s="919"/>
      <c r="P210" s="1277"/>
      <c r="Q210" s="1277"/>
      <c r="R210" s="1277"/>
      <c r="S210" s="1277"/>
      <c r="T210" s="1277"/>
      <c r="U210" s="1277"/>
      <c r="V210" s="1277"/>
      <c r="W210" s="1277"/>
      <c r="X210" s="1277"/>
    </row>
    <row r="211" spans="2:32">
      <c r="F211" s="921"/>
      <c r="G211" s="1277"/>
      <c r="H211" s="921"/>
      <c r="I211" s="1277"/>
      <c r="J211" s="921"/>
      <c r="K211" s="1277"/>
      <c r="L211" s="1277"/>
      <c r="M211" s="919"/>
      <c r="N211" s="919"/>
      <c r="O211" s="919"/>
      <c r="P211" s="1277"/>
      <c r="Q211" s="1277"/>
      <c r="R211" s="1277"/>
      <c r="S211" s="1277"/>
      <c r="T211" s="1277"/>
      <c r="U211" s="1277"/>
      <c r="V211" s="1277"/>
      <c r="W211" s="1277"/>
      <c r="X211" s="1277"/>
      <c r="Y211" s="1277"/>
      <c r="Z211" s="1277"/>
      <c r="AA211" s="1277"/>
      <c r="AB211" s="1277"/>
      <c r="AC211" s="1277"/>
      <c r="AD211" s="1277"/>
      <c r="AE211" s="1277"/>
      <c r="AF211" s="1277"/>
    </row>
    <row r="212" spans="2:32">
      <c r="F212" s="921"/>
      <c r="G212" s="1277"/>
      <c r="H212" s="921"/>
      <c r="I212" s="1277"/>
      <c r="J212" s="921"/>
      <c r="K212" s="1277"/>
      <c r="L212" s="1277"/>
      <c r="M212" s="919"/>
      <c r="N212" s="919"/>
      <c r="O212" s="919"/>
      <c r="P212" s="1277"/>
      <c r="Q212" s="1277"/>
      <c r="R212" s="1277"/>
      <c r="S212" s="1277"/>
      <c r="T212" s="1277"/>
      <c r="U212" s="1277"/>
      <c r="V212" s="1277"/>
      <c r="W212" s="1277"/>
      <c r="X212" s="1277"/>
      <c r="Y212" s="1277"/>
      <c r="Z212" s="1277"/>
      <c r="AA212" s="1277"/>
      <c r="AB212" s="1277"/>
      <c r="AC212" s="1277"/>
      <c r="AD212" s="1277"/>
      <c r="AE212" s="1277"/>
      <c r="AF212" s="1277"/>
    </row>
    <row r="213" spans="2:32">
      <c r="F213" s="921"/>
      <c r="G213" s="1277"/>
      <c r="H213" s="921"/>
      <c r="I213" s="1277"/>
      <c r="J213" s="921"/>
      <c r="K213" s="1277"/>
      <c r="L213" s="1277"/>
      <c r="M213" s="919"/>
      <c r="N213" s="919"/>
      <c r="O213" s="919"/>
      <c r="P213" s="1277"/>
      <c r="Q213" s="1277"/>
      <c r="R213" s="1277"/>
      <c r="S213" s="1277"/>
      <c r="T213" s="1277"/>
      <c r="U213" s="1277"/>
      <c r="V213" s="1277"/>
      <c r="W213" s="1277"/>
      <c r="X213" s="1277"/>
      <c r="Y213" s="1277"/>
      <c r="Z213" s="1277"/>
      <c r="AA213" s="1277"/>
      <c r="AB213" s="1277"/>
      <c r="AC213" s="1277"/>
      <c r="AD213" s="1277"/>
      <c r="AE213" s="1277"/>
      <c r="AF213" s="1277"/>
    </row>
    <row r="214" spans="2:32">
      <c r="F214" s="921"/>
      <c r="G214" s="1277"/>
      <c r="H214" s="921"/>
      <c r="I214" s="1277"/>
      <c r="J214" s="921"/>
      <c r="K214" s="1277"/>
      <c r="L214" s="1277"/>
      <c r="M214" s="919"/>
      <c r="N214" s="919"/>
      <c r="O214" s="919"/>
      <c r="P214" s="1277"/>
      <c r="Q214" s="1277"/>
      <c r="R214" s="1277"/>
      <c r="S214" s="1277"/>
      <c r="T214" s="1277"/>
      <c r="U214" s="1277"/>
      <c r="V214" s="1277"/>
      <c r="W214" s="1277"/>
      <c r="X214" s="1277"/>
      <c r="Y214" s="1277"/>
      <c r="Z214" s="1277"/>
      <c r="AA214" s="1277"/>
      <c r="AB214" s="1277"/>
      <c r="AC214" s="1277"/>
      <c r="AD214" s="1277"/>
      <c r="AE214" s="1277"/>
      <c r="AF214" s="1277"/>
    </row>
    <row r="215" spans="2:32">
      <c r="F215" s="921"/>
      <c r="G215" s="1277"/>
      <c r="H215" s="921"/>
      <c r="I215" s="1277"/>
      <c r="J215" s="921"/>
      <c r="K215" s="1277"/>
      <c r="L215" s="1277"/>
      <c r="M215" s="919"/>
      <c r="N215" s="919"/>
      <c r="O215" s="919"/>
      <c r="P215" s="1277"/>
      <c r="Q215" s="1277"/>
      <c r="R215" s="1277"/>
      <c r="S215" s="1277"/>
      <c r="T215" s="1277"/>
      <c r="U215" s="1277"/>
      <c r="V215" s="1277"/>
      <c r="W215" s="1277"/>
      <c r="X215" s="1277"/>
      <c r="Y215" s="1277"/>
      <c r="Z215" s="1277"/>
      <c r="AA215" s="1277"/>
      <c r="AB215" s="1277"/>
      <c r="AC215" s="1277"/>
      <c r="AD215" s="1277"/>
      <c r="AE215" s="1277"/>
      <c r="AF215" s="1277"/>
    </row>
    <row r="216" spans="2:32">
      <c r="F216" s="921"/>
      <c r="G216" s="1277"/>
      <c r="H216" s="921"/>
      <c r="I216" s="1277"/>
      <c r="J216" s="921"/>
      <c r="K216" s="1277"/>
      <c r="L216" s="1277"/>
      <c r="M216" s="919"/>
      <c r="N216" s="919"/>
      <c r="O216" s="919"/>
      <c r="P216" s="1277"/>
      <c r="Q216" s="1277"/>
      <c r="R216" s="1277"/>
      <c r="S216" s="1277"/>
      <c r="T216" s="1277"/>
      <c r="U216" s="1277"/>
      <c r="V216" s="1277"/>
      <c r="W216" s="1277"/>
      <c r="X216" s="1277"/>
      <c r="Y216" s="1277"/>
      <c r="Z216" s="1277"/>
      <c r="AA216" s="1277"/>
      <c r="AB216" s="1277"/>
      <c r="AC216" s="1277"/>
      <c r="AD216" s="1277"/>
      <c r="AE216" s="1277"/>
      <c r="AF216" s="1277"/>
    </row>
    <row r="217" spans="2:32">
      <c r="F217" s="921"/>
      <c r="G217" s="1277"/>
      <c r="H217" s="921"/>
      <c r="I217" s="1277"/>
      <c r="J217" s="921"/>
      <c r="K217" s="1277"/>
      <c r="L217" s="1277"/>
      <c r="M217" s="919"/>
      <c r="N217" s="919"/>
      <c r="O217" s="919"/>
      <c r="P217" s="1277"/>
      <c r="Q217" s="1277"/>
      <c r="R217" s="1277"/>
      <c r="S217" s="1277"/>
      <c r="T217" s="1277"/>
      <c r="U217" s="1277"/>
      <c r="V217" s="1277"/>
      <c r="W217" s="1277"/>
      <c r="X217" s="1277"/>
      <c r="Y217" s="1277"/>
      <c r="Z217" s="1277"/>
      <c r="AA217" s="1277"/>
      <c r="AB217" s="1277"/>
      <c r="AC217" s="1277"/>
      <c r="AD217" s="1277"/>
      <c r="AE217" s="1277"/>
      <c r="AF217" s="1277"/>
    </row>
    <row r="218" spans="2:32">
      <c r="B218" s="1277"/>
      <c r="C218" s="1277"/>
      <c r="D218" s="1277"/>
      <c r="E218" s="1277"/>
      <c r="F218" s="921"/>
      <c r="G218" s="1277"/>
      <c r="H218" s="921"/>
      <c r="I218" s="1277"/>
      <c r="J218" s="921"/>
      <c r="K218" s="1277"/>
      <c r="L218" s="1277"/>
      <c r="M218" s="919"/>
      <c r="N218" s="919"/>
      <c r="O218" s="919"/>
      <c r="P218" s="1277"/>
      <c r="Q218" s="1277"/>
      <c r="R218" s="1277"/>
      <c r="S218" s="1277"/>
      <c r="T218" s="1277"/>
      <c r="U218" s="1277"/>
      <c r="V218" s="1277"/>
      <c r="W218" s="1277"/>
      <c r="X218" s="1277"/>
    </row>
    <row r="219" spans="2:32">
      <c r="B219" s="1277"/>
      <c r="C219" s="1277"/>
      <c r="D219" s="1277"/>
      <c r="E219" s="1277"/>
      <c r="F219" s="921"/>
      <c r="G219" s="1277"/>
      <c r="H219" s="921"/>
      <c r="I219" s="1277"/>
      <c r="J219" s="921"/>
      <c r="K219" s="1277"/>
      <c r="L219" s="1277"/>
      <c r="M219" s="919"/>
      <c r="N219" s="919"/>
      <c r="O219" s="919"/>
      <c r="P219" s="1277"/>
      <c r="Q219" s="1277"/>
      <c r="R219" s="1277"/>
      <c r="S219" s="1277"/>
      <c r="T219" s="1277"/>
      <c r="U219" s="1277"/>
      <c r="V219" s="1277"/>
      <c r="W219" s="1277"/>
      <c r="X219" s="1277"/>
    </row>
    <row r="220" spans="2:32">
      <c r="B220" s="1277"/>
      <c r="C220" s="1277"/>
      <c r="D220" s="1277"/>
      <c r="E220" s="1277"/>
      <c r="F220" s="921"/>
      <c r="G220" s="1277"/>
      <c r="H220" s="921"/>
      <c r="I220" s="1277"/>
      <c r="J220" s="921"/>
      <c r="K220" s="1277"/>
      <c r="L220" s="1277"/>
      <c r="M220" s="919"/>
      <c r="N220" s="919"/>
      <c r="O220" s="919"/>
      <c r="P220" s="1277"/>
      <c r="Q220" s="1277"/>
      <c r="R220" s="1277"/>
      <c r="S220" s="1277"/>
      <c r="T220" s="1277"/>
      <c r="U220" s="1277"/>
      <c r="V220" s="1277"/>
      <c r="W220" s="1277"/>
      <c r="X220" s="1277"/>
    </row>
    <row r="221" spans="2:32">
      <c r="B221" s="1277"/>
      <c r="C221" s="1277"/>
      <c r="D221" s="1277"/>
      <c r="E221" s="1277"/>
      <c r="F221" s="921"/>
      <c r="G221" s="1277"/>
      <c r="H221" s="921"/>
      <c r="I221" s="1277"/>
      <c r="J221" s="921"/>
      <c r="K221" s="1277"/>
      <c r="L221" s="1277"/>
      <c r="M221" s="919"/>
      <c r="N221" s="919"/>
      <c r="O221" s="919"/>
      <c r="P221" s="1277"/>
      <c r="Q221" s="1277"/>
      <c r="R221" s="1277"/>
      <c r="S221" s="1277"/>
      <c r="T221" s="1277"/>
      <c r="U221" s="1277"/>
      <c r="V221" s="1277"/>
      <c r="W221" s="1277"/>
      <c r="X221" s="1277"/>
    </row>
    <row r="222" spans="2:32">
      <c r="B222" s="1277"/>
      <c r="C222" s="1277"/>
      <c r="D222" s="1277"/>
      <c r="E222" s="1277"/>
      <c r="F222" s="921"/>
      <c r="G222" s="1277"/>
      <c r="H222" s="921"/>
      <c r="I222" s="1277"/>
      <c r="J222" s="921"/>
      <c r="K222" s="1277"/>
      <c r="L222" s="1277"/>
      <c r="M222" s="919"/>
      <c r="N222" s="919"/>
      <c r="O222" s="919"/>
      <c r="P222" s="1277"/>
      <c r="Q222" s="1277"/>
      <c r="R222" s="1277"/>
      <c r="S222" s="1277"/>
      <c r="T222" s="1277"/>
      <c r="U222" s="1277"/>
      <c r="V222" s="1277"/>
      <c r="W222" s="1277"/>
      <c r="X222" s="1277"/>
    </row>
    <row r="223" spans="2:32">
      <c r="B223" s="1277"/>
      <c r="C223" s="1277"/>
      <c r="D223" s="1277"/>
      <c r="E223" s="1277"/>
      <c r="F223" s="921"/>
      <c r="G223" s="1277"/>
      <c r="H223" s="921"/>
      <c r="I223" s="1277"/>
      <c r="J223" s="921"/>
      <c r="K223" s="1277"/>
      <c r="L223" s="1277"/>
      <c r="M223" s="919"/>
      <c r="N223" s="919"/>
      <c r="O223" s="919"/>
      <c r="P223" s="1277"/>
      <c r="Q223" s="1277"/>
      <c r="R223" s="1277"/>
      <c r="S223" s="1277"/>
      <c r="T223" s="1277"/>
      <c r="U223" s="1277"/>
      <c r="V223" s="1277"/>
      <c r="W223" s="1277"/>
      <c r="X223" s="1277"/>
    </row>
    <row r="224" spans="2:32">
      <c r="B224" s="1277"/>
      <c r="C224" s="1277"/>
      <c r="D224" s="1277"/>
      <c r="E224" s="1277"/>
      <c r="F224" s="921"/>
      <c r="G224" s="1277"/>
      <c r="H224" s="921"/>
      <c r="I224" s="1277"/>
      <c r="J224" s="921"/>
      <c r="K224" s="1277"/>
      <c r="L224" s="1277"/>
      <c r="M224" s="919"/>
      <c r="N224" s="919"/>
      <c r="O224" s="919"/>
      <c r="P224" s="1277"/>
      <c r="Q224" s="1277"/>
      <c r="R224" s="1277"/>
      <c r="S224" s="1277"/>
      <c r="T224" s="1277"/>
      <c r="U224" s="1277"/>
      <c r="V224" s="1277"/>
      <c r="W224" s="1277"/>
      <c r="X224" s="1277"/>
    </row>
    <row r="225" spans="2:24">
      <c r="B225" s="1277"/>
      <c r="C225" s="1277"/>
      <c r="D225" s="1277"/>
      <c r="E225" s="1277"/>
      <c r="F225" s="921"/>
      <c r="G225" s="1277"/>
      <c r="H225" s="921"/>
      <c r="I225" s="1277"/>
      <c r="J225" s="921"/>
      <c r="K225" s="1277"/>
      <c r="L225" s="1277"/>
      <c r="M225" s="919"/>
      <c r="N225" s="919"/>
      <c r="O225" s="919"/>
      <c r="P225" s="1277"/>
      <c r="Q225" s="1277"/>
      <c r="R225" s="1277"/>
      <c r="S225" s="1277"/>
      <c r="T225" s="1277"/>
      <c r="U225" s="1277"/>
      <c r="V225" s="1277"/>
      <c r="W225" s="1277"/>
      <c r="X225" s="1277"/>
    </row>
    <row r="226" spans="2:24">
      <c r="B226" s="1277"/>
      <c r="C226" s="1277"/>
      <c r="D226" s="1277"/>
      <c r="E226" s="1277"/>
      <c r="F226" s="921"/>
      <c r="G226" s="1277"/>
      <c r="H226" s="921"/>
      <c r="I226" s="1277"/>
      <c r="J226" s="921"/>
      <c r="K226" s="1277"/>
      <c r="L226" s="1277"/>
      <c r="M226" s="919"/>
      <c r="N226" s="919"/>
      <c r="O226" s="919"/>
      <c r="P226" s="1277"/>
      <c r="Q226" s="1277"/>
      <c r="R226" s="1277"/>
      <c r="S226" s="1277"/>
      <c r="T226" s="1277"/>
      <c r="U226" s="1277"/>
      <c r="V226" s="1277"/>
      <c r="W226" s="1277"/>
      <c r="X226" s="1277"/>
    </row>
    <row r="227" spans="2:24">
      <c r="B227" s="1277"/>
      <c r="C227" s="1277"/>
      <c r="D227" s="1277"/>
      <c r="E227" s="1277"/>
      <c r="F227" s="921"/>
      <c r="G227" s="1277"/>
      <c r="H227" s="921"/>
      <c r="I227" s="1277"/>
      <c r="J227" s="921"/>
      <c r="K227" s="1277"/>
      <c r="L227" s="1277"/>
      <c r="M227" s="919"/>
      <c r="N227" s="919"/>
      <c r="O227" s="919"/>
      <c r="P227" s="1277"/>
      <c r="Q227" s="1277"/>
      <c r="R227" s="1277"/>
      <c r="S227" s="1277"/>
      <c r="T227" s="1277"/>
      <c r="U227" s="1277"/>
      <c r="V227" s="1277"/>
      <c r="W227" s="1277"/>
      <c r="X227" s="1277"/>
    </row>
    <row r="228" spans="2:24">
      <c r="B228" s="1277"/>
      <c r="C228" s="1277"/>
      <c r="D228" s="1277"/>
      <c r="E228" s="1277"/>
      <c r="F228" s="921"/>
      <c r="G228" s="1277"/>
      <c r="H228" s="921"/>
      <c r="I228" s="1277"/>
      <c r="J228" s="921"/>
      <c r="K228" s="1277"/>
      <c r="L228" s="1277"/>
      <c r="M228" s="919"/>
      <c r="N228" s="919"/>
      <c r="O228" s="919"/>
      <c r="P228" s="1277"/>
      <c r="Q228" s="1277"/>
      <c r="R228" s="1277"/>
      <c r="S228" s="1277"/>
      <c r="T228" s="1277"/>
      <c r="U228" s="1277"/>
      <c r="V228" s="1277"/>
      <c r="W228" s="1277"/>
      <c r="X228" s="1277"/>
    </row>
    <row r="229" spans="2:24">
      <c r="B229" s="1277"/>
      <c r="C229" s="1277"/>
      <c r="D229" s="1277"/>
      <c r="E229" s="1277"/>
      <c r="F229" s="921"/>
      <c r="G229" s="1277"/>
      <c r="H229" s="921"/>
      <c r="I229" s="1277"/>
      <c r="J229" s="921"/>
      <c r="K229" s="1277"/>
      <c r="L229" s="1277"/>
      <c r="M229" s="919"/>
      <c r="N229" s="919"/>
      <c r="O229" s="919"/>
      <c r="P229" s="1277"/>
      <c r="Q229" s="1277"/>
      <c r="R229" s="1277"/>
      <c r="S229" s="1277"/>
      <c r="T229" s="1277"/>
      <c r="U229" s="1277"/>
      <c r="V229" s="1277"/>
      <c r="W229" s="1277"/>
      <c r="X229" s="1277"/>
    </row>
    <row r="230" spans="2:24">
      <c r="B230" s="1277"/>
      <c r="C230" s="1277"/>
      <c r="D230" s="1277"/>
      <c r="E230" s="1277"/>
      <c r="F230" s="921"/>
      <c r="G230" s="1277"/>
      <c r="H230" s="921"/>
      <c r="I230" s="1277"/>
      <c r="J230" s="921"/>
      <c r="K230" s="1277"/>
      <c r="L230" s="1277"/>
      <c r="M230" s="919"/>
      <c r="N230" s="919"/>
      <c r="O230" s="919"/>
      <c r="P230" s="1277"/>
      <c r="Q230" s="1277"/>
      <c r="R230" s="1277"/>
      <c r="S230" s="1277"/>
      <c r="T230" s="1277"/>
      <c r="U230" s="1277"/>
      <c r="V230" s="1277"/>
      <c r="W230" s="1277"/>
      <c r="X230" s="1277"/>
    </row>
    <row r="231" spans="2:24">
      <c r="B231" s="1277"/>
      <c r="C231" s="1277"/>
      <c r="D231" s="1277"/>
      <c r="E231" s="1277"/>
      <c r="F231" s="921"/>
      <c r="G231" s="1277"/>
      <c r="H231" s="921"/>
      <c r="I231" s="1277"/>
      <c r="J231" s="921"/>
      <c r="K231" s="1277"/>
      <c r="L231" s="1277"/>
      <c r="M231" s="919"/>
      <c r="N231" s="919"/>
      <c r="O231" s="919"/>
      <c r="P231" s="1277"/>
      <c r="Q231" s="1277"/>
      <c r="R231" s="1277"/>
      <c r="S231" s="1277"/>
      <c r="T231" s="1277"/>
      <c r="U231" s="1277"/>
      <c r="V231" s="1277"/>
      <c r="W231" s="1277"/>
      <c r="X231" s="1277"/>
    </row>
    <row r="232" spans="2:24">
      <c r="B232" s="1277"/>
      <c r="C232" s="1277"/>
      <c r="D232" s="1277"/>
      <c r="E232" s="1277"/>
      <c r="F232" s="921"/>
      <c r="G232" s="1277"/>
      <c r="H232" s="921"/>
      <c r="I232" s="1277"/>
      <c r="J232" s="921"/>
      <c r="K232" s="1277"/>
      <c r="L232" s="1277"/>
      <c r="M232" s="919"/>
      <c r="N232" s="919"/>
      <c r="O232" s="919"/>
      <c r="P232" s="1277"/>
      <c r="Q232" s="1277"/>
      <c r="R232" s="1277"/>
      <c r="S232" s="1277"/>
      <c r="T232" s="1277"/>
      <c r="U232" s="1277"/>
      <c r="V232" s="1277"/>
      <c r="W232" s="1277"/>
      <c r="X232" s="1277"/>
    </row>
    <row r="233" spans="2:24">
      <c r="B233" s="1277"/>
      <c r="C233" s="1277"/>
      <c r="D233" s="1277"/>
      <c r="E233" s="1277"/>
      <c r="F233" s="921"/>
      <c r="G233" s="1277"/>
      <c r="H233" s="921"/>
      <c r="I233" s="1277"/>
      <c r="J233" s="921"/>
      <c r="K233" s="1277"/>
      <c r="L233" s="1277"/>
      <c r="M233" s="919"/>
      <c r="N233" s="919"/>
      <c r="O233" s="919"/>
      <c r="P233" s="1277"/>
      <c r="Q233" s="1277"/>
      <c r="R233" s="1277"/>
      <c r="S233" s="1277"/>
      <c r="T233" s="1277"/>
      <c r="U233" s="1277"/>
      <c r="V233" s="1277"/>
      <c r="W233" s="1277"/>
      <c r="X233" s="1277"/>
    </row>
    <row r="234" spans="2:24">
      <c r="B234" s="1277"/>
      <c r="C234" s="1277"/>
      <c r="D234" s="1277"/>
      <c r="E234" s="1277"/>
      <c r="F234" s="921"/>
      <c r="G234" s="1277"/>
      <c r="H234" s="921"/>
      <c r="I234" s="1277"/>
      <c r="J234" s="921"/>
      <c r="K234" s="1277"/>
      <c r="L234" s="1277"/>
      <c r="O234" s="919"/>
      <c r="P234" s="1277"/>
      <c r="Q234" s="1277"/>
      <c r="R234" s="1277"/>
      <c r="S234" s="1277"/>
      <c r="T234" s="1277"/>
      <c r="U234" s="1277"/>
    </row>
    <row r="235" spans="2:24">
      <c r="B235" s="1277"/>
      <c r="C235" s="1277"/>
      <c r="D235" s="1277"/>
      <c r="E235" s="1277"/>
      <c r="F235" s="921"/>
      <c r="G235" s="1277"/>
      <c r="H235" s="921"/>
      <c r="I235" s="1277"/>
      <c r="J235" s="921"/>
      <c r="K235" s="1277"/>
      <c r="L235" s="1277"/>
    </row>
    <row r="236" spans="2:24">
      <c r="B236" s="1277"/>
      <c r="C236" s="1277"/>
      <c r="D236" s="1277"/>
      <c r="E236" s="1277"/>
      <c r="F236" s="921"/>
      <c r="G236" s="1277"/>
      <c r="H236" s="921"/>
      <c r="I236" s="1277"/>
      <c r="J236" s="921"/>
      <c r="K236" s="1277"/>
      <c r="L236" s="1277"/>
    </row>
    <row r="237" spans="2:24">
      <c r="B237" s="1277"/>
      <c r="C237" s="1277"/>
      <c r="D237" s="1277"/>
      <c r="E237" s="1277"/>
      <c r="F237" s="921"/>
      <c r="G237" s="1277"/>
      <c r="H237" s="921"/>
      <c r="I237" s="1277"/>
      <c r="J237" s="921"/>
      <c r="K237" s="1277"/>
      <c r="L237" s="1277"/>
    </row>
    <row r="238" spans="2:24">
      <c r="B238" s="1277"/>
      <c r="C238" s="1277"/>
      <c r="D238" s="1277"/>
      <c r="E238" s="1277"/>
      <c r="F238" s="921"/>
      <c r="G238" s="1277"/>
      <c r="H238" s="921"/>
      <c r="I238" s="1277"/>
      <c r="J238" s="921"/>
      <c r="K238" s="1277"/>
      <c r="L238" s="1277"/>
    </row>
    <row r="239" spans="2:24">
      <c r="B239" s="1277"/>
      <c r="C239" s="1277"/>
      <c r="D239" s="1277"/>
      <c r="E239" s="1277"/>
      <c r="F239" s="921"/>
      <c r="G239" s="1277"/>
      <c r="H239" s="921"/>
      <c r="I239" s="1277"/>
      <c r="J239" s="921"/>
      <c r="K239" s="1277"/>
      <c r="L239" s="1277"/>
    </row>
    <row r="240" spans="2:24">
      <c r="B240" s="1277"/>
      <c r="C240" s="1277"/>
      <c r="D240" s="1277"/>
      <c r="E240" s="1277"/>
      <c r="F240" s="921"/>
      <c r="G240" s="1277"/>
      <c r="H240" s="921"/>
      <c r="I240" s="1277"/>
      <c r="J240" s="921"/>
      <c r="K240" s="1277"/>
      <c r="L240" s="1277"/>
    </row>
    <row r="241" spans="2:12">
      <c r="B241" s="1277"/>
      <c r="C241" s="1277"/>
      <c r="D241" s="1277"/>
      <c r="E241" s="1277"/>
      <c r="F241" s="921"/>
      <c r="G241" s="1277"/>
      <c r="H241" s="921"/>
      <c r="I241" s="1277"/>
      <c r="J241" s="921"/>
      <c r="K241" s="1277"/>
      <c r="L241" s="1277"/>
    </row>
    <row r="242" spans="2:12">
      <c r="B242" s="1277"/>
      <c r="C242" s="1277"/>
      <c r="D242" s="1277"/>
      <c r="E242" s="1277"/>
      <c r="F242" s="921"/>
      <c r="G242" s="1277"/>
      <c r="H242" s="921"/>
      <c r="I242" s="1277"/>
      <c r="J242" s="921"/>
      <c r="K242" s="1277"/>
      <c r="L242" s="1277"/>
    </row>
    <row r="243" spans="2:12">
      <c r="B243" s="1277"/>
      <c r="C243" s="1277"/>
      <c r="D243" s="1277"/>
      <c r="E243" s="1277"/>
      <c r="F243" s="921"/>
      <c r="G243" s="1277"/>
      <c r="H243" s="921"/>
      <c r="I243" s="1277"/>
      <c r="J243" s="921"/>
      <c r="K243" s="1277"/>
      <c r="L243" s="1277"/>
    </row>
    <row r="244" spans="2:12">
      <c r="B244" s="1277"/>
      <c r="C244" s="1277"/>
      <c r="D244" s="1277"/>
      <c r="E244" s="1277"/>
      <c r="F244" s="921"/>
      <c r="G244" s="1277"/>
      <c r="H244" s="921"/>
      <c r="I244" s="1277"/>
      <c r="J244" s="921"/>
      <c r="K244" s="1277"/>
      <c r="L244" s="1277"/>
    </row>
    <row r="245" spans="2:12">
      <c r="B245" s="1277"/>
      <c r="C245" s="1277"/>
      <c r="D245" s="1277"/>
      <c r="E245" s="1277"/>
      <c r="F245" s="921"/>
      <c r="G245" s="1277"/>
      <c r="H245" s="921"/>
      <c r="I245" s="1277"/>
      <c r="J245" s="921"/>
      <c r="K245" s="1277"/>
      <c r="L245" s="1277"/>
    </row>
    <row r="246" spans="2:12">
      <c r="B246" s="1277"/>
      <c r="C246" s="1277"/>
      <c r="D246" s="1277"/>
      <c r="E246" s="1277"/>
      <c r="F246" s="921"/>
      <c r="G246" s="1277"/>
      <c r="H246" s="921"/>
      <c r="I246" s="1277"/>
      <c r="J246" s="921"/>
      <c r="K246" s="1277"/>
      <c r="L246" s="1277"/>
    </row>
    <row r="247" spans="2:12">
      <c r="B247" s="1277"/>
      <c r="C247" s="1277"/>
      <c r="D247" s="1277"/>
      <c r="E247" s="1277"/>
      <c r="F247" s="921"/>
      <c r="G247" s="1277"/>
      <c r="H247" s="921"/>
      <c r="I247" s="1277"/>
      <c r="J247" s="921"/>
      <c r="K247" s="1277"/>
      <c r="L247" s="1277"/>
    </row>
    <row r="248" spans="2:12">
      <c r="B248" s="1277"/>
      <c r="C248" s="1277"/>
      <c r="D248" s="1277"/>
      <c r="E248" s="1277"/>
      <c r="F248" s="921"/>
      <c r="G248" s="1277"/>
      <c r="H248" s="921"/>
      <c r="I248" s="1277"/>
      <c r="J248" s="921"/>
      <c r="K248" s="1277"/>
      <c r="L248" s="1277"/>
    </row>
    <row r="249" spans="2:12">
      <c r="B249" s="1277"/>
      <c r="C249" s="1277"/>
      <c r="D249" s="1277"/>
      <c r="E249" s="1277"/>
      <c r="F249" s="921"/>
      <c r="G249" s="1277"/>
      <c r="H249" s="921"/>
      <c r="I249" s="1277"/>
      <c r="J249" s="921"/>
      <c r="K249" s="1277"/>
      <c r="L249" s="1277"/>
    </row>
    <row r="250" spans="2:12">
      <c r="B250" s="1277"/>
      <c r="C250" s="1277"/>
      <c r="D250" s="1277"/>
      <c r="E250" s="1277"/>
      <c r="F250" s="921"/>
      <c r="G250" s="1277"/>
      <c r="H250" s="921"/>
      <c r="I250" s="1277"/>
      <c r="J250" s="921"/>
      <c r="K250" s="1277"/>
      <c r="L250" s="1277"/>
    </row>
    <row r="251" spans="2:12">
      <c r="B251" s="1277"/>
      <c r="C251" s="1277"/>
      <c r="D251" s="1277"/>
      <c r="E251" s="1277"/>
      <c r="F251" s="921"/>
      <c r="G251" s="1277"/>
      <c r="H251" s="921"/>
      <c r="I251" s="1277"/>
      <c r="J251" s="921"/>
      <c r="K251" s="1277"/>
      <c r="L251" s="1277"/>
    </row>
    <row r="252" spans="2:12">
      <c r="B252" s="1277"/>
      <c r="C252" s="1277"/>
      <c r="D252" s="1277"/>
      <c r="E252" s="1277"/>
      <c r="F252" s="921"/>
      <c r="G252" s="1277"/>
      <c r="H252" s="921"/>
      <c r="I252" s="1277"/>
      <c r="J252" s="921"/>
      <c r="K252" s="1277"/>
      <c r="L252" s="1277"/>
    </row>
    <row r="253" spans="2:12">
      <c r="B253" s="1277"/>
      <c r="C253" s="1277"/>
      <c r="D253" s="1277"/>
      <c r="E253" s="1277"/>
      <c r="F253" s="921"/>
      <c r="G253" s="1277"/>
      <c r="H253" s="921"/>
      <c r="I253" s="1277"/>
      <c r="J253" s="921"/>
      <c r="K253" s="1277"/>
      <c r="L253" s="1277"/>
    </row>
    <row r="254" spans="2:12">
      <c r="B254" s="1277"/>
      <c r="C254" s="1277"/>
      <c r="D254" s="1277"/>
      <c r="E254" s="1277"/>
      <c r="F254" s="921"/>
      <c r="G254" s="1277"/>
      <c r="H254" s="921"/>
      <c r="I254" s="1277"/>
      <c r="J254" s="921"/>
      <c r="K254" s="1277"/>
      <c r="L254" s="1277"/>
    </row>
    <row r="255" spans="2:12">
      <c r="B255" s="1277"/>
      <c r="C255" s="1277"/>
      <c r="D255" s="1277"/>
      <c r="E255" s="1277"/>
      <c r="F255" s="921"/>
      <c r="G255" s="1277"/>
      <c r="H255" s="921"/>
      <c r="I255" s="1277"/>
      <c r="J255" s="921"/>
      <c r="K255" s="1277"/>
      <c r="L255" s="1277"/>
    </row>
    <row r="256" spans="2:12">
      <c r="B256" s="1277"/>
      <c r="C256" s="1277"/>
      <c r="D256" s="1277"/>
      <c r="E256" s="1277"/>
      <c r="F256" s="921"/>
      <c r="G256" s="1277"/>
      <c r="H256" s="921"/>
      <c r="I256" s="1277"/>
      <c r="J256" s="921"/>
      <c r="K256" s="1277"/>
      <c r="L256" s="1277"/>
    </row>
    <row r="257" spans="2:12">
      <c r="B257" s="1277"/>
      <c r="C257" s="1277"/>
      <c r="D257" s="1277"/>
      <c r="E257" s="1277"/>
      <c r="F257" s="921"/>
      <c r="G257" s="1277"/>
      <c r="H257" s="921"/>
      <c r="I257" s="1277"/>
      <c r="J257" s="921"/>
      <c r="K257" s="1277"/>
      <c r="L257" s="1277"/>
    </row>
    <row r="258" spans="2:12">
      <c r="B258" s="1277"/>
      <c r="C258" s="1277"/>
      <c r="D258" s="1277"/>
      <c r="E258" s="1277"/>
      <c r="F258" s="921"/>
      <c r="G258" s="1277"/>
      <c r="H258" s="921"/>
      <c r="I258" s="1277"/>
      <c r="J258" s="921"/>
      <c r="K258" s="1277"/>
      <c r="L258" s="1277"/>
    </row>
    <row r="259" spans="2:12">
      <c r="B259" s="1277"/>
      <c r="C259" s="1277"/>
      <c r="D259" s="1277"/>
      <c r="E259" s="1277"/>
      <c r="F259" s="921"/>
      <c r="G259" s="1277"/>
      <c r="H259" s="921"/>
      <c r="I259" s="1277"/>
      <c r="J259" s="921"/>
      <c r="K259" s="1277"/>
      <c r="L259" s="1277"/>
    </row>
    <row r="260" spans="2:12">
      <c r="B260" s="1277"/>
      <c r="C260" s="1277"/>
      <c r="D260" s="1277"/>
      <c r="E260" s="1277"/>
      <c r="F260" s="921"/>
      <c r="G260" s="1277"/>
      <c r="H260" s="921"/>
      <c r="I260" s="1277"/>
      <c r="J260" s="921"/>
      <c r="K260" s="1277"/>
      <c r="L260" s="1277"/>
    </row>
    <row r="261" spans="2:12">
      <c r="B261" s="1277"/>
      <c r="C261" s="1277"/>
      <c r="D261" s="1277"/>
      <c r="E261" s="1277"/>
      <c r="F261" s="921"/>
      <c r="G261" s="1277"/>
      <c r="H261" s="921"/>
      <c r="I261" s="1277"/>
      <c r="J261" s="921"/>
      <c r="K261" s="1277"/>
      <c r="L261" s="1277"/>
    </row>
    <row r="262" spans="2:12">
      <c r="B262" s="1277"/>
      <c r="C262" s="1277"/>
      <c r="D262" s="1277"/>
      <c r="E262" s="1277"/>
      <c r="F262" s="921"/>
      <c r="G262" s="1277"/>
      <c r="H262" s="921"/>
      <c r="I262" s="1277"/>
      <c r="J262" s="921"/>
      <c r="K262" s="1277"/>
      <c r="L262" s="1277"/>
    </row>
    <row r="263" spans="2:12">
      <c r="B263" s="1277"/>
      <c r="C263" s="1277"/>
      <c r="D263" s="1277"/>
      <c r="E263" s="1277"/>
      <c r="F263" s="921"/>
      <c r="G263" s="1277"/>
      <c r="H263" s="921"/>
      <c r="I263" s="1277"/>
      <c r="J263" s="921"/>
      <c r="K263" s="1277"/>
      <c r="L263" s="1277"/>
    </row>
    <row r="264" spans="2:12">
      <c r="B264" s="1277"/>
      <c r="C264" s="1277"/>
      <c r="D264" s="1277"/>
      <c r="E264" s="1277"/>
      <c r="F264" s="921"/>
      <c r="G264" s="1277"/>
      <c r="H264" s="921"/>
      <c r="I264" s="1277"/>
      <c r="J264" s="921"/>
      <c r="K264" s="1277"/>
      <c r="L264" s="1277"/>
    </row>
    <row r="265" spans="2:12">
      <c r="B265" s="1277"/>
      <c r="C265" s="1277"/>
      <c r="D265" s="1277"/>
      <c r="E265" s="1277"/>
      <c r="F265" s="921"/>
      <c r="G265" s="1277"/>
      <c r="H265" s="921"/>
      <c r="I265" s="1277"/>
      <c r="J265" s="921"/>
      <c r="K265" s="1277"/>
      <c r="L265" s="1277"/>
    </row>
    <row r="266" spans="2:12">
      <c r="B266" s="1277"/>
      <c r="C266" s="1277"/>
      <c r="D266" s="1277"/>
      <c r="E266" s="1277"/>
      <c r="F266" s="921"/>
      <c r="G266" s="1277"/>
      <c r="H266" s="921"/>
      <c r="I266" s="1277"/>
      <c r="J266" s="921"/>
      <c r="K266" s="1277"/>
      <c r="L266" s="1277"/>
    </row>
    <row r="267" spans="2:12">
      <c r="B267" s="1277"/>
      <c r="C267" s="1277"/>
      <c r="D267" s="1277"/>
      <c r="E267" s="1277"/>
      <c r="F267" s="921"/>
      <c r="G267" s="1277"/>
      <c r="H267" s="921"/>
      <c r="I267" s="1277"/>
      <c r="J267" s="921"/>
      <c r="K267" s="1277"/>
      <c r="L267" s="1277"/>
    </row>
    <row r="268" spans="2:12">
      <c r="B268" s="1277"/>
      <c r="C268" s="1277"/>
      <c r="D268" s="1277"/>
      <c r="E268" s="1277"/>
      <c r="F268" s="921"/>
      <c r="G268" s="1277"/>
      <c r="H268" s="921"/>
      <c r="I268" s="1277"/>
      <c r="J268" s="921"/>
      <c r="K268" s="1277"/>
      <c r="L268" s="1277"/>
    </row>
    <row r="269" spans="2:12">
      <c r="B269" s="1277"/>
      <c r="C269" s="1277"/>
      <c r="D269" s="1277"/>
      <c r="E269" s="1277"/>
      <c r="F269" s="921"/>
      <c r="G269" s="1277"/>
      <c r="H269" s="921"/>
      <c r="I269" s="1277"/>
      <c r="J269" s="921"/>
      <c r="K269" s="1277"/>
      <c r="L269" s="1277"/>
    </row>
    <row r="270" spans="2:12">
      <c r="B270" s="1277"/>
      <c r="C270" s="1277"/>
      <c r="D270" s="1277"/>
      <c r="E270" s="1277"/>
      <c r="F270" s="921"/>
      <c r="G270" s="1277"/>
      <c r="H270" s="921"/>
      <c r="I270" s="1277"/>
      <c r="J270" s="921"/>
      <c r="K270" s="1277"/>
      <c r="L270" s="1277"/>
    </row>
    <row r="271" spans="2:12">
      <c r="B271" s="1277"/>
      <c r="C271" s="1277"/>
      <c r="D271" s="1277"/>
      <c r="E271" s="1277"/>
      <c r="F271" s="921"/>
      <c r="G271" s="1277"/>
      <c r="H271" s="921"/>
      <c r="I271" s="1277"/>
      <c r="J271" s="921"/>
      <c r="K271" s="1277"/>
      <c r="L271" s="1277"/>
    </row>
    <row r="272" spans="2:12">
      <c r="B272" s="1277"/>
      <c r="C272" s="1277"/>
      <c r="D272" s="1277"/>
      <c r="E272" s="1277"/>
      <c r="F272" s="921"/>
      <c r="G272" s="1277"/>
      <c r="H272" s="921"/>
      <c r="I272" s="1277"/>
      <c r="J272" s="921"/>
      <c r="K272" s="1277"/>
      <c r="L272" s="1277"/>
    </row>
    <row r="273" spans="2:12">
      <c r="B273" s="1277"/>
      <c r="C273" s="1277"/>
      <c r="D273" s="1277"/>
      <c r="E273" s="1277"/>
      <c r="F273" s="921"/>
      <c r="G273" s="1277"/>
      <c r="H273" s="921"/>
      <c r="I273" s="1277"/>
      <c r="J273" s="921"/>
      <c r="K273" s="1277"/>
      <c r="L273" s="1277"/>
    </row>
    <row r="274" spans="2:12">
      <c r="B274" s="1277"/>
      <c r="C274" s="1277"/>
      <c r="D274" s="1277"/>
      <c r="E274" s="1277"/>
      <c r="F274" s="921"/>
      <c r="G274" s="1277"/>
      <c r="H274" s="921"/>
      <c r="I274" s="1277"/>
      <c r="J274" s="921"/>
      <c r="K274" s="1277"/>
      <c r="L274" s="1277"/>
    </row>
    <row r="275" spans="2:12">
      <c r="B275" s="1277"/>
      <c r="C275" s="1277"/>
      <c r="D275" s="1277"/>
      <c r="E275" s="1277"/>
      <c r="F275" s="921"/>
      <c r="G275" s="1277"/>
      <c r="H275" s="921"/>
      <c r="I275" s="1277"/>
      <c r="J275" s="921"/>
      <c r="K275" s="1277"/>
      <c r="L275" s="1277"/>
    </row>
    <row r="276" spans="2:12">
      <c r="B276" s="1277"/>
      <c r="C276" s="1277"/>
      <c r="D276" s="1277"/>
      <c r="E276" s="1277"/>
      <c r="F276" s="921"/>
      <c r="G276" s="1277"/>
      <c r="H276" s="921"/>
      <c r="I276" s="1277"/>
      <c r="J276" s="921"/>
      <c r="K276" s="1277"/>
      <c r="L276" s="1277"/>
    </row>
    <row r="277" spans="2:12">
      <c r="B277" s="1277"/>
      <c r="C277" s="1277"/>
      <c r="D277" s="1277"/>
      <c r="E277" s="1277"/>
      <c r="F277" s="921"/>
      <c r="G277" s="1277"/>
      <c r="H277" s="921"/>
      <c r="I277" s="1277"/>
      <c r="J277" s="921"/>
      <c r="K277" s="1277"/>
      <c r="L277" s="1277"/>
    </row>
    <row r="278" spans="2:12">
      <c r="B278" s="1277"/>
      <c r="C278" s="1277"/>
      <c r="D278" s="1277"/>
      <c r="E278" s="1277"/>
      <c r="F278" s="921"/>
      <c r="G278" s="1277"/>
      <c r="H278" s="921"/>
      <c r="I278" s="1277"/>
      <c r="J278" s="921"/>
      <c r="K278" s="1277"/>
      <c r="L278" s="1277"/>
    </row>
    <row r="279" spans="2:12">
      <c r="B279" s="1277"/>
      <c r="C279" s="1277"/>
      <c r="D279" s="1277"/>
      <c r="E279" s="1277"/>
      <c r="F279" s="921"/>
      <c r="G279" s="1277"/>
      <c r="H279" s="921"/>
      <c r="I279" s="1277"/>
      <c r="J279" s="921"/>
      <c r="K279" s="1277"/>
      <c r="L279" s="1277"/>
    </row>
    <row r="280" spans="2:12">
      <c r="B280" s="1277"/>
      <c r="C280" s="1277"/>
      <c r="D280" s="1277"/>
      <c r="E280" s="1277"/>
      <c r="F280" s="921"/>
      <c r="G280" s="1277"/>
      <c r="H280" s="921"/>
      <c r="I280" s="1277"/>
      <c r="J280" s="921"/>
      <c r="K280" s="1277"/>
      <c r="L280" s="1277"/>
    </row>
    <row r="281" spans="2:12">
      <c r="B281" s="1277"/>
      <c r="C281" s="1277"/>
      <c r="D281" s="1277"/>
      <c r="E281" s="1277"/>
      <c r="F281" s="921"/>
      <c r="G281" s="1277"/>
      <c r="H281" s="921"/>
      <c r="I281" s="1277"/>
      <c r="J281" s="921"/>
      <c r="K281" s="1277"/>
      <c r="L281" s="1277"/>
    </row>
    <row r="282" spans="2:12">
      <c r="B282" s="1277"/>
      <c r="C282" s="1277"/>
      <c r="D282" s="1277"/>
      <c r="E282" s="1277"/>
      <c r="F282" s="921"/>
      <c r="G282" s="1277"/>
      <c r="H282" s="921"/>
      <c r="I282" s="1277"/>
      <c r="J282" s="921"/>
      <c r="K282" s="1277"/>
      <c r="L282" s="1277"/>
    </row>
    <row r="283" spans="2:12">
      <c r="B283" s="1277"/>
      <c r="C283" s="1277"/>
      <c r="D283" s="1277"/>
      <c r="E283" s="1277"/>
      <c r="F283" s="921"/>
      <c r="G283" s="1277"/>
      <c r="H283" s="921"/>
      <c r="I283" s="1277"/>
      <c r="J283" s="921"/>
      <c r="K283" s="1277"/>
      <c r="L283" s="1277"/>
    </row>
    <row r="284" spans="2:12">
      <c r="B284" s="1277"/>
      <c r="C284" s="1277"/>
      <c r="D284" s="1277"/>
      <c r="E284" s="1277"/>
      <c r="F284" s="921"/>
      <c r="G284" s="1277"/>
      <c r="H284" s="921"/>
      <c r="I284" s="1277"/>
      <c r="J284" s="921"/>
      <c r="K284" s="1277"/>
      <c r="L284" s="1277"/>
    </row>
    <row r="285" spans="2:12">
      <c r="B285" s="1277"/>
      <c r="C285" s="1277"/>
      <c r="D285" s="1277"/>
      <c r="E285" s="1277"/>
      <c r="F285" s="921"/>
      <c r="G285" s="1277"/>
      <c r="H285" s="921"/>
      <c r="I285" s="1277"/>
      <c r="J285" s="921"/>
      <c r="K285" s="1277"/>
      <c r="L285" s="1277"/>
    </row>
    <row r="286" spans="2:12">
      <c r="B286" s="1277"/>
      <c r="C286" s="1277"/>
      <c r="D286" s="1277"/>
      <c r="E286" s="1277"/>
      <c r="F286" s="921"/>
      <c r="G286" s="1277"/>
      <c r="H286" s="921"/>
      <c r="I286" s="1277"/>
      <c r="J286" s="921"/>
      <c r="K286" s="1277"/>
      <c r="L286" s="1277"/>
    </row>
    <row r="287" spans="2:12">
      <c r="B287" s="1277"/>
      <c r="C287" s="1277"/>
      <c r="D287" s="1277"/>
      <c r="E287" s="1277"/>
      <c r="F287" s="921"/>
      <c r="G287" s="1277"/>
      <c r="H287" s="921"/>
      <c r="I287" s="1277"/>
      <c r="J287" s="921"/>
      <c r="K287" s="1277"/>
      <c r="L287" s="1277"/>
    </row>
    <row r="288" spans="2:12">
      <c r="B288" s="1277"/>
      <c r="C288" s="1277"/>
      <c r="D288" s="1277"/>
      <c r="E288" s="1277"/>
      <c r="F288" s="921"/>
      <c r="G288" s="1277"/>
      <c r="H288" s="921"/>
      <c r="I288" s="1277"/>
      <c r="J288" s="921"/>
      <c r="K288" s="1277"/>
      <c r="L288" s="1277"/>
    </row>
    <row r="289" spans="2:12">
      <c r="B289" s="1277"/>
      <c r="C289" s="1277"/>
      <c r="D289" s="1277"/>
      <c r="E289" s="1277"/>
      <c r="F289" s="921"/>
      <c r="G289" s="1277"/>
      <c r="H289" s="921"/>
      <c r="I289" s="1277"/>
      <c r="J289" s="921"/>
      <c r="K289" s="1277"/>
      <c r="L289" s="1277"/>
    </row>
    <row r="290" spans="2:12">
      <c r="B290" s="1277"/>
      <c r="C290" s="1277"/>
      <c r="D290" s="1277"/>
      <c r="E290" s="1277"/>
      <c r="F290" s="921"/>
      <c r="G290" s="1277"/>
      <c r="H290" s="921"/>
      <c r="I290" s="1277"/>
      <c r="J290" s="921"/>
      <c r="K290" s="1277"/>
      <c r="L290" s="1277"/>
    </row>
    <row r="291" spans="2:12">
      <c r="B291" s="1277"/>
      <c r="C291" s="1277"/>
      <c r="D291" s="1277"/>
      <c r="E291" s="1277"/>
      <c r="F291" s="921"/>
      <c r="G291" s="1277"/>
      <c r="H291" s="921"/>
      <c r="I291" s="1277"/>
      <c r="J291" s="921"/>
      <c r="K291" s="1277"/>
      <c r="L291" s="1277"/>
    </row>
    <row r="292" spans="2:12">
      <c r="B292" s="1277"/>
      <c r="C292" s="1277"/>
      <c r="D292" s="1277"/>
      <c r="E292" s="1277"/>
      <c r="F292" s="921"/>
      <c r="G292" s="1277"/>
      <c r="H292" s="921"/>
      <c r="I292" s="1277"/>
      <c r="J292" s="921"/>
      <c r="K292" s="1277"/>
      <c r="L292" s="1277"/>
    </row>
    <row r="293" spans="2:12">
      <c r="B293" s="1277"/>
      <c r="C293" s="1277"/>
      <c r="D293" s="1277"/>
      <c r="E293" s="1277"/>
      <c r="F293" s="921"/>
      <c r="G293" s="1277"/>
      <c r="H293" s="921"/>
      <c r="I293" s="1277"/>
      <c r="J293" s="921"/>
      <c r="K293" s="1277"/>
      <c r="L293" s="1277"/>
    </row>
    <row r="294" spans="2:12">
      <c r="B294" s="1277"/>
      <c r="C294" s="1277"/>
      <c r="D294" s="1277"/>
      <c r="E294" s="1277"/>
      <c r="F294" s="921"/>
      <c r="G294" s="1277"/>
      <c r="H294" s="921"/>
      <c r="I294" s="1277"/>
      <c r="J294" s="921"/>
      <c r="K294" s="1277"/>
      <c r="L294" s="1277"/>
    </row>
    <row r="295" spans="2:12">
      <c r="B295" s="1277"/>
      <c r="C295" s="1277"/>
      <c r="D295" s="1277"/>
      <c r="E295" s="1277"/>
      <c r="F295" s="921"/>
      <c r="G295" s="1277"/>
      <c r="H295" s="921"/>
      <c r="I295" s="1277"/>
      <c r="J295" s="921"/>
      <c r="K295" s="1277"/>
      <c r="L295" s="1277"/>
    </row>
    <row r="296" spans="2:12">
      <c r="B296" s="1277"/>
      <c r="C296" s="1277"/>
      <c r="D296" s="1277"/>
      <c r="E296" s="1277"/>
      <c r="F296" s="921"/>
      <c r="G296" s="1277"/>
      <c r="H296" s="921"/>
      <c r="I296" s="1277"/>
      <c r="J296" s="921"/>
      <c r="K296" s="1277"/>
      <c r="L296" s="1277"/>
    </row>
    <row r="297" spans="2:12">
      <c r="B297" s="1277"/>
      <c r="C297" s="1277"/>
      <c r="D297" s="1277"/>
      <c r="E297" s="1277"/>
      <c r="F297" s="921"/>
      <c r="G297" s="1277"/>
      <c r="H297" s="921"/>
      <c r="I297" s="1277"/>
      <c r="J297" s="921"/>
      <c r="K297" s="1277"/>
      <c r="L297" s="1277"/>
    </row>
    <row r="298" spans="2:12">
      <c r="B298" s="1277"/>
      <c r="C298" s="1277"/>
      <c r="D298" s="1277"/>
      <c r="E298" s="1277"/>
      <c r="F298" s="921"/>
      <c r="G298" s="1277"/>
      <c r="H298" s="921"/>
      <c r="I298" s="1277"/>
      <c r="J298" s="921"/>
      <c r="K298" s="1277"/>
      <c r="L298" s="1277"/>
    </row>
    <row r="299" spans="2:12">
      <c r="B299" s="1277"/>
      <c r="C299" s="1277"/>
      <c r="D299" s="1277"/>
      <c r="E299" s="1277"/>
      <c r="F299" s="921"/>
      <c r="G299" s="1277"/>
      <c r="H299" s="921"/>
      <c r="I299" s="1277"/>
      <c r="J299" s="921"/>
      <c r="K299" s="1277"/>
      <c r="L299" s="1277"/>
    </row>
    <row r="300" spans="2:12">
      <c r="B300" s="1277"/>
      <c r="C300" s="1277"/>
      <c r="D300" s="1277"/>
      <c r="E300" s="1277"/>
      <c r="F300" s="921"/>
      <c r="G300" s="1277"/>
      <c r="H300" s="921"/>
      <c r="I300" s="1277"/>
      <c r="J300" s="921"/>
      <c r="K300" s="1277"/>
      <c r="L300" s="1277"/>
    </row>
    <row r="301" spans="2:12">
      <c r="B301" s="1277"/>
      <c r="C301" s="1277"/>
      <c r="D301" s="1277"/>
      <c r="E301" s="1277"/>
      <c r="F301" s="921"/>
      <c r="G301" s="1277"/>
      <c r="H301" s="921"/>
      <c r="I301" s="1277"/>
      <c r="J301" s="921"/>
      <c r="K301" s="1277"/>
      <c r="L301" s="1277"/>
    </row>
    <row r="302" spans="2:12">
      <c r="B302" s="1277"/>
      <c r="C302" s="1277"/>
      <c r="D302" s="1277"/>
      <c r="E302" s="1277"/>
      <c r="F302" s="921"/>
      <c r="G302" s="1277"/>
      <c r="H302" s="921"/>
      <c r="I302" s="1277"/>
      <c r="J302" s="921"/>
      <c r="K302" s="1277"/>
      <c r="L302" s="1277"/>
    </row>
    <row r="303" spans="2:12">
      <c r="B303" s="1277"/>
      <c r="C303" s="1277"/>
      <c r="D303" s="1277"/>
      <c r="E303" s="1277"/>
      <c r="F303" s="921"/>
      <c r="G303" s="1277"/>
      <c r="H303" s="921"/>
      <c r="I303" s="1277"/>
      <c r="J303" s="921"/>
      <c r="K303" s="1277"/>
      <c r="L303" s="1277"/>
    </row>
    <row r="304" spans="2:12">
      <c r="B304" s="1277"/>
      <c r="C304" s="1277"/>
      <c r="D304" s="1277"/>
      <c r="E304" s="1277"/>
      <c r="F304" s="921"/>
      <c r="G304" s="1277"/>
      <c r="H304" s="921"/>
      <c r="I304" s="1277"/>
      <c r="J304" s="921"/>
      <c r="K304" s="1277"/>
      <c r="L304" s="1277"/>
    </row>
    <row r="305" spans="2:12">
      <c r="B305" s="1277"/>
      <c r="C305" s="1277"/>
      <c r="D305" s="1277"/>
      <c r="E305" s="1277"/>
      <c r="F305" s="921"/>
      <c r="G305" s="1277"/>
      <c r="H305" s="921"/>
      <c r="I305" s="1277"/>
      <c r="J305" s="921"/>
      <c r="K305" s="1277"/>
      <c r="L305" s="1277"/>
    </row>
    <row r="306" spans="2:12">
      <c r="B306" s="1277"/>
      <c r="C306" s="1277"/>
      <c r="D306" s="1277"/>
      <c r="E306" s="1277"/>
      <c r="F306" s="921"/>
      <c r="G306" s="1277"/>
      <c r="H306" s="921"/>
      <c r="I306" s="1277"/>
      <c r="J306" s="921"/>
      <c r="K306" s="1277"/>
      <c r="L306" s="1277"/>
    </row>
    <row r="307" spans="2:12">
      <c r="B307" s="1277"/>
      <c r="C307" s="1277"/>
      <c r="D307" s="1277"/>
      <c r="E307" s="1277"/>
      <c r="F307" s="921"/>
      <c r="G307" s="1277"/>
      <c r="H307" s="921"/>
      <c r="I307" s="1277"/>
      <c r="J307" s="921"/>
      <c r="K307" s="1277"/>
      <c r="L307" s="1277"/>
    </row>
    <row r="308" spans="2:12">
      <c r="B308" s="1277"/>
      <c r="C308" s="1277"/>
      <c r="D308" s="1277"/>
      <c r="E308" s="1277"/>
      <c r="F308" s="921"/>
      <c r="G308" s="1277"/>
      <c r="H308" s="921"/>
      <c r="I308" s="1277"/>
      <c r="J308" s="921"/>
      <c r="K308" s="1277"/>
      <c r="L308" s="1277"/>
    </row>
    <row r="309" spans="2:12">
      <c r="B309" s="1277"/>
      <c r="C309" s="1277"/>
      <c r="D309" s="1277"/>
      <c r="E309" s="1277"/>
      <c r="F309" s="921"/>
      <c r="G309" s="1277"/>
      <c r="H309" s="921"/>
      <c r="I309" s="1277"/>
      <c r="J309" s="921"/>
      <c r="K309" s="1277"/>
      <c r="L309" s="1277"/>
    </row>
    <row r="310" spans="2:12">
      <c r="B310" s="1277"/>
      <c r="C310" s="1277"/>
      <c r="D310" s="1277"/>
      <c r="E310" s="1277"/>
      <c r="F310" s="921"/>
      <c r="G310" s="1277"/>
      <c r="H310" s="921"/>
      <c r="I310" s="1277"/>
      <c r="J310" s="921"/>
      <c r="K310" s="1277"/>
      <c r="L310" s="1277"/>
    </row>
    <row r="311" spans="2:12">
      <c r="B311" s="1277"/>
      <c r="C311" s="1277"/>
      <c r="D311" s="1277"/>
      <c r="E311" s="1277"/>
      <c r="F311" s="921"/>
      <c r="G311" s="1277"/>
      <c r="H311" s="921"/>
      <c r="I311" s="1277"/>
      <c r="J311" s="921"/>
      <c r="K311" s="1277"/>
      <c r="L311" s="1277"/>
    </row>
    <row r="312" spans="2:12">
      <c r="B312" s="1277"/>
      <c r="C312" s="1277"/>
      <c r="D312" s="1277"/>
      <c r="E312" s="1277"/>
      <c r="F312" s="921"/>
      <c r="G312" s="1277"/>
      <c r="H312" s="921"/>
      <c r="I312" s="1277"/>
      <c r="J312" s="921"/>
      <c r="K312" s="1277"/>
      <c r="L312" s="1277"/>
    </row>
    <row r="313" spans="2:12">
      <c r="B313" s="1277"/>
      <c r="C313" s="1277"/>
      <c r="D313" s="1277"/>
      <c r="E313" s="1277"/>
      <c r="F313" s="921"/>
      <c r="G313" s="1277"/>
      <c r="H313" s="921"/>
      <c r="I313" s="1277"/>
      <c r="J313" s="921"/>
      <c r="K313" s="1277"/>
      <c r="L313" s="1277"/>
    </row>
    <row r="314" spans="2:12">
      <c r="B314" s="1277"/>
      <c r="C314" s="1277"/>
      <c r="D314" s="1277"/>
      <c r="E314" s="1277"/>
      <c r="F314" s="921"/>
      <c r="G314" s="1277"/>
      <c r="H314" s="921"/>
      <c r="I314" s="1277"/>
      <c r="J314" s="921"/>
      <c r="K314" s="1277"/>
      <c r="L314" s="1277"/>
    </row>
    <row r="315" spans="2:12">
      <c r="B315" s="1277"/>
      <c r="C315" s="1277"/>
      <c r="D315" s="1277"/>
      <c r="E315" s="1277"/>
      <c r="F315" s="921"/>
      <c r="G315" s="1277"/>
      <c r="H315" s="921"/>
      <c r="I315" s="1277"/>
      <c r="J315" s="921"/>
      <c r="K315" s="1277"/>
      <c r="L315" s="1277"/>
    </row>
    <row r="316" spans="2:12">
      <c r="B316" s="1277"/>
      <c r="C316" s="1277"/>
      <c r="D316" s="1277"/>
      <c r="E316" s="1277"/>
      <c r="F316" s="921"/>
      <c r="G316" s="1277"/>
      <c r="H316" s="921"/>
      <c r="I316" s="1277"/>
      <c r="J316" s="921"/>
      <c r="K316" s="1277"/>
      <c r="L316" s="1277"/>
    </row>
    <row r="317" spans="2:12">
      <c r="B317" s="1277"/>
      <c r="C317" s="1277"/>
      <c r="D317" s="1277"/>
      <c r="E317" s="1277"/>
      <c r="F317" s="921"/>
      <c r="G317" s="1277"/>
      <c r="H317" s="921"/>
      <c r="I317" s="1277"/>
      <c r="J317" s="921"/>
      <c r="K317" s="1277"/>
      <c r="L317" s="1277"/>
    </row>
    <row r="318" spans="2:12">
      <c r="B318" s="1277"/>
      <c r="C318" s="1277"/>
      <c r="D318" s="1277"/>
      <c r="E318" s="1277"/>
      <c r="F318" s="921"/>
      <c r="G318" s="1277"/>
      <c r="H318" s="921"/>
      <c r="I318" s="1277"/>
      <c r="J318" s="921"/>
      <c r="K318" s="1277"/>
      <c r="L318" s="1277"/>
    </row>
    <row r="319" spans="2:12">
      <c r="B319" s="1277"/>
      <c r="C319" s="1277"/>
      <c r="D319" s="1277"/>
      <c r="E319" s="1277"/>
      <c r="F319" s="921"/>
      <c r="G319" s="1277"/>
      <c r="H319" s="921"/>
      <c r="I319" s="1277"/>
      <c r="J319" s="921"/>
      <c r="K319" s="1277"/>
      <c r="L319" s="1277"/>
    </row>
    <row r="320" spans="2:12">
      <c r="B320" s="1277"/>
      <c r="C320" s="1277"/>
      <c r="D320" s="1277"/>
      <c r="E320" s="1277"/>
      <c r="F320" s="921"/>
      <c r="G320" s="1277"/>
      <c r="H320" s="921"/>
      <c r="I320" s="1277"/>
      <c r="J320" s="921"/>
      <c r="K320" s="1277"/>
      <c r="L320" s="1277"/>
    </row>
    <row r="321" spans="2:12">
      <c r="B321" s="1277"/>
      <c r="C321" s="1277"/>
      <c r="D321" s="1277"/>
      <c r="E321" s="1277"/>
      <c r="F321" s="921"/>
      <c r="G321" s="1277"/>
      <c r="H321" s="921"/>
      <c r="I321" s="1277"/>
      <c r="J321" s="921"/>
      <c r="K321" s="1277"/>
      <c r="L321" s="1277"/>
    </row>
    <row r="322" spans="2:12">
      <c r="B322" s="1277"/>
      <c r="C322" s="1277"/>
      <c r="D322" s="1277"/>
      <c r="E322" s="1277"/>
      <c r="F322" s="921"/>
      <c r="G322" s="1277"/>
      <c r="H322" s="921"/>
      <c r="I322" s="1277"/>
      <c r="J322" s="921"/>
      <c r="K322" s="1277"/>
      <c r="L322" s="1277"/>
    </row>
    <row r="323" spans="2:12">
      <c r="B323" s="1277"/>
      <c r="C323" s="1277"/>
      <c r="D323" s="1277"/>
      <c r="E323" s="1277"/>
      <c r="F323" s="921"/>
      <c r="G323" s="1277"/>
      <c r="H323" s="921"/>
      <c r="I323" s="1277"/>
      <c r="J323" s="921"/>
      <c r="K323" s="1277"/>
      <c r="L323" s="1277"/>
    </row>
    <row r="324" spans="2:12">
      <c r="B324" s="1277"/>
      <c r="C324" s="1277"/>
      <c r="D324" s="1277"/>
      <c r="E324" s="1277"/>
      <c r="F324" s="921"/>
      <c r="G324" s="1277"/>
      <c r="H324" s="921"/>
      <c r="I324" s="1277"/>
      <c r="J324" s="921"/>
      <c r="K324" s="1277"/>
      <c r="L324" s="1277"/>
    </row>
    <row r="325" spans="2:12">
      <c r="B325" s="1277"/>
      <c r="C325" s="1277"/>
      <c r="D325" s="1277"/>
      <c r="E325" s="1277"/>
      <c r="F325" s="921"/>
      <c r="G325" s="1277"/>
      <c r="H325" s="921"/>
      <c r="I325" s="1277"/>
      <c r="J325" s="921"/>
      <c r="K325" s="1277"/>
      <c r="L325" s="1277"/>
    </row>
    <row r="326" spans="2:12">
      <c r="B326" s="1277"/>
      <c r="C326" s="1277"/>
      <c r="D326" s="1277"/>
      <c r="E326" s="1277"/>
      <c r="F326" s="921"/>
      <c r="G326" s="1277"/>
      <c r="H326" s="921"/>
      <c r="I326" s="1277"/>
      <c r="J326" s="921"/>
      <c r="K326" s="1277"/>
      <c r="L326" s="1277"/>
    </row>
    <row r="327" spans="2:12">
      <c r="B327" s="1277"/>
      <c r="C327" s="1277"/>
      <c r="D327" s="1277"/>
      <c r="E327" s="1277"/>
      <c r="F327" s="921"/>
      <c r="G327" s="1277"/>
      <c r="H327" s="921"/>
      <c r="I327" s="1277"/>
      <c r="J327" s="921"/>
      <c r="K327" s="1277"/>
      <c r="L327" s="1277"/>
    </row>
    <row r="328" spans="2:12">
      <c r="B328" s="1277"/>
      <c r="C328" s="1277"/>
      <c r="D328" s="1277"/>
      <c r="E328" s="1277"/>
      <c r="F328" s="921"/>
      <c r="G328" s="1277"/>
      <c r="H328" s="921"/>
      <c r="I328" s="1277"/>
      <c r="J328" s="921"/>
      <c r="K328" s="1277"/>
      <c r="L328" s="1277"/>
    </row>
    <row r="329" spans="2:12">
      <c r="B329" s="1277"/>
      <c r="C329" s="1277"/>
      <c r="D329" s="1277"/>
      <c r="E329" s="1277"/>
      <c r="F329" s="921"/>
      <c r="G329" s="1277"/>
      <c r="H329" s="921"/>
      <c r="I329" s="1277"/>
      <c r="J329" s="921"/>
      <c r="K329" s="1277"/>
      <c r="L329" s="1277"/>
    </row>
    <row r="330" spans="2:12">
      <c r="B330" s="1277"/>
      <c r="C330" s="1277"/>
      <c r="D330" s="1277"/>
      <c r="E330" s="1277"/>
      <c r="F330" s="921"/>
      <c r="G330" s="1277"/>
      <c r="H330" s="921"/>
      <c r="I330" s="1277"/>
      <c r="J330" s="921"/>
      <c r="K330" s="1277"/>
      <c r="L330" s="1277"/>
    </row>
    <row r="331" spans="2:12">
      <c r="B331" s="1277"/>
      <c r="C331" s="1277"/>
      <c r="D331" s="1277"/>
      <c r="E331" s="1277"/>
      <c r="F331" s="921"/>
      <c r="G331" s="1277"/>
      <c r="H331" s="921"/>
      <c r="I331" s="1277"/>
      <c r="J331" s="921"/>
      <c r="K331" s="1277"/>
      <c r="L331" s="1277"/>
    </row>
    <row r="332" spans="2:12">
      <c r="B332" s="1277"/>
      <c r="C332" s="1277"/>
      <c r="D332" s="1277"/>
      <c r="E332" s="1277"/>
      <c r="F332" s="921"/>
      <c r="G332" s="1277"/>
      <c r="H332" s="921"/>
      <c r="I332" s="1277"/>
      <c r="J332" s="921"/>
      <c r="K332" s="1277"/>
      <c r="L332" s="1277"/>
    </row>
    <row r="333" spans="2:12">
      <c r="B333" s="1277"/>
      <c r="C333" s="1277"/>
      <c r="D333" s="1277"/>
      <c r="E333" s="1277"/>
      <c r="F333" s="921"/>
      <c r="G333" s="1277"/>
      <c r="H333" s="921"/>
      <c r="I333" s="1277"/>
      <c r="J333" s="921"/>
      <c r="K333" s="1277"/>
      <c r="L333" s="1277"/>
    </row>
    <row r="334" spans="2:12">
      <c r="B334" s="1277"/>
      <c r="C334" s="1277"/>
      <c r="D334" s="1277"/>
      <c r="E334" s="1277"/>
      <c r="F334" s="921"/>
      <c r="G334" s="1277"/>
      <c r="H334" s="921"/>
      <c r="I334" s="1277"/>
      <c r="J334" s="921"/>
      <c r="K334" s="1277"/>
      <c r="L334" s="1277"/>
    </row>
    <row r="335" spans="2:12">
      <c r="B335" s="1277"/>
      <c r="C335" s="1277"/>
      <c r="D335" s="1277"/>
      <c r="E335" s="1277"/>
      <c r="F335" s="921"/>
      <c r="G335" s="1277"/>
      <c r="H335" s="921"/>
      <c r="I335" s="1277"/>
      <c r="J335" s="921"/>
      <c r="K335" s="1277"/>
      <c r="L335" s="1277"/>
    </row>
    <row r="336" spans="2:12">
      <c r="B336" s="1277"/>
      <c r="C336" s="1277"/>
      <c r="D336" s="1277"/>
      <c r="E336" s="1277"/>
      <c r="F336" s="921"/>
      <c r="G336" s="1277"/>
      <c r="H336" s="921"/>
      <c r="I336" s="1277"/>
      <c r="J336" s="921"/>
      <c r="K336" s="1277"/>
      <c r="L336" s="1277"/>
    </row>
    <row r="337" spans="2:12">
      <c r="B337" s="1277"/>
      <c r="C337" s="1277"/>
      <c r="D337" s="1277"/>
      <c r="E337" s="1277"/>
      <c r="F337" s="921"/>
      <c r="G337" s="1277"/>
      <c r="H337" s="921"/>
      <c r="I337" s="1277"/>
      <c r="J337" s="921"/>
      <c r="K337" s="1277"/>
      <c r="L337" s="1277"/>
    </row>
    <row r="338" spans="2:12">
      <c r="B338" s="1277"/>
      <c r="C338" s="1277"/>
      <c r="D338" s="1277"/>
      <c r="E338" s="1277"/>
      <c r="F338" s="921"/>
      <c r="G338" s="1277"/>
      <c r="H338" s="921"/>
      <c r="I338" s="1277"/>
      <c r="J338" s="921"/>
      <c r="K338" s="1277"/>
      <c r="L338" s="1277"/>
    </row>
    <row r="339" spans="2:12">
      <c r="B339" s="1277"/>
      <c r="C339" s="1277"/>
      <c r="D339" s="1277"/>
      <c r="E339" s="1277"/>
      <c r="F339" s="921"/>
      <c r="G339" s="1277"/>
      <c r="H339" s="921"/>
      <c r="I339" s="1277"/>
      <c r="J339" s="921"/>
      <c r="K339" s="1277"/>
      <c r="L339" s="1277"/>
    </row>
    <row r="340" spans="2:12">
      <c r="B340" s="1277"/>
      <c r="C340" s="1277"/>
      <c r="D340" s="1277"/>
      <c r="E340" s="1277"/>
      <c r="F340" s="921"/>
      <c r="G340" s="1277"/>
      <c r="H340" s="921"/>
      <c r="I340" s="1277"/>
      <c r="J340" s="921"/>
      <c r="K340" s="1277"/>
      <c r="L340" s="1277"/>
    </row>
    <row r="341" spans="2:12">
      <c r="B341" s="1277"/>
      <c r="C341" s="1277"/>
      <c r="D341" s="1277"/>
      <c r="E341" s="1277"/>
      <c r="F341" s="921"/>
      <c r="G341" s="1277"/>
      <c r="H341" s="921"/>
      <c r="I341" s="1277"/>
      <c r="J341" s="921"/>
      <c r="K341" s="1277"/>
      <c r="L341" s="1277"/>
    </row>
    <row r="342" spans="2:12">
      <c r="B342" s="1277"/>
      <c r="C342" s="1277"/>
      <c r="D342" s="1277"/>
      <c r="E342" s="1277"/>
      <c r="F342" s="921"/>
      <c r="G342" s="1277"/>
      <c r="H342" s="921"/>
      <c r="I342" s="1277"/>
      <c r="J342" s="921"/>
      <c r="K342" s="1277"/>
      <c r="L342" s="1277"/>
    </row>
    <row r="343" spans="2:12">
      <c r="B343" s="1277"/>
      <c r="C343" s="1277"/>
      <c r="D343" s="1277"/>
      <c r="E343" s="1277"/>
      <c r="F343" s="921"/>
      <c r="G343" s="1277"/>
      <c r="H343" s="921"/>
      <c r="I343" s="1277"/>
      <c r="J343" s="921"/>
      <c r="K343" s="1277"/>
      <c r="L343" s="1277"/>
    </row>
    <row r="344" spans="2:12">
      <c r="B344" s="1277"/>
      <c r="C344" s="1277"/>
      <c r="D344" s="1277"/>
      <c r="E344" s="1277"/>
      <c r="F344" s="921"/>
      <c r="G344" s="1277"/>
      <c r="H344" s="921"/>
      <c r="I344" s="1277"/>
      <c r="J344" s="921"/>
      <c r="K344" s="1277"/>
      <c r="L344" s="1277"/>
    </row>
    <row r="345" spans="2:12">
      <c r="B345" s="1277"/>
      <c r="C345" s="1277"/>
      <c r="D345" s="1277"/>
      <c r="E345" s="1277"/>
      <c r="F345" s="921"/>
      <c r="G345" s="1277"/>
      <c r="H345" s="921"/>
      <c r="I345" s="1277"/>
      <c r="J345" s="921"/>
      <c r="K345" s="1277"/>
      <c r="L345" s="1277"/>
    </row>
    <row r="346" spans="2:12">
      <c r="B346" s="1277"/>
      <c r="C346" s="1277"/>
      <c r="D346" s="1277"/>
      <c r="E346" s="1277"/>
      <c r="F346" s="921"/>
      <c r="G346" s="1277"/>
      <c r="H346" s="921"/>
      <c r="I346" s="1277"/>
      <c r="J346" s="921"/>
      <c r="K346" s="1277"/>
      <c r="L346" s="1277"/>
    </row>
    <row r="347" spans="2:12">
      <c r="B347" s="1277"/>
      <c r="C347" s="1277"/>
      <c r="D347" s="1277"/>
      <c r="E347" s="1277"/>
      <c r="F347" s="921"/>
      <c r="G347" s="1277"/>
      <c r="H347" s="921"/>
      <c r="I347" s="1277"/>
      <c r="J347" s="921"/>
      <c r="K347" s="1277"/>
      <c r="L347" s="1277"/>
    </row>
    <row r="348" spans="2:12">
      <c r="B348" s="1277"/>
      <c r="C348" s="1277"/>
      <c r="D348" s="1277"/>
      <c r="E348" s="1277"/>
      <c r="F348" s="921"/>
      <c r="G348" s="1277"/>
      <c r="H348" s="921"/>
      <c r="I348" s="1277"/>
      <c r="J348" s="921"/>
      <c r="K348" s="1277"/>
      <c r="L348" s="1277"/>
    </row>
    <row r="349" spans="2:12">
      <c r="B349" s="1277"/>
      <c r="C349" s="1277"/>
      <c r="D349" s="1277"/>
      <c r="E349" s="1277"/>
      <c r="F349" s="921"/>
      <c r="G349" s="1277"/>
      <c r="H349" s="921"/>
      <c r="I349" s="1277"/>
      <c r="J349" s="921"/>
      <c r="K349" s="1277"/>
      <c r="L349" s="1277"/>
    </row>
    <row r="350" spans="2:12">
      <c r="B350" s="1277"/>
      <c r="C350" s="1277"/>
      <c r="D350" s="1277"/>
      <c r="E350" s="1277"/>
      <c r="F350" s="921"/>
      <c r="G350" s="1277"/>
      <c r="H350" s="921"/>
      <c r="I350" s="1277"/>
      <c r="J350" s="921"/>
      <c r="K350" s="1277"/>
      <c r="L350" s="1277"/>
    </row>
    <row r="351" spans="2:12">
      <c r="B351" s="1277"/>
      <c r="C351" s="1277"/>
      <c r="D351" s="1277"/>
      <c r="E351" s="1277"/>
      <c r="F351" s="921"/>
      <c r="G351" s="1277"/>
      <c r="H351" s="921"/>
      <c r="I351" s="1277"/>
      <c r="J351" s="921"/>
      <c r="K351" s="1277"/>
      <c r="L351" s="1277"/>
    </row>
    <row r="352" spans="2:12">
      <c r="B352" s="1277"/>
      <c r="C352" s="1277"/>
      <c r="D352" s="1277"/>
      <c r="E352" s="1277"/>
      <c r="F352" s="921"/>
      <c r="G352" s="1277"/>
      <c r="H352" s="921"/>
      <c r="I352" s="1277"/>
      <c r="J352" s="921"/>
      <c r="K352" s="1277"/>
      <c r="L352" s="1277"/>
    </row>
    <row r="353" spans="2:12">
      <c r="B353" s="1277"/>
      <c r="C353" s="1277"/>
      <c r="D353" s="1277"/>
      <c r="E353" s="1277"/>
      <c r="F353" s="921"/>
      <c r="G353" s="1277"/>
      <c r="H353" s="921"/>
      <c r="I353" s="1277"/>
      <c r="J353" s="921"/>
      <c r="K353" s="1277"/>
      <c r="L353" s="1277"/>
    </row>
    <row r="354" spans="2:12">
      <c r="B354" s="1277"/>
      <c r="C354" s="1277"/>
      <c r="D354" s="1277"/>
      <c r="E354" s="1277"/>
      <c r="F354" s="921"/>
      <c r="G354" s="1277"/>
      <c r="H354" s="921"/>
      <c r="I354" s="1277"/>
      <c r="J354" s="921"/>
      <c r="K354" s="1277"/>
      <c r="L354" s="1277"/>
    </row>
    <row r="355" spans="2:12">
      <c r="B355" s="1277"/>
      <c r="C355" s="1277"/>
      <c r="D355" s="1277"/>
      <c r="E355" s="1277"/>
      <c r="F355" s="921"/>
      <c r="G355" s="1277"/>
      <c r="H355" s="921"/>
      <c r="I355" s="1277"/>
      <c r="J355" s="921"/>
      <c r="K355" s="1277"/>
      <c r="L355" s="1277"/>
    </row>
    <row r="356" spans="2:12">
      <c r="B356" s="1277"/>
      <c r="C356" s="1277"/>
      <c r="D356" s="1277"/>
      <c r="E356" s="1277"/>
      <c r="F356" s="921"/>
      <c r="G356" s="1277"/>
      <c r="H356" s="921"/>
      <c r="I356" s="1277"/>
      <c r="J356" s="921"/>
      <c r="K356" s="1277"/>
      <c r="L356" s="1277"/>
    </row>
    <row r="357" spans="2:12">
      <c r="B357" s="1277"/>
      <c r="C357" s="1277"/>
      <c r="D357" s="1277"/>
      <c r="E357" s="1277"/>
      <c r="F357" s="921"/>
      <c r="G357" s="1277"/>
      <c r="H357" s="921"/>
      <c r="I357" s="1277"/>
      <c r="J357" s="921"/>
      <c r="K357" s="1277"/>
      <c r="L357" s="1277"/>
    </row>
    <row r="358" spans="2:12">
      <c r="B358" s="1277"/>
      <c r="C358" s="1277"/>
      <c r="D358" s="1277"/>
      <c r="E358" s="1277"/>
      <c r="F358" s="921"/>
      <c r="G358" s="1277"/>
      <c r="H358" s="921"/>
      <c r="I358" s="1277"/>
      <c r="J358" s="921"/>
      <c r="K358" s="1277"/>
      <c r="L358" s="1277"/>
    </row>
    <row r="359" spans="2:12">
      <c r="B359" s="1277"/>
      <c r="C359" s="1277"/>
      <c r="D359" s="1277"/>
      <c r="E359" s="1277"/>
      <c r="F359" s="921"/>
      <c r="G359" s="1277"/>
      <c r="H359" s="921"/>
      <c r="I359" s="1277"/>
      <c r="J359" s="921"/>
      <c r="K359" s="1277"/>
      <c r="L359" s="1277"/>
    </row>
    <row r="360" spans="2:12">
      <c r="B360" s="1277"/>
      <c r="C360" s="1277"/>
      <c r="D360" s="1277"/>
      <c r="E360" s="1277"/>
      <c r="F360" s="921"/>
      <c r="G360" s="1277"/>
      <c r="H360" s="921"/>
      <c r="I360" s="1277"/>
      <c r="J360" s="921"/>
      <c r="K360" s="1277"/>
      <c r="L360" s="1277"/>
    </row>
    <row r="361" spans="2:12">
      <c r="B361" s="1277"/>
      <c r="C361" s="1277"/>
      <c r="D361" s="1277"/>
      <c r="E361" s="1277"/>
      <c r="F361" s="921"/>
      <c r="G361" s="1277"/>
      <c r="H361" s="921"/>
      <c r="I361" s="1277"/>
      <c r="J361" s="921"/>
      <c r="K361" s="1277"/>
      <c r="L361" s="1277"/>
    </row>
    <row r="362" spans="2:12">
      <c r="B362" s="1277"/>
      <c r="C362" s="1277"/>
      <c r="D362" s="1277"/>
      <c r="E362" s="1277"/>
      <c r="F362" s="921"/>
      <c r="G362" s="1277"/>
      <c r="H362" s="921"/>
      <c r="I362" s="1277"/>
      <c r="J362" s="921"/>
      <c r="K362" s="1277"/>
      <c r="L362" s="1277"/>
    </row>
    <row r="363" spans="2:12">
      <c r="B363" s="1277"/>
      <c r="C363" s="1277"/>
      <c r="D363" s="1277"/>
      <c r="E363" s="1277"/>
      <c r="F363" s="921"/>
      <c r="G363" s="1277"/>
      <c r="H363" s="921"/>
      <c r="I363" s="1277"/>
      <c r="J363" s="921"/>
      <c r="K363" s="1277"/>
      <c r="L363" s="1277"/>
    </row>
    <row r="364" spans="2:12">
      <c r="B364" s="1277"/>
      <c r="C364" s="1277"/>
      <c r="D364" s="1277"/>
      <c r="E364" s="1277"/>
      <c r="F364" s="921"/>
      <c r="G364" s="1277"/>
      <c r="H364" s="921"/>
      <c r="I364" s="1277"/>
      <c r="J364" s="921"/>
      <c r="K364" s="1277"/>
      <c r="L364" s="1277"/>
    </row>
    <row r="365" spans="2:12">
      <c r="B365" s="1277"/>
      <c r="C365" s="1277"/>
      <c r="D365" s="1277"/>
      <c r="E365" s="1277"/>
      <c r="F365" s="921"/>
      <c r="G365" s="1277"/>
      <c r="H365" s="921"/>
      <c r="I365" s="1277"/>
      <c r="J365" s="921"/>
      <c r="K365" s="1277"/>
      <c r="L365" s="1277"/>
    </row>
    <row r="366" spans="2:12">
      <c r="B366" s="1277"/>
      <c r="C366" s="1277"/>
      <c r="D366" s="1277"/>
      <c r="E366" s="1277"/>
      <c r="F366" s="921"/>
      <c r="G366" s="1277"/>
      <c r="H366" s="921"/>
      <c r="I366" s="1277"/>
      <c r="J366" s="921"/>
      <c r="K366" s="1277"/>
      <c r="L366" s="1277"/>
    </row>
    <row r="367" spans="2:12">
      <c r="B367" s="1277"/>
      <c r="C367" s="1277"/>
      <c r="D367" s="1277"/>
      <c r="E367" s="1277"/>
      <c r="F367" s="921"/>
      <c r="G367" s="1277"/>
      <c r="H367" s="921"/>
      <c r="I367" s="1277"/>
      <c r="J367" s="921"/>
      <c r="K367" s="1277"/>
      <c r="L367" s="1277"/>
    </row>
    <row r="368" spans="2:12">
      <c r="B368" s="1277"/>
      <c r="C368" s="1277"/>
      <c r="D368" s="1277"/>
      <c r="E368" s="1277"/>
      <c r="F368" s="921"/>
      <c r="G368" s="1277"/>
      <c r="H368" s="921"/>
      <c r="I368" s="1277"/>
      <c r="J368" s="921"/>
      <c r="K368" s="1277"/>
      <c r="L368" s="1277"/>
    </row>
    <row r="369" spans="2:24">
      <c r="B369" s="1277"/>
      <c r="C369" s="1277"/>
      <c r="D369" s="1277"/>
      <c r="E369" s="1277"/>
      <c r="F369" s="921"/>
      <c r="G369" s="1277"/>
      <c r="H369" s="921"/>
      <c r="I369" s="1277"/>
      <c r="J369" s="921"/>
      <c r="K369" s="1277"/>
      <c r="L369" s="1277"/>
    </row>
    <row r="370" spans="2:24">
      <c r="B370" s="1277"/>
      <c r="C370" s="1277"/>
      <c r="D370" s="1277"/>
      <c r="E370" s="1277"/>
      <c r="F370" s="921"/>
      <c r="G370" s="1277"/>
      <c r="H370" s="921"/>
      <c r="I370" s="1277"/>
      <c r="J370" s="921"/>
      <c r="K370" s="1277"/>
      <c r="L370" s="1277"/>
    </row>
    <row r="371" spans="2:24">
      <c r="B371" s="1277"/>
      <c r="C371" s="1277"/>
      <c r="D371" s="1277"/>
      <c r="E371" s="1277"/>
      <c r="F371" s="921"/>
      <c r="G371" s="1277"/>
      <c r="H371" s="921"/>
      <c r="I371" s="1277"/>
      <c r="J371" s="921"/>
      <c r="K371" s="1277"/>
      <c r="L371" s="1277"/>
    </row>
    <row r="372" spans="2:24">
      <c r="B372" s="1277"/>
      <c r="C372" s="1277"/>
      <c r="D372" s="1277"/>
      <c r="E372" s="1277"/>
      <c r="F372" s="921"/>
      <c r="G372" s="1277"/>
      <c r="H372" s="921"/>
      <c r="I372" s="1277"/>
      <c r="J372" s="921"/>
      <c r="K372" s="1277"/>
      <c r="L372" s="1277"/>
    </row>
    <row r="373" spans="2:24">
      <c r="B373" s="1277"/>
      <c r="C373" s="1277"/>
      <c r="D373" s="1277"/>
      <c r="E373" s="1277"/>
      <c r="F373" s="921"/>
      <c r="G373" s="1277"/>
      <c r="H373" s="921"/>
      <c r="I373" s="1277"/>
      <c r="J373" s="921"/>
      <c r="K373" s="1277"/>
      <c r="L373" s="1277"/>
    </row>
    <row r="374" spans="2:24">
      <c r="B374" s="1277"/>
      <c r="C374" s="1277"/>
      <c r="D374" s="1277"/>
      <c r="E374" s="1277"/>
      <c r="F374" s="921"/>
      <c r="G374" s="1277"/>
      <c r="H374" s="921"/>
      <c r="I374" s="1277"/>
      <c r="J374" s="921"/>
      <c r="K374" s="1277"/>
      <c r="L374" s="1277"/>
    </row>
    <row r="375" spans="2:24">
      <c r="B375" s="1277"/>
      <c r="C375" s="1277"/>
      <c r="D375" s="1277"/>
      <c r="E375" s="1277"/>
      <c r="F375" s="921"/>
      <c r="G375" s="1277"/>
      <c r="H375" s="921"/>
      <c r="I375" s="1277"/>
      <c r="J375" s="921"/>
      <c r="K375" s="1277"/>
      <c r="L375" s="1277"/>
    </row>
    <row r="376" spans="2:24">
      <c r="B376" s="1277"/>
      <c r="C376" s="1277"/>
      <c r="D376" s="1277"/>
      <c r="E376" s="1277"/>
      <c r="F376" s="921"/>
      <c r="G376" s="1277"/>
      <c r="H376" s="921"/>
      <c r="I376" s="1277"/>
      <c r="J376" s="921"/>
      <c r="K376" s="1277"/>
      <c r="L376" s="1277"/>
    </row>
    <row r="377" spans="2:24">
      <c r="B377" s="1277"/>
      <c r="C377" s="1277"/>
      <c r="D377" s="1277"/>
      <c r="E377" s="1277"/>
      <c r="F377" s="921"/>
      <c r="G377" s="1277"/>
      <c r="H377" s="921"/>
      <c r="I377" s="1277"/>
      <c r="J377" s="921"/>
      <c r="K377" s="1277"/>
      <c r="L377" s="1277"/>
    </row>
    <row r="378" spans="2:24">
      <c r="B378" s="1277"/>
      <c r="C378" s="1277"/>
      <c r="D378" s="1277"/>
      <c r="E378" s="1277"/>
      <c r="F378" s="921"/>
      <c r="G378" s="1277"/>
      <c r="H378" s="921"/>
      <c r="I378" s="1277"/>
      <c r="J378" s="921"/>
      <c r="K378" s="1277"/>
      <c r="L378" s="1277"/>
      <c r="M378" s="919"/>
      <c r="N378" s="919"/>
      <c r="V378" s="1277"/>
      <c r="W378" s="1277"/>
      <c r="X378" s="1277"/>
    </row>
    <row r="379" spans="2:24">
      <c r="B379" s="1277"/>
      <c r="C379" s="1277"/>
      <c r="D379" s="1277"/>
      <c r="E379" s="1277"/>
      <c r="F379" s="921"/>
      <c r="G379" s="1277"/>
      <c r="H379" s="921"/>
      <c r="I379" s="1277"/>
      <c r="J379" s="921"/>
      <c r="K379" s="1277"/>
      <c r="L379" s="1277"/>
      <c r="M379" s="919"/>
      <c r="N379" s="919"/>
      <c r="O379" s="919"/>
      <c r="P379" s="1277"/>
      <c r="Q379" s="1277"/>
      <c r="R379" s="1277"/>
      <c r="S379" s="1277"/>
      <c r="T379" s="1277"/>
      <c r="U379" s="1277"/>
      <c r="V379" s="1277"/>
      <c r="W379" s="1277"/>
      <c r="X379" s="1277"/>
    </row>
    <row r="380" spans="2:24">
      <c r="B380" s="1277"/>
      <c r="C380" s="1277"/>
      <c r="D380" s="1277"/>
      <c r="E380" s="1277"/>
      <c r="F380" s="921"/>
      <c r="G380" s="1277"/>
      <c r="H380" s="921"/>
      <c r="I380" s="1277"/>
      <c r="J380" s="921"/>
      <c r="K380" s="1277"/>
      <c r="L380" s="1277"/>
      <c r="M380" s="919"/>
      <c r="N380" s="919"/>
      <c r="O380" s="919"/>
      <c r="P380" s="1277"/>
      <c r="Q380" s="1277"/>
      <c r="R380" s="1277"/>
      <c r="S380" s="1277"/>
      <c r="T380" s="1277"/>
      <c r="U380" s="1277"/>
      <c r="V380" s="1277"/>
      <c r="W380" s="1277"/>
      <c r="X380" s="1277"/>
    </row>
    <row r="381" spans="2:24">
      <c r="B381" s="1277"/>
      <c r="C381" s="1277"/>
      <c r="D381" s="1277"/>
      <c r="E381" s="1277"/>
      <c r="F381" s="921"/>
      <c r="G381" s="1277"/>
      <c r="H381" s="921"/>
      <c r="I381" s="1277"/>
      <c r="J381" s="921"/>
      <c r="K381" s="1277"/>
      <c r="L381" s="1277"/>
      <c r="M381" s="919"/>
      <c r="N381" s="919"/>
      <c r="O381" s="919"/>
      <c r="P381" s="1277"/>
      <c r="Q381" s="1277"/>
      <c r="R381" s="1277"/>
      <c r="S381" s="1277"/>
      <c r="T381" s="1277"/>
      <c r="U381" s="1277"/>
      <c r="V381" s="1277"/>
      <c r="W381" s="1277"/>
      <c r="X381" s="1277"/>
    </row>
    <row r="382" spans="2:24">
      <c r="B382" s="1277"/>
      <c r="C382" s="1277"/>
      <c r="D382" s="1277"/>
      <c r="E382" s="1277"/>
      <c r="F382" s="921"/>
      <c r="G382" s="1277"/>
      <c r="H382" s="921"/>
      <c r="I382" s="1277"/>
      <c r="J382" s="921"/>
      <c r="K382" s="1277"/>
      <c r="L382" s="1277"/>
      <c r="M382" s="919"/>
      <c r="N382" s="919"/>
      <c r="O382" s="919"/>
      <c r="P382" s="1277"/>
      <c r="Q382" s="1277"/>
      <c r="R382" s="1277"/>
      <c r="S382" s="1277"/>
      <c r="T382" s="1277"/>
      <c r="U382" s="1277"/>
      <c r="V382" s="1277"/>
      <c r="W382" s="1277"/>
      <c r="X382" s="1277"/>
    </row>
    <row r="383" spans="2:24">
      <c r="B383" s="1277"/>
      <c r="C383" s="1277"/>
      <c r="D383" s="1277"/>
      <c r="E383" s="1277"/>
      <c r="F383" s="921"/>
      <c r="G383" s="1277"/>
      <c r="H383" s="921"/>
      <c r="I383" s="1277"/>
      <c r="J383" s="921"/>
      <c r="K383" s="1277"/>
      <c r="L383" s="1277"/>
      <c r="M383" s="919"/>
      <c r="N383" s="919"/>
      <c r="O383" s="919"/>
      <c r="P383" s="1277"/>
      <c r="Q383" s="1277"/>
      <c r="R383" s="1277"/>
      <c r="S383" s="1277"/>
      <c r="T383" s="1277"/>
      <c r="U383" s="1277"/>
      <c r="V383" s="1277"/>
      <c r="W383" s="1277"/>
      <c r="X383" s="1277"/>
    </row>
    <row r="384" spans="2:24">
      <c r="B384" s="1277"/>
      <c r="C384" s="1277"/>
      <c r="D384" s="1277"/>
      <c r="E384" s="1277"/>
      <c r="F384" s="921"/>
      <c r="G384" s="1277"/>
      <c r="H384" s="921"/>
      <c r="I384" s="1277"/>
      <c r="J384" s="921"/>
      <c r="K384" s="1277"/>
      <c r="L384" s="1277"/>
      <c r="M384" s="919"/>
      <c r="N384" s="919"/>
      <c r="O384" s="919"/>
      <c r="P384" s="1277"/>
      <c r="Q384" s="1277"/>
      <c r="R384" s="1277"/>
      <c r="S384" s="1277"/>
      <c r="T384" s="1277"/>
      <c r="U384" s="1277"/>
      <c r="V384" s="1277"/>
      <c r="W384" s="1277"/>
      <c r="X384" s="1277"/>
    </row>
    <row r="385" spans="2:24">
      <c r="B385" s="1277"/>
      <c r="C385" s="1277"/>
      <c r="D385" s="1277"/>
      <c r="E385" s="1277"/>
      <c r="F385" s="921"/>
      <c r="G385" s="1277"/>
      <c r="H385" s="921"/>
      <c r="I385" s="1277"/>
      <c r="J385" s="921"/>
      <c r="K385" s="1277"/>
      <c r="L385" s="1277"/>
      <c r="M385" s="919"/>
      <c r="N385" s="919"/>
      <c r="O385" s="919"/>
      <c r="P385" s="1277"/>
      <c r="Q385" s="1277"/>
      <c r="R385" s="1277"/>
      <c r="S385" s="1277"/>
      <c r="T385" s="1277"/>
      <c r="U385" s="1277"/>
      <c r="V385" s="1277"/>
      <c r="W385" s="1277"/>
      <c r="X385" s="1277"/>
    </row>
    <row r="386" spans="2:24">
      <c r="B386" s="1277"/>
      <c r="C386" s="1277"/>
      <c r="D386" s="1277"/>
      <c r="E386" s="1277"/>
      <c r="F386" s="921"/>
      <c r="G386" s="1277"/>
      <c r="H386" s="921"/>
      <c r="I386" s="1277"/>
      <c r="J386" s="921"/>
      <c r="K386" s="1277"/>
      <c r="L386" s="1277"/>
      <c r="M386" s="919"/>
      <c r="N386" s="919"/>
      <c r="O386" s="919"/>
      <c r="P386" s="1277"/>
      <c r="Q386" s="1277"/>
      <c r="R386" s="1277"/>
      <c r="S386" s="1277"/>
      <c r="T386" s="1277"/>
      <c r="U386" s="1277"/>
      <c r="V386" s="1277"/>
      <c r="W386" s="1277"/>
      <c r="X386" s="1277"/>
    </row>
    <row r="387" spans="2:24">
      <c r="B387" s="1277"/>
      <c r="C387" s="1277"/>
      <c r="D387" s="1277"/>
      <c r="E387" s="1277"/>
      <c r="F387" s="921"/>
      <c r="G387" s="1277"/>
      <c r="H387" s="921"/>
      <c r="I387" s="1277"/>
      <c r="J387" s="921"/>
      <c r="K387" s="1277"/>
      <c r="L387" s="1277"/>
      <c r="M387" s="919"/>
      <c r="N387" s="919"/>
      <c r="O387" s="919"/>
      <c r="P387" s="1277"/>
      <c r="Q387" s="1277"/>
      <c r="R387" s="1277"/>
      <c r="S387" s="1277"/>
      <c r="T387" s="1277"/>
      <c r="U387" s="1277"/>
      <c r="V387" s="1277"/>
      <c r="W387" s="1277"/>
      <c r="X387" s="1277"/>
    </row>
    <row r="388" spans="2:24">
      <c r="B388" s="1277"/>
      <c r="C388" s="1277"/>
      <c r="D388" s="1277"/>
      <c r="E388" s="1277"/>
      <c r="F388" s="921"/>
      <c r="G388" s="1277"/>
      <c r="H388" s="921"/>
      <c r="I388" s="1277"/>
      <c r="J388" s="921"/>
      <c r="K388" s="1277"/>
      <c r="L388" s="1277"/>
      <c r="M388" s="919"/>
      <c r="N388" s="919"/>
      <c r="O388" s="919"/>
      <c r="P388" s="1277"/>
      <c r="Q388" s="1277"/>
      <c r="R388" s="1277"/>
      <c r="S388" s="1277"/>
      <c r="T388" s="1277"/>
      <c r="U388" s="1277"/>
      <c r="V388" s="1277"/>
      <c r="W388" s="1277"/>
      <c r="X388" s="1277"/>
    </row>
    <row r="389" spans="2:24">
      <c r="B389" s="1277"/>
      <c r="C389" s="1277"/>
      <c r="D389" s="1277"/>
      <c r="E389" s="1277"/>
      <c r="F389" s="921"/>
      <c r="G389" s="1277"/>
      <c r="H389" s="921"/>
      <c r="I389" s="1277"/>
      <c r="J389" s="921"/>
      <c r="K389" s="1277"/>
      <c r="L389" s="1277"/>
      <c r="M389" s="919"/>
      <c r="N389" s="919"/>
      <c r="O389" s="919"/>
      <c r="P389" s="1277"/>
      <c r="Q389" s="1277"/>
      <c r="R389" s="1277"/>
      <c r="S389" s="1277"/>
      <c r="T389" s="1277"/>
      <c r="U389" s="1277"/>
      <c r="V389" s="1277"/>
      <c r="W389" s="1277"/>
      <c r="X389" s="1277"/>
    </row>
    <row r="390" spans="2:24">
      <c r="B390" s="1277"/>
      <c r="C390" s="1277"/>
      <c r="D390" s="1277"/>
      <c r="E390" s="1277"/>
      <c r="F390" s="921"/>
      <c r="G390" s="1277"/>
      <c r="H390" s="921"/>
      <c r="I390" s="1277"/>
      <c r="J390" s="921"/>
      <c r="K390" s="1277"/>
      <c r="L390" s="1277"/>
      <c r="M390" s="919"/>
      <c r="N390" s="919"/>
      <c r="O390" s="919"/>
      <c r="P390" s="1277"/>
      <c r="Q390" s="1277"/>
      <c r="R390" s="1277"/>
      <c r="S390" s="1277"/>
      <c r="T390" s="1277"/>
      <c r="U390" s="1277"/>
      <c r="V390" s="1277"/>
      <c r="W390" s="1277"/>
      <c r="X390" s="1277"/>
    </row>
    <row r="391" spans="2:24">
      <c r="B391" s="1277"/>
      <c r="C391" s="1277"/>
      <c r="D391" s="1277"/>
      <c r="E391" s="1277"/>
      <c r="F391" s="921"/>
      <c r="G391" s="1277"/>
      <c r="H391" s="921"/>
      <c r="I391" s="1277"/>
      <c r="J391" s="921"/>
      <c r="K391" s="1277"/>
      <c r="L391" s="1277"/>
      <c r="M391" s="919"/>
      <c r="N391" s="919"/>
      <c r="O391" s="919"/>
      <c r="P391" s="1277"/>
      <c r="Q391" s="1277"/>
      <c r="R391" s="1277"/>
      <c r="S391" s="1277"/>
      <c r="T391" s="1277"/>
      <c r="U391" s="1277"/>
      <c r="V391" s="1277"/>
      <c r="W391" s="1277"/>
      <c r="X391" s="1277"/>
    </row>
    <row r="392" spans="2:24">
      <c r="B392" s="1277"/>
      <c r="C392" s="1277"/>
      <c r="D392" s="1277"/>
      <c r="E392" s="1277"/>
      <c r="F392" s="921"/>
      <c r="G392" s="1277"/>
      <c r="H392" s="921"/>
      <c r="I392" s="1277"/>
      <c r="J392" s="921"/>
      <c r="K392" s="1277"/>
      <c r="L392" s="1277"/>
      <c r="M392" s="919"/>
      <c r="N392" s="919"/>
      <c r="O392" s="919"/>
      <c r="P392" s="1277"/>
      <c r="Q392" s="1277"/>
      <c r="R392" s="1277"/>
      <c r="S392" s="1277"/>
      <c r="T392" s="1277"/>
      <c r="U392" s="1277"/>
      <c r="V392" s="1277"/>
      <c r="W392" s="1277"/>
      <c r="X392" s="1277"/>
    </row>
    <row r="393" spans="2:24">
      <c r="B393" s="1277"/>
      <c r="C393" s="1277"/>
      <c r="D393" s="1277"/>
      <c r="E393" s="1277"/>
      <c r="F393" s="921"/>
      <c r="G393" s="1277"/>
      <c r="H393" s="921"/>
      <c r="I393" s="1277"/>
      <c r="J393" s="921"/>
      <c r="K393" s="1277"/>
      <c r="L393" s="1277"/>
      <c r="M393" s="919"/>
      <c r="N393" s="919"/>
      <c r="O393" s="919"/>
      <c r="P393" s="1277"/>
      <c r="Q393" s="1277"/>
      <c r="R393" s="1277"/>
      <c r="S393" s="1277"/>
      <c r="T393" s="1277"/>
      <c r="U393" s="1277"/>
      <c r="V393" s="1277"/>
      <c r="W393" s="1277"/>
      <c r="X393" s="1277"/>
    </row>
    <row r="394" spans="2:24">
      <c r="F394" s="921"/>
      <c r="G394" s="1277"/>
      <c r="H394" s="921"/>
      <c r="I394" s="1277"/>
      <c r="J394" s="921"/>
      <c r="K394" s="1277"/>
      <c r="L394" s="1277"/>
      <c r="M394" s="919"/>
      <c r="N394" s="919"/>
      <c r="O394" s="919"/>
      <c r="P394" s="1277"/>
      <c r="Q394" s="1277"/>
      <c r="R394" s="1277"/>
      <c r="S394" s="1277"/>
      <c r="T394" s="1277"/>
      <c r="U394" s="1277"/>
      <c r="V394" s="1277"/>
      <c r="W394" s="1277"/>
      <c r="X394" s="1277"/>
    </row>
    <row r="395" spans="2:24">
      <c r="F395" s="921"/>
      <c r="G395" s="1277"/>
      <c r="H395" s="921"/>
      <c r="I395" s="1277"/>
      <c r="J395" s="921"/>
      <c r="K395" s="1277"/>
      <c r="L395" s="1277"/>
      <c r="M395" s="919"/>
      <c r="N395" s="919"/>
      <c r="O395" s="919"/>
      <c r="P395" s="1277"/>
      <c r="Q395" s="1277"/>
      <c r="R395" s="1277"/>
      <c r="S395" s="1277"/>
      <c r="T395" s="1277"/>
      <c r="U395" s="1277"/>
      <c r="V395" s="1277"/>
      <c r="W395" s="1277"/>
      <c r="X395" s="1277"/>
    </row>
    <row r="396" spans="2:24">
      <c r="F396" s="921"/>
      <c r="G396" s="1277"/>
      <c r="H396" s="921"/>
      <c r="I396" s="1277"/>
      <c r="J396" s="921"/>
      <c r="K396" s="1277"/>
      <c r="L396" s="1277"/>
      <c r="M396" s="919"/>
      <c r="N396" s="919"/>
      <c r="O396" s="919"/>
      <c r="P396" s="1277"/>
      <c r="Q396" s="1277"/>
      <c r="R396" s="1277"/>
      <c r="S396" s="1277"/>
      <c r="T396" s="1277"/>
      <c r="U396" s="1277"/>
      <c r="V396" s="1277"/>
      <c r="W396" s="1277"/>
      <c r="X396" s="1277"/>
    </row>
    <row r="397" spans="2:24">
      <c r="F397" s="921"/>
      <c r="G397" s="1277"/>
      <c r="H397" s="921"/>
      <c r="I397" s="1277"/>
      <c r="J397" s="921"/>
      <c r="K397" s="1277"/>
      <c r="L397" s="1277"/>
      <c r="M397" s="919"/>
      <c r="N397" s="919"/>
      <c r="O397" s="919"/>
      <c r="P397" s="1277"/>
      <c r="Q397" s="1277"/>
      <c r="R397" s="1277"/>
      <c r="S397" s="1277"/>
      <c r="T397" s="1277"/>
      <c r="U397" s="1277"/>
      <c r="V397" s="1277"/>
      <c r="W397" s="1277"/>
      <c r="X397" s="1277"/>
    </row>
    <row r="398" spans="2:24">
      <c r="F398" s="921"/>
      <c r="G398" s="1277"/>
      <c r="H398" s="921"/>
      <c r="I398" s="1277"/>
      <c r="J398" s="921"/>
      <c r="K398" s="1277"/>
      <c r="L398" s="1277"/>
      <c r="M398" s="919"/>
      <c r="N398" s="919"/>
      <c r="O398" s="919"/>
      <c r="P398" s="1277"/>
      <c r="Q398" s="1277"/>
      <c r="R398" s="1277"/>
      <c r="S398" s="1277"/>
      <c r="T398" s="1277"/>
      <c r="U398" s="1277"/>
      <c r="V398" s="1277"/>
      <c r="W398" s="1277"/>
      <c r="X398" s="1277"/>
    </row>
    <row r="399" spans="2:24">
      <c r="F399" s="921"/>
      <c r="G399" s="1277"/>
      <c r="H399" s="921"/>
      <c r="I399" s="1277"/>
      <c r="J399" s="921"/>
      <c r="K399" s="1277"/>
      <c r="L399" s="1277"/>
      <c r="M399" s="919"/>
      <c r="N399" s="919"/>
      <c r="O399" s="919"/>
      <c r="P399" s="1277"/>
      <c r="Q399" s="1277"/>
      <c r="R399" s="1277"/>
      <c r="S399" s="1277"/>
      <c r="T399" s="1277"/>
      <c r="U399" s="1277"/>
      <c r="V399" s="1277"/>
      <c r="W399" s="1277"/>
      <c r="X399" s="1277"/>
    </row>
    <row r="400" spans="2:24">
      <c r="F400" s="921"/>
      <c r="G400" s="1277"/>
      <c r="H400" s="921"/>
      <c r="I400" s="1277"/>
      <c r="J400" s="921"/>
      <c r="K400" s="1277"/>
      <c r="L400" s="1277"/>
      <c r="M400" s="919"/>
      <c r="N400" s="919"/>
      <c r="O400" s="919"/>
      <c r="P400" s="1277"/>
      <c r="Q400" s="1277"/>
      <c r="R400" s="1277"/>
      <c r="S400" s="1277"/>
      <c r="T400" s="1277"/>
      <c r="U400" s="1277"/>
      <c r="V400" s="1277"/>
      <c r="W400" s="1277"/>
      <c r="X400" s="1277"/>
    </row>
    <row r="401" spans="6:24">
      <c r="F401" s="921"/>
      <c r="G401" s="1277"/>
      <c r="H401" s="921"/>
      <c r="I401" s="1277"/>
      <c r="J401" s="921"/>
      <c r="K401" s="1277"/>
      <c r="L401" s="1277"/>
      <c r="M401" s="919"/>
      <c r="N401" s="919"/>
      <c r="O401" s="919"/>
      <c r="P401" s="1277"/>
      <c r="Q401" s="1277"/>
      <c r="R401" s="1277"/>
      <c r="S401" s="1277"/>
      <c r="T401" s="1277"/>
      <c r="U401" s="1277"/>
      <c r="V401" s="1277"/>
      <c r="W401" s="1277"/>
      <c r="X401" s="1277"/>
    </row>
    <row r="402" spans="6:24">
      <c r="F402" s="921"/>
      <c r="G402" s="1277"/>
      <c r="H402" s="921"/>
      <c r="I402" s="1277"/>
      <c r="J402" s="921"/>
      <c r="K402" s="1277"/>
      <c r="L402" s="1277"/>
      <c r="M402" s="919"/>
      <c r="N402" s="919"/>
      <c r="O402" s="919"/>
      <c r="P402" s="1277"/>
      <c r="Q402" s="1277"/>
      <c r="R402" s="1277"/>
      <c r="S402" s="1277"/>
      <c r="T402" s="1277"/>
      <c r="U402" s="1277"/>
      <c r="V402" s="1277"/>
      <c r="W402" s="1277"/>
      <c r="X402" s="1277"/>
    </row>
    <row r="403" spans="6:24">
      <c r="F403" s="921"/>
      <c r="G403" s="1277"/>
      <c r="H403" s="921"/>
      <c r="I403" s="1277"/>
      <c r="J403" s="921"/>
      <c r="K403" s="1277"/>
      <c r="L403" s="1277"/>
      <c r="M403" s="919"/>
      <c r="N403" s="919"/>
      <c r="O403" s="919"/>
      <c r="P403" s="1277"/>
      <c r="Q403" s="1277"/>
      <c r="R403" s="1277"/>
      <c r="S403" s="1277"/>
      <c r="T403" s="1277"/>
      <c r="U403" s="1277"/>
      <c r="V403" s="1277"/>
      <c r="W403" s="1277"/>
      <c r="X403" s="1277"/>
    </row>
    <row r="404" spans="6:24">
      <c r="F404" s="921"/>
      <c r="G404" s="1277"/>
      <c r="H404" s="921"/>
      <c r="I404" s="1277"/>
      <c r="J404" s="921"/>
      <c r="K404" s="1277"/>
      <c r="L404" s="1277"/>
      <c r="M404" s="919"/>
      <c r="N404" s="919"/>
      <c r="O404" s="919"/>
      <c r="P404" s="1277"/>
      <c r="Q404" s="1277"/>
      <c r="R404" s="1277"/>
      <c r="S404" s="1277"/>
      <c r="T404" s="1277"/>
      <c r="U404" s="1277"/>
      <c r="V404" s="1277"/>
      <c r="W404" s="1277"/>
      <c r="X404" s="1277"/>
    </row>
    <row r="405" spans="6:24">
      <c r="F405" s="921"/>
      <c r="G405" s="1277"/>
      <c r="H405" s="921"/>
      <c r="I405" s="1277"/>
      <c r="J405" s="921"/>
      <c r="K405" s="1277"/>
      <c r="L405" s="1277"/>
      <c r="M405" s="919"/>
      <c r="N405" s="919"/>
      <c r="O405" s="919"/>
      <c r="P405" s="1277"/>
      <c r="Q405" s="1277"/>
      <c r="R405" s="1277"/>
      <c r="S405" s="1277"/>
      <c r="T405" s="1277"/>
      <c r="U405" s="1277"/>
      <c r="V405" s="1277"/>
      <c r="W405" s="1277"/>
      <c r="X405" s="1277"/>
    </row>
    <row r="406" spans="6:24">
      <c r="F406" s="921"/>
      <c r="G406" s="1277"/>
      <c r="H406" s="921"/>
      <c r="I406" s="1277"/>
      <c r="J406" s="921"/>
      <c r="K406" s="1277"/>
      <c r="L406" s="1277"/>
      <c r="M406" s="919"/>
      <c r="N406" s="919"/>
      <c r="O406" s="919"/>
      <c r="P406" s="1277"/>
      <c r="Q406" s="1277"/>
      <c r="R406" s="1277"/>
      <c r="S406" s="1277"/>
      <c r="T406" s="1277"/>
      <c r="U406" s="1277"/>
      <c r="V406" s="1277"/>
      <c r="W406" s="1277"/>
      <c r="X406" s="1277"/>
    </row>
    <row r="407" spans="6:24">
      <c r="F407" s="921"/>
      <c r="G407" s="1277"/>
      <c r="H407" s="921"/>
      <c r="I407" s="1277"/>
      <c r="J407" s="921"/>
      <c r="K407" s="1277"/>
      <c r="L407" s="1277"/>
      <c r="M407" s="919"/>
      <c r="N407" s="919"/>
      <c r="O407" s="919"/>
      <c r="P407" s="1277"/>
      <c r="Q407" s="1277"/>
      <c r="R407" s="1277"/>
      <c r="S407" s="1277"/>
      <c r="T407" s="1277"/>
      <c r="U407" s="1277"/>
      <c r="V407" s="1277"/>
      <c r="W407" s="1277"/>
      <c r="X407" s="1277"/>
    </row>
    <row r="408" spans="6:24">
      <c r="F408" s="921"/>
      <c r="G408" s="1277"/>
      <c r="H408" s="921"/>
      <c r="I408" s="1277"/>
      <c r="J408" s="921"/>
      <c r="K408" s="1277"/>
      <c r="L408" s="1277"/>
      <c r="M408" s="919"/>
      <c r="N408" s="919"/>
      <c r="O408" s="919"/>
      <c r="P408" s="1277"/>
      <c r="Q408" s="1277"/>
      <c r="R408" s="1277"/>
      <c r="S408" s="1277"/>
      <c r="T408" s="1277"/>
      <c r="U408" s="1277"/>
      <c r="V408" s="1277"/>
      <c r="W408" s="1277"/>
      <c r="X408" s="1277"/>
    </row>
    <row r="409" spans="6:24">
      <c r="F409" s="921"/>
      <c r="G409" s="1277"/>
      <c r="H409" s="921"/>
      <c r="I409" s="1277"/>
      <c r="J409" s="921"/>
      <c r="K409" s="1277"/>
      <c r="L409" s="1277"/>
      <c r="M409" s="919"/>
      <c r="N409" s="919"/>
      <c r="O409" s="919"/>
      <c r="P409" s="1277"/>
      <c r="Q409" s="1277"/>
      <c r="R409" s="1277"/>
      <c r="S409" s="1277"/>
      <c r="T409" s="1277"/>
      <c r="U409" s="1277"/>
      <c r="V409" s="1277"/>
      <c r="W409" s="1277"/>
      <c r="X409" s="1277"/>
    </row>
    <row r="410" spans="6:24">
      <c r="F410" s="921"/>
      <c r="G410" s="1277"/>
      <c r="H410" s="921"/>
      <c r="I410" s="1277"/>
      <c r="J410" s="921"/>
      <c r="K410" s="1277"/>
      <c r="L410" s="1277"/>
      <c r="M410" s="919"/>
      <c r="N410" s="919"/>
      <c r="O410" s="919"/>
      <c r="P410" s="1277"/>
      <c r="Q410" s="1277"/>
      <c r="R410" s="1277"/>
      <c r="S410" s="1277"/>
      <c r="T410" s="1277"/>
      <c r="U410" s="1277"/>
      <c r="V410" s="1277"/>
      <c r="W410" s="1277"/>
      <c r="X410" s="1277"/>
    </row>
    <row r="411" spans="6:24">
      <c r="F411" s="921"/>
      <c r="G411" s="1277"/>
      <c r="H411" s="921"/>
      <c r="I411" s="1277"/>
      <c r="J411" s="921"/>
      <c r="K411" s="1277"/>
      <c r="L411" s="1277"/>
      <c r="M411" s="919"/>
      <c r="N411" s="919"/>
      <c r="O411" s="919"/>
      <c r="P411" s="1277"/>
      <c r="Q411" s="1277"/>
      <c r="R411" s="1277"/>
      <c r="S411" s="1277"/>
      <c r="T411" s="1277"/>
      <c r="U411" s="1277"/>
      <c r="V411" s="1277"/>
      <c r="W411" s="1277"/>
      <c r="X411" s="1277"/>
    </row>
    <row r="412" spans="6:24">
      <c r="F412" s="921"/>
      <c r="G412" s="1277"/>
      <c r="H412" s="921"/>
      <c r="I412" s="1277"/>
      <c r="J412" s="921"/>
      <c r="K412" s="1277"/>
      <c r="L412" s="1277"/>
      <c r="M412" s="919"/>
      <c r="N412" s="919"/>
      <c r="O412" s="919"/>
      <c r="P412" s="1277"/>
      <c r="Q412" s="1277"/>
      <c r="R412" s="1277"/>
      <c r="S412" s="1277"/>
      <c r="T412" s="1277"/>
      <c r="U412" s="1277"/>
      <c r="V412" s="1277"/>
      <c r="W412" s="1277"/>
      <c r="X412" s="1277"/>
    </row>
    <row r="413" spans="6:24">
      <c r="F413" s="921"/>
      <c r="G413" s="1277"/>
      <c r="H413" s="921"/>
      <c r="I413" s="1277"/>
      <c r="J413" s="921"/>
      <c r="K413" s="1277"/>
      <c r="L413" s="1277"/>
      <c r="M413" s="919"/>
      <c r="N413" s="919"/>
      <c r="O413" s="919"/>
      <c r="P413" s="1277"/>
      <c r="Q413" s="1277"/>
      <c r="R413" s="1277"/>
      <c r="S413" s="1277"/>
      <c r="T413" s="1277"/>
      <c r="U413" s="1277"/>
      <c r="V413" s="1277"/>
      <c r="W413" s="1277"/>
      <c r="X413" s="1277"/>
    </row>
    <row r="414" spans="6:24">
      <c r="F414" s="921"/>
      <c r="G414" s="1277"/>
      <c r="H414" s="921"/>
      <c r="I414" s="1277"/>
      <c r="J414" s="921"/>
      <c r="K414" s="1277"/>
      <c r="L414" s="1277"/>
      <c r="M414" s="919"/>
      <c r="N414" s="919"/>
      <c r="O414" s="919"/>
      <c r="P414" s="1277"/>
      <c r="Q414" s="1277"/>
      <c r="R414" s="1277"/>
      <c r="S414" s="1277"/>
      <c r="T414" s="1277"/>
      <c r="U414" s="1277"/>
      <c r="V414" s="1277"/>
      <c r="W414" s="1277"/>
      <c r="X414" s="1277"/>
    </row>
    <row r="415" spans="6:24">
      <c r="F415" s="921"/>
      <c r="G415" s="1277"/>
      <c r="H415" s="921"/>
      <c r="I415" s="1277"/>
      <c r="J415" s="921"/>
      <c r="K415" s="1277"/>
      <c r="L415" s="1277"/>
      <c r="M415" s="919"/>
      <c r="N415" s="919"/>
      <c r="O415" s="919"/>
      <c r="P415" s="1277"/>
      <c r="Q415" s="1277"/>
      <c r="R415" s="1277"/>
      <c r="S415" s="1277"/>
      <c r="T415" s="1277"/>
      <c r="U415" s="1277"/>
      <c r="V415" s="1277"/>
      <c r="W415" s="1277"/>
      <c r="X415" s="1277"/>
    </row>
    <row r="416" spans="6:24">
      <c r="F416" s="921"/>
      <c r="G416" s="1277"/>
      <c r="H416" s="921"/>
      <c r="I416" s="1277"/>
      <c r="J416" s="921"/>
      <c r="K416" s="1277"/>
      <c r="L416" s="1277"/>
      <c r="M416" s="919"/>
      <c r="N416" s="919"/>
      <c r="O416" s="919"/>
      <c r="P416" s="1277"/>
      <c r="Q416" s="1277"/>
      <c r="R416" s="1277"/>
      <c r="S416" s="1277"/>
      <c r="T416" s="1277"/>
      <c r="U416" s="1277"/>
      <c r="V416" s="1277"/>
      <c r="W416" s="1277"/>
      <c r="X416" s="1277"/>
    </row>
    <row r="417" spans="6:24">
      <c r="F417" s="921"/>
      <c r="G417" s="1277"/>
      <c r="H417" s="921"/>
      <c r="I417" s="1277"/>
      <c r="J417" s="921"/>
      <c r="K417" s="1277"/>
      <c r="L417" s="1277"/>
      <c r="M417" s="919"/>
      <c r="N417" s="919"/>
      <c r="O417" s="919"/>
      <c r="P417" s="1277"/>
      <c r="Q417" s="1277"/>
      <c r="R417" s="1277"/>
      <c r="S417" s="1277"/>
      <c r="T417" s="1277"/>
      <c r="U417" s="1277"/>
      <c r="V417" s="1277"/>
      <c r="W417" s="1277"/>
      <c r="X417" s="1277"/>
    </row>
    <row r="418" spans="6:24">
      <c r="F418" s="921"/>
      <c r="G418" s="1277"/>
      <c r="H418" s="921"/>
      <c r="I418" s="1277"/>
      <c r="J418" s="921"/>
      <c r="K418" s="1277"/>
      <c r="L418" s="1277"/>
      <c r="M418" s="919"/>
      <c r="N418" s="919"/>
      <c r="O418" s="919"/>
      <c r="P418" s="1277"/>
      <c r="Q418" s="1277"/>
      <c r="R418" s="1277"/>
      <c r="S418" s="1277"/>
      <c r="T418" s="1277"/>
      <c r="U418" s="1277"/>
      <c r="V418" s="1277"/>
      <c r="W418" s="1277"/>
      <c r="X418" s="1277"/>
    </row>
    <row r="419" spans="6:24">
      <c r="F419" s="921"/>
      <c r="G419" s="1277"/>
      <c r="H419" s="921"/>
      <c r="I419" s="1277"/>
      <c r="J419" s="921"/>
      <c r="K419" s="1277"/>
      <c r="L419" s="1277"/>
      <c r="M419" s="919"/>
      <c r="N419" s="919"/>
      <c r="O419" s="919"/>
      <c r="P419" s="1277"/>
      <c r="Q419" s="1277"/>
      <c r="R419" s="1277"/>
      <c r="S419" s="1277"/>
      <c r="T419" s="1277"/>
      <c r="U419" s="1277"/>
      <c r="V419" s="1277"/>
      <c r="W419" s="1277"/>
      <c r="X419" s="1277"/>
    </row>
    <row r="420" spans="6:24">
      <c r="F420" s="921"/>
      <c r="G420" s="1277"/>
      <c r="H420" s="921"/>
      <c r="I420" s="1277"/>
      <c r="J420" s="921"/>
      <c r="K420" s="1277"/>
      <c r="L420" s="1277"/>
      <c r="M420" s="919"/>
      <c r="N420" s="919"/>
      <c r="O420" s="919"/>
      <c r="P420" s="1277"/>
      <c r="Q420" s="1277"/>
      <c r="R420" s="1277"/>
      <c r="S420" s="1277"/>
      <c r="T420" s="1277"/>
      <c r="U420" s="1277"/>
      <c r="V420" s="1277"/>
      <c r="W420" s="1277"/>
      <c r="X420" s="1277"/>
    </row>
    <row r="421" spans="6:24">
      <c r="F421" s="921"/>
      <c r="G421" s="1277"/>
      <c r="H421" s="921"/>
      <c r="I421" s="1277"/>
      <c r="J421" s="921"/>
      <c r="K421" s="1277"/>
      <c r="L421" s="1277"/>
      <c r="M421" s="919"/>
      <c r="N421" s="919"/>
      <c r="O421" s="919"/>
      <c r="P421" s="1277"/>
      <c r="Q421" s="1277"/>
      <c r="R421" s="1277"/>
      <c r="S421" s="1277"/>
      <c r="T421" s="1277"/>
      <c r="U421" s="1277"/>
      <c r="V421" s="1277"/>
      <c r="W421" s="1277"/>
      <c r="X421" s="1277"/>
    </row>
    <row r="422" spans="6:24">
      <c r="F422" s="921"/>
      <c r="G422" s="1277"/>
      <c r="H422" s="921"/>
      <c r="I422" s="1277"/>
      <c r="J422" s="921"/>
      <c r="K422" s="1277"/>
      <c r="L422" s="1277"/>
      <c r="M422" s="919"/>
      <c r="N422" s="919"/>
      <c r="O422" s="919"/>
      <c r="P422" s="1277"/>
      <c r="Q422" s="1277"/>
      <c r="R422" s="1277"/>
      <c r="S422" s="1277"/>
      <c r="T422" s="1277"/>
      <c r="U422" s="1277"/>
      <c r="V422" s="1277"/>
      <c r="W422" s="1277"/>
      <c r="X422" s="1277"/>
    </row>
    <row r="423" spans="6:24">
      <c r="F423" s="921"/>
      <c r="G423" s="1277"/>
      <c r="H423" s="921"/>
      <c r="I423" s="1277"/>
      <c r="J423" s="921"/>
      <c r="K423" s="1277"/>
      <c r="L423" s="1277"/>
      <c r="M423" s="919"/>
      <c r="N423" s="919"/>
      <c r="O423" s="919"/>
      <c r="P423" s="1277"/>
      <c r="Q423" s="1277"/>
      <c r="R423" s="1277"/>
      <c r="S423" s="1277"/>
      <c r="T423" s="1277"/>
      <c r="U423" s="1277"/>
      <c r="V423" s="1277"/>
      <c r="W423" s="1277"/>
      <c r="X423" s="1277"/>
    </row>
    <row r="424" spans="6:24">
      <c r="F424" s="921"/>
      <c r="G424" s="1277"/>
      <c r="H424" s="921"/>
      <c r="I424" s="1277"/>
      <c r="J424" s="921"/>
      <c r="K424" s="1277"/>
      <c r="L424" s="1277"/>
      <c r="M424" s="919"/>
      <c r="N424" s="919"/>
      <c r="O424" s="919"/>
      <c r="P424" s="1277"/>
      <c r="Q424" s="1277"/>
      <c r="R424" s="1277"/>
      <c r="S424" s="1277"/>
      <c r="T424" s="1277"/>
      <c r="U424" s="1277"/>
      <c r="V424" s="1277"/>
      <c r="W424" s="1277"/>
      <c r="X424" s="1277"/>
    </row>
    <row r="425" spans="6:24">
      <c r="F425" s="921"/>
      <c r="G425" s="1277"/>
      <c r="H425" s="921"/>
      <c r="I425" s="1277"/>
      <c r="J425" s="921"/>
      <c r="K425" s="1277"/>
      <c r="L425" s="1277"/>
      <c r="M425" s="919"/>
      <c r="N425" s="919"/>
      <c r="O425" s="919"/>
      <c r="P425" s="1277"/>
      <c r="Q425" s="1277"/>
      <c r="R425" s="1277"/>
      <c r="S425" s="1277"/>
      <c r="T425" s="1277"/>
      <c r="U425" s="1277"/>
      <c r="V425" s="1277"/>
      <c r="W425" s="1277"/>
      <c r="X425" s="1277"/>
    </row>
    <row r="426" spans="6:24">
      <c r="F426" s="921"/>
      <c r="G426" s="1277"/>
      <c r="H426" s="921"/>
      <c r="I426" s="1277"/>
      <c r="J426" s="921"/>
      <c r="K426" s="1277"/>
      <c r="L426" s="1277"/>
      <c r="M426" s="919"/>
      <c r="N426" s="919"/>
      <c r="O426" s="919"/>
      <c r="P426" s="1277"/>
      <c r="Q426" s="1277"/>
      <c r="R426" s="1277"/>
      <c r="S426" s="1277"/>
      <c r="T426" s="1277"/>
      <c r="U426" s="1277"/>
      <c r="V426" s="1277"/>
      <c r="W426" s="1277"/>
      <c r="X426" s="1277"/>
    </row>
    <row r="427" spans="6:24">
      <c r="F427" s="921"/>
      <c r="G427" s="1277"/>
      <c r="H427" s="921"/>
      <c r="I427" s="1277"/>
      <c r="J427" s="921"/>
      <c r="K427" s="1277"/>
      <c r="L427" s="1277"/>
      <c r="M427" s="919"/>
      <c r="N427" s="919"/>
      <c r="O427" s="919"/>
      <c r="P427" s="1277"/>
      <c r="Q427" s="1277"/>
      <c r="R427" s="1277"/>
      <c r="S427" s="1277"/>
      <c r="T427" s="1277"/>
      <c r="U427" s="1277"/>
      <c r="V427" s="1277"/>
      <c r="W427" s="1277"/>
      <c r="X427" s="1277"/>
    </row>
    <row r="428" spans="6:24">
      <c r="F428" s="921"/>
      <c r="G428" s="1277"/>
      <c r="H428" s="921"/>
      <c r="I428" s="1277"/>
      <c r="J428" s="921"/>
      <c r="K428" s="1277"/>
      <c r="L428" s="1277"/>
      <c r="M428" s="919"/>
      <c r="N428" s="919"/>
      <c r="O428" s="919"/>
      <c r="P428" s="1277"/>
      <c r="Q428" s="1277"/>
      <c r="R428" s="1277"/>
      <c r="S428" s="1277"/>
      <c r="T428" s="1277"/>
      <c r="U428" s="1277"/>
      <c r="V428" s="1277"/>
      <c r="W428" s="1277"/>
      <c r="X428" s="1277"/>
    </row>
    <row r="429" spans="6:24">
      <c r="F429" s="921"/>
      <c r="G429" s="1277"/>
      <c r="H429" s="921"/>
      <c r="I429" s="1277"/>
      <c r="J429" s="921"/>
      <c r="K429" s="1277"/>
      <c r="L429" s="1277"/>
      <c r="M429" s="919"/>
      <c r="N429" s="919"/>
      <c r="O429" s="919"/>
      <c r="P429" s="1277"/>
      <c r="Q429" s="1277"/>
      <c r="R429" s="1277"/>
      <c r="S429" s="1277"/>
      <c r="T429" s="1277"/>
      <c r="U429" s="1277"/>
      <c r="V429" s="1277"/>
      <c r="W429" s="1277"/>
      <c r="X429" s="1277"/>
    </row>
    <row r="430" spans="6:24">
      <c r="F430" s="921"/>
      <c r="G430" s="1277"/>
      <c r="H430" s="921"/>
      <c r="I430" s="1277"/>
      <c r="J430" s="921"/>
      <c r="K430" s="1277"/>
      <c r="L430" s="1277"/>
      <c r="M430" s="919"/>
      <c r="N430" s="919"/>
      <c r="O430" s="919"/>
      <c r="P430" s="1277"/>
      <c r="Q430" s="1277"/>
      <c r="R430" s="1277"/>
      <c r="S430" s="1277"/>
      <c r="T430" s="1277"/>
      <c r="U430" s="1277"/>
      <c r="V430" s="1277"/>
      <c r="W430" s="1277"/>
      <c r="X430" s="1277"/>
    </row>
    <row r="431" spans="6:24">
      <c r="F431" s="921"/>
      <c r="G431" s="1277"/>
      <c r="H431" s="921"/>
      <c r="I431" s="1277"/>
      <c r="J431" s="921"/>
      <c r="K431" s="1277"/>
      <c r="L431" s="1277"/>
      <c r="M431" s="919"/>
      <c r="N431" s="919"/>
      <c r="O431" s="919"/>
      <c r="P431" s="1277"/>
      <c r="Q431" s="1277"/>
      <c r="R431" s="1277"/>
      <c r="S431" s="1277"/>
      <c r="T431" s="1277"/>
      <c r="U431" s="1277"/>
      <c r="V431" s="1277"/>
      <c r="W431" s="1277"/>
      <c r="X431" s="1277"/>
    </row>
    <row r="432" spans="6:24">
      <c r="F432" s="921"/>
      <c r="G432" s="1277"/>
      <c r="H432" s="921"/>
      <c r="I432" s="1277"/>
      <c r="J432" s="921"/>
      <c r="K432" s="1277"/>
      <c r="L432" s="1277"/>
      <c r="M432" s="919"/>
      <c r="N432" s="919"/>
      <c r="O432" s="919"/>
      <c r="P432" s="1277"/>
      <c r="Q432" s="1277"/>
      <c r="R432" s="1277"/>
      <c r="S432" s="1277"/>
      <c r="T432" s="1277"/>
      <c r="U432" s="1277"/>
      <c r="V432" s="1277"/>
      <c r="W432" s="1277"/>
      <c r="X432" s="1277"/>
    </row>
    <row r="433" spans="6:24">
      <c r="F433" s="921"/>
      <c r="G433" s="1277"/>
      <c r="H433" s="921"/>
      <c r="I433" s="1277"/>
      <c r="J433" s="921"/>
      <c r="K433" s="1277"/>
      <c r="L433" s="1277"/>
      <c r="M433" s="919"/>
      <c r="N433" s="919"/>
      <c r="O433" s="919"/>
      <c r="P433" s="1277"/>
      <c r="Q433" s="1277"/>
      <c r="R433" s="1277"/>
      <c r="S433" s="1277"/>
      <c r="T433" s="1277"/>
      <c r="U433" s="1277"/>
      <c r="V433" s="1277"/>
      <c r="W433" s="1277"/>
      <c r="X433" s="1277"/>
    </row>
    <row r="434" spans="6:24">
      <c r="F434" s="921"/>
      <c r="G434" s="1277"/>
      <c r="H434" s="921"/>
      <c r="I434" s="1277"/>
      <c r="J434" s="921"/>
      <c r="K434" s="1277"/>
      <c r="L434" s="1277"/>
      <c r="M434" s="919"/>
      <c r="N434" s="919"/>
      <c r="O434" s="919"/>
      <c r="P434" s="1277"/>
      <c r="Q434" s="1277"/>
      <c r="R434" s="1277"/>
      <c r="S434" s="1277"/>
      <c r="T434" s="1277"/>
      <c r="U434" s="1277"/>
      <c r="V434" s="1277"/>
      <c r="W434" s="1277"/>
      <c r="X434" s="1277"/>
    </row>
    <row r="435" spans="6:24">
      <c r="F435" s="921"/>
      <c r="G435" s="1277"/>
      <c r="H435" s="921"/>
      <c r="I435" s="1277"/>
      <c r="J435" s="921"/>
      <c r="K435" s="1277"/>
      <c r="L435" s="1277"/>
      <c r="M435" s="919"/>
      <c r="N435" s="919"/>
      <c r="O435" s="919"/>
      <c r="P435" s="1277"/>
      <c r="Q435" s="1277"/>
      <c r="R435" s="1277"/>
      <c r="S435" s="1277"/>
      <c r="T435" s="1277"/>
      <c r="U435" s="1277"/>
      <c r="V435" s="1277"/>
      <c r="W435" s="1277"/>
      <c r="X435" s="1277"/>
    </row>
    <row r="436" spans="6:24">
      <c r="F436" s="921"/>
      <c r="G436" s="1277"/>
      <c r="H436" s="921"/>
      <c r="I436" s="1277"/>
      <c r="J436" s="921"/>
      <c r="K436" s="1277"/>
      <c r="L436" s="1277"/>
      <c r="M436" s="919"/>
      <c r="N436" s="919"/>
      <c r="O436" s="919"/>
      <c r="P436" s="1277"/>
      <c r="Q436" s="1277"/>
      <c r="R436" s="1277"/>
      <c r="S436" s="1277"/>
      <c r="T436" s="1277"/>
      <c r="U436" s="1277"/>
      <c r="V436" s="1277"/>
      <c r="W436" s="1277"/>
      <c r="X436" s="1277"/>
    </row>
    <row r="437" spans="6:24">
      <c r="F437" s="921"/>
      <c r="G437" s="1277"/>
      <c r="H437" s="921"/>
      <c r="I437" s="1277"/>
      <c r="J437" s="921"/>
      <c r="K437" s="1277"/>
      <c r="L437" s="1277"/>
      <c r="M437" s="919"/>
      <c r="N437" s="919"/>
      <c r="O437" s="919"/>
      <c r="P437" s="1277"/>
      <c r="Q437" s="1277"/>
      <c r="R437" s="1277"/>
      <c r="S437" s="1277"/>
      <c r="T437" s="1277"/>
      <c r="U437" s="1277"/>
      <c r="V437" s="1277"/>
      <c r="W437" s="1277"/>
      <c r="X437" s="1277"/>
    </row>
    <row r="438" spans="6:24">
      <c r="F438" s="921"/>
      <c r="G438" s="1277"/>
      <c r="H438" s="921"/>
      <c r="I438" s="1277"/>
      <c r="J438" s="921"/>
      <c r="K438" s="1277"/>
      <c r="L438" s="1277"/>
      <c r="M438" s="919"/>
      <c r="N438" s="919"/>
      <c r="O438" s="919"/>
      <c r="P438" s="1277"/>
      <c r="Q438" s="1277"/>
      <c r="R438" s="1277"/>
      <c r="S438" s="1277"/>
      <c r="T438" s="1277"/>
      <c r="U438" s="1277"/>
      <c r="V438" s="1277"/>
      <c r="W438" s="1277"/>
      <c r="X438" s="1277"/>
    </row>
    <row r="439" spans="6:24">
      <c r="F439" s="921"/>
      <c r="G439" s="1277"/>
      <c r="H439" s="921"/>
      <c r="I439" s="1277"/>
      <c r="J439" s="921"/>
      <c r="K439" s="1277"/>
      <c r="L439" s="1277"/>
      <c r="M439" s="919"/>
      <c r="N439" s="919"/>
      <c r="O439" s="919"/>
      <c r="P439" s="1277"/>
      <c r="Q439" s="1277"/>
      <c r="R439" s="1277"/>
      <c r="S439" s="1277"/>
      <c r="T439" s="1277"/>
      <c r="U439" s="1277"/>
      <c r="V439" s="1277"/>
      <c r="W439" s="1277"/>
      <c r="X439" s="1277"/>
    </row>
    <row r="440" spans="6:24">
      <c r="F440" s="921"/>
      <c r="G440" s="1277"/>
      <c r="H440" s="921"/>
      <c r="I440" s="1277"/>
      <c r="J440" s="921"/>
      <c r="K440" s="1277"/>
      <c r="L440" s="1277"/>
      <c r="M440" s="919"/>
      <c r="N440" s="919"/>
      <c r="O440" s="919"/>
      <c r="P440" s="1277"/>
      <c r="Q440" s="1277"/>
      <c r="R440" s="1277"/>
      <c r="S440" s="1277"/>
      <c r="T440" s="1277"/>
      <c r="U440" s="1277"/>
      <c r="V440" s="1277"/>
      <c r="W440" s="1277"/>
      <c r="X440" s="1277"/>
    </row>
    <row r="441" spans="6:24">
      <c r="F441" s="921"/>
      <c r="G441" s="1277"/>
      <c r="H441" s="921"/>
      <c r="I441" s="1277"/>
      <c r="J441" s="921"/>
      <c r="K441" s="1277"/>
      <c r="L441" s="1277"/>
      <c r="M441" s="919"/>
      <c r="N441" s="919"/>
      <c r="O441" s="919"/>
      <c r="P441" s="1277"/>
      <c r="Q441" s="1277"/>
      <c r="R441" s="1277"/>
      <c r="S441" s="1277"/>
      <c r="T441" s="1277"/>
      <c r="U441" s="1277"/>
      <c r="V441" s="1277"/>
      <c r="W441" s="1277"/>
      <c r="X441" s="1277"/>
    </row>
    <row r="442" spans="6:24">
      <c r="F442" s="921"/>
      <c r="G442" s="1277"/>
      <c r="H442" s="921"/>
      <c r="I442" s="1277"/>
      <c r="J442" s="921"/>
      <c r="K442" s="1277"/>
      <c r="L442" s="1277"/>
      <c r="M442" s="919"/>
      <c r="N442" s="919"/>
      <c r="O442" s="919"/>
      <c r="P442" s="1277"/>
      <c r="Q442" s="1277"/>
      <c r="R442" s="1277"/>
      <c r="S442" s="1277"/>
      <c r="T442" s="1277"/>
      <c r="U442" s="1277"/>
      <c r="V442" s="1277"/>
      <c r="W442" s="1277"/>
      <c r="X442" s="1277"/>
    </row>
    <row r="443" spans="6:24">
      <c r="F443" s="921"/>
      <c r="G443" s="1277"/>
      <c r="H443" s="921"/>
      <c r="I443" s="1277"/>
      <c r="J443" s="921"/>
      <c r="K443" s="1277"/>
      <c r="L443" s="1277"/>
      <c r="M443" s="919"/>
      <c r="N443" s="919"/>
      <c r="O443" s="919"/>
      <c r="P443" s="1277"/>
      <c r="Q443" s="1277"/>
      <c r="R443" s="1277"/>
      <c r="S443" s="1277"/>
      <c r="T443" s="1277"/>
      <c r="U443" s="1277"/>
      <c r="V443" s="1277"/>
      <c r="W443" s="1277"/>
      <c r="X443" s="1277"/>
    </row>
    <row r="444" spans="6:24">
      <c r="F444" s="921"/>
      <c r="G444" s="1277"/>
      <c r="H444" s="921"/>
      <c r="I444" s="1277"/>
      <c r="J444" s="921"/>
      <c r="K444" s="1277"/>
      <c r="L444" s="1277"/>
      <c r="M444" s="919"/>
      <c r="N444" s="919"/>
      <c r="O444" s="919"/>
      <c r="P444" s="1277"/>
      <c r="Q444" s="1277"/>
      <c r="R444" s="1277"/>
      <c r="S444" s="1277"/>
      <c r="T444" s="1277"/>
      <c r="U444" s="1277"/>
      <c r="V444" s="1277"/>
      <c r="W444" s="1277"/>
      <c r="X444" s="1277"/>
    </row>
    <row r="445" spans="6:24">
      <c r="F445" s="921"/>
      <c r="G445" s="1277"/>
      <c r="H445" s="921"/>
      <c r="I445" s="1277"/>
      <c r="J445" s="921"/>
      <c r="K445" s="1277"/>
      <c r="L445" s="1277"/>
      <c r="M445" s="919"/>
      <c r="N445" s="919"/>
      <c r="O445" s="919"/>
      <c r="P445" s="1277"/>
      <c r="Q445" s="1277"/>
      <c r="R445" s="1277"/>
      <c r="S445" s="1277"/>
      <c r="T445" s="1277"/>
      <c r="U445" s="1277"/>
      <c r="V445" s="1277"/>
      <c r="W445" s="1277"/>
      <c r="X445" s="1277"/>
    </row>
    <row r="446" spans="6:24">
      <c r="F446" s="921"/>
      <c r="G446" s="1277"/>
      <c r="H446" s="921"/>
      <c r="I446" s="1277"/>
      <c r="J446" s="921"/>
      <c r="K446" s="1277"/>
      <c r="L446" s="1277"/>
      <c r="M446" s="919"/>
      <c r="N446" s="919"/>
      <c r="O446" s="919"/>
      <c r="P446" s="1277"/>
      <c r="Q446" s="1277"/>
      <c r="R446" s="1277"/>
      <c r="S446" s="1277"/>
      <c r="T446" s="1277"/>
      <c r="U446" s="1277"/>
      <c r="V446" s="1277"/>
      <c r="W446" s="1277"/>
      <c r="X446" s="1277"/>
    </row>
    <row r="447" spans="6:24">
      <c r="F447" s="921"/>
      <c r="G447" s="1277"/>
      <c r="H447" s="921"/>
      <c r="I447" s="1277"/>
      <c r="J447" s="921"/>
      <c r="K447" s="1277"/>
      <c r="L447" s="1277"/>
      <c r="M447" s="919"/>
      <c r="N447" s="919"/>
      <c r="O447" s="919"/>
      <c r="P447" s="1277"/>
      <c r="Q447" s="1277"/>
      <c r="R447" s="1277"/>
      <c r="S447" s="1277"/>
      <c r="T447" s="1277"/>
      <c r="U447" s="1277"/>
      <c r="V447" s="1277"/>
      <c r="W447" s="1277"/>
      <c r="X447" s="1277"/>
    </row>
    <row r="448" spans="6:24">
      <c r="F448" s="921"/>
      <c r="G448" s="1277"/>
      <c r="H448" s="921"/>
      <c r="I448" s="1277"/>
      <c r="J448" s="921"/>
      <c r="K448" s="1277"/>
      <c r="L448" s="1277"/>
      <c r="M448" s="919"/>
      <c r="N448" s="919"/>
      <c r="O448" s="919"/>
      <c r="P448" s="1277"/>
      <c r="Q448" s="1277"/>
      <c r="R448" s="1277"/>
      <c r="S448" s="1277"/>
      <c r="T448" s="1277"/>
      <c r="U448" s="1277"/>
      <c r="V448" s="1277"/>
      <c r="W448" s="1277"/>
      <c r="X448" s="1277"/>
    </row>
    <row r="449" spans="6:24">
      <c r="F449" s="921"/>
      <c r="G449" s="1277"/>
      <c r="H449" s="921"/>
      <c r="I449" s="1277"/>
      <c r="J449" s="921"/>
      <c r="K449" s="1277"/>
      <c r="L449" s="1277"/>
      <c r="M449" s="919"/>
      <c r="N449" s="919"/>
      <c r="O449" s="919"/>
      <c r="P449" s="1277"/>
      <c r="Q449" s="1277"/>
      <c r="R449" s="1277"/>
      <c r="S449" s="1277"/>
      <c r="T449" s="1277"/>
      <c r="U449" s="1277"/>
      <c r="V449" s="1277"/>
      <c r="W449" s="1277"/>
      <c r="X449" s="1277"/>
    </row>
    <row r="450" spans="6:24">
      <c r="F450" s="921"/>
      <c r="G450" s="1277"/>
      <c r="H450" s="921"/>
      <c r="I450" s="1277"/>
      <c r="J450" s="921"/>
      <c r="K450" s="1277"/>
      <c r="L450" s="1277"/>
      <c r="M450" s="919"/>
      <c r="N450" s="919"/>
      <c r="O450" s="919"/>
      <c r="P450" s="1277"/>
      <c r="Q450" s="1277"/>
      <c r="R450" s="1277"/>
      <c r="S450" s="1277"/>
      <c r="T450" s="1277"/>
      <c r="U450" s="1277"/>
      <c r="V450" s="1277"/>
      <c r="W450" s="1277"/>
      <c r="X450" s="1277"/>
    </row>
    <row r="451" spans="6:24">
      <c r="F451" s="921"/>
      <c r="G451" s="1277"/>
      <c r="H451" s="921"/>
      <c r="I451" s="1277"/>
      <c r="J451" s="921"/>
      <c r="K451" s="1277"/>
      <c r="L451" s="1277"/>
      <c r="M451" s="919"/>
      <c r="N451" s="919"/>
      <c r="O451" s="919"/>
      <c r="P451" s="1277"/>
      <c r="Q451" s="1277"/>
      <c r="R451" s="1277"/>
      <c r="S451" s="1277"/>
      <c r="T451" s="1277"/>
      <c r="U451" s="1277"/>
      <c r="V451" s="1277"/>
      <c r="W451" s="1277"/>
      <c r="X451" s="1277"/>
    </row>
    <row r="452" spans="6:24">
      <c r="F452" s="921"/>
      <c r="G452" s="1277"/>
      <c r="H452" s="921"/>
      <c r="I452" s="1277"/>
      <c r="J452" s="921"/>
      <c r="K452" s="1277"/>
      <c r="L452" s="1277"/>
      <c r="M452" s="919"/>
      <c r="N452" s="919"/>
      <c r="O452" s="919"/>
      <c r="P452" s="1277"/>
      <c r="Q452" s="1277"/>
      <c r="R452" s="1277"/>
      <c r="S452" s="1277"/>
      <c r="T452" s="1277"/>
      <c r="U452" s="1277"/>
      <c r="V452" s="1277"/>
      <c r="W452" s="1277"/>
      <c r="X452" s="1277"/>
    </row>
    <row r="453" spans="6:24">
      <c r="F453" s="921"/>
      <c r="G453" s="1277"/>
      <c r="H453" s="921"/>
      <c r="I453" s="1277"/>
      <c r="J453" s="921"/>
      <c r="K453" s="1277"/>
      <c r="L453" s="1277"/>
      <c r="M453" s="919"/>
      <c r="N453" s="919"/>
      <c r="O453" s="919"/>
      <c r="P453" s="1277"/>
      <c r="Q453" s="1277"/>
      <c r="R453" s="1277"/>
      <c r="S453" s="1277"/>
      <c r="T453" s="1277"/>
      <c r="U453" s="1277"/>
      <c r="V453" s="1277"/>
      <c r="W453" s="1277"/>
      <c r="X453" s="1277"/>
    </row>
    <row r="454" spans="6:24">
      <c r="F454" s="921"/>
      <c r="G454" s="1277"/>
      <c r="H454" s="921"/>
      <c r="I454" s="1277"/>
      <c r="J454" s="921"/>
      <c r="K454" s="1277"/>
      <c r="L454" s="1277"/>
      <c r="M454" s="919"/>
      <c r="N454" s="919"/>
      <c r="O454" s="919"/>
      <c r="P454" s="1277"/>
      <c r="Q454" s="1277"/>
      <c r="R454" s="1277"/>
      <c r="S454" s="1277"/>
      <c r="T454" s="1277"/>
      <c r="U454" s="1277"/>
      <c r="V454" s="1277"/>
      <c r="W454" s="1277"/>
      <c r="X454" s="1277"/>
    </row>
    <row r="455" spans="6:24">
      <c r="F455" s="921"/>
      <c r="G455" s="1277"/>
      <c r="H455" s="921"/>
      <c r="I455" s="1277"/>
      <c r="J455" s="921"/>
      <c r="K455" s="1277"/>
      <c r="L455" s="1277"/>
      <c r="M455" s="919"/>
      <c r="N455" s="919"/>
      <c r="O455" s="919"/>
      <c r="P455" s="1277"/>
      <c r="Q455" s="1277"/>
      <c r="R455" s="1277"/>
      <c r="S455" s="1277"/>
      <c r="T455" s="1277"/>
      <c r="U455" s="1277"/>
      <c r="V455" s="1277"/>
      <c r="W455" s="1277"/>
      <c r="X455" s="1277"/>
    </row>
    <row r="456" spans="6:24">
      <c r="F456" s="921"/>
      <c r="G456" s="1277"/>
      <c r="H456" s="921"/>
      <c r="I456" s="1277"/>
      <c r="J456" s="921"/>
      <c r="K456" s="1277"/>
      <c r="L456" s="1277"/>
      <c r="M456" s="919"/>
      <c r="N456" s="919"/>
      <c r="O456" s="919"/>
      <c r="P456" s="1277"/>
      <c r="Q456" s="1277"/>
      <c r="R456" s="1277"/>
      <c r="S456" s="1277"/>
      <c r="T456" s="1277"/>
      <c r="U456" s="1277"/>
      <c r="V456" s="1277"/>
      <c r="W456" s="1277"/>
      <c r="X456" s="1277"/>
    </row>
    <row r="457" spans="6:24">
      <c r="F457" s="921"/>
      <c r="G457" s="1277"/>
      <c r="H457" s="921"/>
      <c r="I457" s="1277"/>
      <c r="J457" s="921"/>
      <c r="K457" s="1277"/>
      <c r="L457" s="1277"/>
      <c r="M457" s="919"/>
      <c r="N457" s="919"/>
      <c r="O457" s="919"/>
      <c r="P457" s="1277"/>
      <c r="Q457" s="1277"/>
      <c r="R457" s="1277"/>
      <c r="S457" s="1277"/>
      <c r="T457" s="1277"/>
      <c r="U457" s="1277"/>
      <c r="V457" s="1277"/>
      <c r="W457" s="1277"/>
      <c r="X457" s="1277"/>
    </row>
    <row r="458" spans="6:24">
      <c r="F458" s="921"/>
      <c r="G458" s="1277"/>
      <c r="H458" s="921"/>
      <c r="I458" s="1277"/>
      <c r="J458" s="921"/>
      <c r="K458" s="1277"/>
      <c r="L458" s="1277"/>
      <c r="M458" s="919"/>
      <c r="N458" s="919"/>
      <c r="O458" s="919"/>
      <c r="P458" s="1277"/>
      <c r="Q458" s="1277"/>
      <c r="R458" s="1277"/>
      <c r="S458" s="1277"/>
      <c r="T458" s="1277"/>
      <c r="U458" s="1277"/>
      <c r="V458" s="1277"/>
      <c r="W458" s="1277"/>
      <c r="X458" s="1277"/>
    </row>
    <row r="459" spans="6:24">
      <c r="F459" s="921"/>
      <c r="G459" s="1277"/>
      <c r="H459" s="921"/>
      <c r="I459" s="1277"/>
      <c r="J459" s="921"/>
      <c r="K459" s="1277"/>
      <c r="L459" s="1277"/>
      <c r="M459" s="919"/>
      <c r="N459" s="919"/>
      <c r="O459" s="919"/>
      <c r="P459" s="1277"/>
      <c r="Q459" s="1277"/>
      <c r="R459" s="1277"/>
      <c r="S459" s="1277"/>
      <c r="T459" s="1277"/>
      <c r="U459" s="1277"/>
      <c r="V459" s="1277"/>
      <c r="W459" s="1277"/>
      <c r="X459" s="1277"/>
    </row>
    <row r="460" spans="6:24">
      <c r="F460" s="921"/>
      <c r="G460" s="1277"/>
      <c r="H460" s="921"/>
      <c r="I460" s="1277"/>
      <c r="J460" s="921"/>
      <c r="K460" s="1277"/>
      <c r="L460" s="1277"/>
      <c r="M460" s="919"/>
      <c r="N460" s="919"/>
      <c r="O460" s="919"/>
      <c r="P460" s="1277"/>
      <c r="Q460" s="1277"/>
      <c r="R460" s="1277"/>
      <c r="S460" s="1277"/>
      <c r="T460" s="1277"/>
      <c r="U460" s="1277"/>
      <c r="V460" s="1277"/>
      <c r="W460" s="1277"/>
      <c r="X460" s="1277"/>
    </row>
    <row r="461" spans="6:24">
      <c r="F461" s="921"/>
      <c r="G461" s="1277"/>
      <c r="H461" s="921"/>
      <c r="I461" s="1277"/>
      <c r="J461" s="921"/>
      <c r="K461" s="1277"/>
      <c r="L461" s="1277"/>
      <c r="M461" s="919"/>
      <c r="N461" s="919"/>
      <c r="O461" s="919"/>
      <c r="P461" s="1277"/>
      <c r="Q461" s="1277"/>
      <c r="R461" s="1277"/>
      <c r="S461" s="1277"/>
      <c r="T461" s="1277"/>
      <c r="U461" s="1277"/>
      <c r="V461" s="1277"/>
      <c r="W461" s="1277"/>
      <c r="X461" s="1277"/>
    </row>
    <row r="462" spans="6:24">
      <c r="F462" s="921"/>
      <c r="G462" s="1277"/>
      <c r="H462" s="921"/>
      <c r="I462" s="1277"/>
      <c r="J462" s="921"/>
      <c r="K462" s="1277"/>
      <c r="L462" s="1277"/>
      <c r="M462" s="919"/>
      <c r="N462" s="919"/>
      <c r="O462" s="919"/>
      <c r="P462" s="1277"/>
      <c r="Q462" s="1277"/>
      <c r="R462" s="1277"/>
      <c r="S462" s="1277"/>
      <c r="T462" s="1277"/>
      <c r="U462" s="1277"/>
      <c r="V462" s="1277"/>
      <c r="W462" s="1277"/>
      <c r="X462" s="1277"/>
    </row>
    <row r="463" spans="6:24">
      <c r="F463" s="921"/>
      <c r="G463" s="1277"/>
      <c r="H463" s="921"/>
      <c r="I463" s="1277"/>
      <c r="J463" s="921"/>
      <c r="K463" s="1277"/>
      <c r="L463" s="1277"/>
      <c r="M463" s="919"/>
      <c r="N463" s="919"/>
      <c r="O463" s="919"/>
      <c r="P463" s="1277"/>
      <c r="Q463" s="1277"/>
      <c r="R463" s="1277"/>
      <c r="S463" s="1277"/>
      <c r="T463" s="1277"/>
      <c r="U463" s="1277"/>
      <c r="V463" s="1277"/>
      <c r="W463" s="1277"/>
      <c r="X463" s="1277"/>
    </row>
    <row r="464" spans="6:24">
      <c r="F464" s="921"/>
      <c r="G464" s="1277"/>
      <c r="H464" s="921"/>
      <c r="I464" s="1277"/>
      <c r="J464" s="921"/>
      <c r="K464" s="1277"/>
      <c r="L464" s="1277"/>
      <c r="M464" s="919"/>
      <c r="N464" s="919"/>
      <c r="O464" s="919"/>
      <c r="P464" s="1277"/>
      <c r="Q464" s="1277"/>
      <c r="R464" s="1277"/>
      <c r="S464" s="1277"/>
      <c r="T464" s="1277"/>
      <c r="U464" s="1277"/>
      <c r="V464" s="1277"/>
      <c r="W464" s="1277"/>
      <c r="X464" s="1277"/>
    </row>
    <row r="465" spans="6:24">
      <c r="F465" s="921"/>
      <c r="G465" s="1277"/>
      <c r="H465" s="921"/>
      <c r="I465" s="1277"/>
      <c r="J465" s="921"/>
      <c r="K465" s="1277"/>
      <c r="L465" s="1277"/>
      <c r="M465" s="919"/>
      <c r="N465" s="919"/>
      <c r="O465" s="919"/>
      <c r="P465" s="1277"/>
      <c r="Q465" s="1277"/>
      <c r="R465" s="1277"/>
      <c r="S465" s="1277"/>
      <c r="T465" s="1277"/>
      <c r="U465" s="1277"/>
      <c r="V465" s="1277"/>
      <c r="W465" s="1277"/>
      <c r="X465" s="1277"/>
    </row>
    <row r="466" spans="6:24">
      <c r="F466" s="921"/>
      <c r="G466" s="1277"/>
      <c r="H466" s="921"/>
      <c r="I466" s="1277"/>
      <c r="J466" s="921"/>
      <c r="K466" s="1277"/>
      <c r="L466" s="1277"/>
      <c r="M466" s="919"/>
      <c r="N466" s="919"/>
      <c r="O466" s="919"/>
      <c r="P466" s="1277"/>
      <c r="Q466" s="1277"/>
      <c r="R466" s="1277"/>
      <c r="S466" s="1277"/>
      <c r="T466" s="1277"/>
      <c r="U466" s="1277"/>
      <c r="V466" s="1277"/>
      <c r="W466" s="1277"/>
      <c r="X466" s="1277"/>
    </row>
    <row r="467" spans="6:24">
      <c r="F467" s="921"/>
      <c r="G467" s="1277"/>
      <c r="H467" s="921"/>
      <c r="I467" s="1277"/>
      <c r="J467" s="921"/>
      <c r="K467" s="1277"/>
      <c r="L467" s="1277"/>
      <c r="M467" s="919"/>
      <c r="N467" s="919"/>
      <c r="O467" s="919"/>
      <c r="P467" s="1277"/>
      <c r="Q467" s="1277"/>
      <c r="R467" s="1277"/>
      <c r="S467" s="1277"/>
      <c r="T467" s="1277"/>
      <c r="U467" s="1277"/>
      <c r="V467" s="1277"/>
      <c r="W467" s="1277"/>
      <c r="X467" s="1277"/>
    </row>
    <row r="468" spans="6:24">
      <c r="F468" s="921"/>
      <c r="G468" s="1277"/>
      <c r="H468" s="921"/>
      <c r="I468" s="1277"/>
      <c r="J468" s="921"/>
      <c r="K468" s="1277"/>
      <c r="L468" s="1277"/>
      <c r="M468" s="919"/>
      <c r="N468" s="919"/>
      <c r="O468" s="919"/>
      <c r="P468" s="1277"/>
      <c r="Q468" s="1277"/>
      <c r="R468" s="1277"/>
      <c r="S468" s="1277"/>
      <c r="T468" s="1277"/>
      <c r="U468" s="1277"/>
      <c r="V468" s="1277"/>
      <c r="W468" s="1277"/>
      <c r="X468" s="1277"/>
    </row>
    <row r="469" spans="6:24">
      <c r="F469" s="921"/>
      <c r="G469" s="1277"/>
      <c r="H469" s="921"/>
      <c r="I469" s="1277"/>
      <c r="J469" s="921"/>
      <c r="K469" s="1277"/>
      <c r="L469" s="1277"/>
      <c r="M469" s="919"/>
      <c r="N469" s="919"/>
      <c r="O469" s="919"/>
      <c r="P469" s="1277"/>
      <c r="Q469" s="1277"/>
      <c r="R469" s="1277"/>
      <c r="S469" s="1277"/>
      <c r="T469" s="1277"/>
      <c r="U469" s="1277"/>
      <c r="V469" s="1277"/>
      <c r="W469" s="1277"/>
      <c r="X469" s="1277"/>
    </row>
    <row r="470" spans="6:24">
      <c r="F470" s="921"/>
      <c r="G470" s="1277"/>
      <c r="H470" s="921"/>
      <c r="I470" s="1277"/>
      <c r="J470" s="921"/>
      <c r="K470" s="1277"/>
      <c r="L470" s="1277"/>
      <c r="M470" s="919"/>
      <c r="N470" s="919"/>
      <c r="O470" s="919"/>
      <c r="P470" s="1277"/>
      <c r="Q470" s="1277"/>
      <c r="R470" s="1277"/>
      <c r="S470" s="1277"/>
      <c r="T470" s="1277"/>
      <c r="U470" s="1277"/>
      <c r="V470" s="1277"/>
      <c r="W470" s="1277"/>
      <c r="X470" s="1277"/>
    </row>
    <row r="471" spans="6:24">
      <c r="F471" s="921"/>
      <c r="G471" s="1277"/>
      <c r="H471" s="921"/>
      <c r="I471" s="1277"/>
      <c r="J471" s="921"/>
      <c r="K471" s="1277"/>
      <c r="L471" s="1277"/>
      <c r="M471" s="919"/>
      <c r="N471" s="919"/>
      <c r="O471" s="919"/>
      <c r="P471" s="1277"/>
      <c r="Q471" s="1277"/>
      <c r="R471" s="1277"/>
      <c r="S471" s="1277"/>
      <c r="T471" s="1277"/>
      <c r="U471" s="1277"/>
      <c r="V471" s="1277"/>
      <c r="W471" s="1277"/>
      <c r="X471" s="1277"/>
    </row>
    <row r="472" spans="6:24">
      <c r="F472" s="921"/>
      <c r="G472" s="1277"/>
      <c r="H472" s="921"/>
      <c r="I472" s="1277"/>
      <c r="J472" s="921"/>
      <c r="K472" s="1277"/>
      <c r="L472" s="1277"/>
      <c r="M472" s="919"/>
      <c r="N472" s="919"/>
      <c r="O472" s="919"/>
      <c r="P472" s="1277"/>
      <c r="Q472" s="1277"/>
      <c r="R472" s="1277"/>
      <c r="S472" s="1277"/>
      <c r="T472" s="1277"/>
      <c r="U472" s="1277"/>
      <c r="V472" s="1277"/>
      <c r="W472" s="1277"/>
      <c r="X472" s="1277"/>
    </row>
    <row r="473" spans="6:24">
      <c r="F473" s="921"/>
      <c r="G473" s="1277"/>
      <c r="H473" s="921"/>
      <c r="I473" s="1277"/>
      <c r="J473" s="921"/>
      <c r="K473" s="1277"/>
      <c r="L473" s="1277"/>
      <c r="M473" s="919"/>
      <c r="N473" s="919"/>
      <c r="O473" s="919"/>
      <c r="P473" s="1277"/>
      <c r="Q473" s="1277"/>
      <c r="R473" s="1277"/>
      <c r="S473" s="1277"/>
      <c r="T473" s="1277"/>
      <c r="U473" s="1277"/>
      <c r="V473" s="1277"/>
      <c r="W473" s="1277"/>
      <c r="X473" s="1277"/>
    </row>
    <row r="474" spans="6:24">
      <c r="F474" s="921"/>
      <c r="G474" s="1277"/>
      <c r="H474" s="921"/>
      <c r="I474" s="1277"/>
      <c r="J474" s="921"/>
      <c r="K474" s="1277"/>
      <c r="L474" s="1277"/>
      <c r="M474" s="919"/>
      <c r="N474" s="919"/>
      <c r="O474" s="919"/>
      <c r="P474" s="1277"/>
      <c r="Q474" s="1277"/>
      <c r="R474" s="1277"/>
      <c r="S474" s="1277"/>
      <c r="T474" s="1277"/>
      <c r="U474" s="1277"/>
      <c r="V474" s="1277"/>
      <c r="W474" s="1277"/>
      <c r="X474" s="1277"/>
    </row>
    <row r="475" spans="6:24">
      <c r="F475" s="921"/>
      <c r="G475" s="1277"/>
      <c r="H475" s="921"/>
      <c r="I475" s="1277"/>
      <c r="J475" s="921"/>
      <c r="K475" s="1277"/>
      <c r="L475" s="1277"/>
      <c r="M475" s="919"/>
      <c r="N475" s="919"/>
      <c r="O475" s="919"/>
      <c r="P475" s="1277"/>
      <c r="Q475" s="1277"/>
      <c r="R475" s="1277"/>
      <c r="S475" s="1277"/>
      <c r="T475" s="1277"/>
      <c r="U475" s="1277"/>
      <c r="V475" s="1277"/>
      <c r="W475" s="1277"/>
      <c r="X475" s="1277"/>
    </row>
    <row r="476" spans="6:24">
      <c r="F476" s="921"/>
      <c r="G476" s="1277"/>
      <c r="H476" s="921"/>
      <c r="I476" s="1277"/>
      <c r="J476" s="921"/>
      <c r="K476" s="1277"/>
      <c r="L476" s="1277"/>
      <c r="M476" s="919"/>
      <c r="N476" s="919"/>
      <c r="O476" s="919"/>
      <c r="P476" s="1277"/>
      <c r="Q476" s="1277"/>
      <c r="R476" s="1277"/>
      <c r="S476" s="1277"/>
      <c r="T476" s="1277"/>
      <c r="U476" s="1277"/>
      <c r="V476" s="1277"/>
      <c r="W476" s="1277"/>
      <c r="X476" s="1277"/>
    </row>
    <row r="477" spans="6:24">
      <c r="F477" s="921"/>
      <c r="G477" s="1277"/>
      <c r="H477" s="921"/>
      <c r="I477" s="1277"/>
      <c r="J477" s="921"/>
      <c r="K477" s="1277"/>
      <c r="L477" s="1277"/>
      <c r="M477" s="919"/>
      <c r="N477" s="919"/>
      <c r="O477" s="919"/>
      <c r="P477" s="1277"/>
      <c r="Q477" s="1277"/>
      <c r="R477" s="1277"/>
      <c r="S477" s="1277"/>
      <c r="T477" s="1277"/>
      <c r="U477" s="1277"/>
      <c r="V477" s="1277"/>
      <c r="W477" s="1277"/>
      <c r="X477" s="1277"/>
    </row>
    <row r="478" spans="6:24">
      <c r="F478" s="921"/>
      <c r="G478" s="1277"/>
      <c r="H478" s="921"/>
      <c r="I478" s="1277"/>
      <c r="J478" s="921"/>
      <c r="K478" s="1277"/>
      <c r="L478" s="1277"/>
      <c r="M478" s="919"/>
      <c r="N478" s="919"/>
      <c r="O478" s="919"/>
      <c r="P478" s="1277"/>
      <c r="Q478" s="1277"/>
      <c r="R478" s="1277"/>
      <c r="S478" s="1277"/>
      <c r="T478" s="1277"/>
      <c r="U478" s="1277"/>
      <c r="V478" s="1277"/>
      <c r="W478" s="1277"/>
      <c r="X478" s="1277"/>
    </row>
    <row r="479" spans="6:24">
      <c r="F479" s="921"/>
      <c r="G479" s="1277"/>
      <c r="H479" s="921"/>
      <c r="I479" s="1277"/>
      <c r="J479" s="921"/>
      <c r="K479" s="1277"/>
      <c r="L479" s="1277"/>
      <c r="M479" s="919"/>
      <c r="N479" s="919"/>
      <c r="O479" s="919"/>
      <c r="P479" s="1277"/>
      <c r="Q479" s="1277"/>
      <c r="R479" s="1277"/>
      <c r="S479" s="1277"/>
      <c r="T479" s="1277"/>
      <c r="U479" s="1277"/>
      <c r="V479" s="1277"/>
      <c r="W479" s="1277"/>
      <c r="X479" s="1277"/>
    </row>
    <row r="480" spans="6:24">
      <c r="F480" s="921"/>
      <c r="G480" s="1277"/>
      <c r="H480" s="921"/>
      <c r="I480" s="1277"/>
      <c r="J480" s="921"/>
      <c r="K480" s="1277"/>
      <c r="L480" s="1277"/>
      <c r="M480" s="919"/>
      <c r="N480" s="919"/>
      <c r="O480" s="919"/>
      <c r="P480" s="1277"/>
      <c r="Q480" s="1277"/>
      <c r="R480" s="1277"/>
      <c r="S480" s="1277"/>
      <c r="T480" s="1277"/>
      <c r="U480" s="1277"/>
      <c r="V480" s="1277"/>
      <c r="W480" s="1277"/>
      <c r="X480" s="1277"/>
    </row>
    <row r="481" spans="6:24">
      <c r="F481" s="921"/>
      <c r="G481" s="1277"/>
      <c r="H481" s="921"/>
      <c r="I481" s="1277"/>
      <c r="J481" s="921"/>
      <c r="K481" s="1277"/>
      <c r="L481" s="1277"/>
      <c r="M481" s="919"/>
      <c r="N481" s="919"/>
      <c r="O481" s="919"/>
      <c r="P481" s="1277"/>
      <c r="Q481" s="1277"/>
      <c r="R481" s="1277"/>
      <c r="S481" s="1277"/>
      <c r="T481" s="1277"/>
      <c r="U481" s="1277"/>
      <c r="V481" s="1277"/>
      <c r="W481" s="1277"/>
      <c r="X481" s="1277"/>
    </row>
    <row r="482" spans="6:24">
      <c r="F482" s="921"/>
      <c r="G482" s="1277"/>
      <c r="H482" s="921"/>
      <c r="I482" s="1277"/>
      <c r="J482" s="921"/>
      <c r="K482" s="1277"/>
      <c r="L482" s="1277"/>
      <c r="M482" s="919"/>
      <c r="N482" s="919"/>
      <c r="O482" s="919"/>
      <c r="P482" s="1277"/>
      <c r="Q482" s="1277"/>
      <c r="R482" s="1277"/>
      <c r="S482" s="1277"/>
      <c r="T482" s="1277"/>
      <c r="U482" s="1277"/>
      <c r="V482" s="1277"/>
      <c r="W482" s="1277"/>
      <c r="X482" s="1277"/>
    </row>
    <row r="483" spans="6:24">
      <c r="F483" s="921"/>
      <c r="G483" s="1277"/>
      <c r="H483" s="921"/>
      <c r="I483" s="1277"/>
      <c r="J483" s="921"/>
      <c r="K483" s="1277"/>
      <c r="L483" s="1277"/>
      <c r="M483" s="919"/>
      <c r="N483" s="919"/>
      <c r="O483" s="919"/>
      <c r="P483" s="1277"/>
      <c r="Q483" s="1277"/>
      <c r="R483" s="1277"/>
      <c r="S483" s="1277"/>
      <c r="T483" s="1277"/>
      <c r="U483" s="1277"/>
      <c r="V483" s="1277"/>
      <c r="W483" s="1277"/>
      <c r="X483" s="1277"/>
    </row>
    <row r="484" spans="6:24">
      <c r="F484" s="921"/>
      <c r="G484" s="1277"/>
      <c r="H484" s="921"/>
      <c r="I484" s="1277"/>
      <c r="J484" s="921"/>
      <c r="K484" s="1277"/>
      <c r="L484" s="1277"/>
      <c r="M484" s="919"/>
      <c r="N484" s="919"/>
      <c r="O484" s="919"/>
      <c r="P484" s="1277"/>
      <c r="Q484" s="1277"/>
      <c r="R484" s="1277"/>
      <c r="S484" s="1277"/>
      <c r="T484" s="1277"/>
      <c r="U484" s="1277"/>
      <c r="V484" s="1277"/>
      <c r="W484" s="1277"/>
      <c r="X484" s="1277"/>
    </row>
    <row r="485" spans="6:24">
      <c r="F485" s="921"/>
      <c r="G485" s="1277"/>
      <c r="H485" s="921"/>
      <c r="I485" s="1277"/>
      <c r="J485" s="921"/>
      <c r="K485" s="1277"/>
      <c r="L485" s="1277"/>
      <c r="M485" s="919"/>
      <c r="N485" s="919"/>
      <c r="O485" s="919"/>
      <c r="P485" s="1277"/>
      <c r="Q485" s="1277"/>
      <c r="R485" s="1277"/>
      <c r="S485" s="1277"/>
      <c r="T485" s="1277"/>
      <c r="U485" s="1277"/>
      <c r="V485" s="1277"/>
      <c r="W485" s="1277"/>
      <c r="X485" s="1277"/>
    </row>
    <row r="486" spans="6:24">
      <c r="F486" s="921"/>
      <c r="G486" s="1277"/>
      <c r="H486" s="921"/>
      <c r="I486" s="1277"/>
      <c r="J486" s="921"/>
      <c r="K486" s="1277"/>
      <c r="L486" s="1277"/>
      <c r="M486" s="919"/>
      <c r="N486" s="919"/>
      <c r="O486" s="919"/>
      <c r="P486" s="1277"/>
      <c r="Q486" s="1277"/>
      <c r="R486" s="1277"/>
      <c r="S486" s="1277"/>
      <c r="T486" s="1277"/>
      <c r="U486" s="1277"/>
      <c r="V486" s="1277"/>
      <c r="W486" s="1277"/>
      <c r="X486" s="1277"/>
    </row>
    <row r="487" spans="6:24">
      <c r="F487" s="921"/>
      <c r="G487" s="1277"/>
      <c r="H487" s="921"/>
      <c r="I487" s="1277"/>
      <c r="J487" s="921"/>
      <c r="K487" s="1277"/>
      <c r="L487" s="1277"/>
      <c r="M487" s="919"/>
      <c r="N487" s="919"/>
      <c r="O487" s="919"/>
      <c r="P487" s="1277"/>
      <c r="Q487" s="1277"/>
      <c r="R487" s="1277"/>
      <c r="S487" s="1277"/>
      <c r="T487" s="1277"/>
      <c r="U487" s="1277"/>
      <c r="V487" s="1277"/>
      <c r="W487" s="1277"/>
      <c r="X487" s="1277"/>
    </row>
    <row r="488" spans="6:24">
      <c r="F488" s="921"/>
      <c r="G488" s="1277"/>
      <c r="H488" s="921"/>
      <c r="I488" s="1277"/>
      <c r="J488" s="921"/>
      <c r="K488" s="1277"/>
      <c r="L488" s="1277"/>
      <c r="M488" s="919"/>
      <c r="N488" s="919"/>
      <c r="O488" s="919"/>
      <c r="P488" s="1277"/>
      <c r="Q488" s="1277"/>
      <c r="R488" s="1277"/>
      <c r="S488" s="1277"/>
      <c r="T488" s="1277"/>
      <c r="U488" s="1277"/>
      <c r="V488" s="1277"/>
      <c r="W488" s="1277"/>
      <c r="X488" s="1277"/>
    </row>
    <row r="489" spans="6:24">
      <c r="F489" s="921"/>
      <c r="G489" s="1277"/>
      <c r="H489" s="921"/>
      <c r="I489" s="1277"/>
      <c r="J489" s="921"/>
      <c r="K489" s="1277"/>
      <c r="L489" s="1277"/>
      <c r="M489" s="919"/>
      <c r="N489" s="919"/>
      <c r="O489" s="919"/>
      <c r="P489" s="1277"/>
      <c r="Q489" s="1277"/>
      <c r="R489" s="1277"/>
      <c r="S489" s="1277"/>
      <c r="T489" s="1277"/>
      <c r="U489" s="1277"/>
      <c r="V489" s="1277"/>
      <c r="W489" s="1277"/>
      <c r="X489" s="1277"/>
    </row>
    <row r="490" spans="6:24">
      <c r="F490" s="921"/>
      <c r="G490" s="1277"/>
      <c r="H490" s="921"/>
      <c r="I490" s="1277"/>
      <c r="J490" s="921"/>
      <c r="K490" s="1277"/>
      <c r="L490" s="1277"/>
      <c r="M490" s="919"/>
      <c r="N490" s="919"/>
      <c r="O490" s="919"/>
      <c r="P490" s="1277"/>
      <c r="Q490" s="1277"/>
      <c r="R490" s="1277"/>
      <c r="S490" s="1277"/>
      <c r="T490" s="1277"/>
      <c r="U490" s="1277"/>
      <c r="V490" s="1277"/>
      <c r="W490" s="1277"/>
      <c r="X490" s="1277"/>
    </row>
    <row r="491" spans="6:24">
      <c r="F491" s="921"/>
      <c r="G491" s="1277"/>
      <c r="H491" s="921"/>
      <c r="I491" s="1277"/>
      <c r="J491" s="921"/>
      <c r="K491" s="1277"/>
      <c r="L491" s="1277"/>
      <c r="M491" s="919"/>
      <c r="N491" s="919"/>
      <c r="O491" s="919"/>
      <c r="P491" s="1277"/>
      <c r="Q491" s="1277"/>
      <c r="R491" s="1277"/>
      <c r="S491" s="1277"/>
      <c r="T491" s="1277"/>
      <c r="U491" s="1277"/>
      <c r="V491" s="1277"/>
      <c r="W491" s="1277"/>
      <c r="X491" s="1277"/>
    </row>
    <row r="492" spans="6:24">
      <c r="F492" s="921"/>
      <c r="G492" s="1277"/>
      <c r="H492" s="921"/>
      <c r="I492" s="1277"/>
      <c r="J492" s="921"/>
      <c r="K492" s="1277"/>
      <c r="L492" s="1277"/>
      <c r="M492" s="919"/>
      <c r="N492" s="919"/>
      <c r="O492" s="919"/>
      <c r="P492" s="1277"/>
      <c r="Q492" s="1277"/>
      <c r="R492" s="1277"/>
      <c r="S492" s="1277"/>
      <c r="T492" s="1277"/>
      <c r="U492" s="1277"/>
      <c r="V492" s="1277"/>
      <c r="W492" s="1277"/>
      <c r="X492" s="1277"/>
    </row>
    <row r="493" spans="6:24">
      <c r="F493" s="921"/>
      <c r="G493" s="1277"/>
      <c r="H493" s="921"/>
      <c r="I493" s="1277"/>
      <c r="J493" s="921"/>
      <c r="K493" s="1277"/>
      <c r="L493" s="1277"/>
      <c r="M493" s="919"/>
      <c r="N493" s="919"/>
      <c r="O493" s="919"/>
      <c r="P493" s="1277"/>
      <c r="Q493" s="1277"/>
      <c r="R493" s="1277"/>
      <c r="S493" s="1277"/>
      <c r="T493" s="1277"/>
      <c r="U493" s="1277"/>
      <c r="V493" s="1277"/>
      <c r="W493" s="1277"/>
      <c r="X493" s="1277"/>
    </row>
    <row r="494" spans="6:24">
      <c r="F494" s="921"/>
      <c r="G494" s="1277"/>
      <c r="H494" s="921"/>
      <c r="I494" s="1277"/>
      <c r="J494" s="921"/>
      <c r="K494" s="1277"/>
      <c r="L494" s="1277"/>
      <c r="M494" s="919"/>
      <c r="N494" s="919"/>
      <c r="O494" s="919"/>
      <c r="P494" s="1277"/>
      <c r="Q494" s="1277"/>
      <c r="R494" s="1277"/>
      <c r="S494" s="1277"/>
      <c r="T494" s="1277"/>
      <c r="U494" s="1277"/>
      <c r="V494" s="1277"/>
      <c r="W494" s="1277"/>
      <c r="X494" s="1277"/>
    </row>
    <row r="495" spans="6:24">
      <c r="F495" s="921"/>
      <c r="G495" s="1277"/>
      <c r="H495" s="921"/>
      <c r="I495" s="1277"/>
      <c r="J495" s="921"/>
      <c r="K495" s="1277"/>
      <c r="L495" s="1277"/>
      <c r="M495" s="919"/>
      <c r="N495" s="919"/>
      <c r="O495" s="919"/>
      <c r="P495" s="1277"/>
      <c r="Q495" s="1277"/>
      <c r="R495" s="1277"/>
      <c r="S495" s="1277"/>
      <c r="T495" s="1277"/>
      <c r="U495" s="1277"/>
      <c r="V495" s="1277"/>
      <c r="W495" s="1277"/>
      <c r="X495" s="1277"/>
    </row>
    <row r="496" spans="6:24">
      <c r="F496" s="921"/>
      <c r="G496" s="1277"/>
      <c r="H496" s="921"/>
      <c r="I496" s="1277"/>
      <c r="J496" s="921"/>
      <c r="K496" s="1277"/>
      <c r="L496" s="1277"/>
      <c r="M496" s="919"/>
      <c r="N496" s="919"/>
      <c r="O496" s="919"/>
      <c r="P496" s="1277"/>
      <c r="Q496" s="1277"/>
      <c r="R496" s="1277"/>
      <c r="S496" s="1277"/>
      <c r="T496" s="1277"/>
      <c r="U496" s="1277"/>
      <c r="V496" s="1277"/>
      <c r="W496" s="1277"/>
      <c r="X496" s="1277"/>
    </row>
    <row r="497" spans="6:24">
      <c r="F497" s="921"/>
      <c r="G497" s="1277"/>
      <c r="H497" s="921"/>
      <c r="I497" s="1277"/>
      <c r="J497" s="921"/>
      <c r="K497" s="1277"/>
      <c r="L497" s="1277"/>
      <c r="M497" s="919"/>
      <c r="N497" s="919"/>
      <c r="O497" s="919"/>
      <c r="P497" s="1277"/>
      <c r="Q497" s="1277"/>
      <c r="R497" s="1277"/>
      <c r="S497" s="1277"/>
      <c r="T497" s="1277"/>
      <c r="U497" s="1277"/>
      <c r="V497" s="1277"/>
      <c r="W497" s="1277"/>
      <c r="X497" s="1277"/>
    </row>
    <row r="498" spans="6:24">
      <c r="F498" s="921"/>
      <c r="G498" s="1277"/>
      <c r="H498" s="921"/>
      <c r="I498" s="1277"/>
      <c r="J498" s="921"/>
      <c r="K498" s="1277"/>
      <c r="L498" s="1277"/>
      <c r="M498" s="919"/>
      <c r="N498" s="919"/>
      <c r="O498" s="919"/>
      <c r="P498" s="1277"/>
      <c r="Q498" s="1277"/>
      <c r="R498" s="1277"/>
      <c r="S498" s="1277"/>
      <c r="T498" s="1277"/>
      <c r="U498" s="1277"/>
      <c r="V498" s="1277"/>
      <c r="W498" s="1277"/>
      <c r="X498" s="1277"/>
    </row>
    <row r="499" spans="6:24">
      <c r="F499" s="921"/>
      <c r="G499" s="1277"/>
      <c r="H499" s="921"/>
      <c r="I499" s="1277"/>
      <c r="J499" s="921"/>
      <c r="K499" s="1277"/>
      <c r="L499" s="1277"/>
      <c r="M499" s="919"/>
      <c r="N499" s="919"/>
      <c r="O499" s="919"/>
      <c r="P499" s="1277"/>
      <c r="Q499" s="1277"/>
      <c r="R499" s="1277"/>
      <c r="S499" s="1277"/>
      <c r="T499" s="1277"/>
      <c r="U499" s="1277"/>
      <c r="V499" s="1277"/>
      <c r="W499" s="1277"/>
      <c r="X499" s="1277"/>
    </row>
    <row r="500" spans="6:24">
      <c r="F500" s="921"/>
      <c r="G500" s="1277"/>
      <c r="H500" s="921"/>
      <c r="I500" s="1277"/>
      <c r="J500" s="921"/>
      <c r="K500" s="1277"/>
      <c r="L500" s="1277"/>
      <c r="M500" s="919"/>
      <c r="N500" s="919"/>
      <c r="O500" s="919"/>
      <c r="P500" s="1277"/>
      <c r="Q500" s="1277"/>
      <c r="R500" s="1277"/>
      <c r="S500" s="1277"/>
      <c r="T500" s="1277"/>
      <c r="U500" s="1277"/>
      <c r="V500" s="1277"/>
      <c r="W500" s="1277"/>
      <c r="X500" s="1277"/>
    </row>
    <row r="501" spans="6:24">
      <c r="F501" s="921"/>
      <c r="G501" s="1277"/>
      <c r="H501" s="921"/>
      <c r="I501" s="1277"/>
      <c r="J501" s="921"/>
      <c r="K501" s="1277"/>
      <c r="L501" s="1277"/>
      <c r="M501" s="919"/>
      <c r="N501" s="919"/>
      <c r="O501" s="919"/>
      <c r="P501" s="1277"/>
      <c r="Q501" s="1277"/>
      <c r="R501" s="1277"/>
      <c r="S501" s="1277"/>
      <c r="T501" s="1277"/>
      <c r="U501" s="1277"/>
      <c r="V501" s="1277"/>
      <c r="W501" s="1277"/>
      <c r="X501" s="1277"/>
    </row>
    <row r="502" spans="6:24">
      <c r="F502" s="921"/>
      <c r="G502" s="1277"/>
      <c r="H502" s="921"/>
      <c r="I502" s="1277"/>
      <c r="J502" s="921"/>
      <c r="K502" s="1277"/>
      <c r="L502" s="1277"/>
      <c r="M502" s="919"/>
      <c r="N502" s="919"/>
      <c r="O502" s="919"/>
      <c r="P502" s="1277"/>
      <c r="Q502" s="1277"/>
      <c r="R502" s="1277"/>
      <c r="S502" s="1277"/>
      <c r="T502" s="1277"/>
      <c r="U502" s="1277"/>
      <c r="V502" s="1277"/>
      <c r="W502" s="1277"/>
      <c r="X502" s="1277"/>
    </row>
    <row r="503" spans="6:24">
      <c r="F503" s="921"/>
      <c r="G503" s="1277"/>
      <c r="H503" s="921"/>
      <c r="I503" s="1277"/>
      <c r="J503" s="921"/>
      <c r="K503" s="1277"/>
      <c r="L503" s="1277"/>
      <c r="M503" s="919"/>
      <c r="N503" s="919"/>
      <c r="O503" s="919"/>
      <c r="P503" s="1277"/>
      <c r="Q503" s="1277"/>
      <c r="R503" s="1277"/>
      <c r="S503" s="1277"/>
      <c r="T503" s="1277"/>
      <c r="U503" s="1277"/>
      <c r="V503" s="1277"/>
      <c r="W503" s="1277"/>
      <c r="X503" s="1277"/>
    </row>
    <row r="504" spans="6:24">
      <c r="F504" s="921"/>
      <c r="G504" s="1277"/>
      <c r="H504" s="921"/>
      <c r="I504" s="1277"/>
      <c r="J504" s="921"/>
      <c r="K504" s="1277"/>
      <c r="L504" s="1277"/>
      <c r="M504" s="919"/>
      <c r="N504" s="919"/>
      <c r="O504" s="919"/>
      <c r="P504" s="1277"/>
      <c r="Q504" s="1277"/>
      <c r="R504" s="1277"/>
      <c r="S504" s="1277"/>
      <c r="T504" s="1277"/>
      <c r="U504" s="1277"/>
      <c r="V504" s="1277"/>
      <c r="W504" s="1277"/>
      <c r="X504" s="1277"/>
    </row>
    <row r="505" spans="6:24">
      <c r="F505" s="921"/>
      <c r="G505" s="1277"/>
      <c r="H505" s="921"/>
      <c r="I505" s="1277"/>
      <c r="J505" s="921"/>
      <c r="K505" s="1277"/>
      <c r="L505" s="1277"/>
      <c r="M505" s="919"/>
      <c r="N505" s="919"/>
      <c r="O505" s="919"/>
      <c r="P505" s="1277"/>
      <c r="Q505" s="1277"/>
      <c r="R505" s="1277"/>
      <c r="S505" s="1277"/>
      <c r="T505" s="1277"/>
      <c r="U505" s="1277"/>
      <c r="V505" s="1277"/>
      <c r="W505" s="1277"/>
      <c r="X505" s="1277"/>
    </row>
    <row r="506" spans="6:24">
      <c r="F506" s="921"/>
      <c r="G506" s="1277"/>
      <c r="H506" s="921"/>
      <c r="I506" s="1277"/>
      <c r="J506" s="921"/>
      <c r="K506" s="1277"/>
      <c r="L506" s="1277"/>
      <c r="M506" s="919"/>
      <c r="N506" s="919"/>
      <c r="O506" s="919"/>
      <c r="P506" s="1277"/>
      <c r="Q506" s="1277"/>
      <c r="R506" s="1277"/>
      <c r="S506" s="1277"/>
      <c r="T506" s="1277"/>
      <c r="U506" s="1277"/>
      <c r="V506" s="1277"/>
      <c r="W506" s="1277"/>
      <c r="X506" s="1277"/>
    </row>
    <row r="507" spans="6:24">
      <c r="F507" s="921"/>
      <c r="G507" s="1277"/>
      <c r="H507" s="921"/>
      <c r="I507" s="1277"/>
      <c r="J507" s="921"/>
      <c r="K507" s="1277"/>
      <c r="L507" s="1277"/>
      <c r="M507" s="919"/>
      <c r="N507" s="919"/>
      <c r="O507" s="919"/>
      <c r="P507" s="1277"/>
      <c r="Q507" s="1277"/>
      <c r="R507" s="1277"/>
      <c r="S507" s="1277"/>
      <c r="T507" s="1277"/>
      <c r="U507" s="1277"/>
      <c r="V507" s="1277"/>
      <c r="W507" s="1277"/>
      <c r="X507" s="1277"/>
    </row>
    <row r="508" spans="6:24">
      <c r="F508" s="921"/>
      <c r="G508" s="1277"/>
      <c r="H508" s="921"/>
      <c r="I508" s="1277"/>
      <c r="J508" s="921"/>
      <c r="K508" s="1277"/>
      <c r="L508" s="1277"/>
      <c r="M508" s="919"/>
      <c r="N508" s="919"/>
      <c r="O508" s="919"/>
      <c r="P508" s="1277"/>
      <c r="Q508" s="1277"/>
      <c r="R508" s="1277"/>
      <c r="S508" s="1277"/>
      <c r="T508" s="1277"/>
      <c r="U508" s="1277"/>
      <c r="V508" s="1277"/>
      <c r="W508" s="1277"/>
      <c r="X508" s="1277"/>
    </row>
    <row r="509" spans="6:24">
      <c r="F509" s="921"/>
      <c r="G509" s="1277"/>
      <c r="H509" s="921"/>
      <c r="I509" s="1277"/>
      <c r="J509" s="921"/>
      <c r="K509" s="1277"/>
      <c r="L509" s="1277"/>
      <c r="M509" s="919"/>
      <c r="N509" s="919"/>
      <c r="O509" s="919"/>
      <c r="P509" s="1277"/>
      <c r="Q509" s="1277"/>
      <c r="R509" s="1277"/>
      <c r="S509" s="1277"/>
      <c r="T509" s="1277"/>
      <c r="U509" s="1277"/>
      <c r="V509" s="1277"/>
      <c r="W509" s="1277"/>
      <c r="X509" s="1277"/>
    </row>
    <row r="510" spans="6:24">
      <c r="F510" s="921"/>
      <c r="G510" s="1277"/>
      <c r="H510" s="921"/>
      <c r="I510" s="1277"/>
      <c r="J510" s="921"/>
      <c r="K510" s="1277"/>
      <c r="L510" s="1277"/>
      <c r="M510" s="919"/>
      <c r="N510" s="919"/>
      <c r="O510" s="919"/>
      <c r="P510" s="1277"/>
      <c r="Q510" s="1277"/>
      <c r="R510" s="1277"/>
      <c r="S510" s="1277"/>
      <c r="T510" s="1277"/>
      <c r="U510" s="1277"/>
      <c r="V510" s="1277"/>
      <c r="W510" s="1277"/>
      <c r="X510" s="1277"/>
    </row>
    <row r="511" spans="6:24">
      <c r="F511" s="921"/>
      <c r="G511" s="1277"/>
      <c r="H511" s="921"/>
      <c r="I511" s="1277"/>
      <c r="J511" s="921"/>
      <c r="K511" s="1277"/>
      <c r="L511" s="1277"/>
      <c r="M511" s="919"/>
      <c r="N511" s="919"/>
      <c r="O511" s="919"/>
      <c r="P511" s="1277"/>
      <c r="Q511" s="1277"/>
      <c r="R511" s="1277"/>
      <c r="S511" s="1277"/>
      <c r="T511" s="1277"/>
      <c r="U511" s="1277"/>
      <c r="V511" s="1277"/>
      <c r="W511" s="1277"/>
      <c r="X511" s="1277"/>
    </row>
    <row r="512" spans="6:24">
      <c r="F512" s="921"/>
      <c r="G512" s="1277"/>
      <c r="H512" s="921"/>
      <c r="I512" s="1277"/>
      <c r="J512" s="921"/>
      <c r="K512" s="1277"/>
      <c r="L512" s="1277"/>
      <c r="M512" s="919"/>
      <c r="N512" s="919"/>
      <c r="O512" s="919"/>
      <c r="P512" s="1277"/>
      <c r="Q512" s="1277"/>
      <c r="R512" s="1277"/>
      <c r="S512" s="1277"/>
      <c r="T512" s="1277"/>
      <c r="U512" s="1277"/>
      <c r="V512" s="1277"/>
      <c r="W512" s="1277"/>
      <c r="X512" s="1277"/>
    </row>
    <row r="513" spans="6:24">
      <c r="F513" s="921"/>
      <c r="G513" s="1277"/>
      <c r="H513" s="921"/>
      <c r="I513" s="1277"/>
      <c r="J513" s="921"/>
      <c r="K513" s="1277"/>
      <c r="L513" s="1277"/>
      <c r="M513" s="919"/>
      <c r="N513" s="919"/>
      <c r="O513" s="919"/>
      <c r="P513" s="1277"/>
      <c r="Q513" s="1277"/>
      <c r="R513" s="1277"/>
      <c r="S513" s="1277"/>
      <c r="T513" s="1277"/>
      <c r="U513" s="1277"/>
      <c r="V513" s="1277"/>
      <c r="W513" s="1277"/>
      <c r="X513" s="1277"/>
    </row>
    <row r="514" spans="6:24">
      <c r="F514" s="921"/>
      <c r="G514" s="1277"/>
      <c r="H514" s="921"/>
      <c r="I514" s="1277"/>
      <c r="J514" s="921"/>
      <c r="K514" s="1277"/>
      <c r="L514" s="1277"/>
      <c r="M514" s="919"/>
      <c r="N514" s="919"/>
      <c r="O514" s="919"/>
      <c r="P514" s="1277"/>
      <c r="Q514" s="1277"/>
      <c r="R514" s="1277"/>
      <c r="S514" s="1277"/>
      <c r="T514" s="1277"/>
      <c r="U514" s="1277"/>
      <c r="V514" s="1277"/>
      <c r="W514" s="1277"/>
      <c r="X514" s="1277"/>
    </row>
    <row r="515" spans="6:24">
      <c r="F515" s="921"/>
      <c r="G515" s="1277"/>
      <c r="H515" s="921"/>
      <c r="I515" s="1277"/>
      <c r="J515" s="921"/>
      <c r="K515" s="1277"/>
      <c r="L515" s="1277"/>
      <c r="M515" s="919"/>
      <c r="N515" s="919"/>
      <c r="O515" s="919"/>
      <c r="P515" s="1277"/>
      <c r="Q515" s="1277"/>
      <c r="R515" s="1277"/>
      <c r="S515" s="1277"/>
      <c r="T515" s="1277"/>
      <c r="U515" s="1277"/>
      <c r="V515" s="1277"/>
      <c r="W515" s="1277"/>
      <c r="X515" s="1277"/>
    </row>
    <row r="516" spans="6:24">
      <c r="F516" s="921"/>
      <c r="G516" s="1277"/>
      <c r="H516" s="921"/>
      <c r="I516" s="1277"/>
      <c r="J516" s="921"/>
      <c r="K516" s="1277"/>
      <c r="L516" s="1277"/>
      <c r="M516" s="919"/>
      <c r="N516" s="919"/>
      <c r="O516" s="919"/>
      <c r="P516" s="1277"/>
      <c r="Q516" s="1277"/>
      <c r="R516" s="1277"/>
      <c r="S516" s="1277"/>
      <c r="T516" s="1277"/>
      <c r="U516" s="1277"/>
      <c r="V516" s="1277"/>
      <c r="W516" s="1277"/>
      <c r="X516" s="1277"/>
    </row>
    <row r="517" spans="6:24">
      <c r="F517" s="921"/>
      <c r="G517" s="1277"/>
      <c r="H517" s="921"/>
      <c r="I517" s="1277"/>
      <c r="J517" s="921"/>
      <c r="K517" s="1277"/>
      <c r="L517" s="1277"/>
      <c r="M517" s="919"/>
      <c r="N517" s="919"/>
      <c r="O517" s="919"/>
      <c r="P517" s="1277"/>
      <c r="Q517" s="1277"/>
      <c r="R517" s="1277"/>
      <c r="S517" s="1277"/>
      <c r="T517" s="1277"/>
      <c r="U517" s="1277"/>
      <c r="V517" s="1277"/>
      <c r="W517" s="1277"/>
      <c r="X517" s="1277"/>
    </row>
    <row r="518" spans="6:24">
      <c r="F518" s="921"/>
      <c r="G518" s="1277"/>
      <c r="H518" s="921"/>
      <c r="I518" s="1277"/>
      <c r="J518" s="921"/>
      <c r="K518" s="1277"/>
      <c r="L518" s="1277"/>
      <c r="M518" s="919"/>
      <c r="N518" s="919"/>
      <c r="O518" s="919"/>
      <c r="P518" s="1277"/>
      <c r="Q518" s="1277"/>
      <c r="R518" s="1277"/>
      <c r="S518" s="1277"/>
      <c r="T518" s="1277"/>
      <c r="U518" s="1277"/>
      <c r="V518" s="1277"/>
      <c r="W518" s="1277"/>
      <c r="X518" s="1277"/>
    </row>
    <row r="519" spans="6:24">
      <c r="F519" s="921"/>
      <c r="G519" s="1277"/>
      <c r="H519" s="921"/>
      <c r="I519" s="1277"/>
      <c r="J519" s="921"/>
      <c r="K519" s="1277"/>
      <c r="L519" s="1277"/>
      <c r="M519" s="919"/>
      <c r="N519" s="919"/>
      <c r="O519" s="919"/>
      <c r="P519" s="1277"/>
      <c r="Q519" s="1277"/>
      <c r="R519" s="1277"/>
      <c r="S519" s="1277"/>
      <c r="T519" s="1277"/>
      <c r="U519" s="1277"/>
      <c r="V519" s="1277"/>
      <c r="W519" s="1277"/>
      <c r="X519" s="1277"/>
    </row>
    <row r="520" spans="6:24">
      <c r="F520" s="921"/>
      <c r="G520" s="1277"/>
      <c r="H520" s="921"/>
      <c r="I520" s="1277"/>
      <c r="J520" s="921"/>
      <c r="K520" s="1277"/>
      <c r="L520" s="1277"/>
      <c r="M520" s="919"/>
      <c r="N520" s="919"/>
      <c r="O520" s="919"/>
      <c r="P520" s="1277"/>
      <c r="Q520" s="1277"/>
      <c r="R520" s="1277"/>
      <c r="S520" s="1277"/>
      <c r="T520" s="1277"/>
      <c r="U520" s="1277"/>
      <c r="V520" s="1277"/>
      <c r="W520" s="1277"/>
      <c r="X520" s="1277"/>
    </row>
    <row r="521" spans="6:24">
      <c r="F521" s="921"/>
      <c r="G521" s="1277"/>
      <c r="H521" s="921"/>
      <c r="I521" s="1277"/>
      <c r="J521" s="921"/>
      <c r="K521" s="1277"/>
      <c r="L521" s="1277"/>
      <c r="M521" s="919"/>
      <c r="N521" s="919"/>
      <c r="O521" s="919"/>
      <c r="P521" s="1277"/>
      <c r="Q521" s="1277"/>
      <c r="R521" s="1277"/>
      <c r="S521" s="1277"/>
      <c r="T521" s="1277"/>
      <c r="U521" s="1277"/>
      <c r="V521" s="1277"/>
      <c r="W521" s="1277"/>
      <c r="X521" s="1277"/>
    </row>
    <row r="522" spans="6:24">
      <c r="F522" s="921"/>
      <c r="G522" s="1277"/>
      <c r="H522" s="921"/>
      <c r="I522" s="1277"/>
      <c r="J522" s="921"/>
      <c r="K522" s="1277"/>
      <c r="L522" s="1277"/>
      <c r="M522" s="919"/>
      <c r="N522" s="919"/>
      <c r="O522" s="919"/>
      <c r="P522" s="1277"/>
      <c r="Q522" s="1277"/>
      <c r="R522" s="1277"/>
      <c r="S522" s="1277"/>
      <c r="T522" s="1277"/>
      <c r="U522" s="1277"/>
      <c r="V522" s="1277"/>
      <c r="W522" s="1277"/>
      <c r="X522" s="1277"/>
    </row>
    <row r="523" spans="6:24">
      <c r="F523" s="921"/>
      <c r="G523" s="1277"/>
      <c r="H523" s="921"/>
      <c r="I523" s="1277"/>
      <c r="J523" s="921"/>
      <c r="K523" s="1277"/>
      <c r="L523" s="1277"/>
      <c r="M523" s="919"/>
      <c r="N523" s="919"/>
      <c r="O523" s="919"/>
      <c r="P523" s="1277"/>
      <c r="Q523" s="1277"/>
      <c r="R523" s="1277"/>
      <c r="S523" s="1277"/>
      <c r="T523" s="1277"/>
      <c r="U523" s="1277"/>
      <c r="V523" s="1277"/>
      <c r="W523" s="1277"/>
      <c r="X523" s="1277"/>
    </row>
    <row r="524" spans="6:24">
      <c r="F524" s="921"/>
      <c r="G524" s="1277"/>
      <c r="H524" s="921"/>
      <c r="I524" s="1277"/>
      <c r="J524" s="921"/>
      <c r="K524" s="1277"/>
      <c r="L524" s="1277"/>
      <c r="M524" s="919"/>
      <c r="N524" s="919"/>
      <c r="O524" s="919"/>
      <c r="P524" s="1277"/>
      <c r="Q524" s="1277"/>
      <c r="R524" s="1277"/>
      <c r="S524" s="1277"/>
      <c r="T524" s="1277"/>
      <c r="U524" s="1277"/>
      <c r="V524" s="1277"/>
      <c r="W524" s="1277"/>
      <c r="X524" s="1277"/>
    </row>
    <row r="525" spans="6:24">
      <c r="F525" s="921"/>
      <c r="G525" s="1277"/>
      <c r="H525" s="921"/>
      <c r="I525" s="1277"/>
      <c r="J525" s="921"/>
      <c r="K525" s="1277"/>
      <c r="L525" s="1277"/>
      <c r="M525" s="919"/>
      <c r="N525" s="919"/>
      <c r="O525" s="919"/>
      <c r="P525" s="1277"/>
      <c r="Q525" s="1277"/>
      <c r="R525" s="1277"/>
      <c r="S525" s="1277"/>
      <c r="T525" s="1277"/>
      <c r="U525" s="1277"/>
      <c r="V525" s="1277"/>
      <c r="W525" s="1277"/>
      <c r="X525" s="1277"/>
    </row>
    <row r="526" spans="6:24">
      <c r="F526" s="921"/>
      <c r="G526" s="1277"/>
      <c r="H526" s="921"/>
      <c r="I526" s="1277"/>
      <c r="J526" s="921"/>
      <c r="K526" s="1277"/>
      <c r="L526" s="1277"/>
      <c r="M526" s="919"/>
      <c r="N526" s="919"/>
      <c r="O526" s="919"/>
      <c r="P526" s="1277"/>
      <c r="Q526" s="1277"/>
      <c r="R526" s="1277"/>
      <c r="S526" s="1277"/>
      <c r="T526" s="1277"/>
      <c r="U526" s="1277"/>
      <c r="V526" s="1277"/>
      <c r="W526" s="1277"/>
      <c r="X526" s="1277"/>
    </row>
    <row r="527" spans="6:24">
      <c r="F527" s="921"/>
      <c r="G527" s="1277"/>
      <c r="H527" s="921"/>
      <c r="I527" s="1277"/>
      <c r="J527" s="921"/>
      <c r="K527" s="1277"/>
      <c r="L527" s="1277"/>
      <c r="M527" s="919"/>
      <c r="N527" s="919"/>
      <c r="O527" s="919"/>
      <c r="P527" s="1277"/>
      <c r="Q527" s="1277"/>
      <c r="R527" s="1277"/>
      <c r="S527" s="1277"/>
      <c r="T527" s="1277"/>
      <c r="U527" s="1277"/>
      <c r="V527" s="1277"/>
      <c r="W527" s="1277"/>
      <c r="X527" s="1277"/>
    </row>
    <row r="528" spans="6:24">
      <c r="F528" s="921"/>
      <c r="G528" s="1277"/>
      <c r="H528" s="921"/>
      <c r="I528" s="1277"/>
      <c r="J528" s="921"/>
      <c r="K528" s="1277"/>
      <c r="L528" s="1277"/>
      <c r="M528" s="919"/>
      <c r="N528" s="919"/>
      <c r="O528" s="919"/>
      <c r="P528" s="1277"/>
      <c r="Q528" s="1277"/>
      <c r="R528" s="1277"/>
      <c r="S528" s="1277"/>
      <c r="T528" s="1277"/>
      <c r="U528" s="1277"/>
      <c r="V528" s="1277"/>
      <c r="W528" s="1277"/>
      <c r="X528" s="1277"/>
    </row>
    <row r="529" spans="6:24">
      <c r="F529" s="921"/>
      <c r="G529" s="1277"/>
      <c r="H529" s="921"/>
      <c r="I529" s="1277"/>
      <c r="J529" s="921"/>
      <c r="K529" s="1277"/>
      <c r="L529" s="1277"/>
      <c r="M529" s="919"/>
      <c r="N529" s="919"/>
      <c r="O529" s="919"/>
      <c r="P529" s="1277"/>
      <c r="Q529" s="1277"/>
      <c r="R529" s="1277"/>
      <c r="S529" s="1277"/>
      <c r="T529" s="1277"/>
      <c r="U529" s="1277"/>
      <c r="V529" s="1277"/>
      <c r="W529" s="1277"/>
      <c r="X529" s="1277"/>
    </row>
    <row r="530" spans="6:24">
      <c r="F530" s="921"/>
      <c r="G530" s="1277"/>
      <c r="H530" s="921"/>
      <c r="I530" s="1277"/>
      <c r="J530" s="921"/>
      <c r="K530" s="1277"/>
      <c r="L530" s="1277"/>
      <c r="M530" s="919"/>
      <c r="N530" s="919"/>
      <c r="O530" s="919"/>
      <c r="P530" s="1277"/>
      <c r="Q530" s="1277"/>
      <c r="R530" s="1277"/>
      <c r="S530" s="1277"/>
      <c r="T530" s="1277"/>
      <c r="U530" s="1277"/>
      <c r="V530" s="1277"/>
      <c r="W530" s="1277"/>
      <c r="X530" s="1277"/>
    </row>
    <row r="531" spans="6:24">
      <c r="F531" s="921"/>
      <c r="G531" s="1277"/>
      <c r="H531" s="921"/>
      <c r="I531" s="1277"/>
      <c r="J531" s="921"/>
      <c r="K531" s="1277"/>
      <c r="L531" s="1277"/>
      <c r="M531" s="919"/>
      <c r="N531" s="919"/>
      <c r="O531" s="919"/>
      <c r="P531" s="1277"/>
      <c r="Q531" s="1277"/>
      <c r="R531" s="1277"/>
      <c r="S531" s="1277"/>
      <c r="T531" s="1277"/>
      <c r="U531" s="1277"/>
      <c r="V531" s="1277"/>
      <c r="W531" s="1277"/>
      <c r="X531" s="1277"/>
    </row>
    <row r="532" spans="6:24">
      <c r="F532" s="921"/>
      <c r="G532" s="1277"/>
      <c r="H532" s="921"/>
      <c r="I532" s="1277"/>
      <c r="J532" s="921"/>
      <c r="K532" s="1277"/>
      <c r="L532" s="1277"/>
      <c r="M532" s="919"/>
      <c r="N532" s="919"/>
      <c r="O532" s="919"/>
      <c r="P532" s="1277"/>
      <c r="Q532" s="1277"/>
      <c r="R532" s="1277"/>
      <c r="S532" s="1277"/>
      <c r="T532" s="1277"/>
      <c r="U532" s="1277"/>
      <c r="V532" s="1277"/>
      <c r="W532" s="1277"/>
      <c r="X532" s="1277"/>
    </row>
    <row r="533" spans="6:24">
      <c r="F533" s="921"/>
      <c r="G533" s="1277"/>
      <c r="H533" s="921"/>
      <c r="I533" s="1277"/>
      <c r="J533" s="921"/>
      <c r="K533" s="1277"/>
      <c r="L533" s="1277"/>
      <c r="M533" s="919"/>
      <c r="N533" s="919"/>
      <c r="O533" s="919"/>
      <c r="P533" s="1277"/>
      <c r="Q533" s="1277"/>
      <c r="R533" s="1277"/>
      <c r="S533" s="1277"/>
      <c r="T533" s="1277"/>
      <c r="U533" s="1277"/>
      <c r="V533" s="1277"/>
      <c r="W533" s="1277"/>
      <c r="X533" s="1277"/>
    </row>
    <row r="534" spans="6:24">
      <c r="F534" s="921"/>
      <c r="G534" s="1277"/>
      <c r="H534" s="921"/>
      <c r="I534" s="1277"/>
      <c r="J534" s="921"/>
      <c r="K534" s="1277"/>
      <c r="L534" s="1277"/>
      <c r="M534" s="919"/>
      <c r="N534" s="919"/>
      <c r="O534" s="919"/>
      <c r="P534" s="1277"/>
      <c r="Q534" s="1277"/>
      <c r="R534" s="1277"/>
      <c r="S534" s="1277"/>
      <c r="T534" s="1277"/>
      <c r="U534" s="1277"/>
      <c r="V534" s="1277"/>
      <c r="W534" s="1277"/>
      <c r="X534" s="1277"/>
    </row>
    <row r="535" spans="6:24">
      <c r="F535" s="921"/>
      <c r="G535" s="1277"/>
      <c r="H535" s="921"/>
      <c r="I535" s="1277"/>
      <c r="J535" s="921"/>
      <c r="K535" s="1277"/>
      <c r="L535" s="1277"/>
      <c r="M535" s="919"/>
      <c r="N535" s="919"/>
      <c r="O535" s="919"/>
      <c r="P535" s="1277"/>
      <c r="Q535" s="1277"/>
      <c r="R535" s="1277"/>
      <c r="S535" s="1277"/>
      <c r="T535" s="1277"/>
      <c r="U535" s="1277"/>
      <c r="V535" s="1277"/>
      <c r="W535" s="1277"/>
      <c r="X535" s="1277"/>
    </row>
    <row r="536" spans="6:24">
      <c r="F536" s="921"/>
      <c r="G536" s="1277"/>
      <c r="H536" s="921"/>
      <c r="I536" s="1277"/>
      <c r="J536" s="921"/>
      <c r="K536" s="1277"/>
      <c r="L536" s="1277"/>
      <c r="M536" s="919"/>
      <c r="N536" s="919"/>
      <c r="O536" s="919"/>
      <c r="P536" s="1277"/>
      <c r="Q536" s="1277"/>
      <c r="R536" s="1277"/>
      <c r="S536" s="1277"/>
      <c r="T536" s="1277"/>
      <c r="U536" s="1277"/>
      <c r="V536" s="1277"/>
      <c r="W536" s="1277"/>
      <c r="X536" s="1277"/>
    </row>
    <row r="537" spans="6:24">
      <c r="F537" s="921"/>
      <c r="G537" s="1277"/>
      <c r="H537" s="921"/>
      <c r="I537" s="1277"/>
      <c r="J537" s="921"/>
      <c r="K537" s="1277"/>
      <c r="L537" s="1277"/>
      <c r="M537" s="919"/>
      <c r="N537" s="919"/>
      <c r="O537" s="919"/>
      <c r="P537" s="1277"/>
      <c r="Q537" s="1277"/>
      <c r="R537" s="1277"/>
      <c r="S537" s="1277"/>
      <c r="T537" s="1277"/>
      <c r="U537" s="1277"/>
      <c r="V537" s="1277"/>
      <c r="W537" s="1277"/>
      <c r="X537" s="1277"/>
    </row>
    <row r="538" spans="6:24">
      <c r="F538" s="921"/>
      <c r="G538" s="1277"/>
      <c r="H538" s="921"/>
      <c r="I538" s="1277"/>
      <c r="J538" s="921"/>
      <c r="K538" s="1277"/>
      <c r="L538" s="1277"/>
      <c r="M538" s="919"/>
      <c r="N538" s="919"/>
      <c r="O538" s="919"/>
      <c r="P538" s="1277"/>
      <c r="Q538" s="1277"/>
      <c r="R538" s="1277"/>
      <c r="S538" s="1277"/>
      <c r="T538" s="1277"/>
      <c r="U538" s="1277"/>
      <c r="V538" s="1277"/>
      <c r="W538" s="1277"/>
      <c r="X538" s="1277"/>
    </row>
    <row r="539" spans="6:24">
      <c r="F539" s="921"/>
      <c r="G539" s="1277"/>
      <c r="H539" s="921"/>
      <c r="I539" s="1277"/>
      <c r="J539" s="921"/>
      <c r="K539" s="1277"/>
      <c r="L539" s="1277"/>
      <c r="M539" s="919"/>
      <c r="N539" s="919"/>
      <c r="O539" s="919"/>
      <c r="P539" s="1277"/>
      <c r="Q539" s="1277"/>
      <c r="R539" s="1277"/>
      <c r="S539" s="1277"/>
      <c r="T539" s="1277"/>
      <c r="U539" s="1277"/>
      <c r="V539" s="1277"/>
      <c r="W539" s="1277"/>
      <c r="X539" s="1277"/>
    </row>
    <row r="540" spans="6:24">
      <c r="F540" s="921"/>
      <c r="G540" s="1277"/>
      <c r="H540" s="921"/>
      <c r="I540" s="1277"/>
      <c r="J540" s="921"/>
      <c r="K540" s="1277"/>
      <c r="L540" s="1277"/>
      <c r="M540" s="919"/>
      <c r="N540" s="919"/>
      <c r="O540" s="919"/>
      <c r="P540" s="1277"/>
      <c r="Q540" s="1277"/>
      <c r="R540" s="1277"/>
      <c r="S540" s="1277"/>
      <c r="T540" s="1277"/>
      <c r="U540" s="1277"/>
      <c r="V540" s="1277"/>
      <c r="W540" s="1277"/>
      <c r="X540" s="1277"/>
    </row>
    <row r="541" spans="6:24">
      <c r="F541" s="921"/>
      <c r="G541" s="1277"/>
      <c r="H541" s="921"/>
      <c r="I541" s="1277"/>
      <c r="J541" s="921"/>
      <c r="K541" s="1277"/>
      <c r="L541" s="1277"/>
      <c r="M541" s="919"/>
      <c r="N541" s="919"/>
      <c r="O541" s="919"/>
      <c r="P541" s="1277"/>
      <c r="Q541" s="1277"/>
      <c r="R541" s="1277"/>
      <c r="S541" s="1277"/>
      <c r="T541" s="1277"/>
      <c r="U541" s="1277"/>
      <c r="V541" s="1277"/>
      <c r="W541" s="1277"/>
      <c r="X541" s="1277"/>
    </row>
    <row r="542" spans="6:24">
      <c r="F542" s="921"/>
      <c r="G542" s="1277"/>
      <c r="H542" s="921"/>
      <c r="I542" s="1277"/>
      <c r="J542" s="921"/>
      <c r="K542" s="1277"/>
      <c r="L542" s="1277"/>
      <c r="M542" s="919"/>
      <c r="N542" s="919"/>
      <c r="O542" s="919"/>
      <c r="P542" s="1277"/>
      <c r="Q542" s="1277"/>
      <c r="R542" s="1277"/>
      <c r="S542" s="1277"/>
      <c r="T542" s="1277"/>
      <c r="U542" s="1277"/>
      <c r="V542" s="1277"/>
      <c r="W542" s="1277"/>
      <c r="X542" s="1277"/>
    </row>
    <row r="543" spans="6:24">
      <c r="F543" s="921"/>
      <c r="G543" s="1277"/>
      <c r="H543" s="921"/>
      <c r="I543" s="1277"/>
      <c r="J543" s="921"/>
      <c r="K543" s="1277"/>
      <c r="L543" s="1277"/>
      <c r="M543" s="919"/>
      <c r="N543" s="919"/>
      <c r="O543" s="919"/>
      <c r="P543" s="1277"/>
      <c r="Q543" s="1277"/>
      <c r="R543" s="1277"/>
      <c r="S543" s="1277"/>
      <c r="T543" s="1277"/>
      <c r="U543" s="1277"/>
      <c r="V543" s="1277"/>
      <c r="W543" s="1277"/>
      <c r="X543" s="1277"/>
    </row>
    <row r="544" spans="6:24">
      <c r="F544" s="921"/>
      <c r="G544" s="1277"/>
      <c r="H544" s="921"/>
      <c r="I544" s="1277"/>
      <c r="J544" s="921"/>
      <c r="K544" s="1277"/>
      <c r="L544" s="1277"/>
      <c r="M544" s="919"/>
      <c r="N544" s="919"/>
      <c r="O544" s="919"/>
      <c r="P544" s="1277"/>
      <c r="Q544" s="1277"/>
      <c r="R544" s="1277"/>
      <c r="S544" s="1277"/>
      <c r="T544" s="1277"/>
      <c r="U544" s="1277"/>
      <c r="V544" s="1277"/>
      <c r="W544" s="1277"/>
      <c r="X544" s="1277"/>
    </row>
    <row r="545" spans="6:24">
      <c r="F545" s="921"/>
      <c r="G545" s="1277"/>
      <c r="H545" s="921"/>
      <c r="I545" s="1277"/>
      <c r="J545" s="921"/>
      <c r="K545" s="1277"/>
      <c r="L545" s="1277"/>
      <c r="M545" s="919"/>
      <c r="N545" s="919"/>
      <c r="O545" s="919"/>
      <c r="P545" s="1277"/>
      <c r="Q545" s="1277"/>
      <c r="R545" s="1277"/>
      <c r="S545" s="1277"/>
      <c r="T545" s="1277"/>
      <c r="U545" s="1277"/>
      <c r="V545" s="1277"/>
      <c r="W545" s="1277"/>
      <c r="X545" s="1277"/>
    </row>
    <row r="546" spans="6:24">
      <c r="F546" s="921"/>
      <c r="G546" s="1277"/>
      <c r="H546" s="921"/>
      <c r="I546" s="1277"/>
      <c r="J546" s="921"/>
      <c r="K546" s="1277"/>
      <c r="L546" s="1277"/>
      <c r="M546" s="919"/>
      <c r="N546" s="919"/>
      <c r="O546" s="919"/>
      <c r="P546" s="1277"/>
      <c r="Q546" s="1277"/>
      <c r="R546" s="1277"/>
      <c r="S546" s="1277"/>
      <c r="T546" s="1277"/>
      <c r="U546" s="1277"/>
      <c r="V546" s="1277"/>
      <c r="W546" s="1277"/>
      <c r="X546" s="1277"/>
    </row>
    <row r="547" spans="6:24">
      <c r="F547" s="921"/>
      <c r="G547" s="1277"/>
      <c r="H547" s="921"/>
      <c r="I547" s="1277"/>
      <c r="J547" s="921"/>
      <c r="K547" s="1277"/>
      <c r="L547" s="1277"/>
      <c r="M547" s="919"/>
      <c r="N547" s="919"/>
      <c r="O547" s="919"/>
      <c r="P547" s="1277"/>
      <c r="Q547" s="1277"/>
      <c r="R547" s="1277"/>
      <c r="S547" s="1277"/>
      <c r="T547" s="1277"/>
      <c r="U547" s="1277"/>
      <c r="V547" s="1277"/>
      <c r="W547" s="1277"/>
      <c r="X547" s="1277"/>
    </row>
    <row r="548" spans="6:24">
      <c r="F548" s="921"/>
      <c r="G548" s="1277"/>
      <c r="H548" s="921"/>
      <c r="I548" s="1277"/>
      <c r="J548" s="921"/>
      <c r="K548" s="1277"/>
      <c r="L548" s="1277"/>
      <c r="M548" s="919"/>
      <c r="N548" s="919"/>
      <c r="O548" s="919"/>
      <c r="P548" s="1277"/>
      <c r="Q548" s="1277"/>
      <c r="R548" s="1277"/>
      <c r="S548" s="1277"/>
      <c r="T548" s="1277"/>
      <c r="U548" s="1277"/>
      <c r="V548" s="1277"/>
      <c r="W548" s="1277"/>
      <c r="X548" s="1277"/>
    </row>
    <row r="549" spans="6:24">
      <c r="F549" s="921"/>
      <c r="G549" s="1277"/>
      <c r="H549" s="921"/>
      <c r="I549" s="1277"/>
      <c r="J549" s="921"/>
      <c r="K549" s="1277"/>
      <c r="L549" s="1277"/>
      <c r="M549" s="919"/>
      <c r="N549" s="919"/>
      <c r="O549" s="919"/>
      <c r="P549" s="1277"/>
      <c r="Q549" s="1277"/>
      <c r="R549" s="1277"/>
      <c r="S549" s="1277"/>
      <c r="T549" s="1277"/>
      <c r="U549" s="1277"/>
      <c r="V549" s="1277"/>
      <c r="W549" s="1277"/>
      <c r="X549" s="1277"/>
    </row>
    <row r="550" spans="6:24">
      <c r="F550" s="921"/>
      <c r="G550" s="1277"/>
      <c r="H550" s="921"/>
      <c r="I550" s="1277"/>
      <c r="J550" s="921"/>
      <c r="K550" s="1277"/>
      <c r="L550" s="1277"/>
      <c r="M550" s="919"/>
      <c r="N550" s="919"/>
      <c r="O550" s="919"/>
      <c r="P550" s="1277"/>
      <c r="Q550" s="1277"/>
      <c r="R550" s="1277"/>
      <c r="S550" s="1277"/>
      <c r="T550" s="1277"/>
      <c r="U550" s="1277"/>
      <c r="V550" s="1277"/>
      <c r="W550" s="1277"/>
      <c r="X550" s="1277"/>
    </row>
    <row r="551" spans="6:24">
      <c r="F551" s="921"/>
      <c r="G551" s="1277"/>
      <c r="H551" s="921"/>
      <c r="I551" s="1277"/>
      <c r="J551" s="921"/>
      <c r="K551" s="1277"/>
      <c r="L551" s="1277"/>
      <c r="M551" s="919"/>
      <c r="N551" s="919"/>
      <c r="O551" s="919"/>
      <c r="P551" s="1277"/>
      <c r="Q551" s="1277"/>
      <c r="R551" s="1277"/>
      <c r="S551" s="1277"/>
      <c r="T551" s="1277"/>
      <c r="U551" s="1277"/>
      <c r="V551" s="1277"/>
      <c r="W551" s="1277"/>
      <c r="X551" s="1277"/>
    </row>
    <row r="552" spans="6:24">
      <c r="F552" s="921"/>
      <c r="G552" s="1277"/>
      <c r="H552" s="921"/>
      <c r="I552" s="1277"/>
      <c r="J552" s="921"/>
      <c r="K552" s="1277"/>
      <c r="L552" s="1277"/>
      <c r="M552" s="919"/>
      <c r="N552" s="919"/>
      <c r="O552" s="919"/>
      <c r="P552" s="1277"/>
      <c r="Q552" s="1277"/>
      <c r="R552" s="1277"/>
      <c r="S552" s="1277"/>
      <c r="T552" s="1277"/>
      <c r="U552" s="1277"/>
      <c r="V552" s="1277"/>
      <c r="W552" s="1277"/>
      <c r="X552" s="1277"/>
    </row>
    <row r="553" spans="6:24">
      <c r="F553" s="921"/>
      <c r="G553" s="1277"/>
      <c r="H553" s="921"/>
      <c r="I553" s="1277"/>
      <c r="J553" s="921"/>
      <c r="K553" s="1277"/>
      <c r="L553" s="1277"/>
      <c r="M553" s="919"/>
      <c r="N553" s="919"/>
      <c r="O553" s="919"/>
      <c r="P553" s="1277"/>
      <c r="Q553" s="1277"/>
      <c r="R553" s="1277"/>
      <c r="S553" s="1277"/>
      <c r="T553" s="1277"/>
      <c r="U553" s="1277"/>
      <c r="V553" s="1277"/>
      <c r="W553" s="1277"/>
      <c r="X553" s="1277"/>
    </row>
    <row r="554" spans="6:24">
      <c r="F554" s="921"/>
      <c r="G554" s="1277"/>
      <c r="H554" s="921"/>
      <c r="I554" s="1277"/>
      <c r="J554" s="921"/>
      <c r="K554" s="1277"/>
      <c r="L554" s="1277"/>
      <c r="M554" s="919"/>
      <c r="N554" s="919"/>
      <c r="O554" s="919"/>
      <c r="P554" s="1277"/>
      <c r="Q554" s="1277"/>
      <c r="R554" s="1277"/>
      <c r="S554" s="1277"/>
      <c r="T554" s="1277"/>
      <c r="U554" s="1277"/>
      <c r="V554" s="1277"/>
      <c r="W554" s="1277"/>
      <c r="X554" s="1277"/>
    </row>
    <row r="555" spans="6:24">
      <c r="F555" s="921"/>
      <c r="G555" s="1277"/>
      <c r="H555" s="921"/>
      <c r="I555" s="1277"/>
      <c r="J555" s="921"/>
      <c r="K555" s="1277"/>
      <c r="L555" s="1277"/>
      <c r="M555" s="919"/>
      <c r="N555" s="919"/>
      <c r="O555" s="919"/>
      <c r="P555" s="1277"/>
      <c r="Q555" s="1277"/>
      <c r="R555" s="1277"/>
      <c r="S555" s="1277"/>
      <c r="T555" s="1277"/>
      <c r="U555" s="1277"/>
      <c r="V555" s="1277"/>
      <c r="W555" s="1277"/>
      <c r="X555" s="1277"/>
    </row>
    <row r="556" spans="6:24">
      <c r="F556" s="921"/>
      <c r="G556" s="1277"/>
      <c r="H556" s="921"/>
      <c r="I556" s="1277"/>
      <c r="J556" s="921"/>
      <c r="K556" s="1277"/>
      <c r="L556" s="1277"/>
      <c r="M556" s="919"/>
      <c r="N556" s="919"/>
      <c r="O556" s="919"/>
      <c r="P556" s="1277"/>
      <c r="Q556" s="1277"/>
      <c r="R556" s="1277"/>
      <c r="S556" s="1277"/>
      <c r="T556" s="1277"/>
      <c r="U556" s="1277"/>
      <c r="V556" s="1277"/>
      <c r="W556" s="1277"/>
      <c r="X556" s="1277"/>
    </row>
    <row r="557" spans="6:24">
      <c r="F557" s="921"/>
      <c r="G557" s="1277"/>
      <c r="H557" s="921"/>
      <c r="I557" s="1277"/>
      <c r="J557" s="921"/>
      <c r="K557" s="1277"/>
      <c r="L557" s="1277"/>
      <c r="M557" s="919"/>
      <c r="N557" s="919"/>
      <c r="O557" s="919"/>
      <c r="P557" s="1277"/>
      <c r="Q557" s="1277"/>
      <c r="R557" s="1277"/>
      <c r="S557" s="1277"/>
      <c r="T557" s="1277"/>
      <c r="U557" s="1277"/>
      <c r="V557" s="1277"/>
      <c r="W557" s="1277"/>
      <c r="X557" s="1277"/>
    </row>
    <row r="558" spans="6:24">
      <c r="F558" s="921"/>
      <c r="G558" s="1277"/>
      <c r="H558" s="921"/>
      <c r="I558" s="1277"/>
      <c r="J558" s="921"/>
      <c r="K558" s="1277"/>
      <c r="L558" s="1277"/>
      <c r="M558" s="919"/>
      <c r="N558" s="919"/>
      <c r="O558" s="919"/>
      <c r="P558" s="1277"/>
      <c r="Q558" s="1277"/>
      <c r="R558" s="1277"/>
      <c r="S558" s="1277"/>
      <c r="T558" s="1277"/>
      <c r="U558" s="1277"/>
      <c r="V558" s="1277"/>
      <c r="W558" s="1277"/>
      <c r="X558" s="1277"/>
    </row>
    <row r="559" spans="6:24">
      <c r="F559" s="921"/>
      <c r="G559" s="1277"/>
      <c r="H559" s="921"/>
      <c r="I559" s="1277"/>
      <c r="J559" s="921"/>
      <c r="K559" s="1277"/>
      <c r="L559" s="1277"/>
      <c r="M559" s="919"/>
      <c r="N559" s="919"/>
      <c r="O559" s="919"/>
      <c r="P559" s="1277"/>
      <c r="Q559" s="1277"/>
      <c r="R559" s="1277"/>
      <c r="S559" s="1277"/>
      <c r="T559" s="1277"/>
      <c r="U559" s="1277"/>
      <c r="V559" s="1277"/>
      <c r="W559" s="1277"/>
      <c r="X559" s="1277"/>
    </row>
    <row r="560" spans="6:24">
      <c r="F560" s="921"/>
      <c r="G560" s="1277"/>
      <c r="H560" s="921"/>
      <c r="I560" s="1277"/>
      <c r="J560" s="921"/>
      <c r="K560" s="1277"/>
      <c r="L560" s="1277"/>
      <c r="M560" s="919"/>
      <c r="N560" s="919"/>
      <c r="O560" s="919"/>
      <c r="P560" s="1277"/>
      <c r="Q560" s="1277"/>
      <c r="R560" s="1277"/>
      <c r="S560" s="1277"/>
      <c r="T560" s="1277"/>
      <c r="U560" s="1277"/>
      <c r="V560" s="1277"/>
      <c r="W560" s="1277"/>
      <c r="X560" s="1277"/>
    </row>
    <row r="561" spans="6:24">
      <c r="F561" s="921"/>
      <c r="G561" s="1277"/>
      <c r="H561" s="921"/>
      <c r="I561" s="1277"/>
      <c r="J561" s="921"/>
      <c r="K561" s="1277"/>
      <c r="L561" s="1277"/>
      <c r="M561" s="919"/>
      <c r="N561" s="919"/>
      <c r="O561" s="919"/>
      <c r="P561" s="1277"/>
      <c r="Q561" s="1277"/>
      <c r="R561" s="1277"/>
      <c r="S561" s="1277"/>
      <c r="T561" s="1277"/>
      <c r="U561" s="1277"/>
      <c r="V561" s="1277"/>
      <c r="W561" s="1277"/>
      <c r="X561" s="1277"/>
    </row>
    <row r="562" spans="6:24">
      <c r="F562" s="921"/>
      <c r="G562" s="1277"/>
      <c r="H562" s="921"/>
      <c r="I562" s="1277"/>
      <c r="J562" s="921"/>
      <c r="K562" s="1277"/>
      <c r="L562" s="1277"/>
      <c r="M562" s="919"/>
      <c r="N562" s="919"/>
      <c r="O562" s="919"/>
      <c r="P562" s="1277"/>
      <c r="Q562" s="1277"/>
      <c r="R562" s="1277"/>
      <c r="S562" s="1277"/>
      <c r="T562" s="1277"/>
      <c r="U562" s="1277"/>
      <c r="V562" s="1277"/>
      <c r="W562" s="1277"/>
      <c r="X562" s="1277"/>
    </row>
    <row r="563" spans="6:24">
      <c r="F563" s="921"/>
      <c r="G563" s="1277"/>
      <c r="H563" s="921"/>
      <c r="I563" s="1277"/>
      <c r="J563" s="921"/>
      <c r="K563" s="1277"/>
      <c r="L563" s="1277"/>
      <c r="M563" s="919"/>
      <c r="N563" s="919"/>
      <c r="O563" s="919"/>
      <c r="P563" s="1277"/>
      <c r="Q563" s="1277"/>
      <c r="R563" s="1277"/>
      <c r="S563" s="1277"/>
      <c r="T563" s="1277"/>
      <c r="U563" s="1277"/>
      <c r="V563" s="1277"/>
      <c r="W563" s="1277"/>
      <c r="X563" s="1277"/>
    </row>
    <row r="564" spans="6:24">
      <c r="F564" s="921"/>
      <c r="G564" s="1277"/>
      <c r="H564" s="921"/>
      <c r="I564" s="1277"/>
      <c r="J564" s="921"/>
      <c r="K564" s="1277"/>
      <c r="L564" s="1277"/>
      <c r="M564" s="919"/>
      <c r="N564" s="919"/>
      <c r="O564" s="919"/>
      <c r="P564" s="1277"/>
      <c r="Q564" s="1277"/>
      <c r="R564" s="1277"/>
      <c r="S564" s="1277"/>
      <c r="T564" s="1277"/>
      <c r="U564" s="1277"/>
      <c r="V564" s="1277"/>
      <c r="W564" s="1277"/>
      <c r="X564" s="1277"/>
    </row>
    <row r="565" spans="6:24">
      <c r="F565" s="921"/>
      <c r="G565" s="1277"/>
      <c r="H565" s="921"/>
      <c r="I565" s="1277"/>
      <c r="J565" s="921"/>
      <c r="K565" s="1277"/>
      <c r="L565" s="1277"/>
      <c r="M565" s="919"/>
      <c r="N565" s="919"/>
      <c r="O565" s="919"/>
      <c r="P565" s="1277"/>
      <c r="Q565" s="1277"/>
      <c r="R565" s="1277"/>
      <c r="S565" s="1277"/>
      <c r="T565" s="1277"/>
      <c r="U565" s="1277"/>
      <c r="V565" s="1277"/>
      <c r="W565" s="1277"/>
      <c r="X565" s="1277"/>
    </row>
    <row r="566" spans="6:24">
      <c r="F566" s="921"/>
      <c r="G566" s="1277"/>
      <c r="H566" s="921"/>
      <c r="I566" s="1277"/>
      <c r="J566" s="921"/>
      <c r="K566" s="1277"/>
      <c r="L566" s="1277"/>
      <c r="M566" s="919"/>
      <c r="N566" s="919"/>
      <c r="O566" s="919"/>
      <c r="P566" s="1277"/>
      <c r="Q566" s="1277"/>
      <c r="R566" s="1277"/>
      <c r="S566" s="1277"/>
      <c r="T566" s="1277"/>
      <c r="U566" s="1277"/>
      <c r="V566" s="1277"/>
      <c r="W566" s="1277"/>
      <c r="X566" s="1277"/>
    </row>
    <row r="567" spans="6:24">
      <c r="F567" s="921"/>
      <c r="G567" s="1277"/>
      <c r="H567" s="921"/>
      <c r="I567" s="1277"/>
      <c r="J567" s="921"/>
      <c r="K567" s="1277"/>
      <c r="L567" s="1277"/>
      <c r="M567" s="919"/>
      <c r="N567" s="919"/>
      <c r="O567" s="919"/>
      <c r="P567" s="1277"/>
      <c r="Q567" s="1277"/>
      <c r="R567" s="1277"/>
      <c r="S567" s="1277"/>
      <c r="T567" s="1277"/>
      <c r="U567" s="1277"/>
      <c r="V567" s="1277"/>
      <c r="W567" s="1277"/>
      <c r="X567" s="1277"/>
    </row>
    <row r="568" spans="6:24">
      <c r="F568" s="921"/>
      <c r="G568" s="1277"/>
      <c r="H568" s="921"/>
      <c r="I568" s="1277"/>
      <c r="J568" s="921"/>
      <c r="K568" s="1277"/>
      <c r="L568" s="1277"/>
      <c r="M568" s="919"/>
      <c r="N568" s="919"/>
      <c r="O568" s="919"/>
      <c r="P568" s="1277"/>
      <c r="Q568" s="1277"/>
      <c r="R568" s="1277"/>
      <c r="S568" s="1277"/>
      <c r="T568" s="1277"/>
      <c r="U568" s="1277"/>
      <c r="V568" s="1277"/>
      <c r="W568" s="1277"/>
      <c r="X568" s="1277"/>
    </row>
    <row r="569" spans="6:24">
      <c r="F569" s="921"/>
      <c r="G569" s="1277"/>
      <c r="H569" s="921"/>
      <c r="I569" s="1277"/>
      <c r="J569" s="921"/>
      <c r="K569" s="1277"/>
      <c r="L569" s="1277"/>
      <c r="M569" s="919"/>
      <c r="N569" s="919"/>
      <c r="O569" s="919"/>
      <c r="P569" s="1277"/>
      <c r="Q569" s="1277"/>
      <c r="R569" s="1277"/>
      <c r="S569" s="1277"/>
      <c r="T569" s="1277"/>
      <c r="U569" s="1277"/>
      <c r="V569" s="1277"/>
      <c r="W569" s="1277"/>
      <c r="X569" s="1277"/>
    </row>
    <row r="570" spans="6:24">
      <c r="F570" s="921"/>
      <c r="G570" s="1277"/>
      <c r="H570" s="921"/>
      <c r="I570" s="1277"/>
      <c r="J570" s="921"/>
      <c r="K570" s="1277"/>
      <c r="L570" s="1277"/>
      <c r="M570" s="919"/>
      <c r="N570" s="919"/>
      <c r="O570" s="919"/>
      <c r="P570" s="1277"/>
      <c r="Q570" s="1277"/>
      <c r="R570" s="1277"/>
      <c r="S570" s="1277"/>
      <c r="T570" s="1277"/>
      <c r="U570" s="1277"/>
      <c r="V570" s="1277"/>
      <c r="W570" s="1277"/>
      <c r="X570" s="1277"/>
    </row>
    <row r="571" spans="6:24">
      <c r="F571" s="921"/>
      <c r="G571" s="1277"/>
      <c r="H571" s="921"/>
      <c r="I571" s="1277"/>
      <c r="J571" s="921"/>
      <c r="K571" s="1277"/>
      <c r="L571" s="1277"/>
      <c r="M571" s="919"/>
      <c r="N571" s="919"/>
      <c r="O571" s="919"/>
      <c r="P571" s="1277"/>
      <c r="Q571" s="1277"/>
      <c r="R571" s="1277"/>
      <c r="S571" s="1277"/>
      <c r="T571" s="1277"/>
      <c r="U571" s="1277"/>
      <c r="V571" s="1277"/>
      <c r="W571" s="1277"/>
      <c r="X571" s="1277"/>
    </row>
    <row r="572" spans="6:24">
      <c r="F572" s="921"/>
      <c r="G572" s="1277"/>
      <c r="H572" s="921"/>
      <c r="I572" s="1277"/>
      <c r="J572" s="921"/>
      <c r="K572" s="1277"/>
      <c r="L572" s="1277"/>
      <c r="M572" s="919"/>
      <c r="N572" s="919"/>
      <c r="O572" s="919"/>
      <c r="P572" s="1277"/>
      <c r="Q572" s="1277"/>
      <c r="R572" s="1277"/>
      <c r="S572" s="1277"/>
      <c r="T572" s="1277"/>
      <c r="U572" s="1277"/>
      <c r="V572" s="1277"/>
      <c r="W572" s="1277"/>
      <c r="X572" s="1277"/>
    </row>
    <row r="573" spans="6:24">
      <c r="F573" s="921"/>
      <c r="G573" s="1277"/>
      <c r="H573" s="921"/>
      <c r="I573" s="1277"/>
      <c r="J573" s="921"/>
      <c r="K573" s="1277"/>
      <c r="L573" s="1277"/>
      <c r="M573" s="919"/>
      <c r="N573" s="919"/>
      <c r="O573" s="919"/>
      <c r="P573" s="1277"/>
      <c r="Q573" s="1277"/>
      <c r="R573" s="1277"/>
      <c r="S573" s="1277"/>
      <c r="T573" s="1277"/>
      <c r="U573" s="1277"/>
      <c r="V573" s="1277"/>
      <c r="W573" s="1277"/>
      <c r="X573" s="1277"/>
    </row>
    <row r="574" spans="6:24">
      <c r="F574" s="921"/>
      <c r="G574" s="1277"/>
      <c r="H574" s="921"/>
      <c r="I574" s="1277"/>
      <c r="J574" s="921"/>
      <c r="K574" s="1277"/>
      <c r="L574" s="1277"/>
      <c r="M574" s="919"/>
      <c r="N574" s="919"/>
      <c r="O574" s="919"/>
      <c r="P574" s="1277"/>
      <c r="Q574" s="1277"/>
      <c r="R574" s="1277"/>
      <c r="S574" s="1277"/>
      <c r="T574" s="1277"/>
      <c r="U574" s="1277"/>
      <c r="V574" s="1277"/>
      <c r="W574" s="1277"/>
      <c r="X574" s="1277"/>
    </row>
    <row r="575" spans="6:24">
      <c r="F575" s="921"/>
      <c r="G575" s="1277"/>
      <c r="H575" s="921"/>
      <c r="I575" s="1277"/>
      <c r="J575" s="921"/>
      <c r="K575" s="1277"/>
      <c r="L575" s="1277"/>
      <c r="M575" s="919"/>
      <c r="N575" s="919"/>
      <c r="O575" s="919"/>
      <c r="P575" s="1277"/>
      <c r="Q575" s="1277"/>
      <c r="R575" s="1277"/>
      <c r="S575" s="1277"/>
      <c r="T575" s="1277"/>
      <c r="U575" s="1277"/>
      <c r="V575" s="1277"/>
      <c r="W575" s="1277"/>
      <c r="X575" s="1277"/>
    </row>
    <row r="576" spans="6:24">
      <c r="F576" s="921"/>
      <c r="G576" s="1277"/>
      <c r="H576" s="921"/>
      <c r="I576" s="1277"/>
      <c r="J576" s="921"/>
      <c r="K576" s="1277"/>
      <c r="L576" s="1277"/>
      <c r="M576" s="919"/>
      <c r="N576" s="919"/>
      <c r="O576" s="919"/>
      <c r="P576" s="1277"/>
      <c r="Q576" s="1277"/>
      <c r="R576" s="1277"/>
      <c r="S576" s="1277"/>
      <c r="T576" s="1277"/>
      <c r="U576" s="1277"/>
      <c r="V576" s="1277"/>
      <c r="W576" s="1277"/>
      <c r="X576" s="1277"/>
    </row>
    <row r="577" spans="6:24">
      <c r="F577" s="921"/>
      <c r="G577" s="1277"/>
      <c r="H577" s="921"/>
      <c r="I577" s="1277"/>
      <c r="J577" s="921"/>
      <c r="K577" s="1277"/>
      <c r="L577" s="1277"/>
      <c r="M577" s="919"/>
      <c r="N577" s="919"/>
      <c r="O577" s="919"/>
      <c r="P577" s="1277"/>
      <c r="Q577" s="1277"/>
      <c r="R577" s="1277"/>
      <c r="S577" s="1277"/>
      <c r="T577" s="1277"/>
      <c r="U577" s="1277"/>
      <c r="V577" s="1277"/>
      <c r="W577" s="1277"/>
      <c r="X577" s="1277"/>
    </row>
    <row r="578" spans="6:24">
      <c r="F578" s="921"/>
      <c r="G578" s="1277"/>
      <c r="H578" s="921"/>
      <c r="I578" s="1277"/>
      <c r="J578" s="921"/>
      <c r="K578" s="1277"/>
      <c r="L578" s="1277"/>
      <c r="M578" s="919"/>
      <c r="N578" s="919"/>
      <c r="O578" s="919"/>
      <c r="P578" s="1277"/>
      <c r="Q578" s="1277"/>
      <c r="R578" s="1277"/>
      <c r="S578" s="1277"/>
      <c r="T578" s="1277"/>
      <c r="U578" s="1277"/>
      <c r="V578" s="1277"/>
      <c r="W578" s="1277"/>
      <c r="X578" s="1277"/>
    </row>
    <row r="579" spans="6:24">
      <c r="F579" s="921"/>
      <c r="G579" s="1277"/>
      <c r="H579" s="921"/>
      <c r="I579" s="1277"/>
      <c r="J579" s="921"/>
      <c r="K579" s="1277"/>
      <c r="L579" s="1277"/>
      <c r="M579" s="919"/>
      <c r="N579" s="919"/>
      <c r="O579" s="919"/>
      <c r="P579" s="1277"/>
      <c r="Q579" s="1277"/>
      <c r="R579" s="1277"/>
      <c r="S579" s="1277"/>
      <c r="T579" s="1277"/>
      <c r="U579" s="1277"/>
      <c r="V579" s="1277"/>
      <c r="W579" s="1277"/>
      <c r="X579" s="1277"/>
    </row>
    <row r="580" spans="6:24">
      <c r="F580" s="921"/>
      <c r="G580" s="1277"/>
      <c r="H580" s="921"/>
      <c r="I580" s="1277"/>
      <c r="J580" s="921"/>
      <c r="K580" s="1277"/>
      <c r="L580" s="1277"/>
      <c r="M580" s="919"/>
      <c r="N580" s="919"/>
      <c r="O580" s="919"/>
      <c r="P580" s="1277"/>
      <c r="Q580" s="1277"/>
      <c r="R580" s="1277"/>
      <c r="S580" s="1277"/>
      <c r="T580" s="1277"/>
      <c r="U580" s="1277"/>
      <c r="V580" s="1277"/>
      <c r="W580" s="1277"/>
      <c r="X580" s="1277"/>
    </row>
    <row r="581" spans="6:24">
      <c r="F581" s="921"/>
      <c r="G581" s="1277"/>
      <c r="H581" s="921"/>
      <c r="I581" s="1277"/>
      <c r="J581" s="921"/>
      <c r="K581" s="1277"/>
      <c r="L581" s="1277"/>
      <c r="M581" s="919"/>
      <c r="N581" s="919"/>
      <c r="O581" s="919"/>
      <c r="P581" s="1277"/>
      <c r="Q581" s="1277"/>
      <c r="R581" s="1277"/>
      <c r="S581" s="1277"/>
      <c r="T581" s="1277"/>
      <c r="U581" s="1277"/>
      <c r="V581" s="1277"/>
      <c r="W581" s="1277"/>
      <c r="X581" s="1277"/>
    </row>
    <row r="582" spans="6:24">
      <c r="F582" s="921"/>
      <c r="G582" s="1277"/>
      <c r="H582" s="921"/>
      <c r="I582" s="1277"/>
      <c r="J582" s="921"/>
      <c r="K582" s="1277"/>
      <c r="L582" s="1277"/>
      <c r="M582" s="919"/>
      <c r="N582" s="919"/>
      <c r="O582" s="919"/>
      <c r="P582" s="1277"/>
      <c r="Q582" s="1277"/>
      <c r="R582" s="1277"/>
      <c r="S582" s="1277"/>
      <c r="T582" s="1277"/>
      <c r="U582" s="1277"/>
      <c r="V582" s="1277"/>
      <c r="W582" s="1277"/>
      <c r="X582" s="1277"/>
    </row>
    <row r="583" spans="6:24">
      <c r="F583" s="921"/>
      <c r="G583" s="1277"/>
      <c r="H583" s="921"/>
      <c r="I583" s="1277"/>
      <c r="J583" s="921"/>
      <c r="K583" s="1277"/>
      <c r="L583" s="1277"/>
      <c r="M583" s="919"/>
      <c r="N583" s="919"/>
      <c r="O583" s="919"/>
      <c r="P583" s="1277"/>
      <c r="Q583" s="1277"/>
      <c r="R583" s="1277"/>
      <c r="S583" s="1277"/>
      <c r="T583" s="1277"/>
      <c r="U583" s="1277"/>
      <c r="V583" s="1277"/>
      <c r="W583" s="1277"/>
      <c r="X583" s="1277"/>
    </row>
    <row r="584" spans="6:24">
      <c r="F584" s="921"/>
      <c r="G584" s="1277"/>
      <c r="H584" s="921"/>
      <c r="I584" s="1277"/>
      <c r="J584" s="921"/>
      <c r="K584" s="1277"/>
      <c r="L584" s="1277"/>
      <c r="M584" s="919"/>
      <c r="N584" s="919"/>
      <c r="O584" s="919"/>
      <c r="P584" s="1277"/>
      <c r="Q584" s="1277"/>
      <c r="R584" s="1277"/>
      <c r="S584" s="1277"/>
      <c r="T584" s="1277"/>
      <c r="U584" s="1277"/>
      <c r="V584" s="1277"/>
      <c r="W584" s="1277"/>
      <c r="X584" s="1277"/>
    </row>
    <row r="585" spans="6:24">
      <c r="F585" s="921"/>
      <c r="G585" s="1277"/>
      <c r="H585" s="921"/>
      <c r="I585" s="1277"/>
      <c r="J585" s="921"/>
      <c r="K585" s="1277"/>
      <c r="L585" s="1277"/>
      <c r="M585" s="919"/>
      <c r="N585" s="919"/>
      <c r="O585" s="919"/>
      <c r="P585" s="1277"/>
      <c r="Q585" s="1277"/>
      <c r="R585" s="1277"/>
      <c r="S585" s="1277"/>
      <c r="T585" s="1277"/>
      <c r="U585" s="1277"/>
      <c r="V585" s="1277"/>
      <c r="W585" s="1277"/>
      <c r="X585" s="1277"/>
    </row>
    <row r="586" spans="6:24">
      <c r="F586" s="921"/>
      <c r="G586" s="1277"/>
      <c r="H586" s="921"/>
      <c r="I586" s="1277"/>
      <c r="J586" s="921"/>
      <c r="K586" s="1277"/>
      <c r="L586" s="1277"/>
      <c r="M586" s="919"/>
      <c r="N586" s="919"/>
      <c r="O586" s="919"/>
      <c r="P586" s="1277"/>
      <c r="Q586" s="1277"/>
      <c r="R586" s="1277"/>
      <c r="S586" s="1277"/>
      <c r="T586" s="1277"/>
      <c r="U586" s="1277"/>
      <c r="V586" s="1277"/>
      <c r="W586" s="1277"/>
      <c r="X586" s="1277"/>
    </row>
    <row r="587" spans="6:24">
      <c r="F587" s="921"/>
      <c r="G587" s="1277"/>
      <c r="H587" s="921"/>
      <c r="I587" s="1277"/>
      <c r="J587" s="921"/>
      <c r="K587" s="1277"/>
      <c r="L587" s="1277"/>
      <c r="M587" s="919"/>
      <c r="N587" s="919"/>
      <c r="O587" s="919"/>
      <c r="P587" s="1277"/>
      <c r="Q587" s="1277"/>
      <c r="R587" s="1277"/>
      <c r="S587" s="1277"/>
      <c r="T587" s="1277"/>
      <c r="U587" s="1277"/>
      <c r="V587" s="1277"/>
      <c r="W587" s="1277"/>
      <c r="X587" s="1277"/>
    </row>
    <row r="588" spans="6:24">
      <c r="F588" s="921"/>
      <c r="G588" s="1277"/>
      <c r="H588" s="921"/>
      <c r="I588" s="1277"/>
      <c r="J588" s="921"/>
      <c r="K588" s="1277"/>
      <c r="L588" s="1277"/>
      <c r="M588" s="919"/>
      <c r="N588" s="919"/>
      <c r="O588" s="919"/>
      <c r="P588" s="1277"/>
      <c r="Q588" s="1277"/>
      <c r="R588" s="1277"/>
      <c r="S588" s="1277"/>
      <c r="T588" s="1277"/>
      <c r="U588" s="1277"/>
      <c r="V588" s="1277"/>
      <c r="W588" s="1277"/>
      <c r="X588" s="1277"/>
    </row>
    <row r="589" spans="6:24">
      <c r="F589" s="921"/>
      <c r="G589" s="1277"/>
      <c r="H589" s="921"/>
      <c r="I589" s="1277"/>
      <c r="J589" s="921"/>
      <c r="K589" s="1277"/>
      <c r="L589" s="1277"/>
      <c r="M589" s="919"/>
      <c r="N589" s="919"/>
      <c r="O589" s="919"/>
      <c r="P589" s="1277"/>
      <c r="Q589" s="1277"/>
      <c r="R589" s="1277"/>
      <c r="S589" s="1277"/>
      <c r="T589" s="1277"/>
      <c r="U589" s="1277"/>
      <c r="V589" s="1277"/>
      <c r="W589" s="1277"/>
      <c r="X589" s="1277"/>
    </row>
    <row r="590" spans="6:24">
      <c r="F590" s="921"/>
      <c r="G590" s="1277"/>
      <c r="H590" s="921"/>
      <c r="I590" s="1277"/>
      <c r="J590" s="921"/>
      <c r="K590" s="1277"/>
      <c r="L590" s="1277"/>
      <c r="M590" s="919"/>
      <c r="N590" s="919"/>
      <c r="O590" s="919"/>
      <c r="P590" s="1277"/>
      <c r="Q590" s="1277"/>
      <c r="R590" s="1277"/>
      <c r="S590" s="1277"/>
      <c r="T590" s="1277"/>
      <c r="U590" s="1277"/>
      <c r="V590" s="1277"/>
      <c r="W590" s="1277"/>
      <c r="X590" s="1277"/>
    </row>
    <row r="591" spans="6:24">
      <c r="F591" s="921"/>
      <c r="G591" s="1277"/>
      <c r="H591" s="921"/>
      <c r="I591" s="1277"/>
      <c r="J591" s="921"/>
      <c r="K591" s="1277"/>
      <c r="L591" s="1277"/>
      <c r="M591" s="919"/>
      <c r="N591" s="919"/>
      <c r="O591" s="919"/>
      <c r="P591" s="1277"/>
      <c r="Q591" s="1277"/>
      <c r="R591" s="1277"/>
      <c r="S591" s="1277"/>
      <c r="T591" s="1277"/>
      <c r="U591" s="1277"/>
      <c r="V591" s="1277"/>
      <c r="W591" s="1277"/>
      <c r="X591" s="1277"/>
    </row>
    <row r="592" spans="6:24">
      <c r="F592" s="921"/>
      <c r="G592" s="1277"/>
      <c r="H592" s="921"/>
      <c r="I592" s="1277"/>
      <c r="J592" s="921"/>
      <c r="K592" s="1277"/>
      <c r="L592" s="1277"/>
      <c r="M592" s="919"/>
      <c r="N592" s="919"/>
      <c r="O592" s="919"/>
      <c r="P592" s="1277"/>
      <c r="Q592" s="1277"/>
      <c r="R592" s="1277"/>
      <c r="S592" s="1277"/>
      <c r="T592" s="1277"/>
      <c r="U592" s="1277"/>
      <c r="V592" s="1277"/>
      <c r="W592" s="1277"/>
      <c r="X592" s="1277"/>
    </row>
    <row r="593" spans="6:24">
      <c r="F593" s="921"/>
      <c r="G593" s="1277"/>
      <c r="H593" s="921"/>
      <c r="I593" s="1277"/>
      <c r="J593" s="921"/>
      <c r="K593" s="1277"/>
      <c r="L593" s="1277"/>
      <c r="M593" s="919"/>
      <c r="N593" s="919"/>
      <c r="O593" s="919"/>
      <c r="P593" s="1277"/>
      <c r="Q593" s="1277"/>
      <c r="R593" s="1277"/>
      <c r="S593" s="1277"/>
      <c r="T593" s="1277"/>
      <c r="U593" s="1277"/>
      <c r="V593" s="1277"/>
      <c r="W593" s="1277"/>
      <c r="X593" s="1277"/>
    </row>
    <row r="594" spans="6:24">
      <c r="F594" s="921"/>
      <c r="G594" s="1277"/>
      <c r="H594" s="921"/>
      <c r="I594" s="1277"/>
      <c r="J594" s="921"/>
      <c r="K594" s="1277"/>
      <c r="L594" s="1277"/>
      <c r="M594" s="919"/>
      <c r="N594" s="919"/>
      <c r="O594" s="919"/>
      <c r="P594" s="1277"/>
      <c r="Q594" s="1277"/>
      <c r="R594" s="1277"/>
      <c r="S594" s="1277"/>
      <c r="T594" s="1277"/>
      <c r="U594" s="1277"/>
      <c r="V594" s="1277"/>
      <c r="W594" s="1277"/>
      <c r="X594" s="1277"/>
    </row>
    <row r="595" spans="6:24">
      <c r="F595" s="921"/>
      <c r="G595" s="1277"/>
      <c r="H595" s="921"/>
      <c r="I595" s="1277"/>
      <c r="J595" s="921"/>
      <c r="K595" s="1277"/>
      <c r="L595" s="1277"/>
      <c r="M595" s="919"/>
      <c r="N595" s="919"/>
      <c r="O595" s="919"/>
      <c r="P595" s="1277"/>
      <c r="Q595" s="1277"/>
      <c r="R595" s="1277"/>
      <c r="S595" s="1277"/>
      <c r="T595" s="1277"/>
      <c r="U595" s="1277"/>
      <c r="V595" s="1277"/>
      <c r="W595" s="1277"/>
      <c r="X595" s="1277"/>
    </row>
    <row r="596" spans="6:24">
      <c r="F596" s="921"/>
      <c r="G596" s="1277"/>
      <c r="H596" s="921"/>
      <c r="I596" s="1277"/>
      <c r="J596" s="921"/>
      <c r="K596" s="1277"/>
      <c r="L596" s="1277"/>
      <c r="M596" s="919"/>
      <c r="N596" s="919"/>
      <c r="O596" s="919"/>
      <c r="P596" s="1277"/>
      <c r="Q596" s="1277"/>
      <c r="R596" s="1277"/>
      <c r="S596" s="1277"/>
      <c r="T596" s="1277"/>
      <c r="U596" s="1277"/>
      <c r="V596" s="1277"/>
      <c r="W596" s="1277"/>
      <c r="X596" s="1277"/>
    </row>
    <row r="597" spans="6:24">
      <c r="F597" s="921"/>
      <c r="G597" s="1277"/>
      <c r="H597" s="921"/>
      <c r="I597" s="1277"/>
      <c r="J597" s="921"/>
      <c r="K597" s="1277"/>
      <c r="L597" s="1277"/>
      <c r="M597" s="919"/>
      <c r="N597" s="919"/>
      <c r="O597" s="919"/>
      <c r="P597" s="1277"/>
      <c r="Q597" s="1277"/>
      <c r="R597" s="1277"/>
      <c r="S597" s="1277"/>
      <c r="T597" s="1277"/>
      <c r="U597" s="1277"/>
      <c r="V597" s="1277"/>
      <c r="W597" s="1277"/>
      <c r="X597" s="1277"/>
    </row>
    <row r="598" spans="6:24">
      <c r="F598" s="921"/>
      <c r="G598" s="1277"/>
      <c r="H598" s="921"/>
      <c r="I598" s="1277"/>
      <c r="J598" s="921"/>
      <c r="K598" s="1277"/>
      <c r="L598" s="1277"/>
      <c r="M598" s="919"/>
      <c r="N598" s="919"/>
      <c r="O598" s="919"/>
      <c r="P598" s="1277"/>
      <c r="Q598" s="1277"/>
      <c r="R598" s="1277"/>
      <c r="S598" s="1277"/>
      <c r="T598" s="1277"/>
      <c r="U598" s="1277"/>
      <c r="V598" s="1277"/>
      <c r="W598" s="1277"/>
      <c r="X598" s="1277"/>
    </row>
    <row r="599" spans="6:24">
      <c r="F599" s="921"/>
      <c r="G599" s="1277"/>
      <c r="H599" s="921"/>
      <c r="I599" s="1277"/>
      <c r="J599" s="921"/>
      <c r="K599" s="1277"/>
      <c r="L599" s="1277"/>
      <c r="M599" s="919"/>
      <c r="N599" s="919"/>
      <c r="O599" s="919"/>
      <c r="P599" s="1277"/>
      <c r="Q599" s="1277"/>
      <c r="R599" s="1277"/>
      <c r="S599" s="1277"/>
      <c r="T599" s="1277"/>
      <c r="U599" s="1277"/>
      <c r="V599" s="1277"/>
      <c r="W599" s="1277"/>
      <c r="X599" s="1277"/>
    </row>
    <row r="600" spans="6:24">
      <c r="F600" s="921"/>
      <c r="G600" s="1277"/>
      <c r="H600" s="921"/>
      <c r="I600" s="1277"/>
      <c r="J600" s="921"/>
      <c r="K600" s="1277"/>
      <c r="L600" s="1277"/>
      <c r="M600" s="919"/>
      <c r="N600" s="919"/>
      <c r="O600" s="919"/>
      <c r="P600" s="1277"/>
      <c r="Q600" s="1277"/>
      <c r="R600" s="1277"/>
      <c r="S600" s="1277"/>
      <c r="T600" s="1277"/>
      <c r="U600" s="1277"/>
      <c r="V600" s="1277"/>
      <c r="W600" s="1277"/>
      <c r="X600" s="1277"/>
    </row>
    <row r="601" spans="6:24">
      <c r="F601" s="921"/>
      <c r="G601" s="1277"/>
      <c r="H601" s="921"/>
      <c r="I601" s="1277"/>
      <c r="J601" s="921"/>
      <c r="K601" s="1277"/>
      <c r="L601" s="1277"/>
      <c r="M601" s="919"/>
      <c r="N601" s="919"/>
      <c r="O601" s="919"/>
      <c r="P601" s="1277"/>
      <c r="Q601" s="1277"/>
      <c r="R601" s="1277"/>
      <c r="S601" s="1277"/>
      <c r="T601" s="1277"/>
      <c r="U601" s="1277"/>
      <c r="V601" s="1277"/>
      <c r="W601" s="1277"/>
      <c r="X601" s="1277"/>
    </row>
    <row r="602" spans="6:24">
      <c r="F602" s="921"/>
      <c r="G602" s="1277"/>
      <c r="H602" s="921"/>
      <c r="I602" s="1277"/>
      <c r="J602" s="921"/>
      <c r="K602" s="1277"/>
      <c r="L602" s="1277"/>
      <c r="M602" s="919"/>
      <c r="N602" s="919"/>
      <c r="O602" s="919"/>
      <c r="P602" s="1277"/>
      <c r="Q602" s="1277"/>
      <c r="R602" s="1277"/>
      <c r="S602" s="1277"/>
      <c r="T602" s="1277"/>
      <c r="U602" s="1277"/>
      <c r="V602" s="1277"/>
      <c r="W602" s="1277"/>
      <c r="X602" s="1277"/>
    </row>
    <row r="603" spans="6:24">
      <c r="F603" s="921"/>
      <c r="G603" s="1277"/>
      <c r="H603" s="921"/>
      <c r="I603" s="1277"/>
      <c r="J603" s="921"/>
      <c r="K603" s="1277"/>
      <c r="L603" s="1277"/>
      <c r="M603" s="919"/>
      <c r="N603" s="919"/>
      <c r="O603" s="919"/>
      <c r="P603" s="1277"/>
      <c r="Q603" s="1277"/>
      <c r="R603" s="1277"/>
      <c r="S603" s="1277"/>
      <c r="T603" s="1277"/>
      <c r="U603" s="1277"/>
      <c r="V603" s="1277"/>
      <c r="W603" s="1277"/>
      <c r="X603" s="1277"/>
    </row>
    <row r="604" spans="6:24">
      <c r="F604" s="921"/>
      <c r="G604" s="1277"/>
      <c r="H604" s="921"/>
      <c r="I604" s="1277"/>
      <c r="J604" s="921"/>
      <c r="K604" s="1277"/>
      <c r="L604" s="1277"/>
      <c r="M604" s="919"/>
      <c r="N604" s="919"/>
      <c r="O604" s="919"/>
      <c r="P604" s="1277"/>
      <c r="Q604" s="1277"/>
      <c r="R604" s="1277"/>
      <c r="S604" s="1277"/>
      <c r="T604" s="1277"/>
      <c r="U604" s="1277"/>
      <c r="V604" s="1277"/>
      <c r="W604" s="1277"/>
      <c r="X604" s="1277"/>
    </row>
    <row r="605" spans="6:24">
      <c r="F605" s="921"/>
      <c r="G605" s="1277"/>
      <c r="H605" s="921"/>
      <c r="I605" s="1277"/>
      <c r="J605" s="921"/>
      <c r="K605" s="1277"/>
      <c r="L605" s="1277"/>
      <c r="M605" s="919"/>
      <c r="N605" s="919"/>
      <c r="O605" s="919"/>
      <c r="P605" s="1277"/>
      <c r="Q605" s="1277"/>
      <c r="R605" s="1277"/>
      <c r="S605" s="1277"/>
      <c r="T605" s="1277"/>
      <c r="U605" s="1277"/>
      <c r="V605" s="1277"/>
      <c r="W605" s="1277"/>
      <c r="X605" s="1277"/>
    </row>
    <row r="606" spans="6:24">
      <c r="F606" s="921"/>
      <c r="G606" s="1277"/>
      <c r="H606" s="921"/>
      <c r="I606" s="1277"/>
      <c r="J606" s="921"/>
      <c r="K606" s="1277"/>
      <c r="L606" s="1277"/>
      <c r="M606" s="919"/>
      <c r="N606" s="919"/>
      <c r="O606" s="919"/>
      <c r="P606" s="1277"/>
      <c r="Q606" s="1277"/>
      <c r="R606" s="1277"/>
      <c r="S606" s="1277"/>
      <c r="T606" s="1277"/>
      <c r="U606" s="1277"/>
      <c r="V606" s="1277"/>
      <c r="W606" s="1277"/>
      <c r="X606" s="1277"/>
    </row>
    <row r="607" spans="6:24">
      <c r="F607" s="921"/>
      <c r="G607" s="1277"/>
      <c r="H607" s="921"/>
      <c r="I607" s="1277"/>
      <c r="J607" s="921"/>
      <c r="K607" s="1277"/>
      <c r="L607" s="1277"/>
      <c r="M607" s="919"/>
      <c r="N607" s="919"/>
      <c r="O607" s="919"/>
      <c r="P607" s="1277"/>
      <c r="Q607" s="1277"/>
      <c r="R607" s="1277"/>
      <c r="S607" s="1277"/>
      <c r="T607" s="1277"/>
      <c r="U607" s="1277"/>
      <c r="V607" s="1277"/>
      <c r="W607" s="1277"/>
      <c r="X607" s="1277"/>
    </row>
    <row r="608" spans="6:24">
      <c r="F608" s="921"/>
      <c r="G608" s="1277"/>
      <c r="H608" s="921"/>
      <c r="I608" s="1277"/>
      <c r="J608" s="921"/>
      <c r="K608" s="1277"/>
      <c r="L608" s="1277"/>
      <c r="M608" s="919"/>
      <c r="N608" s="919"/>
      <c r="O608" s="919"/>
      <c r="P608" s="1277"/>
      <c r="Q608" s="1277"/>
      <c r="R608" s="1277"/>
      <c r="S608" s="1277"/>
      <c r="T608" s="1277"/>
      <c r="U608" s="1277"/>
      <c r="V608" s="1277"/>
      <c r="W608" s="1277"/>
      <c r="X608" s="1277"/>
    </row>
    <row r="609" spans="6:24">
      <c r="F609" s="921"/>
      <c r="G609" s="1277"/>
      <c r="H609" s="921"/>
      <c r="I609" s="1277"/>
      <c r="J609" s="921"/>
      <c r="K609" s="1277"/>
      <c r="L609" s="1277"/>
      <c r="M609" s="919"/>
      <c r="N609" s="919"/>
      <c r="O609" s="919"/>
      <c r="P609" s="1277"/>
      <c r="Q609" s="1277"/>
      <c r="R609" s="1277"/>
      <c r="S609" s="1277"/>
      <c r="T609" s="1277"/>
      <c r="U609" s="1277"/>
      <c r="V609" s="1277"/>
      <c r="W609" s="1277"/>
      <c r="X609" s="1277"/>
    </row>
    <row r="610" spans="6:24">
      <c r="F610" s="921"/>
      <c r="G610" s="1277"/>
      <c r="H610" s="921"/>
      <c r="I610" s="1277"/>
      <c r="J610" s="921"/>
      <c r="K610" s="1277"/>
      <c r="L610" s="1277"/>
      <c r="M610" s="919"/>
      <c r="N610" s="919"/>
      <c r="O610" s="919"/>
      <c r="P610" s="1277"/>
      <c r="Q610" s="1277"/>
      <c r="R610" s="1277"/>
      <c r="S610" s="1277"/>
      <c r="T610" s="1277"/>
      <c r="U610" s="1277"/>
      <c r="V610" s="1277"/>
      <c r="W610" s="1277"/>
      <c r="X610" s="1277"/>
    </row>
    <row r="611" spans="6:24">
      <c r="F611" s="921"/>
      <c r="G611" s="1277"/>
      <c r="H611" s="921"/>
      <c r="I611" s="1277"/>
      <c r="J611" s="921"/>
      <c r="K611" s="1277"/>
      <c r="L611" s="1277"/>
      <c r="M611" s="919"/>
      <c r="N611" s="919"/>
      <c r="O611" s="919"/>
      <c r="P611" s="1277"/>
      <c r="Q611" s="1277"/>
      <c r="R611" s="1277"/>
      <c r="S611" s="1277"/>
      <c r="T611" s="1277"/>
      <c r="U611" s="1277"/>
      <c r="V611" s="1277"/>
      <c r="W611" s="1277"/>
      <c r="X611" s="1277"/>
    </row>
    <row r="612" spans="6:24">
      <c r="F612" s="921"/>
      <c r="G612" s="1277"/>
      <c r="H612" s="921"/>
      <c r="I612" s="1277"/>
      <c r="J612" s="921"/>
      <c r="K612" s="1277"/>
      <c r="L612" s="1277"/>
      <c r="M612" s="919"/>
      <c r="N612" s="919"/>
      <c r="O612" s="919"/>
      <c r="P612" s="1277"/>
      <c r="Q612" s="1277"/>
      <c r="R612" s="1277"/>
      <c r="S612" s="1277"/>
      <c r="T612" s="1277"/>
      <c r="U612" s="1277"/>
      <c r="V612" s="1277"/>
      <c r="W612" s="1277"/>
      <c r="X612" s="1277"/>
    </row>
    <row r="613" spans="6:24">
      <c r="F613" s="921"/>
      <c r="G613" s="1277"/>
      <c r="H613" s="921"/>
      <c r="I613" s="1277"/>
      <c r="J613" s="921"/>
      <c r="K613" s="1277"/>
      <c r="L613" s="1277"/>
      <c r="M613" s="919"/>
      <c r="N613" s="919"/>
      <c r="O613" s="919"/>
      <c r="P613" s="1277"/>
      <c r="Q613" s="1277"/>
      <c r="R613" s="1277"/>
      <c r="S613" s="1277"/>
      <c r="T613" s="1277"/>
      <c r="U613" s="1277"/>
      <c r="V613" s="1277"/>
      <c r="W613" s="1277"/>
      <c r="X613" s="1277"/>
    </row>
    <row r="614" spans="6:24">
      <c r="F614" s="921"/>
      <c r="G614" s="1277"/>
      <c r="H614" s="921"/>
      <c r="I614" s="1277"/>
      <c r="J614" s="921"/>
      <c r="K614" s="1277"/>
      <c r="L614" s="1277"/>
      <c r="M614" s="919"/>
      <c r="N614" s="919"/>
      <c r="O614" s="919"/>
      <c r="P614" s="1277"/>
      <c r="Q614" s="1277"/>
      <c r="R614" s="1277"/>
      <c r="S614" s="1277"/>
      <c r="T614" s="1277"/>
      <c r="U614" s="1277"/>
      <c r="V614" s="1277"/>
      <c r="W614" s="1277"/>
      <c r="X614" s="1277"/>
    </row>
    <row r="615" spans="6:24">
      <c r="F615" s="921"/>
      <c r="G615" s="1277"/>
      <c r="H615" s="921"/>
      <c r="I615" s="1277"/>
      <c r="J615" s="921"/>
      <c r="K615" s="1277"/>
      <c r="L615" s="1277"/>
      <c r="M615" s="919"/>
      <c r="N615" s="919"/>
      <c r="O615" s="919"/>
      <c r="P615" s="1277"/>
      <c r="Q615" s="1277"/>
      <c r="R615" s="1277"/>
      <c r="S615" s="1277"/>
      <c r="T615" s="1277"/>
      <c r="U615" s="1277"/>
      <c r="V615" s="1277"/>
      <c r="W615" s="1277"/>
      <c r="X615" s="1277"/>
    </row>
    <row r="616" spans="6:24">
      <c r="F616" s="921"/>
      <c r="G616" s="1277"/>
      <c r="H616" s="921"/>
      <c r="I616" s="1277"/>
      <c r="J616" s="921"/>
      <c r="K616" s="1277"/>
      <c r="L616" s="1277"/>
      <c r="M616" s="919"/>
      <c r="N616" s="919"/>
      <c r="O616" s="919"/>
      <c r="P616" s="1277"/>
      <c r="Q616" s="1277"/>
      <c r="R616" s="1277"/>
      <c r="S616" s="1277"/>
      <c r="T616" s="1277"/>
      <c r="U616" s="1277"/>
      <c r="V616" s="1277"/>
      <c r="W616" s="1277"/>
      <c r="X616" s="1277"/>
    </row>
    <row r="617" spans="6:24">
      <c r="F617" s="921"/>
      <c r="G617" s="1277"/>
      <c r="H617" s="921"/>
      <c r="I617" s="1277"/>
      <c r="J617" s="921"/>
      <c r="K617" s="1277"/>
      <c r="L617" s="1277"/>
      <c r="M617" s="919"/>
      <c r="N617" s="919"/>
      <c r="O617" s="919"/>
      <c r="P617" s="1277"/>
      <c r="Q617" s="1277"/>
      <c r="R617" s="1277"/>
      <c r="S617" s="1277"/>
      <c r="T617" s="1277"/>
      <c r="U617" s="1277"/>
      <c r="V617" s="1277"/>
      <c r="W617" s="1277"/>
      <c r="X617" s="1277"/>
    </row>
    <row r="618" spans="6:24">
      <c r="F618" s="921"/>
      <c r="G618" s="1277"/>
      <c r="H618" s="921"/>
      <c r="I618" s="1277"/>
      <c r="J618" s="921"/>
      <c r="K618" s="1277"/>
      <c r="L618" s="1277"/>
      <c r="M618" s="919"/>
      <c r="N618" s="919"/>
      <c r="O618" s="919"/>
      <c r="P618" s="1277"/>
      <c r="Q618" s="1277"/>
      <c r="R618" s="1277"/>
      <c r="S618" s="1277"/>
      <c r="T618" s="1277"/>
      <c r="U618" s="1277"/>
      <c r="V618" s="1277"/>
      <c r="W618" s="1277"/>
      <c r="X618" s="1277"/>
    </row>
    <row r="619" spans="6:24">
      <c r="F619" s="921"/>
      <c r="G619" s="1277"/>
      <c r="H619" s="921"/>
      <c r="I619" s="1277"/>
      <c r="J619" s="921"/>
      <c r="K619" s="1277"/>
      <c r="L619" s="1277"/>
      <c r="M619" s="919"/>
      <c r="N619" s="919"/>
      <c r="O619" s="919"/>
      <c r="P619" s="1277"/>
      <c r="Q619" s="1277"/>
      <c r="R619" s="1277"/>
      <c r="S619" s="1277"/>
      <c r="T619" s="1277"/>
      <c r="U619" s="1277"/>
      <c r="V619" s="1277"/>
      <c r="W619" s="1277"/>
      <c r="X619" s="1277"/>
    </row>
    <row r="620" spans="6:24">
      <c r="F620" s="921"/>
      <c r="G620" s="1277"/>
      <c r="H620" s="921"/>
      <c r="I620" s="1277"/>
      <c r="J620" s="921"/>
      <c r="K620" s="1277"/>
      <c r="L620" s="1277"/>
      <c r="M620" s="919"/>
      <c r="N620" s="919"/>
      <c r="O620" s="919"/>
      <c r="P620" s="1277"/>
      <c r="Q620" s="1277"/>
      <c r="R620" s="1277"/>
      <c r="S620" s="1277"/>
      <c r="T620" s="1277"/>
      <c r="U620" s="1277"/>
      <c r="V620" s="1277"/>
      <c r="W620" s="1277"/>
      <c r="X620" s="1277"/>
    </row>
    <row r="621" spans="6:24">
      <c r="F621" s="921"/>
      <c r="G621" s="1277"/>
      <c r="H621" s="921"/>
      <c r="I621" s="1277"/>
      <c r="J621" s="921"/>
      <c r="K621" s="1277"/>
      <c r="L621" s="1277"/>
      <c r="M621" s="919"/>
      <c r="N621" s="919"/>
      <c r="O621" s="919"/>
      <c r="P621" s="1277"/>
      <c r="Q621" s="1277"/>
      <c r="R621" s="1277"/>
      <c r="S621" s="1277"/>
      <c r="T621" s="1277"/>
      <c r="U621" s="1277"/>
      <c r="V621" s="1277"/>
      <c r="W621" s="1277"/>
      <c r="X621" s="1277"/>
    </row>
    <row r="622" spans="6:24">
      <c r="F622" s="921"/>
      <c r="G622" s="1277"/>
      <c r="H622" s="921"/>
      <c r="I622" s="1277"/>
      <c r="J622" s="921"/>
      <c r="K622" s="1277"/>
      <c r="L622" s="1277"/>
      <c r="M622" s="919"/>
      <c r="N622" s="919"/>
      <c r="O622" s="919"/>
      <c r="P622" s="1277"/>
      <c r="Q622" s="1277"/>
      <c r="R622" s="1277"/>
      <c r="S622" s="1277"/>
      <c r="T622" s="1277"/>
      <c r="U622" s="1277"/>
      <c r="V622" s="1277"/>
      <c r="W622" s="1277"/>
      <c r="X622" s="1277"/>
    </row>
    <row r="623" spans="6:24">
      <c r="F623" s="921"/>
      <c r="G623" s="1277"/>
      <c r="H623" s="921"/>
      <c r="I623" s="1277"/>
      <c r="J623" s="921"/>
      <c r="K623" s="1277"/>
      <c r="L623" s="1277"/>
      <c r="M623" s="919"/>
      <c r="N623" s="919"/>
      <c r="O623" s="919"/>
      <c r="P623" s="1277"/>
      <c r="Q623" s="1277"/>
      <c r="R623" s="1277"/>
      <c r="S623" s="1277"/>
      <c r="T623" s="1277"/>
      <c r="U623" s="1277"/>
      <c r="V623" s="1277"/>
      <c r="W623" s="1277"/>
      <c r="X623" s="1277"/>
    </row>
    <row r="624" spans="6:24">
      <c r="F624" s="921"/>
      <c r="G624" s="1277"/>
      <c r="H624" s="921"/>
      <c r="I624" s="1277"/>
      <c r="J624" s="921"/>
      <c r="K624" s="1277"/>
      <c r="L624" s="1277"/>
      <c r="M624" s="919"/>
      <c r="N624" s="919"/>
      <c r="O624" s="919"/>
      <c r="P624" s="1277"/>
      <c r="Q624" s="1277"/>
      <c r="R624" s="1277"/>
      <c r="S624" s="1277"/>
      <c r="T624" s="1277"/>
      <c r="U624" s="1277"/>
      <c r="V624" s="1277"/>
      <c r="W624" s="1277"/>
      <c r="X624" s="1277"/>
    </row>
    <row r="625" spans="6:24">
      <c r="F625" s="921"/>
      <c r="G625" s="1277"/>
      <c r="H625" s="921"/>
      <c r="I625" s="1277"/>
      <c r="J625" s="921"/>
      <c r="K625" s="1277"/>
      <c r="L625" s="1277"/>
      <c r="M625" s="919"/>
      <c r="N625" s="919"/>
      <c r="O625" s="919"/>
      <c r="P625" s="1277"/>
      <c r="Q625" s="1277"/>
      <c r="R625" s="1277"/>
      <c r="S625" s="1277"/>
      <c r="T625" s="1277"/>
      <c r="U625" s="1277"/>
      <c r="V625" s="1277"/>
      <c r="W625" s="1277"/>
      <c r="X625" s="1277"/>
    </row>
    <row r="626" spans="6:24">
      <c r="F626" s="921"/>
      <c r="G626" s="1277"/>
      <c r="H626" s="921"/>
      <c r="I626" s="1277"/>
      <c r="J626" s="921"/>
      <c r="K626" s="1277"/>
      <c r="L626" s="1277"/>
      <c r="M626" s="919"/>
      <c r="N626" s="919"/>
      <c r="O626" s="919"/>
      <c r="P626" s="1277"/>
      <c r="Q626" s="1277"/>
      <c r="R626" s="1277"/>
      <c r="S626" s="1277"/>
      <c r="T626" s="1277"/>
      <c r="U626" s="1277"/>
      <c r="V626" s="1277"/>
      <c r="W626" s="1277"/>
      <c r="X626" s="1277"/>
    </row>
    <row r="627" spans="6:24">
      <c r="F627" s="921"/>
      <c r="G627" s="1277"/>
      <c r="H627" s="921"/>
      <c r="I627" s="1277"/>
      <c r="J627" s="921"/>
      <c r="K627" s="1277"/>
      <c r="L627" s="1277"/>
      <c r="M627" s="919"/>
      <c r="N627" s="919"/>
      <c r="O627" s="919"/>
      <c r="P627" s="1277"/>
      <c r="Q627" s="1277"/>
      <c r="R627" s="1277"/>
      <c r="S627" s="1277"/>
      <c r="T627" s="1277"/>
      <c r="U627" s="1277"/>
      <c r="V627" s="1277"/>
      <c r="W627" s="1277"/>
      <c r="X627" s="1277"/>
    </row>
    <row r="628" spans="6:24">
      <c r="F628" s="921"/>
      <c r="G628" s="1277"/>
      <c r="H628" s="921"/>
      <c r="I628" s="1277"/>
      <c r="J628" s="921"/>
      <c r="K628" s="1277"/>
      <c r="L628" s="1277"/>
      <c r="M628" s="919"/>
      <c r="N628" s="919"/>
      <c r="O628" s="919"/>
      <c r="P628" s="1277"/>
      <c r="Q628" s="1277"/>
      <c r="R628" s="1277"/>
      <c r="S628" s="1277"/>
      <c r="T628" s="1277"/>
      <c r="U628" s="1277"/>
      <c r="V628" s="1277"/>
      <c r="W628" s="1277"/>
      <c r="X628" s="1277"/>
    </row>
    <row r="629" spans="6:24">
      <c r="F629" s="921"/>
      <c r="G629" s="1277"/>
      <c r="H629" s="921"/>
      <c r="I629" s="1277"/>
      <c r="J629" s="921"/>
      <c r="K629" s="1277"/>
      <c r="L629" s="1277"/>
      <c r="M629" s="919"/>
      <c r="N629" s="919"/>
      <c r="O629" s="919"/>
      <c r="P629" s="1277"/>
      <c r="Q629" s="1277"/>
      <c r="R629" s="1277"/>
      <c r="S629" s="1277"/>
      <c r="T629" s="1277"/>
      <c r="U629" s="1277"/>
      <c r="V629" s="1277"/>
      <c r="W629" s="1277"/>
      <c r="X629" s="1277"/>
    </row>
    <row r="630" spans="6:24">
      <c r="F630" s="921"/>
      <c r="G630" s="1277"/>
      <c r="H630" s="921"/>
      <c r="I630" s="1277"/>
      <c r="J630" s="921"/>
      <c r="K630" s="1277"/>
      <c r="L630" s="1277"/>
      <c r="M630" s="919"/>
      <c r="N630" s="919"/>
      <c r="O630" s="919"/>
      <c r="P630" s="1277"/>
      <c r="Q630" s="1277"/>
      <c r="R630" s="1277"/>
      <c r="S630" s="1277"/>
      <c r="T630" s="1277"/>
      <c r="U630" s="1277"/>
      <c r="V630" s="1277"/>
      <c r="W630" s="1277"/>
      <c r="X630" s="1277"/>
    </row>
    <row r="631" spans="6:24">
      <c r="F631" s="921"/>
      <c r="G631" s="1277"/>
      <c r="H631" s="921"/>
      <c r="I631" s="1277"/>
      <c r="J631" s="921"/>
      <c r="K631" s="1277"/>
      <c r="L631" s="1277"/>
      <c r="M631" s="919"/>
      <c r="N631" s="919"/>
      <c r="O631" s="919"/>
      <c r="P631" s="1277"/>
      <c r="Q631" s="1277"/>
      <c r="R631" s="1277"/>
      <c r="S631" s="1277"/>
      <c r="T631" s="1277"/>
      <c r="U631" s="1277"/>
      <c r="V631" s="1277"/>
      <c r="W631" s="1277"/>
      <c r="X631" s="1277"/>
    </row>
    <row r="632" spans="6:24">
      <c r="F632" s="921"/>
      <c r="G632" s="1277"/>
      <c r="H632" s="921"/>
      <c r="I632" s="1277"/>
      <c r="J632" s="921"/>
      <c r="K632" s="1277"/>
      <c r="L632" s="1277"/>
      <c r="M632" s="919"/>
      <c r="N632" s="919"/>
      <c r="O632" s="919"/>
      <c r="P632" s="1277"/>
      <c r="Q632" s="1277"/>
      <c r="R632" s="1277"/>
      <c r="S632" s="1277"/>
      <c r="T632" s="1277"/>
      <c r="U632" s="1277"/>
      <c r="V632" s="1277"/>
      <c r="W632" s="1277"/>
      <c r="X632" s="1277"/>
    </row>
    <row r="633" spans="6:24">
      <c r="F633" s="921"/>
      <c r="G633" s="1277"/>
      <c r="H633" s="921"/>
      <c r="I633" s="1277"/>
      <c r="J633" s="921"/>
      <c r="K633" s="1277"/>
      <c r="L633" s="1277"/>
      <c r="M633" s="919"/>
      <c r="N633" s="919"/>
      <c r="O633" s="919"/>
      <c r="P633" s="1277"/>
      <c r="Q633" s="1277"/>
      <c r="R633" s="1277"/>
      <c r="S633" s="1277"/>
      <c r="T633" s="1277"/>
      <c r="U633" s="1277"/>
      <c r="V633" s="1277"/>
      <c r="W633" s="1277"/>
      <c r="X633" s="1277"/>
    </row>
    <row r="634" spans="6:24">
      <c r="F634" s="921"/>
      <c r="G634" s="1277"/>
      <c r="H634" s="921"/>
      <c r="I634" s="1277"/>
      <c r="J634" s="921"/>
      <c r="K634" s="1277"/>
      <c r="L634" s="1277"/>
      <c r="M634" s="919"/>
      <c r="N634" s="919"/>
      <c r="O634" s="919"/>
      <c r="P634" s="1277"/>
      <c r="Q634" s="1277"/>
      <c r="R634" s="1277"/>
      <c r="S634" s="1277"/>
      <c r="T634" s="1277"/>
      <c r="U634" s="1277"/>
      <c r="V634" s="1277"/>
      <c r="W634" s="1277"/>
      <c r="X634" s="1277"/>
    </row>
    <row r="635" spans="6:24">
      <c r="F635" s="921"/>
      <c r="G635" s="1277"/>
      <c r="H635" s="921"/>
      <c r="I635" s="1277"/>
      <c r="J635" s="921"/>
      <c r="K635" s="1277"/>
      <c r="L635" s="1277"/>
      <c r="M635" s="919"/>
      <c r="N635" s="919"/>
      <c r="O635" s="919"/>
      <c r="P635" s="1277"/>
      <c r="Q635" s="1277"/>
      <c r="R635" s="1277"/>
      <c r="S635" s="1277"/>
      <c r="T635" s="1277"/>
      <c r="U635" s="1277"/>
      <c r="V635" s="1277"/>
      <c r="W635" s="1277"/>
      <c r="X635" s="1277"/>
    </row>
    <row r="636" spans="6:24">
      <c r="F636" s="921"/>
      <c r="G636" s="1277"/>
      <c r="H636" s="921"/>
      <c r="I636" s="1277"/>
      <c r="J636" s="921"/>
      <c r="K636" s="1277"/>
      <c r="L636" s="1277"/>
      <c r="M636" s="919"/>
      <c r="N636" s="919"/>
      <c r="O636" s="919"/>
      <c r="P636" s="1277"/>
      <c r="Q636" s="1277"/>
      <c r="R636" s="1277"/>
      <c r="S636" s="1277"/>
      <c r="T636" s="1277"/>
      <c r="U636" s="1277"/>
      <c r="V636" s="1277"/>
      <c r="W636" s="1277"/>
      <c r="X636" s="1277"/>
    </row>
    <row r="637" spans="6:24">
      <c r="F637" s="921"/>
      <c r="G637" s="1277"/>
      <c r="H637" s="921"/>
      <c r="I637" s="1277"/>
      <c r="J637" s="921"/>
      <c r="K637" s="1277"/>
      <c r="L637" s="1277"/>
      <c r="M637" s="919"/>
      <c r="N637" s="919"/>
      <c r="O637" s="919"/>
      <c r="P637" s="1277"/>
      <c r="Q637" s="1277"/>
      <c r="R637" s="1277"/>
      <c r="S637" s="1277"/>
      <c r="T637" s="1277"/>
      <c r="U637" s="1277"/>
      <c r="V637" s="1277"/>
      <c r="W637" s="1277"/>
      <c r="X637" s="1277"/>
    </row>
    <row r="638" spans="6:24">
      <c r="F638" s="921"/>
      <c r="G638" s="1277"/>
      <c r="H638" s="921"/>
      <c r="I638" s="1277"/>
      <c r="J638" s="921"/>
      <c r="K638" s="1277"/>
      <c r="L638" s="1277"/>
      <c r="M638" s="919"/>
      <c r="N638" s="919"/>
      <c r="O638" s="919"/>
      <c r="P638" s="1277"/>
      <c r="Q638" s="1277"/>
      <c r="R638" s="1277"/>
      <c r="S638" s="1277"/>
      <c r="T638" s="1277"/>
      <c r="U638" s="1277"/>
      <c r="V638" s="1277"/>
      <c r="W638" s="1277"/>
      <c r="X638" s="1277"/>
    </row>
    <row r="639" spans="6:24">
      <c r="F639" s="921"/>
      <c r="G639" s="1277"/>
      <c r="H639" s="921"/>
      <c r="I639" s="1277"/>
      <c r="J639" s="921"/>
      <c r="K639" s="1277"/>
      <c r="L639" s="1277"/>
      <c r="M639" s="919"/>
      <c r="N639" s="919"/>
      <c r="O639" s="919"/>
      <c r="P639" s="1277"/>
      <c r="Q639" s="1277"/>
      <c r="R639" s="1277"/>
      <c r="S639" s="1277"/>
      <c r="T639" s="1277"/>
      <c r="U639" s="1277"/>
      <c r="V639" s="1277"/>
      <c r="W639" s="1277"/>
      <c r="X639" s="1277"/>
    </row>
    <row r="640" spans="6:24">
      <c r="F640" s="921"/>
      <c r="G640" s="1277"/>
      <c r="H640" s="921"/>
      <c r="I640" s="1277"/>
      <c r="J640" s="921"/>
      <c r="K640" s="1277"/>
      <c r="L640" s="1277"/>
      <c r="M640" s="919"/>
      <c r="N640" s="919"/>
      <c r="O640" s="919"/>
      <c r="P640" s="1277"/>
      <c r="Q640" s="1277"/>
      <c r="R640" s="1277"/>
      <c r="S640" s="1277"/>
      <c r="T640" s="1277"/>
      <c r="U640" s="1277"/>
      <c r="V640" s="1277"/>
      <c r="W640" s="1277"/>
      <c r="X640" s="1277"/>
    </row>
    <row r="641" spans="6:24">
      <c r="F641" s="921"/>
      <c r="G641" s="1277"/>
      <c r="H641" s="921"/>
      <c r="I641" s="1277"/>
      <c r="J641" s="921"/>
      <c r="K641" s="1277"/>
      <c r="L641" s="1277"/>
      <c r="M641" s="919"/>
      <c r="N641" s="919"/>
      <c r="O641" s="919"/>
      <c r="P641" s="1277"/>
      <c r="Q641" s="1277"/>
      <c r="R641" s="1277"/>
      <c r="S641" s="1277"/>
      <c r="T641" s="1277"/>
      <c r="U641" s="1277"/>
      <c r="V641" s="1277"/>
      <c r="W641" s="1277"/>
      <c r="X641" s="1277"/>
    </row>
    <row r="642" spans="6:24">
      <c r="F642" s="921"/>
      <c r="G642" s="1277"/>
      <c r="H642" s="921"/>
      <c r="I642" s="1277"/>
      <c r="J642" s="921"/>
      <c r="K642" s="1277"/>
      <c r="L642" s="1277"/>
      <c r="M642" s="919"/>
      <c r="N642" s="919"/>
      <c r="O642" s="919"/>
      <c r="P642" s="1277"/>
      <c r="Q642" s="1277"/>
      <c r="R642" s="1277"/>
      <c r="S642" s="1277"/>
      <c r="T642" s="1277"/>
      <c r="U642" s="1277"/>
      <c r="V642" s="1277"/>
      <c r="W642" s="1277"/>
      <c r="X642" s="1277"/>
    </row>
    <row r="643" spans="6:24">
      <c r="F643" s="921"/>
      <c r="G643" s="1277"/>
      <c r="H643" s="921"/>
      <c r="I643" s="1277"/>
      <c r="J643" s="921"/>
      <c r="K643" s="1277"/>
      <c r="L643" s="1277"/>
      <c r="M643" s="919"/>
      <c r="N643" s="919"/>
      <c r="O643" s="919"/>
      <c r="P643" s="1277"/>
      <c r="Q643" s="1277"/>
      <c r="R643" s="1277"/>
      <c r="S643" s="1277"/>
      <c r="T643" s="1277"/>
      <c r="U643" s="1277"/>
      <c r="V643" s="1277"/>
      <c r="W643" s="1277"/>
      <c r="X643" s="1277"/>
    </row>
    <row r="644" spans="6:24">
      <c r="F644" s="921"/>
      <c r="G644" s="1277"/>
      <c r="H644" s="921"/>
      <c r="I644" s="1277"/>
      <c r="J644" s="921"/>
      <c r="K644" s="1277"/>
      <c r="L644" s="1277"/>
      <c r="M644" s="919"/>
      <c r="N644" s="919"/>
      <c r="O644" s="919"/>
      <c r="P644" s="1277"/>
      <c r="Q644" s="1277"/>
      <c r="R644" s="1277"/>
      <c r="S644" s="1277"/>
      <c r="T644" s="1277"/>
      <c r="U644" s="1277"/>
      <c r="V644" s="1277"/>
      <c r="W644" s="1277"/>
      <c r="X644" s="1277"/>
    </row>
    <row r="645" spans="6:24">
      <c r="F645" s="921"/>
      <c r="G645" s="1277"/>
      <c r="H645" s="921"/>
      <c r="I645" s="1277"/>
      <c r="J645" s="921"/>
      <c r="K645" s="1277"/>
      <c r="L645" s="1277"/>
      <c r="M645" s="919"/>
      <c r="N645" s="919"/>
      <c r="O645" s="919"/>
      <c r="P645" s="1277"/>
      <c r="Q645" s="1277"/>
      <c r="R645" s="1277"/>
      <c r="S645" s="1277"/>
      <c r="T645" s="1277"/>
      <c r="U645" s="1277"/>
      <c r="V645" s="1277"/>
      <c r="W645" s="1277"/>
      <c r="X645" s="1277"/>
    </row>
    <row r="646" spans="6:24">
      <c r="F646" s="921"/>
      <c r="G646" s="1277"/>
      <c r="H646" s="921"/>
      <c r="I646" s="1277"/>
      <c r="J646" s="921"/>
      <c r="K646" s="1277"/>
      <c r="L646" s="1277"/>
      <c r="M646" s="919"/>
      <c r="N646" s="919"/>
      <c r="O646" s="919"/>
      <c r="P646" s="1277"/>
      <c r="Q646" s="1277"/>
      <c r="R646" s="1277"/>
      <c r="S646" s="1277"/>
      <c r="T646" s="1277"/>
      <c r="U646" s="1277"/>
      <c r="V646" s="1277"/>
      <c r="W646" s="1277"/>
      <c r="X646" s="1277"/>
    </row>
    <row r="647" spans="6:24">
      <c r="F647" s="921"/>
      <c r="G647" s="1277"/>
      <c r="H647" s="921"/>
      <c r="I647" s="1277"/>
      <c r="J647" s="921"/>
      <c r="K647" s="1277"/>
      <c r="L647" s="1277"/>
      <c r="M647" s="919"/>
      <c r="N647" s="919"/>
      <c r="O647" s="919"/>
      <c r="P647" s="1277"/>
      <c r="Q647" s="1277"/>
      <c r="R647" s="1277"/>
      <c r="S647" s="1277"/>
      <c r="T647" s="1277"/>
      <c r="U647" s="1277"/>
      <c r="V647" s="1277"/>
      <c r="W647" s="1277"/>
      <c r="X647" s="1277"/>
    </row>
    <row r="648" spans="6:24">
      <c r="F648" s="921"/>
      <c r="G648" s="1277"/>
      <c r="H648" s="921"/>
      <c r="I648" s="1277"/>
      <c r="J648" s="921"/>
      <c r="K648" s="1277"/>
      <c r="L648" s="1277"/>
      <c r="M648" s="919"/>
      <c r="N648" s="919"/>
      <c r="O648" s="919"/>
      <c r="P648" s="1277"/>
      <c r="Q648" s="1277"/>
      <c r="R648" s="1277"/>
      <c r="S648" s="1277"/>
      <c r="T648" s="1277"/>
      <c r="U648" s="1277"/>
      <c r="V648" s="1277"/>
      <c r="W648" s="1277"/>
      <c r="X648" s="1277"/>
    </row>
    <row r="649" spans="6:24">
      <c r="F649" s="921"/>
      <c r="G649" s="1277"/>
      <c r="H649" s="921"/>
      <c r="I649" s="1277"/>
      <c r="J649" s="921"/>
      <c r="K649" s="1277"/>
      <c r="L649" s="1277"/>
      <c r="M649" s="919"/>
      <c r="N649" s="919"/>
      <c r="O649" s="919"/>
      <c r="P649" s="1277"/>
      <c r="Q649" s="1277"/>
      <c r="R649" s="1277"/>
      <c r="S649" s="1277"/>
      <c r="T649" s="1277"/>
      <c r="U649" s="1277"/>
      <c r="V649" s="1277"/>
      <c r="W649" s="1277"/>
      <c r="X649" s="1277"/>
    </row>
    <row r="650" spans="6:24">
      <c r="F650" s="921"/>
      <c r="G650" s="1277"/>
      <c r="H650" s="921"/>
      <c r="I650" s="1277"/>
      <c r="J650" s="921"/>
      <c r="K650" s="1277"/>
      <c r="L650" s="1277"/>
      <c r="M650" s="919"/>
      <c r="N650" s="919"/>
      <c r="O650" s="919"/>
      <c r="P650" s="1277"/>
      <c r="Q650" s="1277"/>
      <c r="R650" s="1277"/>
      <c r="S650" s="1277"/>
      <c r="T650" s="1277"/>
      <c r="U650" s="1277"/>
      <c r="V650" s="1277"/>
      <c r="W650" s="1277"/>
      <c r="X650" s="1277"/>
    </row>
    <row r="651" spans="6:24">
      <c r="F651" s="921"/>
      <c r="G651" s="1277"/>
      <c r="H651" s="921"/>
      <c r="I651" s="1277"/>
      <c r="J651" s="921"/>
      <c r="K651" s="1277"/>
      <c r="L651" s="1277"/>
      <c r="M651" s="919"/>
      <c r="N651" s="919"/>
      <c r="O651" s="919"/>
      <c r="P651" s="1277"/>
      <c r="Q651" s="1277"/>
      <c r="R651" s="1277"/>
      <c r="S651" s="1277"/>
      <c r="T651" s="1277"/>
      <c r="U651" s="1277"/>
      <c r="V651" s="1277"/>
      <c r="W651" s="1277"/>
      <c r="X651" s="1277"/>
    </row>
    <row r="652" spans="6:24">
      <c r="F652" s="921"/>
      <c r="G652" s="1277"/>
      <c r="H652" s="921"/>
      <c r="I652" s="1277"/>
      <c r="J652" s="921"/>
      <c r="K652" s="1277"/>
      <c r="L652" s="1277"/>
      <c r="M652" s="919"/>
      <c r="N652" s="919"/>
      <c r="O652" s="919"/>
      <c r="P652" s="1277"/>
      <c r="Q652" s="1277"/>
      <c r="R652" s="1277"/>
      <c r="S652" s="1277"/>
      <c r="T652" s="1277"/>
      <c r="U652" s="1277"/>
      <c r="V652" s="1277"/>
      <c r="W652" s="1277"/>
      <c r="X652" s="1277"/>
    </row>
    <row r="653" spans="6:24">
      <c r="F653" s="921"/>
      <c r="G653" s="1277"/>
      <c r="H653" s="921"/>
      <c r="I653" s="1277"/>
      <c r="J653" s="921"/>
      <c r="K653" s="1277"/>
      <c r="L653" s="1277"/>
      <c r="M653" s="919"/>
      <c r="N653" s="919"/>
      <c r="O653" s="919"/>
      <c r="P653" s="1277"/>
      <c r="Q653" s="1277"/>
      <c r="R653" s="1277"/>
      <c r="S653" s="1277"/>
      <c r="T653" s="1277"/>
      <c r="U653" s="1277"/>
      <c r="V653" s="1277"/>
      <c r="W653" s="1277"/>
      <c r="X653" s="1277"/>
    </row>
    <row r="654" spans="6:24">
      <c r="F654" s="921"/>
      <c r="G654" s="1277"/>
      <c r="H654" s="921"/>
      <c r="I654" s="1277"/>
      <c r="J654" s="921"/>
      <c r="K654" s="1277"/>
      <c r="L654" s="1277"/>
      <c r="M654" s="919"/>
      <c r="N654" s="919"/>
      <c r="O654" s="919"/>
      <c r="P654" s="1277"/>
      <c r="Q654" s="1277"/>
      <c r="R654" s="1277"/>
      <c r="S654" s="1277"/>
      <c r="T654" s="1277"/>
      <c r="U654" s="1277"/>
      <c r="V654" s="1277"/>
      <c r="W654" s="1277"/>
      <c r="X654" s="1277"/>
    </row>
    <row r="655" spans="6:24">
      <c r="F655" s="921"/>
      <c r="G655" s="1277"/>
      <c r="H655" s="921"/>
      <c r="I655" s="1277"/>
      <c r="J655" s="921"/>
      <c r="K655" s="1277"/>
      <c r="L655" s="1277"/>
      <c r="M655" s="919"/>
      <c r="N655" s="919"/>
      <c r="O655" s="919"/>
      <c r="P655" s="1277"/>
      <c r="Q655" s="1277"/>
      <c r="R655" s="1277"/>
      <c r="S655" s="1277"/>
      <c r="T655" s="1277"/>
      <c r="U655" s="1277"/>
      <c r="V655" s="1277"/>
      <c r="W655" s="1277"/>
      <c r="X655" s="1277"/>
    </row>
    <row r="656" spans="6:24">
      <c r="F656" s="921"/>
      <c r="G656" s="1277"/>
      <c r="H656" s="921"/>
      <c r="I656" s="1277"/>
      <c r="J656" s="921"/>
      <c r="K656" s="1277"/>
      <c r="L656" s="1277"/>
      <c r="M656" s="919"/>
      <c r="N656" s="919"/>
      <c r="O656" s="919"/>
      <c r="P656" s="1277"/>
      <c r="Q656" s="1277"/>
      <c r="R656" s="1277"/>
      <c r="S656" s="1277"/>
      <c r="T656" s="1277"/>
      <c r="U656" s="1277"/>
      <c r="V656" s="1277"/>
      <c r="W656" s="1277"/>
      <c r="X656" s="1277"/>
    </row>
    <row r="657" spans="6:24">
      <c r="F657" s="921"/>
      <c r="G657" s="1277"/>
      <c r="H657" s="921"/>
      <c r="I657" s="1277"/>
      <c r="J657" s="921"/>
      <c r="K657" s="1277"/>
      <c r="L657" s="1277"/>
      <c r="M657" s="919"/>
      <c r="N657" s="919"/>
      <c r="O657" s="919"/>
      <c r="P657" s="1277"/>
      <c r="Q657" s="1277"/>
      <c r="R657" s="1277"/>
      <c r="S657" s="1277"/>
      <c r="T657" s="1277"/>
      <c r="U657" s="1277"/>
      <c r="V657" s="1277"/>
      <c r="W657" s="1277"/>
      <c r="X657" s="1277"/>
    </row>
    <row r="658" spans="6:24">
      <c r="F658" s="921"/>
      <c r="G658" s="1277"/>
      <c r="H658" s="921"/>
      <c r="I658" s="1277"/>
      <c r="J658" s="921"/>
      <c r="K658" s="1277"/>
      <c r="L658" s="1277"/>
      <c r="M658" s="919"/>
      <c r="N658" s="919"/>
      <c r="O658" s="919"/>
      <c r="P658" s="1277"/>
      <c r="Q658" s="1277"/>
      <c r="R658" s="1277"/>
      <c r="S658" s="1277"/>
      <c r="T658" s="1277"/>
      <c r="U658" s="1277"/>
      <c r="V658" s="1277"/>
      <c r="W658" s="1277"/>
      <c r="X658" s="1277"/>
    </row>
    <row r="659" spans="6:24">
      <c r="F659" s="921"/>
      <c r="G659" s="1277"/>
      <c r="H659" s="921"/>
      <c r="I659" s="1277"/>
      <c r="J659" s="921"/>
      <c r="K659" s="1277"/>
      <c r="L659" s="1277"/>
      <c r="M659" s="919"/>
      <c r="N659" s="919"/>
      <c r="O659" s="919"/>
      <c r="P659" s="1277"/>
      <c r="Q659" s="1277"/>
      <c r="R659" s="1277"/>
      <c r="S659" s="1277"/>
      <c r="T659" s="1277"/>
      <c r="U659" s="1277"/>
      <c r="V659" s="1277"/>
      <c r="W659" s="1277"/>
      <c r="X659" s="1277"/>
    </row>
    <row r="660" spans="6:24">
      <c r="F660" s="921"/>
      <c r="G660" s="1277"/>
      <c r="H660" s="921"/>
      <c r="I660" s="1277"/>
      <c r="J660" s="921"/>
      <c r="K660" s="1277"/>
      <c r="L660" s="1277"/>
      <c r="M660" s="919"/>
      <c r="N660" s="919"/>
      <c r="O660" s="919"/>
      <c r="P660" s="1277"/>
      <c r="Q660" s="1277"/>
      <c r="R660" s="1277"/>
      <c r="S660" s="1277"/>
      <c r="T660" s="1277"/>
      <c r="U660" s="1277"/>
      <c r="V660" s="1277"/>
      <c r="W660" s="1277"/>
      <c r="X660" s="1277"/>
    </row>
    <row r="661" spans="6:24">
      <c r="F661" s="921"/>
      <c r="G661" s="1277"/>
      <c r="H661" s="921"/>
      <c r="I661" s="1277"/>
      <c r="J661" s="921"/>
      <c r="K661" s="1277"/>
      <c r="L661" s="1277"/>
      <c r="M661" s="919"/>
      <c r="N661" s="919"/>
      <c r="O661" s="919"/>
      <c r="P661" s="1277"/>
      <c r="Q661" s="1277"/>
      <c r="R661" s="1277"/>
      <c r="S661" s="1277"/>
      <c r="T661" s="1277"/>
      <c r="U661" s="1277"/>
      <c r="V661" s="1277"/>
      <c r="W661" s="1277"/>
      <c r="X661" s="1277"/>
    </row>
    <row r="662" spans="6:24">
      <c r="F662" s="921"/>
      <c r="G662" s="1277"/>
      <c r="H662" s="921"/>
      <c r="I662" s="1277"/>
      <c r="J662" s="921"/>
      <c r="K662" s="1277"/>
      <c r="L662" s="1277"/>
      <c r="M662" s="919"/>
      <c r="N662" s="919"/>
      <c r="O662" s="919"/>
      <c r="P662" s="1277"/>
      <c r="Q662" s="1277"/>
      <c r="R662" s="1277"/>
      <c r="S662" s="1277"/>
      <c r="T662" s="1277"/>
      <c r="U662" s="1277"/>
      <c r="V662" s="1277"/>
      <c r="W662" s="1277"/>
      <c r="X662" s="1277"/>
    </row>
    <row r="663" spans="6:24">
      <c r="F663" s="921"/>
      <c r="G663" s="1277"/>
      <c r="H663" s="921"/>
      <c r="I663" s="1277"/>
      <c r="J663" s="921"/>
      <c r="K663" s="1277"/>
      <c r="L663" s="1277"/>
      <c r="M663" s="919"/>
      <c r="N663" s="919"/>
      <c r="O663" s="919"/>
      <c r="P663" s="1277"/>
      <c r="Q663" s="1277"/>
      <c r="R663" s="1277"/>
      <c r="S663" s="1277"/>
      <c r="T663" s="1277"/>
      <c r="U663" s="1277"/>
      <c r="V663" s="1277"/>
      <c r="W663" s="1277"/>
      <c r="X663" s="1277"/>
    </row>
    <row r="664" spans="6:24">
      <c r="F664" s="921"/>
      <c r="G664" s="1277"/>
      <c r="H664" s="921"/>
      <c r="I664" s="1277"/>
      <c r="J664" s="921"/>
      <c r="K664" s="1277"/>
      <c r="L664" s="1277"/>
      <c r="M664" s="919"/>
      <c r="N664" s="919"/>
      <c r="O664" s="919"/>
      <c r="P664" s="1277"/>
      <c r="Q664" s="1277"/>
      <c r="R664" s="1277"/>
      <c r="S664" s="1277"/>
      <c r="T664" s="1277"/>
      <c r="U664" s="1277"/>
      <c r="V664" s="1277"/>
      <c r="W664" s="1277"/>
      <c r="X664" s="1277"/>
    </row>
    <row r="665" spans="6:24">
      <c r="F665" s="921"/>
      <c r="G665" s="1277"/>
      <c r="H665" s="921"/>
      <c r="I665" s="1277"/>
      <c r="J665" s="921"/>
      <c r="K665" s="1277"/>
      <c r="L665" s="1277"/>
      <c r="M665" s="919"/>
      <c r="N665" s="919"/>
      <c r="O665" s="919"/>
      <c r="P665" s="1277"/>
      <c r="Q665" s="1277"/>
      <c r="R665" s="1277"/>
      <c r="S665" s="1277"/>
      <c r="T665" s="1277"/>
      <c r="U665" s="1277"/>
      <c r="V665" s="1277"/>
      <c r="W665" s="1277"/>
      <c r="X665" s="1277"/>
    </row>
    <row r="666" spans="6:24">
      <c r="F666" s="921"/>
      <c r="G666" s="1277"/>
      <c r="H666" s="921"/>
      <c r="I666" s="1277"/>
      <c r="J666" s="921"/>
      <c r="K666" s="1277"/>
      <c r="L666" s="1277"/>
      <c r="M666" s="919"/>
      <c r="N666" s="919"/>
      <c r="O666" s="919"/>
      <c r="P666" s="1277"/>
      <c r="Q666" s="1277"/>
      <c r="R666" s="1277"/>
      <c r="S666" s="1277"/>
      <c r="T666" s="1277"/>
      <c r="U666" s="1277"/>
      <c r="V666" s="1277"/>
      <c r="W666" s="1277"/>
      <c r="X666" s="1277"/>
    </row>
    <row r="667" spans="6:24">
      <c r="F667" s="921"/>
      <c r="G667" s="1277"/>
      <c r="H667" s="921"/>
      <c r="I667" s="1277"/>
      <c r="J667" s="921"/>
      <c r="K667" s="1277"/>
      <c r="L667" s="1277"/>
      <c r="M667" s="919"/>
      <c r="N667" s="919"/>
      <c r="O667" s="919"/>
      <c r="P667" s="1277"/>
      <c r="Q667" s="1277"/>
      <c r="R667" s="1277"/>
      <c r="S667" s="1277"/>
      <c r="T667" s="1277"/>
      <c r="U667" s="1277"/>
      <c r="V667" s="1277"/>
      <c r="W667" s="1277"/>
      <c r="X667" s="1277"/>
    </row>
    <row r="668" spans="6:24">
      <c r="F668" s="921"/>
      <c r="G668" s="1277"/>
      <c r="H668" s="921"/>
      <c r="I668" s="1277"/>
      <c r="J668" s="921"/>
      <c r="K668" s="1277"/>
      <c r="L668" s="1277"/>
      <c r="M668" s="919"/>
      <c r="N668" s="919"/>
      <c r="O668" s="919"/>
      <c r="P668" s="1277"/>
      <c r="Q668" s="1277"/>
      <c r="R668" s="1277"/>
      <c r="S668" s="1277"/>
      <c r="T668" s="1277"/>
      <c r="U668" s="1277"/>
      <c r="V668" s="1277"/>
      <c r="W668" s="1277"/>
      <c r="X668" s="1277"/>
    </row>
    <row r="669" spans="6:24">
      <c r="F669" s="921"/>
      <c r="G669" s="1277"/>
      <c r="H669" s="921"/>
      <c r="I669" s="1277"/>
      <c r="J669" s="921"/>
      <c r="K669" s="1277"/>
      <c r="L669" s="1277"/>
      <c r="M669" s="919"/>
      <c r="N669" s="919"/>
      <c r="O669" s="919"/>
      <c r="P669" s="1277"/>
      <c r="Q669" s="1277"/>
      <c r="R669" s="1277"/>
      <c r="S669" s="1277"/>
      <c r="T669" s="1277"/>
      <c r="U669" s="1277"/>
      <c r="V669" s="1277"/>
      <c r="W669" s="1277"/>
      <c r="X669" s="1277"/>
    </row>
    <row r="670" spans="6:24">
      <c r="F670" s="921"/>
      <c r="G670" s="1277"/>
      <c r="H670" s="921"/>
      <c r="I670" s="1277"/>
      <c r="J670" s="921"/>
      <c r="K670" s="1277"/>
      <c r="L670" s="1277"/>
      <c r="M670" s="919"/>
      <c r="N670" s="919"/>
      <c r="O670" s="919"/>
      <c r="P670" s="1277"/>
      <c r="Q670" s="1277"/>
      <c r="R670" s="1277"/>
      <c r="S670" s="1277"/>
      <c r="T670" s="1277"/>
      <c r="U670" s="1277"/>
      <c r="V670" s="1277"/>
      <c r="W670" s="1277"/>
      <c r="X670" s="1277"/>
    </row>
    <row r="671" spans="6:24">
      <c r="F671" s="921"/>
      <c r="G671" s="1277"/>
      <c r="H671" s="921"/>
      <c r="I671" s="1277"/>
      <c r="J671" s="921"/>
      <c r="K671" s="1277"/>
      <c r="L671" s="1277"/>
      <c r="M671" s="919"/>
      <c r="N671" s="919"/>
      <c r="O671" s="919"/>
      <c r="P671" s="1277"/>
      <c r="Q671" s="1277"/>
      <c r="R671" s="1277"/>
      <c r="S671" s="1277"/>
      <c r="T671" s="1277"/>
      <c r="U671" s="1277"/>
      <c r="V671" s="1277"/>
      <c r="W671" s="1277"/>
      <c r="X671" s="1277"/>
    </row>
    <row r="672" spans="6:24">
      <c r="F672" s="921"/>
      <c r="G672" s="1277"/>
      <c r="H672" s="921"/>
      <c r="I672" s="1277"/>
      <c r="J672" s="921"/>
      <c r="K672" s="1277"/>
      <c r="L672" s="1277"/>
      <c r="M672" s="919"/>
      <c r="N672" s="919"/>
      <c r="O672" s="919"/>
      <c r="P672" s="1277"/>
      <c r="Q672" s="1277"/>
      <c r="R672" s="1277"/>
      <c r="S672" s="1277"/>
      <c r="T672" s="1277"/>
      <c r="U672" s="1277"/>
      <c r="V672" s="1277"/>
      <c r="W672" s="1277"/>
      <c r="X672" s="1277"/>
    </row>
    <row r="673" spans="6:24">
      <c r="F673" s="921"/>
      <c r="G673" s="1277"/>
      <c r="H673" s="921"/>
      <c r="I673" s="1277"/>
      <c r="J673" s="921"/>
      <c r="K673" s="1277"/>
      <c r="L673" s="1277"/>
      <c r="M673" s="919"/>
      <c r="N673" s="919"/>
      <c r="O673" s="919"/>
      <c r="P673" s="1277"/>
      <c r="Q673" s="1277"/>
      <c r="R673" s="1277"/>
      <c r="S673" s="1277"/>
      <c r="T673" s="1277"/>
      <c r="U673" s="1277"/>
      <c r="V673" s="1277"/>
      <c r="W673" s="1277"/>
      <c r="X673" s="1277"/>
    </row>
    <row r="674" spans="6:24">
      <c r="F674" s="921"/>
      <c r="G674" s="1277"/>
      <c r="H674" s="921"/>
      <c r="I674" s="1277"/>
      <c r="J674" s="921"/>
      <c r="K674" s="1277"/>
      <c r="L674" s="1277"/>
      <c r="M674" s="919"/>
      <c r="N674" s="919"/>
      <c r="O674" s="919"/>
      <c r="P674" s="1277"/>
      <c r="Q674" s="1277"/>
      <c r="R674" s="1277"/>
      <c r="S674" s="1277"/>
      <c r="T674" s="1277"/>
      <c r="U674" s="1277"/>
      <c r="V674" s="1277"/>
      <c r="W674" s="1277"/>
      <c r="X674" s="1277"/>
    </row>
    <row r="675" spans="6:24">
      <c r="F675" s="921"/>
      <c r="G675" s="1277"/>
      <c r="H675" s="921"/>
      <c r="I675" s="1277"/>
      <c r="J675" s="921"/>
      <c r="K675" s="1277"/>
      <c r="L675" s="1277"/>
      <c r="M675" s="919"/>
      <c r="N675" s="919"/>
      <c r="O675" s="919"/>
      <c r="P675" s="1277"/>
      <c r="Q675" s="1277"/>
      <c r="R675" s="1277"/>
      <c r="S675" s="1277"/>
      <c r="T675" s="1277"/>
      <c r="U675" s="1277"/>
      <c r="V675" s="1277"/>
      <c r="W675" s="1277"/>
      <c r="X675" s="1277"/>
    </row>
    <row r="676" spans="6:24">
      <c r="F676" s="921"/>
      <c r="G676" s="1277"/>
      <c r="H676" s="921"/>
      <c r="I676" s="1277"/>
      <c r="J676" s="921"/>
      <c r="K676" s="1277"/>
      <c r="L676" s="1277"/>
      <c r="M676" s="919"/>
      <c r="N676" s="919"/>
      <c r="O676" s="919"/>
      <c r="P676" s="1277"/>
      <c r="Q676" s="1277"/>
      <c r="R676" s="1277"/>
      <c r="S676" s="1277"/>
      <c r="T676" s="1277"/>
      <c r="U676" s="1277"/>
      <c r="V676" s="1277"/>
      <c r="W676" s="1277"/>
      <c r="X676" s="1277"/>
    </row>
    <row r="677" spans="6:24">
      <c r="F677" s="921"/>
      <c r="G677" s="1277"/>
      <c r="H677" s="921"/>
      <c r="I677" s="1277"/>
      <c r="J677" s="921"/>
      <c r="K677" s="1277"/>
      <c r="L677" s="1277"/>
      <c r="M677" s="919"/>
      <c r="N677" s="919"/>
      <c r="O677" s="919"/>
      <c r="P677" s="1277"/>
      <c r="Q677" s="1277"/>
      <c r="R677" s="1277"/>
      <c r="S677" s="1277"/>
      <c r="T677" s="1277"/>
      <c r="U677" s="1277"/>
      <c r="V677" s="1277"/>
      <c r="W677" s="1277"/>
      <c r="X677" s="1277"/>
    </row>
    <row r="678" spans="6:24">
      <c r="F678" s="921"/>
      <c r="G678" s="1277"/>
      <c r="H678" s="921"/>
      <c r="I678" s="1277"/>
      <c r="J678" s="921"/>
      <c r="K678" s="1277"/>
      <c r="L678" s="1277"/>
      <c r="M678" s="919"/>
      <c r="N678" s="919"/>
      <c r="O678" s="919"/>
      <c r="P678" s="1277"/>
      <c r="Q678" s="1277"/>
      <c r="R678" s="1277"/>
      <c r="S678" s="1277"/>
      <c r="T678" s="1277"/>
      <c r="U678" s="1277"/>
      <c r="V678" s="1277"/>
      <c r="W678" s="1277"/>
      <c r="X678" s="1277"/>
    </row>
    <row r="679" spans="6:24">
      <c r="F679" s="921"/>
      <c r="G679" s="1277"/>
      <c r="H679" s="921"/>
      <c r="I679" s="1277"/>
      <c r="J679" s="921"/>
      <c r="K679" s="1277"/>
      <c r="L679" s="1277"/>
      <c r="M679" s="919"/>
      <c r="N679" s="919"/>
      <c r="O679" s="919"/>
      <c r="P679" s="1277"/>
      <c r="Q679" s="1277"/>
      <c r="R679" s="1277"/>
      <c r="S679" s="1277"/>
      <c r="T679" s="1277"/>
      <c r="U679" s="1277"/>
      <c r="V679" s="1277"/>
      <c r="W679" s="1277"/>
      <c r="X679" s="1277"/>
    </row>
    <row r="680" spans="6:24">
      <c r="F680" s="921"/>
      <c r="G680" s="1277"/>
      <c r="H680" s="921"/>
      <c r="I680" s="1277"/>
      <c r="J680" s="921"/>
      <c r="K680" s="1277"/>
      <c r="L680" s="1277"/>
      <c r="M680" s="919"/>
      <c r="N680" s="919"/>
      <c r="O680" s="919"/>
      <c r="P680" s="1277"/>
      <c r="Q680" s="1277"/>
      <c r="R680" s="1277"/>
      <c r="S680" s="1277"/>
      <c r="T680" s="1277"/>
      <c r="U680" s="1277"/>
      <c r="V680" s="1277"/>
      <c r="W680" s="1277"/>
      <c r="X680" s="1277"/>
    </row>
    <row r="681" spans="6:24">
      <c r="F681" s="921"/>
      <c r="G681" s="1277"/>
      <c r="H681" s="921"/>
      <c r="I681" s="1277"/>
      <c r="J681" s="921"/>
      <c r="K681" s="1277"/>
      <c r="L681" s="1277"/>
      <c r="M681" s="919"/>
      <c r="N681" s="919"/>
      <c r="O681" s="919"/>
      <c r="P681" s="1277"/>
      <c r="Q681" s="1277"/>
      <c r="R681" s="1277"/>
      <c r="S681" s="1277"/>
      <c r="T681" s="1277"/>
      <c r="U681" s="1277"/>
      <c r="V681" s="1277"/>
      <c r="W681" s="1277"/>
      <c r="X681" s="1277"/>
    </row>
    <row r="682" spans="6:24">
      <c r="F682" s="921"/>
      <c r="G682" s="1277"/>
      <c r="H682" s="921"/>
      <c r="I682" s="1277"/>
      <c r="J682" s="921"/>
      <c r="K682" s="1277"/>
      <c r="L682" s="1277"/>
      <c r="M682" s="919"/>
      <c r="N682" s="919"/>
      <c r="O682" s="919"/>
      <c r="P682" s="1277"/>
      <c r="Q682" s="1277"/>
      <c r="R682" s="1277"/>
      <c r="S682" s="1277"/>
      <c r="T682" s="1277"/>
      <c r="U682" s="1277"/>
      <c r="V682" s="1277"/>
      <c r="W682" s="1277"/>
      <c r="X682" s="1277"/>
    </row>
    <row r="683" spans="6:24">
      <c r="F683" s="921"/>
      <c r="G683" s="1277"/>
      <c r="H683" s="921"/>
      <c r="I683" s="1277"/>
      <c r="J683" s="921"/>
      <c r="K683" s="1277"/>
      <c r="L683" s="1277"/>
      <c r="M683" s="919"/>
      <c r="N683" s="919"/>
      <c r="O683" s="919"/>
      <c r="P683" s="1277"/>
      <c r="Q683" s="1277"/>
      <c r="R683" s="1277"/>
      <c r="S683" s="1277"/>
      <c r="T683" s="1277"/>
      <c r="U683" s="1277"/>
      <c r="V683" s="1277"/>
      <c r="W683" s="1277"/>
      <c r="X683" s="1277"/>
    </row>
    <row r="684" spans="6:24">
      <c r="F684" s="921"/>
      <c r="G684" s="1277"/>
      <c r="H684" s="921"/>
      <c r="I684" s="1277"/>
      <c r="J684" s="921"/>
      <c r="K684" s="1277"/>
      <c r="L684" s="1277"/>
      <c r="M684" s="919"/>
      <c r="N684" s="919"/>
      <c r="O684" s="919"/>
      <c r="P684" s="1277"/>
      <c r="Q684" s="1277"/>
      <c r="R684" s="1277"/>
      <c r="S684" s="1277"/>
      <c r="T684" s="1277"/>
      <c r="U684" s="1277"/>
      <c r="V684" s="1277"/>
      <c r="W684" s="1277"/>
      <c r="X684" s="1277"/>
    </row>
    <row r="685" spans="6:24">
      <c r="F685" s="921"/>
      <c r="G685" s="1277"/>
      <c r="H685" s="921"/>
      <c r="I685" s="1277"/>
      <c r="J685" s="921"/>
      <c r="K685" s="1277"/>
      <c r="L685" s="1277"/>
      <c r="M685" s="919"/>
      <c r="N685" s="919"/>
      <c r="O685" s="919"/>
      <c r="P685" s="1277"/>
      <c r="Q685" s="1277"/>
      <c r="R685" s="1277"/>
      <c r="S685" s="1277"/>
      <c r="T685" s="1277"/>
      <c r="U685" s="1277"/>
      <c r="V685" s="1277"/>
      <c r="W685" s="1277"/>
      <c r="X685" s="1277"/>
    </row>
    <row r="686" spans="6:24">
      <c r="F686" s="921"/>
      <c r="G686" s="1277"/>
      <c r="H686" s="921"/>
      <c r="I686" s="1277"/>
      <c r="J686" s="921"/>
      <c r="K686" s="1277"/>
      <c r="L686" s="1277"/>
      <c r="M686" s="919"/>
      <c r="N686" s="919"/>
      <c r="O686" s="919"/>
      <c r="P686" s="1277"/>
      <c r="Q686" s="1277"/>
      <c r="R686" s="1277"/>
      <c r="S686" s="1277"/>
      <c r="T686" s="1277"/>
      <c r="U686" s="1277"/>
      <c r="V686" s="1277"/>
      <c r="W686" s="1277"/>
      <c r="X686" s="1277"/>
    </row>
    <row r="687" spans="6:24">
      <c r="F687" s="921"/>
      <c r="G687" s="1277"/>
      <c r="H687" s="921"/>
      <c r="I687" s="1277"/>
      <c r="J687" s="921"/>
      <c r="K687" s="1277"/>
      <c r="L687" s="1277"/>
      <c r="M687" s="919"/>
      <c r="N687" s="919"/>
      <c r="O687" s="919"/>
      <c r="P687" s="1277"/>
      <c r="Q687" s="1277"/>
      <c r="R687" s="1277"/>
      <c r="S687" s="1277"/>
      <c r="T687" s="1277"/>
      <c r="U687" s="1277"/>
      <c r="V687" s="1277"/>
      <c r="W687" s="1277"/>
      <c r="X687" s="1277"/>
    </row>
    <row r="688" spans="6:24">
      <c r="F688" s="921"/>
      <c r="G688" s="1277"/>
      <c r="H688" s="921"/>
      <c r="I688" s="1277"/>
      <c r="J688" s="921"/>
      <c r="K688" s="1277"/>
      <c r="L688" s="1277"/>
      <c r="M688" s="919"/>
      <c r="N688" s="919"/>
      <c r="O688" s="919"/>
      <c r="P688" s="1277"/>
      <c r="Q688" s="1277"/>
      <c r="R688" s="1277"/>
      <c r="S688" s="1277"/>
      <c r="T688" s="1277"/>
      <c r="U688" s="1277"/>
      <c r="V688" s="1277"/>
      <c r="W688" s="1277"/>
      <c r="X688" s="1277"/>
    </row>
    <row r="689" spans="6:24">
      <c r="F689" s="921"/>
      <c r="G689" s="1277"/>
      <c r="H689" s="921"/>
      <c r="I689" s="1277"/>
      <c r="J689" s="921"/>
      <c r="K689" s="1277"/>
      <c r="L689" s="1277"/>
      <c r="M689" s="919"/>
      <c r="N689" s="919"/>
      <c r="O689" s="919"/>
      <c r="P689" s="1277"/>
      <c r="Q689" s="1277"/>
      <c r="R689" s="1277"/>
      <c r="S689" s="1277"/>
      <c r="T689" s="1277"/>
      <c r="U689" s="1277"/>
      <c r="V689" s="1277"/>
      <c r="W689" s="1277"/>
      <c r="X689" s="1277"/>
    </row>
    <row r="690" spans="6:24">
      <c r="F690" s="921"/>
      <c r="G690" s="1277"/>
      <c r="H690" s="921"/>
      <c r="I690" s="1277"/>
      <c r="J690" s="921"/>
      <c r="K690" s="1277"/>
      <c r="L690" s="1277"/>
      <c r="M690" s="919"/>
      <c r="N690" s="919"/>
      <c r="O690" s="919"/>
      <c r="P690" s="1277"/>
      <c r="Q690" s="1277"/>
      <c r="R690" s="1277"/>
      <c r="S690" s="1277"/>
      <c r="T690" s="1277"/>
      <c r="U690" s="1277"/>
      <c r="V690" s="1277"/>
      <c r="W690" s="1277"/>
      <c r="X690" s="1277"/>
    </row>
    <row r="691" spans="6:24">
      <c r="F691" s="921"/>
      <c r="G691" s="1277"/>
      <c r="H691" s="921"/>
      <c r="I691" s="1277"/>
      <c r="J691" s="921"/>
      <c r="K691" s="1277"/>
      <c r="L691" s="1277"/>
      <c r="M691" s="919"/>
      <c r="N691" s="919"/>
      <c r="O691" s="919"/>
      <c r="P691" s="1277"/>
      <c r="Q691" s="1277"/>
      <c r="R691" s="1277"/>
      <c r="S691" s="1277"/>
      <c r="T691" s="1277"/>
      <c r="U691" s="1277"/>
      <c r="V691" s="1277"/>
      <c r="W691" s="1277"/>
      <c r="X691" s="1277"/>
    </row>
    <row r="692" spans="6:24">
      <c r="F692" s="921"/>
      <c r="G692" s="1277"/>
      <c r="H692" s="921"/>
      <c r="I692" s="1277"/>
      <c r="J692" s="921"/>
      <c r="K692" s="1277"/>
      <c r="L692" s="1277"/>
      <c r="M692" s="919"/>
      <c r="N692" s="919"/>
      <c r="O692" s="919"/>
      <c r="P692" s="1277"/>
      <c r="Q692" s="1277"/>
      <c r="R692" s="1277"/>
      <c r="S692" s="1277"/>
      <c r="T692" s="1277"/>
      <c r="U692" s="1277"/>
      <c r="V692" s="1277"/>
      <c r="W692" s="1277"/>
      <c r="X692" s="1277"/>
    </row>
    <row r="693" spans="6:24">
      <c r="F693" s="921"/>
      <c r="G693" s="1277"/>
      <c r="H693" s="921"/>
      <c r="I693" s="1277"/>
      <c r="J693" s="921"/>
      <c r="K693" s="1277"/>
      <c r="L693" s="1277"/>
      <c r="M693" s="919"/>
      <c r="N693" s="919"/>
      <c r="O693" s="919"/>
      <c r="P693" s="1277"/>
      <c r="Q693" s="1277"/>
      <c r="R693" s="1277"/>
      <c r="S693" s="1277"/>
      <c r="T693" s="1277"/>
      <c r="U693" s="1277"/>
      <c r="V693" s="1277"/>
      <c r="W693" s="1277"/>
      <c r="X693" s="1277"/>
    </row>
    <row r="694" spans="6:24">
      <c r="F694" s="921"/>
      <c r="G694" s="1277"/>
      <c r="H694" s="921"/>
      <c r="I694" s="1277"/>
      <c r="J694" s="921"/>
      <c r="K694" s="1277"/>
      <c r="L694" s="1277"/>
      <c r="M694" s="919"/>
      <c r="N694" s="919"/>
      <c r="O694" s="919"/>
      <c r="P694" s="1277"/>
      <c r="Q694" s="1277"/>
      <c r="R694" s="1277"/>
      <c r="S694" s="1277"/>
      <c r="T694" s="1277"/>
      <c r="U694" s="1277"/>
      <c r="V694" s="1277"/>
      <c r="W694" s="1277"/>
      <c r="X694" s="1277"/>
    </row>
    <row r="695" spans="6:24">
      <c r="F695" s="921"/>
      <c r="G695" s="1277"/>
      <c r="H695" s="921"/>
      <c r="I695" s="1277"/>
      <c r="J695" s="921"/>
      <c r="K695" s="1277"/>
      <c r="L695" s="1277"/>
      <c r="M695" s="919"/>
      <c r="N695" s="919"/>
      <c r="O695" s="919"/>
      <c r="P695" s="1277"/>
      <c r="Q695" s="1277"/>
      <c r="R695" s="1277"/>
      <c r="S695" s="1277"/>
      <c r="T695" s="1277"/>
      <c r="U695" s="1277"/>
      <c r="V695" s="1277"/>
      <c r="W695" s="1277"/>
      <c r="X695" s="1277"/>
    </row>
    <row r="696" spans="6:24">
      <c r="F696" s="921"/>
      <c r="G696" s="1277"/>
      <c r="H696" s="921"/>
      <c r="I696" s="1277"/>
      <c r="J696" s="921"/>
      <c r="K696" s="1277"/>
      <c r="L696" s="1277"/>
      <c r="M696" s="919"/>
      <c r="N696" s="919"/>
      <c r="O696" s="919"/>
      <c r="P696" s="1277"/>
      <c r="Q696" s="1277"/>
      <c r="R696" s="1277"/>
      <c r="S696" s="1277"/>
      <c r="T696" s="1277"/>
      <c r="U696" s="1277"/>
      <c r="V696" s="1277"/>
      <c r="W696" s="1277"/>
      <c r="X696" s="1277"/>
    </row>
    <row r="697" spans="6:24">
      <c r="F697" s="921"/>
      <c r="G697" s="1277"/>
      <c r="H697" s="921"/>
      <c r="I697" s="1277"/>
      <c r="J697" s="921"/>
      <c r="K697" s="1277"/>
      <c r="L697" s="1277"/>
      <c r="M697" s="919"/>
      <c r="N697" s="919"/>
      <c r="O697" s="919"/>
      <c r="P697" s="1277"/>
      <c r="Q697" s="1277"/>
      <c r="R697" s="1277"/>
      <c r="S697" s="1277"/>
      <c r="T697" s="1277"/>
      <c r="U697" s="1277"/>
      <c r="V697" s="1277"/>
      <c r="W697" s="1277"/>
      <c r="X697" s="1277"/>
    </row>
    <row r="698" spans="6:24">
      <c r="F698" s="921"/>
      <c r="G698" s="1277"/>
      <c r="H698" s="921"/>
      <c r="I698" s="1277"/>
      <c r="J698" s="921"/>
      <c r="K698" s="1277"/>
      <c r="L698" s="1277"/>
      <c r="M698" s="919"/>
      <c r="N698" s="919"/>
      <c r="O698" s="919"/>
      <c r="P698" s="1277"/>
      <c r="Q698" s="1277"/>
      <c r="R698" s="1277"/>
      <c r="S698" s="1277"/>
      <c r="T698" s="1277"/>
      <c r="U698" s="1277"/>
      <c r="V698" s="1277"/>
      <c r="W698" s="1277"/>
      <c r="X698" s="1277"/>
    </row>
    <row r="699" spans="6:24">
      <c r="F699" s="921"/>
      <c r="G699" s="1277"/>
      <c r="H699" s="921"/>
      <c r="I699" s="1277"/>
      <c r="J699" s="921"/>
      <c r="K699" s="1277"/>
      <c r="L699" s="1277"/>
      <c r="M699" s="919"/>
      <c r="N699" s="919"/>
      <c r="O699" s="919"/>
      <c r="P699" s="1277"/>
      <c r="Q699" s="1277"/>
      <c r="R699" s="1277"/>
      <c r="S699" s="1277"/>
      <c r="T699" s="1277"/>
      <c r="U699" s="1277"/>
      <c r="V699" s="1277"/>
      <c r="W699" s="1277"/>
      <c r="X699" s="1277"/>
    </row>
    <row r="700" spans="6:24">
      <c r="F700" s="921"/>
      <c r="G700" s="1277"/>
      <c r="H700" s="921"/>
      <c r="I700" s="1277"/>
      <c r="J700" s="921"/>
      <c r="K700" s="1277"/>
      <c r="L700" s="1277"/>
      <c r="M700" s="919"/>
      <c r="N700" s="919"/>
      <c r="O700" s="919"/>
      <c r="P700" s="1277"/>
      <c r="Q700" s="1277"/>
      <c r="R700" s="1277"/>
      <c r="S700" s="1277"/>
      <c r="T700" s="1277"/>
      <c r="U700" s="1277"/>
      <c r="V700" s="1277"/>
      <c r="W700" s="1277"/>
      <c r="X700" s="1277"/>
    </row>
    <row r="701" spans="6:24">
      <c r="F701" s="921"/>
      <c r="G701" s="1277"/>
      <c r="H701" s="921"/>
      <c r="I701" s="1277"/>
      <c r="J701" s="921"/>
      <c r="K701" s="1277"/>
      <c r="L701" s="1277"/>
      <c r="M701" s="919"/>
      <c r="N701" s="919"/>
      <c r="O701" s="919"/>
      <c r="P701" s="1277"/>
      <c r="Q701" s="1277"/>
      <c r="R701" s="1277"/>
      <c r="S701" s="1277"/>
      <c r="T701" s="1277"/>
      <c r="U701" s="1277"/>
      <c r="V701" s="1277"/>
      <c r="W701" s="1277"/>
      <c r="X701" s="1277"/>
    </row>
    <row r="702" spans="6:24">
      <c r="F702" s="921"/>
      <c r="G702" s="1277"/>
      <c r="H702" s="921"/>
      <c r="I702" s="1277"/>
      <c r="J702" s="921"/>
      <c r="K702" s="1277"/>
      <c r="L702" s="1277"/>
      <c r="M702" s="919"/>
      <c r="N702" s="919"/>
      <c r="O702" s="919"/>
      <c r="P702" s="1277"/>
      <c r="Q702" s="1277"/>
      <c r="R702" s="1277"/>
      <c r="S702" s="1277"/>
      <c r="T702" s="1277"/>
      <c r="U702" s="1277"/>
      <c r="V702" s="1277"/>
      <c r="W702" s="1277"/>
      <c r="X702" s="1277"/>
    </row>
    <row r="703" spans="6:24">
      <c r="F703" s="921"/>
      <c r="G703" s="1277"/>
      <c r="H703" s="921"/>
      <c r="I703" s="1277"/>
      <c r="J703" s="921"/>
      <c r="K703" s="1277"/>
      <c r="L703" s="1277"/>
      <c r="M703" s="919"/>
      <c r="N703" s="919"/>
      <c r="O703" s="919"/>
      <c r="P703" s="1277"/>
      <c r="Q703" s="1277"/>
      <c r="R703" s="1277"/>
      <c r="S703" s="1277"/>
      <c r="T703" s="1277"/>
      <c r="U703" s="1277"/>
      <c r="V703" s="1277"/>
      <c r="W703" s="1277"/>
      <c r="X703" s="1277"/>
    </row>
    <row r="704" spans="6:24">
      <c r="F704" s="921"/>
      <c r="G704" s="1277"/>
      <c r="H704" s="921"/>
      <c r="I704" s="1277"/>
      <c r="J704" s="921"/>
      <c r="K704" s="1277"/>
      <c r="L704" s="1277"/>
      <c r="M704" s="919"/>
      <c r="N704" s="919"/>
      <c r="O704" s="919"/>
      <c r="P704" s="1277"/>
      <c r="Q704" s="1277"/>
      <c r="R704" s="1277"/>
      <c r="S704" s="1277"/>
      <c r="T704" s="1277"/>
      <c r="U704" s="1277"/>
      <c r="V704" s="1277"/>
      <c r="W704" s="1277"/>
      <c r="X704" s="1277"/>
    </row>
    <row r="705" spans="6:24">
      <c r="F705" s="921"/>
      <c r="G705" s="1277"/>
      <c r="H705" s="921"/>
      <c r="I705" s="1277"/>
      <c r="J705" s="921"/>
      <c r="K705" s="1277"/>
      <c r="L705" s="1277"/>
      <c r="M705" s="919"/>
      <c r="N705" s="919"/>
      <c r="O705" s="919"/>
      <c r="P705" s="1277"/>
      <c r="Q705" s="1277"/>
      <c r="R705" s="1277"/>
      <c r="S705" s="1277"/>
      <c r="T705" s="1277"/>
      <c r="U705" s="1277"/>
      <c r="V705" s="1277"/>
      <c r="W705" s="1277"/>
      <c r="X705" s="1277"/>
    </row>
    <row r="706" spans="6:24">
      <c r="F706" s="921"/>
      <c r="G706" s="1277"/>
      <c r="H706" s="921"/>
      <c r="I706" s="1277"/>
      <c r="J706" s="921"/>
      <c r="K706" s="1277"/>
      <c r="L706" s="1277"/>
      <c r="M706" s="919"/>
      <c r="N706" s="919"/>
      <c r="O706" s="919"/>
      <c r="P706" s="1277"/>
      <c r="Q706" s="1277"/>
      <c r="R706" s="1277"/>
      <c r="S706" s="1277"/>
      <c r="T706" s="1277"/>
      <c r="U706" s="1277"/>
      <c r="V706" s="1277"/>
      <c r="W706" s="1277"/>
      <c r="X706" s="1277"/>
    </row>
    <row r="707" spans="6:24">
      <c r="F707" s="921"/>
      <c r="G707" s="1277"/>
      <c r="H707" s="921"/>
      <c r="I707" s="1277"/>
      <c r="J707" s="921"/>
      <c r="K707" s="1277"/>
      <c r="L707" s="1277"/>
      <c r="M707" s="919"/>
      <c r="N707" s="919"/>
      <c r="O707" s="919"/>
      <c r="P707" s="1277"/>
      <c r="Q707" s="1277"/>
      <c r="R707" s="1277"/>
      <c r="S707" s="1277"/>
      <c r="T707" s="1277"/>
      <c r="U707" s="1277"/>
      <c r="V707" s="1277"/>
      <c r="W707" s="1277"/>
      <c r="X707" s="1277"/>
    </row>
    <row r="708" spans="6:24">
      <c r="F708" s="921"/>
      <c r="G708" s="1277"/>
      <c r="H708" s="921"/>
      <c r="I708" s="1277"/>
      <c r="J708" s="921"/>
      <c r="K708" s="1277"/>
      <c r="L708" s="1277"/>
      <c r="M708" s="919"/>
      <c r="N708" s="919"/>
      <c r="O708" s="919"/>
      <c r="P708" s="1277"/>
      <c r="Q708" s="1277"/>
      <c r="R708" s="1277"/>
      <c r="S708" s="1277"/>
      <c r="T708" s="1277"/>
      <c r="U708" s="1277"/>
      <c r="V708" s="1277"/>
      <c r="W708" s="1277"/>
      <c r="X708" s="1277"/>
    </row>
    <row r="709" spans="6:24">
      <c r="F709" s="921"/>
      <c r="G709" s="1277"/>
      <c r="H709" s="921"/>
      <c r="I709" s="1277"/>
      <c r="J709" s="921"/>
      <c r="K709" s="1277"/>
      <c r="L709" s="1277"/>
      <c r="M709" s="919"/>
      <c r="N709" s="919"/>
      <c r="O709" s="919"/>
      <c r="P709" s="1277"/>
      <c r="Q709" s="1277"/>
      <c r="R709" s="1277"/>
      <c r="S709" s="1277"/>
      <c r="T709" s="1277"/>
      <c r="U709" s="1277"/>
      <c r="V709" s="1277"/>
      <c r="W709" s="1277"/>
      <c r="X709" s="1277"/>
    </row>
    <row r="710" spans="6:24">
      <c r="F710" s="921"/>
      <c r="G710" s="1277"/>
      <c r="H710" s="921"/>
      <c r="I710" s="1277"/>
      <c r="J710" s="921"/>
      <c r="K710" s="1277"/>
      <c r="L710" s="1277"/>
      <c r="M710" s="919"/>
      <c r="N710" s="919"/>
      <c r="O710" s="919"/>
      <c r="P710" s="1277"/>
      <c r="Q710" s="1277"/>
      <c r="R710" s="1277"/>
      <c r="S710" s="1277"/>
      <c r="T710" s="1277"/>
      <c r="U710" s="1277"/>
      <c r="V710" s="1277"/>
      <c r="W710" s="1277"/>
      <c r="X710" s="1277"/>
    </row>
    <row r="711" spans="6:24">
      <c r="F711" s="921"/>
      <c r="G711" s="1277"/>
      <c r="H711" s="921"/>
      <c r="I711" s="1277"/>
      <c r="J711" s="921"/>
      <c r="K711" s="1277"/>
      <c r="L711" s="1277"/>
      <c r="M711" s="919"/>
      <c r="N711" s="919"/>
      <c r="O711" s="919"/>
      <c r="P711" s="1277"/>
      <c r="Q711" s="1277"/>
      <c r="R711" s="1277"/>
      <c r="S711" s="1277"/>
      <c r="T711" s="1277"/>
      <c r="U711" s="1277"/>
      <c r="V711" s="1277"/>
      <c r="W711" s="1277"/>
      <c r="X711" s="1277"/>
    </row>
    <row r="712" spans="6:24">
      <c r="F712" s="921"/>
      <c r="G712" s="1277"/>
      <c r="H712" s="921"/>
      <c r="I712" s="1277"/>
      <c r="J712" s="921"/>
      <c r="K712" s="1277"/>
      <c r="L712" s="1277"/>
      <c r="M712" s="919"/>
      <c r="N712" s="919"/>
      <c r="O712" s="919"/>
      <c r="P712" s="1277"/>
      <c r="Q712" s="1277"/>
      <c r="R712" s="1277"/>
      <c r="S712" s="1277"/>
      <c r="T712" s="1277"/>
      <c r="U712" s="1277"/>
      <c r="V712" s="1277"/>
      <c r="W712" s="1277"/>
      <c r="X712" s="1277"/>
    </row>
    <row r="713" spans="6:24">
      <c r="F713" s="921"/>
      <c r="G713" s="1277"/>
      <c r="H713" s="921"/>
      <c r="I713" s="1277"/>
      <c r="J713" s="921"/>
      <c r="K713" s="1277"/>
      <c r="L713" s="1277"/>
      <c r="M713" s="919"/>
      <c r="N713" s="919"/>
      <c r="O713" s="919"/>
      <c r="P713" s="1277"/>
      <c r="Q713" s="1277"/>
      <c r="R713" s="1277"/>
      <c r="S713" s="1277"/>
      <c r="T713" s="1277"/>
      <c r="U713" s="1277"/>
      <c r="V713" s="1277"/>
      <c r="W713" s="1277"/>
      <c r="X713" s="1277"/>
    </row>
    <row r="714" spans="6:24">
      <c r="F714" s="921"/>
      <c r="G714" s="1277"/>
      <c r="H714" s="921"/>
      <c r="I714" s="1277"/>
      <c r="J714" s="921"/>
      <c r="K714" s="1277"/>
      <c r="L714" s="1277"/>
      <c r="M714" s="919"/>
      <c r="N714" s="919"/>
      <c r="O714" s="919"/>
      <c r="P714" s="1277"/>
      <c r="Q714" s="1277"/>
      <c r="R714" s="1277"/>
      <c r="S714" s="1277"/>
      <c r="T714" s="1277"/>
      <c r="U714" s="1277"/>
      <c r="V714" s="1277"/>
      <c r="W714" s="1277"/>
      <c r="X714" s="1277"/>
    </row>
    <row r="715" spans="6:24">
      <c r="F715" s="921"/>
      <c r="G715" s="1277"/>
      <c r="H715" s="921"/>
      <c r="I715" s="1277"/>
      <c r="J715" s="921"/>
      <c r="K715" s="1277"/>
      <c r="L715" s="1277"/>
      <c r="M715" s="919"/>
      <c r="N715" s="919"/>
      <c r="O715" s="919"/>
      <c r="P715" s="1277"/>
      <c r="Q715" s="1277"/>
      <c r="R715" s="1277"/>
      <c r="S715" s="1277"/>
      <c r="T715" s="1277"/>
      <c r="U715" s="1277"/>
      <c r="V715" s="1277"/>
      <c r="W715" s="1277"/>
      <c r="X715" s="1277"/>
    </row>
    <row r="716" spans="6:24">
      <c r="F716" s="921"/>
      <c r="G716" s="1277"/>
      <c r="H716" s="921"/>
      <c r="I716" s="1277"/>
      <c r="J716" s="921"/>
      <c r="K716" s="1277"/>
      <c r="L716" s="1277"/>
      <c r="M716" s="919"/>
      <c r="N716" s="919"/>
      <c r="O716" s="919"/>
      <c r="P716" s="1277"/>
      <c r="Q716" s="1277"/>
      <c r="R716" s="1277"/>
      <c r="S716" s="1277"/>
      <c r="T716" s="1277"/>
      <c r="U716" s="1277"/>
      <c r="V716" s="1277"/>
      <c r="W716" s="1277"/>
      <c r="X716" s="1277"/>
    </row>
    <row r="717" spans="6:24">
      <c r="F717" s="921"/>
      <c r="G717" s="1277"/>
      <c r="H717" s="921"/>
      <c r="I717" s="1277"/>
      <c r="J717" s="921"/>
      <c r="K717" s="1277"/>
      <c r="L717" s="1277"/>
      <c r="M717" s="919"/>
      <c r="N717" s="919"/>
      <c r="O717" s="919"/>
      <c r="P717" s="1277"/>
      <c r="Q717" s="1277"/>
      <c r="R717" s="1277"/>
      <c r="S717" s="1277"/>
      <c r="T717" s="1277"/>
      <c r="U717" s="1277"/>
      <c r="V717" s="1277"/>
      <c r="W717" s="1277"/>
      <c r="X717" s="1277"/>
    </row>
    <row r="718" spans="6:24">
      <c r="F718" s="921"/>
      <c r="G718" s="1277"/>
      <c r="H718" s="921"/>
      <c r="I718" s="1277"/>
      <c r="J718" s="921"/>
      <c r="K718" s="1277"/>
      <c r="L718" s="1277"/>
      <c r="M718" s="919"/>
      <c r="N718" s="919"/>
      <c r="O718" s="919"/>
      <c r="P718" s="1277"/>
      <c r="Q718" s="1277"/>
      <c r="R718" s="1277"/>
      <c r="S718" s="1277"/>
      <c r="T718" s="1277"/>
      <c r="U718" s="1277"/>
      <c r="V718" s="1277"/>
      <c r="W718" s="1277"/>
      <c r="X718" s="1277"/>
    </row>
    <row r="719" spans="6:24">
      <c r="F719" s="921"/>
      <c r="G719" s="1277"/>
      <c r="H719" s="921"/>
      <c r="I719" s="1277"/>
      <c r="J719" s="921"/>
      <c r="K719" s="1277"/>
      <c r="L719" s="1277"/>
      <c r="M719" s="919"/>
      <c r="N719" s="919"/>
      <c r="O719" s="919"/>
      <c r="P719" s="1277"/>
      <c r="Q719" s="1277"/>
      <c r="R719" s="1277"/>
      <c r="S719" s="1277"/>
      <c r="T719" s="1277"/>
      <c r="U719" s="1277"/>
      <c r="V719" s="1277"/>
      <c r="W719" s="1277"/>
      <c r="X719" s="1277"/>
    </row>
    <row r="720" spans="6:24">
      <c r="F720" s="921"/>
      <c r="G720" s="1277"/>
      <c r="H720" s="921"/>
      <c r="I720" s="1277"/>
      <c r="J720" s="921"/>
      <c r="K720" s="1277"/>
      <c r="L720" s="1277"/>
      <c r="M720" s="919"/>
      <c r="N720" s="919"/>
      <c r="O720" s="919"/>
      <c r="P720" s="1277"/>
      <c r="Q720" s="1277"/>
      <c r="R720" s="1277"/>
      <c r="S720" s="1277"/>
      <c r="T720" s="1277"/>
      <c r="U720" s="1277"/>
      <c r="V720" s="1277"/>
      <c r="W720" s="1277"/>
      <c r="X720" s="1277"/>
    </row>
    <row r="721" spans="6:24">
      <c r="F721" s="921"/>
      <c r="G721" s="1277"/>
      <c r="H721" s="921"/>
      <c r="I721" s="1277"/>
      <c r="J721" s="921"/>
      <c r="K721" s="1277"/>
      <c r="L721" s="1277"/>
      <c r="M721" s="919"/>
      <c r="N721" s="919"/>
      <c r="O721" s="919"/>
      <c r="P721" s="1277"/>
      <c r="Q721" s="1277"/>
      <c r="R721" s="1277"/>
      <c r="S721" s="1277"/>
      <c r="T721" s="1277"/>
      <c r="U721" s="1277"/>
      <c r="V721" s="1277"/>
      <c r="W721" s="1277"/>
      <c r="X721" s="1277"/>
    </row>
    <row r="722" spans="6:24">
      <c r="F722" s="921"/>
      <c r="G722" s="1277"/>
      <c r="H722" s="921"/>
      <c r="I722" s="1277"/>
      <c r="J722" s="921"/>
      <c r="K722" s="1277"/>
      <c r="L722" s="1277"/>
      <c r="M722" s="919"/>
      <c r="N722" s="919"/>
      <c r="O722" s="919"/>
      <c r="P722" s="1277"/>
      <c r="Q722" s="1277"/>
      <c r="R722" s="1277"/>
      <c r="S722" s="1277"/>
      <c r="T722" s="1277"/>
      <c r="U722" s="1277"/>
      <c r="V722" s="1277"/>
      <c r="W722" s="1277"/>
      <c r="X722" s="1277"/>
    </row>
    <row r="723" spans="6:24">
      <c r="F723" s="921"/>
      <c r="G723" s="1277"/>
      <c r="H723" s="921"/>
      <c r="I723" s="1277"/>
      <c r="J723" s="921"/>
      <c r="K723" s="1277"/>
      <c r="L723" s="1277"/>
      <c r="M723" s="919"/>
      <c r="N723" s="919"/>
      <c r="O723" s="919"/>
      <c r="P723" s="1277"/>
      <c r="Q723" s="1277"/>
      <c r="R723" s="1277"/>
      <c r="S723" s="1277"/>
      <c r="T723" s="1277"/>
      <c r="U723" s="1277"/>
      <c r="V723" s="1277"/>
      <c r="W723" s="1277"/>
      <c r="X723" s="1277"/>
    </row>
    <row r="724" spans="6:24">
      <c r="F724" s="921"/>
      <c r="G724" s="1277"/>
      <c r="H724" s="921"/>
      <c r="I724" s="1277"/>
      <c r="J724" s="921"/>
      <c r="K724" s="1277"/>
      <c r="L724" s="1277"/>
      <c r="M724" s="919"/>
      <c r="N724" s="919"/>
      <c r="O724" s="919"/>
      <c r="P724" s="1277"/>
      <c r="Q724" s="1277"/>
      <c r="R724" s="1277"/>
      <c r="S724" s="1277"/>
      <c r="T724" s="1277"/>
      <c r="U724" s="1277"/>
      <c r="V724" s="1277"/>
      <c r="W724" s="1277"/>
      <c r="X724" s="1277"/>
    </row>
    <row r="725" spans="6:24">
      <c r="F725" s="921"/>
      <c r="G725" s="1277"/>
      <c r="H725" s="921"/>
      <c r="I725" s="1277"/>
      <c r="J725" s="921"/>
      <c r="K725" s="1277"/>
      <c r="L725" s="1277"/>
      <c r="M725" s="919"/>
      <c r="N725" s="919"/>
      <c r="O725" s="919"/>
      <c r="P725" s="1277"/>
      <c r="Q725" s="1277"/>
      <c r="R725" s="1277"/>
      <c r="S725" s="1277"/>
      <c r="T725" s="1277"/>
      <c r="U725" s="1277"/>
      <c r="V725" s="1277"/>
      <c r="W725" s="1277"/>
      <c r="X725" s="1277"/>
    </row>
    <row r="726" spans="6:24">
      <c r="F726" s="921"/>
      <c r="G726" s="1277"/>
      <c r="H726" s="921"/>
      <c r="I726" s="1277"/>
      <c r="J726" s="921"/>
      <c r="K726" s="1277"/>
      <c r="L726" s="1277"/>
      <c r="M726" s="919"/>
      <c r="N726" s="919"/>
      <c r="O726" s="919"/>
      <c r="P726" s="1277"/>
      <c r="Q726" s="1277"/>
      <c r="R726" s="1277"/>
      <c r="S726" s="1277"/>
      <c r="T726" s="1277"/>
      <c r="U726" s="1277"/>
      <c r="V726" s="1277"/>
      <c r="W726" s="1277"/>
      <c r="X726" s="1277"/>
    </row>
    <row r="727" spans="6:24">
      <c r="F727" s="921"/>
      <c r="G727" s="1277"/>
      <c r="H727" s="921"/>
      <c r="I727" s="1277"/>
      <c r="J727" s="921"/>
      <c r="K727" s="1277"/>
      <c r="L727" s="1277"/>
      <c r="M727" s="919"/>
      <c r="N727" s="919"/>
      <c r="O727" s="919"/>
      <c r="P727" s="1277"/>
      <c r="Q727" s="1277"/>
      <c r="R727" s="1277"/>
      <c r="S727" s="1277"/>
      <c r="T727" s="1277"/>
      <c r="U727" s="1277"/>
      <c r="V727" s="1277"/>
      <c r="W727" s="1277"/>
      <c r="X727" s="1277"/>
    </row>
    <row r="728" spans="6:24">
      <c r="F728" s="921"/>
      <c r="G728" s="1277"/>
      <c r="H728" s="921"/>
      <c r="I728" s="1277"/>
      <c r="J728" s="921"/>
      <c r="K728" s="1277"/>
      <c r="L728" s="1277"/>
      <c r="M728" s="919"/>
      <c r="N728" s="919"/>
      <c r="O728" s="919"/>
      <c r="P728" s="1277"/>
      <c r="Q728" s="1277"/>
      <c r="R728" s="1277"/>
      <c r="S728" s="1277"/>
      <c r="T728" s="1277"/>
      <c r="U728" s="1277"/>
      <c r="V728" s="1277"/>
      <c r="W728" s="1277"/>
      <c r="X728" s="1277"/>
    </row>
    <row r="729" spans="6:24">
      <c r="F729" s="921"/>
      <c r="G729" s="1277"/>
      <c r="H729" s="921"/>
      <c r="I729" s="1277"/>
      <c r="J729" s="921"/>
      <c r="K729" s="1277"/>
      <c r="L729" s="1277"/>
      <c r="M729" s="919"/>
      <c r="N729" s="919"/>
      <c r="O729" s="919"/>
      <c r="P729" s="1277"/>
      <c r="Q729" s="1277"/>
      <c r="R729" s="1277"/>
      <c r="S729" s="1277"/>
      <c r="T729" s="1277"/>
      <c r="U729" s="1277"/>
      <c r="V729" s="1277"/>
      <c r="W729" s="1277"/>
      <c r="X729" s="1277"/>
    </row>
    <row r="730" spans="6:24">
      <c r="F730" s="921"/>
      <c r="G730" s="1277"/>
      <c r="H730" s="921"/>
      <c r="I730" s="1277"/>
      <c r="J730" s="921"/>
      <c r="K730" s="1277"/>
      <c r="L730" s="1277"/>
      <c r="M730" s="919"/>
      <c r="N730" s="919"/>
      <c r="O730" s="919"/>
      <c r="P730" s="1277"/>
      <c r="Q730" s="1277"/>
      <c r="R730" s="1277"/>
      <c r="S730" s="1277"/>
      <c r="T730" s="1277"/>
      <c r="U730" s="1277"/>
      <c r="V730" s="1277"/>
      <c r="W730" s="1277"/>
      <c r="X730" s="1277"/>
    </row>
    <row r="731" spans="6:24">
      <c r="F731" s="921"/>
      <c r="G731" s="1277"/>
      <c r="H731" s="921"/>
      <c r="I731" s="1277"/>
      <c r="J731" s="921"/>
      <c r="K731" s="1277"/>
      <c r="L731" s="1277"/>
      <c r="M731" s="919"/>
      <c r="N731" s="919"/>
      <c r="O731" s="919"/>
      <c r="P731" s="1277"/>
      <c r="Q731" s="1277"/>
      <c r="R731" s="1277"/>
      <c r="S731" s="1277"/>
      <c r="T731" s="1277"/>
      <c r="U731" s="1277"/>
      <c r="V731" s="1277"/>
      <c r="W731" s="1277"/>
      <c r="X731" s="1277"/>
    </row>
    <row r="732" spans="6:24">
      <c r="F732" s="921"/>
      <c r="G732" s="1277"/>
      <c r="H732" s="921"/>
      <c r="I732" s="1277"/>
      <c r="J732" s="921"/>
      <c r="K732" s="1277"/>
      <c r="L732" s="1277"/>
      <c r="M732" s="919"/>
      <c r="N732" s="919"/>
      <c r="O732" s="919"/>
      <c r="P732" s="1277"/>
      <c r="Q732" s="1277"/>
      <c r="R732" s="1277"/>
      <c r="S732" s="1277"/>
      <c r="T732" s="1277"/>
      <c r="U732" s="1277"/>
      <c r="V732" s="1277"/>
      <c r="W732" s="1277"/>
      <c r="X732" s="1277"/>
    </row>
    <row r="733" spans="6:24">
      <c r="F733" s="921"/>
      <c r="G733" s="1277"/>
      <c r="H733" s="921"/>
      <c r="I733" s="1277"/>
      <c r="J733" s="921"/>
      <c r="K733" s="1277"/>
      <c r="L733" s="1277"/>
      <c r="M733" s="919"/>
      <c r="N733" s="919"/>
      <c r="O733" s="919"/>
      <c r="P733" s="1277"/>
      <c r="Q733" s="1277"/>
      <c r="R733" s="1277"/>
      <c r="S733" s="1277"/>
      <c r="T733" s="1277"/>
      <c r="U733" s="1277"/>
      <c r="V733" s="1277"/>
      <c r="W733" s="1277"/>
      <c r="X733" s="1277"/>
    </row>
    <row r="734" spans="6:24">
      <c r="F734" s="921"/>
      <c r="G734" s="1277"/>
      <c r="H734" s="921"/>
      <c r="I734" s="1277"/>
      <c r="J734" s="921"/>
      <c r="K734" s="1277"/>
      <c r="L734" s="1277"/>
      <c r="M734" s="919"/>
      <c r="N734" s="919"/>
      <c r="O734" s="919"/>
      <c r="P734" s="1277"/>
      <c r="Q734" s="1277"/>
      <c r="R734" s="1277"/>
      <c r="S734" s="1277"/>
      <c r="T734" s="1277"/>
      <c r="U734" s="1277"/>
      <c r="V734" s="1277"/>
      <c r="W734" s="1277"/>
      <c r="X734" s="1277"/>
    </row>
    <row r="735" spans="6:24">
      <c r="F735" s="921"/>
      <c r="G735" s="1277"/>
      <c r="H735" s="921"/>
      <c r="I735" s="1277"/>
      <c r="J735" s="921"/>
      <c r="K735" s="1277"/>
      <c r="L735" s="1277"/>
      <c r="M735" s="919"/>
      <c r="N735" s="919"/>
      <c r="O735" s="919"/>
      <c r="P735" s="1277"/>
      <c r="Q735" s="1277"/>
      <c r="R735" s="1277"/>
      <c r="S735" s="1277"/>
      <c r="T735" s="1277"/>
      <c r="U735" s="1277"/>
      <c r="V735" s="1277"/>
      <c r="W735" s="1277"/>
      <c r="X735" s="1277"/>
    </row>
    <row r="736" spans="6:24">
      <c r="F736" s="921"/>
      <c r="G736" s="1277"/>
      <c r="H736" s="921"/>
      <c r="I736" s="1277"/>
      <c r="J736" s="921"/>
      <c r="K736" s="1277"/>
      <c r="L736" s="1277"/>
      <c r="M736" s="919"/>
      <c r="N736" s="919"/>
      <c r="O736" s="919"/>
      <c r="P736" s="1277"/>
      <c r="Q736" s="1277"/>
      <c r="R736" s="1277"/>
      <c r="S736" s="1277"/>
      <c r="T736" s="1277"/>
      <c r="U736" s="1277"/>
      <c r="V736" s="1277"/>
      <c r="W736" s="1277"/>
      <c r="X736" s="1277"/>
    </row>
    <row r="737" spans="6:24">
      <c r="F737" s="921"/>
      <c r="G737" s="1277"/>
      <c r="H737" s="921"/>
      <c r="I737" s="1277"/>
      <c r="J737" s="921"/>
      <c r="K737" s="1277"/>
      <c r="L737" s="1277"/>
      <c r="M737" s="919"/>
      <c r="N737" s="919"/>
      <c r="O737" s="919"/>
      <c r="P737" s="1277"/>
      <c r="Q737" s="1277"/>
      <c r="R737" s="1277"/>
      <c r="S737" s="1277"/>
      <c r="T737" s="1277"/>
      <c r="U737" s="1277"/>
      <c r="V737" s="1277"/>
      <c r="W737" s="1277"/>
      <c r="X737" s="1277"/>
    </row>
    <row r="738" spans="6:24">
      <c r="F738" s="921"/>
      <c r="G738" s="1277"/>
      <c r="H738" s="921"/>
      <c r="I738" s="1277"/>
      <c r="J738" s="921"/>
      <c r="K738" s="1277"/>
      <c r="L738" s="1277"/>
      <c r="M738" s="919"/>
      <c r="N738" s="919"/>
      <c r="O738" s="919"/>
      <c r="P738" s="1277"/>
      <c r="Q738" s="1277"/>
      <c r="R738" s="1277"/>
      <c r="S738" s="1277"/>
      <c r="T738" s="1277"/>
      <c r="U738" s="1277"/>
      <c r="V738" s="1277"/>
      <c r="W738" s="1277"/>
      <c r="X738" s="1277"/>
    </row>
    <row r="739" spans="6:24">
      <c r="F739" s="921"/>
      <c r="G739" s="1277"/>
      <c r="H739" s="921"/>
      <c r="I739" s="1277"/>
      <c r="J739" s="921"/>
      <c r="K739" s="1277"/>
      <c r="L739" s="1277"/>
      <c r="M739" s="919"/>
      <c r="N739" s="919"/>
      <c r="O739" s="919"/>
      <c r="P739" s="1277"/>
      <c r="Q739" s="1277"/>
      <c r="R739" s="1277"/>
      <c r="S739" s="1277"/>
      <c r="T739" s="1277"/>
      <c r="U739" s="1277"/>
      <c r="V739" s="1277"/>
      <c r="W739" s="1277"/>
      <c r="X739" s="1277"/>
    </row>
    <row r="740" spans="6:24">
      <c r="F740" s="921"/>
      <c r="G740" s="1277"/>
      <c r="H740" s="921"/>
      <c r="I740" s="1277"/>
      <c r="J740" s="921"/>
      <c r="K740" s="1277"/>
      <c r="L740" s="1277"/>
      <c r="M740" s="919"/>
      <c r="N740" s="919"/>
      <c r="O740" s="919"/>
      <c r="P740" s="1277"/>
      <c r="Q740" s="1277"/>
      <c r="R740" s="1277"/>
      <c r="S740" s="1277"/>
      <c r="T740" s="1277"/>
      <c r="U740" s="1277"/>
      <c r="V740" s="1277"/>
      <c r="W740" s="1277"/>
      <c r="X740" s="1277"/>
    </row>
    <row r="741" spans="6:24">
      <c r="F741" s="921"/>
      <c r="G741" s="1277"/>
      <c r="H741" s="921"/>
      <c r="I741" s="1277"/>
      <c r="J741" s="921"/>
      <c r="K741" s="1277"/>
      <c r="L741" s="1277"/>
      <c r="M741" s="919"/>
      <c r="N741" s="919"/>
      <c r="O741" s="919"/>
      <c r="P741" s="1277"/>
      <c r="Q741" s="1277"/>
      <c r="R741" s="1277"/>
      <c r="S741" s="1277"/>
      <c r="T741" s="1277"/>
      <c r="U741" s="1277"/>
      <c r="V741" s="1277"/>
      <c r="W741" s="1277"/>
      <c r="X741" s="1277"/>
    </row>
    <row r="742" spans="6:24">
      <c r="F742" s="921"/>
      <c r="G742" s="1277"/>
      <c r="H742" s="921"/>
      <c r="I742" s="1277"/>
      <c r="J742" s="921"/>
      <c r="K742" s="1277"/>
      <c r="L742" s="1277"/>
      <c r="M742" s="919"/>
      <c r="N742" s="919"/>
      <c r="O742" s="919"/>
      <c r="P742" s="1277"/>
      <c r="Q742" s="1277"/>
      <c r="R742" s="1277"/>
      <c r="S742" s="1277"/>
      <c r="T742" s="1277"/>
      <c r="U742" s="1277"/>
      <c r="V742" s="1277"/>
      <c r="W742" s="1277"/>
      <c r="X742" s="1277"/>
    </row>
    <row r="743" spans="6:24">
      <c r="F743" s="921"/>
      <c r="G743" s="1277"/>
      <c r="H743" s="921"/>
      <c r="I743" s="1277"/>
      <c r="J743" s="921"/>
      <c r="K743" s="1277"/>
      <c r="L743" s="1277"/>
      <c r="M743" s="919"/>
      <c r="N743" s="919"/>
      <c r="O743" s="919"/>
      <c r="P743" s="1277"/>
      <c r="Q743" s="1277"/>
      <c r="R743" s="1277"/>
      <c r="S743" s="1277"/>
      <c r="T743" s="1277"/>
      <c r="U743" s="1277"/>
      <c r="V743" s="1277"/>
      <c r="W743" s="1277"/>
      <c r="X743" s="1277"/>
    </row>
    <row r="744" spans="6:24">
      <c r="F744" s="921"/>
      <c r="G744" s="1277"/>
      <c r="H744" s="921"/>
      <c r="I744" s="1277"/>
      <c r="J744" s="921"/>
      <c r="K744" s="1277"/>
      <c r="L744" s="1277"/>
      <c r="M744" s="919"/>
      <c r="N744" s="919"/>
      <c r="O744" s="919"/>
      <c r="P744" s="1277"/>
      <c r="Q744" s="1277"/>
      <c r="R744" s="1277"/>
      <c r="S744" s="1277"/>
      <c r="T744" s="1277"/>
      <c r="U744" s="1277"/>
      <c r="V744" s="1277"/>
      <c r="W744" s="1277"/>
      <c r="X744" s="1277"/>
    </row>
    <row r="745" spans="6:24">
      <c r="F745" s="921"/>
      <c r="G745" s="1277"/>
      <c r="H745" s="921"/>
      <c r="I745" s="1277"/>
      <c r="J745" s="921"/>
      <c r="K745" s="1277"/>
      <c r="L745" s="1277"/>
      <c r="M745" s="919"/>
      <c r="N745" s="919"/>
      <c r="O745" s="919"/>
      <c r="P745" s="1277"/>
      <c r="Q745" s="1277"/>
      <c r="R745" s="1277"/>
      <c r="S745" s="1277"/>
      <c r="T745" s="1277"/>
      <c r="U745" s="1277"/>
      <c r="V745" s="1277"/>
      <c r="W745" s="1277"/>
      <c r="X745" s="1277"/>
    </row>
    <row r="746" spans="6:24">
      <c r="F746" s="921"/>
      <c r="G746" s="1277"/>
      <c r="H746" s="921"/>
      <c r="I746" s="1277"/>
      <c r="J746" s="921"/>
      <c r="K746" s="1277"/>
      <c r="L746" s="1277"/>
      <c r="M746" s="919"/>
      <c r="N746" s="919"/>
      <c r="O746" s="919"/>
      <c r="P746" s="1277"/>
      <c r="Q746" s="1277"/>
      <c r="R746" s="1277"/>
      <c r="S746" s="1277"/>
      <c r="T746" s="1277"/>
      <c r="U746" s="1277"/>
      <c r="V746" s="1277"/>
      <c r="W746" s="1277"/>
      <c r="X746" s="1277"/>
    </row>
    <row r="747" spans="6:24">
      <c r="F747" s="921"/>
      <c r="G747" s="1277"/>
      <c r="H747" s="921"/>
      <c r="I747" s="1277"/>
      <c r="J747" s="921"/>
      <c r="K747" s="1277"/>
      <c r="L747" s="1277"/>
      <c r="M747" s="919"/>
      <c r="N747" s="919"/>
      <c r="O747" s="919"/>
      <c r="P747" s="1277"/>
      <c r="Q747" s="1277"/>
      <c r="R747" s="1277"/>
      <c r="S747" s="1277"/>
      <c r="T747" s="1277"/>
      <c r="U747" s="1277"/>
      <c r="V747" s="1277"/>
      <c r="W747" s="1277"/>
      <c r="X747" s="1277"/>
    </row>
    <row r="748" spans="6:24">
      <c r="F748" s="921"/>
      <c r="G748" s="1277"/>
      <c r="H748" s="921"/>
      <c r="I748" s="1277"/>
      <c r="J748" s="921"/>
      <c r="K748" s="1277"/>
      <c r="L748" s="1277"/>
      <c r="M748" s="919"/>
      <c r="N748" s="919"/>
      <c r="O748" s="919"/>
      <c r="P748" s="1277"/>
      <c r="Q748" s="1277"/>
      <c r="R748" s="1277"/>
      <c r="S748" s="1277"/>
      <c r="T748" s="1277"/>
      <c r="U748" s="1277"/>
      <c r="V748" s="1277"/>
      <c r="W748" s="1277"/>
      <c r="X748" s="1277"/>
    </row>
    <row r="749" spans="6:24">
      <c r="F749" s="921"/>
      <c r="G749" s="1277"/>
      <c r="H749" s="921"/>
      <c r="I749" s="1277"/>
      <c r="J749" s="921"/>
      <c r="K749" s="1277"/>
      <c r="L749" s="1277"/>
      <c r="M749" s="919"/>
      <c r="N749" s="919"/>
      <c r="O749" s="919"/>
      <c r="P749" s="1277"/>
      <c r="Q749" s="1277"/>
      <c r="R749" s="1277"/>
      <c r="S749" s="1277"/>
      <c r="T749" s="1277"/>
      <c r="U749" s="1277"/>
      <c r="V749" s="1277"/>
      <c r="W749" s="1277"/>
      <c r="X749" s="1277"/>
    </row>
    <row r="750" spans="6:24">
      <c r="F750" s="921"/>
      <c r="G750" s="1277"/>
      <c r="H750" s="921"/>
      <c r="I750" s="1277"/>
      <c r="J750" s="921"/>
      <c r="K750" s="1277"/>
      <c r="L750" s="1277"/>
      <c r="M750" s="919"/>
      <c r="N750" s="919"/>
      <c r="O750" s="919"/>
      <c r="P750" s="1277"/>
      <c r="Q750" s="1277"/>
      <c r="R750" s="1277"/>
      <c r="S750" s="1277"/>
      <c r="T750" s="1277"/>
      <c r="U750" s="1277"/>
      <c r="V750" s="1277"/>
      <c r="W750" s="1277"/>
      <c r="X750" s="1277"/>
    </row>
    <row r="751" spans="6:24">
      <c r="F751" s="921"/>
      <c r="G751" s="1277"/>
      <c r="H751" s="921"/>
      <c r="I751" s="1277"/>
      <c r="J751" s="921"/>
      <c r="K751" s="1277"/>
      <c r="L751" s="1277"/>
      <c r="M751" s="919"/>
      <c r="N751" s="919"/>
      <c r="O751" s="919"/>
      <c r="P751" s="1277"/>
      <c r="Q751" s="1277"/>
      <c r="R751" s="1277"/>
      <c r="S751" s="1277"/>
      <c r="T751" s="1277"/>
      <c r="U751" s="1277"/>
      <c r="V751" s="1277"/>
      <c r="W751" s="1277"/>
      <c r="X751" s="1277"/>
    </row>
    <row r="752" spans="6:24">
      <c r="F752" s="921"/>
      <c r="G752" s="1277"/>
      <c r="H752" s="921"/>
      <c r="I752" s="1277"/>
      <c r="J752" s="921"/>
      <c r="K752" s="1277"/>
      <c r="L752" s="1277"/>
      <c r="M752" s="919"/>
      <c r="N752" s="919"/>
      <c r="O752" s="919"/>
      <c r="P752" s="1277"/>
      <c r="Q752" s="1277"/>
      <c r="R752" s="1277"/>
      <c r="S752" s="1277"/>
      <c r="T752" s="1277"/>
      <c r="U752" s="1277"/>
      <c r="V752" s="1277"/>
      <c r="W752" s="1277"/>
      <c r="X752" s="1277"/>
    </row>
    <row r="753" spans="6:24">
      <c r="F753" s="921"/>
      <c r="G753" s="1277"/>
      <c r="H753" s="921"/>
      <c r="I753" s="1277"/>
      <c r="J753" s="921"/>
      <c r="K753" s="1277"/>
      <c r="L753" s="1277"/>
      <c r="M753" s="919"/>
      <c r="N753" s="919"/>
      <c r="O753" s="919"/>
      <c r="P753" s="1277"/>
      <c r="Q753" s="1277"/>
      <c r="R753" s="1277"/>
      <c r="S753" s="1277"/>
      <c r="T753" s="1277"/>
      <c r="U753" s="1277"/>
      <c r="V753" s="1277"/>
      <c r="W753" s="1277"/>
      <c r="X753" s="1277"/>
    </row>
    <row r="754" spans="6:24">
      <c r="F754" s="921"/>
      <c r="G754" s="1277"/>
      <c r="H754" s="921"/>
      <c r="I754" s="1277"/>
      <c r="J754" s="921"/>
      <c r="K754" s="1277"/>
      <c r="L754" s="1277"/>
      <c r="M754" s="919"/>
      <c r="N754" s="919"/>
      <c r="O754" s="919"/>
      <c r="P754" s="1277"/>
      <c r="Q754" s="1277"/>
      <c r="R754" s="1277"/>
      <c r="S754" s="1277"/>
      <c r="T754" s="1277"/>
      <c r="U754" s="1277"/>
      <c r="V754" s="1277"/>
      <c r="W754" s="1277"/>
      <c r="X754" s="1277"/>
    </row>
    <row r="755" spans="6:24">
      <c r="F755" s="921"/>
      <c r="G755" s="1277"/>
      <c r="H755" s="921"/>
      <c r="I755" s="1277"/>
      <c r="J755" s="921"/>
      <c r="K755" s="1277"/>
      <c r="L755" s="1277"/>
      <c r="M755" s="919"/>
      <c r="N755" s="919"/>
      <c r="O755" s="919"/>
      <c r="P755" s="1277"/>
      <c r="Q755" s="1277"/>
      <c r="R755" s="1277"/>
      <c r="S755" s="1277"/>
      <c r="T755" s="1277"/>
      <c r="U755" s="1277"/>
      <c r="V755" s="1277"/>
      <c r="W755" s="1277"/>
      <c r="X755" s="1277"/>
    </row>
    <row r="756" spans="6:24">
      <c r="F756" s="921"/>
      <c r="G756" s="1277"/>
      <c r="H756" s="921"/>
      <c r="I756" s="1277"/>
      <c r="J756" s="921"/>
      <c r="K756" s="1277"/>
      <c r="L756" s="1277"/>
      <c r="M756" s="919"/>
      <c r="N756" s="919"/>
      <c r="O756" s="919"/>
      <c r="P756" s="1277"/>
      <c r="Q756" s="1277"/>
      <c r="R756" s="1277"/>
      <c r="S756" s="1277"/>
      <c r="T756" s="1277"/>
      <c r="U756" s="1277"/>
      <c r="V756" s="1277"/>
      <c r="W756" s="1277"/>
      <c r="X756" s="1277"/>
    </row>
    <row r="757" spans="6:24">
      <c r="F757" s="921"/>
      <c r="G757" s="1277"/>
      <c r="H757" s="921"/>
      <c r="I757" s="1277"/>
      <c r="J757" s="921"/>
      <c r="K757" s="1277"/>
      <c r="L757" s="1277"/>
      <c r="M757" s="919"/>
      <c r="N757" s="919"/>
      <c r="O757" s="919"/>
      <c r="P757" s="1277"/>
      <c r="Q757" s="1277"/>
      <c r="R757" s="1277"/>
      <c r="S757" s="1277"/>
      <c r="T757" s="1277"/>
      <c r="U757" s="1277"/>
      <c r="V757" s="1277"/>
      <c r="W757" s="1277"/>
      <c r="X757" s="1277"/>
    </row>
    <row r="758" spans="6:24">
      <c r="F758" s="921"/>
      <c r="G758" s="1277"/>
      <c r="H758" s="921"/>
      <c r="I758" s="1277"/>
      <c r="J758" s="921"/>
      <c r="K758" s="1277"/>
      <c r="L758" s="1277"/>
      <c r="M758" s="919"/>
      <c r="N758" s="919"/>
      <c r="O758" s="919"/>
      <c r="P758" s="1277"/>
      <c r="Q758" s="1277"/>
      <c r="R758" s="1277"/>
      <c r="S758" s="1277"/>
      <c r="T758" s="1277"/>
      <c r="U758" s="1277"/>
      <c r="V758" s="1277"/>
      <c r="W758" s="1277"/>
      <c r="X758" s="1277"/>
    </row>
    <row r="759" spans="6:24">
      <c r="F759" s="921"/>
      <c r="G759" s="1277"/>
      <c r="H759" s="921"/>
      <c r="I759" s="1277"/>
      <c r="J759" s="921"/>
      <c r="K759" s="1277"/>
      <c r="L759" s="1277"/>
      <c r="M759" s="919"/>
      <c r="N759" s="919"/>
      <c r="O759" s="919"/>
      <c r="P759" s="1277"/>
      <c r="Q759" s="1277"/>
      <c r="R759" s="1277"/>
      <c r="S759" s="1277"/>
      <c r="T759" s="1277"/>
      <c r="U759" s="1277"/>
      <c r="V759" s="1277"/>
      <c r="W759" s="1277"/>
      <c r="X759" s="1277"/>
    </row>
    <row r="760" spans="6:24">
      <c r="F760" s="921"/>
      <c r="G760" s="1277"/>
      <c r="H760" s="921"/>
      <c r="I760" s="1277"/>
      <c r="J760" s="921"/>
      <c r="K760" s="1277"/>
      <c r="L760" s="1277"/>
      <c r="M760" s="919"/>
      <c r="N760" s="919"/>
      <c r="O760" s="919"/>
      <c r="P760" s="1277"/>
      <c r="Q760" s="1277"/>
      <c r="R760" s="1277"/>
      <c r="S760" s="1277"/>
      <c r="T760" s="1277"/>
      <c r="U760" s="1277"/>
      <c r="V760" s="1277"/>
      <c r="W760" s="1277"/>
      <c r="X760" s="1277"/>
    </row>
    <row r="761" spans="6:24">
      <c r="F761" s="921"/>
      <c r="G761" s="1277"/>
      <c r="H761" s="921"/>
      <c r="I761" s="1277"/>
      <c r="J761" s="921"/>
      <c r="K761" s="1277"/>
      <c r="L761" s="1277"/>
      <c r="M761" s="919"/>
      <c r="N761" s="919"/>
      <c r="O761" s="919"/>
      <c r="P761" s="1277"/>
      <c r="Q761" s="1277"/>
      <c r="R761" s="1277"/>
      <c r="S761" s="1277"/>
      <c r="T761" s="1277"/>
      <c r="U761" s="1277"/>
      <c r="V761" s="1277"/>
      <c r="W761" s="1277"/>
      <c r="X761" s="1277"/>
    </row>
    <row r="762" spans="6:24">
      <c r="F762" s="921"/>
      <c r="G762" s="1277"/>
      <c r="H762" s="921"/>
      <c r="I762" s="1277"/>
      <c r="J762" s="921"/>
      <c r="K762" s="1277"/>
      <c r="L762" s="1277"/>
      <c r="M762" s="919"/>
      <c r="N762" s="919"/>
      <c r="O762" s="919"/>
      <c r="P762" s="1277"/>
      <c r="Q762" s="1277"/>
      <c r="R762" s="1277"/>
      <c r="S762" s="1277"/>
      <c r="T762" s="1277"/>
      <c r="U762" s="1277"/>
      <c r="V762" s="1277"/>
      <c r="W762" s="1277"/>
      <c r="X762" s="1277"/>
    </row>
    <row r="763" spans="6:24">
      <c r="F763" s="921"/>
      <c r="G763" s="1277"/>
      <c r="H763" s="921"/>
      <c r="I763" s="1277"/>
      <c r="J763" s="921"/>
      <c r="K763" s="1277"/>
      <c r="L763" s="1277"/>
      <c r="M763" s="919"/>
      <c r="N763" s="919"/>
      <c r="O763" s="919"/>
      <c r="P763" s="1277"/>
      <c r="Q763" s="1277"/>
      <c r="R763" s="1277"/>
      <c r="S763" s="1277"/>
      <c r="T763" s="1277"/>
      <c r="U763" s="1277"/>
      <c r="V763" s="1277"/>
      <c r="W763" s="1277"/>
      <c r="X763" s="1277"/>
    </row>
    <row r="764" spans="6:24">
      <c r="F764" s="921"/>
      <c r="G764" s="1277"/>
      <c r="H764" s="921"/>
      <c r="I764" s="1277"/>
      <c r="J764" s="921"/>
      <c r="K764" s="1277"/>
      <c r="L764" s="1277"/>
      <c r="M764" s="919"/>
      <c r="N764" s="919"/>
      <c r="O764" s="919"/>
      <c r="P764" s="1277"/>
      <c r="Q764" s="1277"/>
      <c r="R764" s="1277"/>
      <c r="S764" s="1277"/>
      <c r="T764" s="1277"/>
      <c r="U764" s="1277"/>
      <c r="V764" s="1277"/>
      <c r="W764" s="1277"/>
      <c r="X764" s="1277"/>
    </row>
    <row r="765" spans="6:24">
      <c r="F765" s="921"/>
      <c r="G765" s="1277"/>
      <c r="H765" s="921"/>
      <c r="I765" s="1277"/>
      <c r="J765" s="921"/>
      <c r="K765" s="1277"/>
      <c r="L765" s="1277"/>
      <c r="M765" s="919"/>
      <c r="N765" s="919"/>
      <c r="O765" s="919"/>
      <c r="P765" s="1277"/>
      <c r="Q765" s="1277"/>
      <c r="R765" s="1277"/>
      <c r="S765" s="1277"/>
      <c r="T765" s="1277"/>
      <c r="U765" s="1277"/>
      <c r="V765" s="1277"/>
      <c r="W765" s="1277"/>
      <c r="X765" s="1277"/>
    </row>
    <row r="766" spans="6:24">
      <c r="F766" s="921"/>
      <c r="G766" s="1277"/>
      <c r="H766" s="921"/>
      <c r="I766" s="1277"/>
      <c r="J766" s="921"/>
      <c r="K766" s="1277"/>
      <c r="L766" s="1277"/>
      <c r="M766" s="919"/>
      <c r="N766" s="919"/>
      <c r="O766" s="919"/>
      <c r="P766" s="1277"/>
      <c r="Q766" s="1277"/>
      <c r="R766" s="1277"/>
      <c r="S766" s="1277"/>
      <c r="T766" s="1277"/>
      <c r="U766" s="1277"/>
      <c r="V766" s="1277"/>
      <c r="W766" s="1277"/>
      <c r="X766" s="1277"/>
    </row>
    <row r="767" spans="6:24">
      <c r="F767" s="921"/>
      <c r="G767" s="1277"/>
      <c r="H767" s="921"/>
      <c r="I767" s="1277"/>
      <c r="J767" s="921"/>
      <c r="K767" s="1277"/>
      <c r="L767" s="1277"/>
      <c r="M767" s="919"/>
      <c r="N767" s="919"/>
      <c r="O767" s="919"/>
      <c r="P767" s="1277"/>
      <c r="Q767" s="1277"/>
      <c r="R767" s="1277"/>
      <c r="S767" s="1277"/>
      <c r="T767" s="1277"/>
      <c r="U767" s="1277"/>
      <c r="V767" s="1277"/>
      <c r="W767" s="1277"/>
      <c r="X767" s="1277"/>
    </row>
    <row r="768" spans="6:24">
      <c r="F768" s="921"/>
      <c r="G768" s="1277"/>
      <c r="H768" s="921"/>
      <c r="I768" s="1277"/>
      <c r="J768" s="921"/>
      <c r="K768" s="1277"/>
      <c r="L768" s="1277"/>
      <c r="M768" s="919"/>
      <c r="N768" s="919"/>
      <c r="O768" s="919"/>
      <c r="P768" s="1277"/>
      <c r="Q768" s="1277"/>
      <c r="R768" s="1277"/>
      <c r="S768" s="1277"/>
      <c r="T768" s="1277"/>
      <c r="U768" s="1277"/>
      <c r="V768" s="1277"/>
      <c r="W768" s="1277"/>
      <c r="X768" s="1277"/>
    </row>
    <row r="769" spans="6:24">
      <c r="F769" s="921"/>
      <c r="G769" s="1277"/>
      <c r="H769" s="921"/>
      <c r="I769" s="1277"/>
      <c r="J769" s="921"/>
      <c r="K769" s="1277"/>
      <c r="L769" s="1277"/>
      <c r="M769" s="919"/>
      <c r="N769" s="919"/>
      <c r="O769" s="919"/>
      <c r="P769" s="1277"/>
      <c r="Q769" s="1277"/>
      <c r="R769" s="1277"/>
      <c r="S769" s="1277"/>
      <c r="T769" s="1277"/>
      <c r="U769" s="1277"/>
      <c r="V769" s="1277"/>
      <c r="W769" s="1277"/>
      <c r="X769" s="1277"/>
    </row>
    <row r="770" spans="6:24">
      <c r="F770" s="921"/>
      <c r="G770" s="1277"/>
      <c r="H770" s="921"/>
      <c r="I770" s="1277"/>
      <c r="J770" s="921"/>
      <c r="K770" s="1277"/>
      <c r="L770" s="1277"/>
      <c r="M770" s="919"/>
      <c r="N770" s="919"/>
      <c r="O770" s="919"/>
      <c r="P770" s="1277"/>
      <c r="Q770" s="1277"/>
      <c r="R770" s="1277"/>
      <c r="S770" s="1277"/>
      <c r="T770" s="1277"/>
      <c r="U770" s="1277"/>
      <c r="V770" s="1277"/>
      <c r="W770" s="1277"/>
      <c r="X770" s="1277"/>
    </row>
    <row r="771" spans="6:24">
      <c r="F771" s="921"/>
      <c r="G771" s="1277"/>
      <c r="H771" s="921"/>
      <c r="I771" s="1277"/>
      <c r="J771" s="921"/>
      <c r="K771" s="1277"/>
      <c r="L771" s="1277"/>
      <c r="M771" s="919"/>
      <c r="N771" s="919"/>
      <c r="O771" s="919"/>
      <c r="P771" s="1277"/>
      <c r="Q771" s="1277"/>
      <c r="R771" s="1277"/>
      <c r="S771" s="1277"/>
      <c r="T771" s="1277"/>
      <c r="U771" s="1277"/>
      <c r="V771" s="1277"/>
      <c r="W771" s="1277"/>
      <c r="X771" s="1277"/>
    </row>
    <row r="772" spans="6:24">
      <c r="F772" s="921"/>
      <c r="G772" s="1277"/>
      <c r="H772" s="921"/>
      <c r="I772" s="1277"/>
      <c r="J772" s="921"/>
      <c r="K772" s="1277"/>
      <c r="L772" s="1277"/>
      <c r="M772" s="919"/>
      <c r="N772" s="919"/>
      <c r="O772" s="919"/>
      <c r="P772" s="1277"/>
      <c r="Q772" s="1277"/>
      <c r="R772" s="1277"/>
      <c r="S772" s="1277"/>
      <c r="T772" s="1277"/>
      <c r="U772" s="1277"/>
      <c r="V772" s="1277"/>
      <c r="W772" s="1277"/>
      <c r="X772" s="1277"/>
    </row>
    <row r="773" spans="6:24">
      <c r="F773" s="921"/>
      <c r="G773" s="1277"/>
      <c r="H773" s="921"/>
      <c r="I773" s="1277"/>
      <c r="J773" s="921"/>
      <c r="K773" s="1277"/>
      <c r="L773" s="1277"/>
      <c r="M773" s="919"/>
      <c r="N773" s="919"/>
      <c r="O773" s="919"/>
      <c r="P773" s="1277"/>
      <c r="Q773" s="1277"/>
      <c r="R773" s="1277"/>
      <c r="S773" s="1277"/>
      <c r="T773" s="1277"/>
      <c r="U773" s="1277"/>
      <c r="V773" s="1277"/>
      <c r="W773" s="1277"/>
      <c r="X773" s="1277"/>
    </row>
    <row r="774" spans="6:24">
      <c r="F774" s="921"/>
      <c r="G774" s="1277"/>
      <c r="H774" s="921"/>
      <c r="I774" s="1277"/>
      <c r="J774" s="921"/>
      <c r="K774" s="1277"/>
      <c r="L774" s="1277"/>
      <c r="M774" s="919"/>
      <c r="N774" s="919"/>
      <c r="O774" s="919"/>
      <c r="P774" s="1277"/>
      <c r="Q774" s="1277"/>
      <c r="R774" s="1277"/>
      <c r="S774" s="1277"/>
      <c r="T774" s="1277"/>
      <c r="U774" s="1277"/>
      <c r="V774" s="1277"/>
      <c r="W774" s="1277"/>
      <c r="X774" s="1277"/>
    </row>
    <row r="775" spans="6:24">
      <c r="F775" s="921"/>
      <c r="G775" s="1277"/>
      <c r="H775" s="921"/>
      <c r="I775" s="1277"/>
      <c r="J775" s="921"/>
      <c r="K775" s="1277"/>
      <c r="L775" s="1277"/>
      <c r="M775" s="919"/>
      <c r="N775" s="919"/>
      <c r="O775" s="919"/>
      <c r="P775" s="1277"/>
      <c r="Q775" s="1277"/>
      <c r="R775" s="1277"/>
      <c r="S775" s="1277"/>
      <c r="T775" s="1277"/>
      <c r="U775" s="1277"/>
      <c r="V775" s="1277"/>
      <c r="W775" s="1277"/>
      <c r="X775" s="1277"/>
    </row>
    <row r="776" spans="6:24">
      <c r="F776" s="921"/>
      <c r="G776" s="1277"/>
      <c r="H776" s="921"/>
      <c r="I776" s="1277"/>
      <c r="J776" s="921"/>
      <c r="K776" s="1277"/>
      <c r="L776" s="1277"/>
      <c r="M776" s="919"/>
      <c r="N776" s="919"/>
      <c r="O776" s="919"/>
      <c r="P776" s="1277"/>
      <c r="Q776" s="1277"/>
      <c r="R776" s="1277"/>
      <c r="S776" s="1277"/>
      <c r="T776" s="1277"/>
      <c r="U776" s="1277"/>
      <c r="V776" s="1277"/>
      <c r="W776" s="1277"/>
      <c r="X776" s="1277"/>
    </row>
    <row r="777" spans="6:24">
      <c r="F777" s="921"/>
      <c r="G777" s="1277"/>
      <c r="H777" s="921"/>
      <c r="I777" s="1277"/>
      <c r="J777" s="921"/>
      <c r="K777" s="1277"/>
      <c r="L777" s="1277"/>
      <c r="M777" s="919"/>
      <c r="N777" s="919"/>
      <c r="O777" s="919"/>
      <c r="P777" s="1277"/>
      <c r="Q777" s="1277"/>
      <c r="R777" s="1277"/>
      <c r="S777" s="1277"/>
      <c r="T777" s="1277"/>
      <c r="U777" s="1277"/>
      <c r="V777" s="1277"/>
      <c r="W777" s="1277"/>
      <c r="X777" s="1277"/>
    </row>
    <row r="778" spans="6:24">
      <c r="F778" s="921"/>
      <c r="G778" s="1277"/>
      <c r="H778" s="921"/>
      <c r="I778" s="1277"/>
      <c r="J778" s="921"/>
      <c r="K778" s="1277"/>
      <c r="L778" s="1277"/>
      <c r="M778" s="919"/>
      <c r="N778" s="919"/>
      <c r="O778" s="919"/>
      <c r="P778" s="1277"/>
      <c r="Q778" s="1277"/>
      <c r="R778" s="1277"/>
      <c r="S778" s="1277"/>
      <c r="T778" s="1277"/>
      <c r="U778" s="1277"/>
      <c r="V778" s="1277"/>
      <c r="W778" s="1277"/>
      <c r="X778" s="1277"/>
    </row>
    <row r="779" spans="6:24">
      <c r="F779" s="921"/>
      <c r="G779" s="1277"/>
      <c r="H779" s="921"/>
      <c r="I779" s="1277"/>
      <c r="J779" s="921"/>
      <c r="K779" s="1277"/>
      <c r="L779" s="1277"/>
      <c r="M779" s="919"/>
      <c r="N779" s="919"/>
      <c r="O779" s="919"/>
      <c r="P779" s="1277"/>
      <c r="Q779" s="1277"/>
      <c r="R779" s="1277"/>
      <c r="S779" s="1277"/>
      <c r="T779" s="1277"/>
      <c r="U779" s="1277"/>
      <c r="V779" s="1277"/>
      <c r="W779" s="1277"/>
      <c r="X779" s="1277"/>
    </row>
    <row r="780" spans="6:24">
      <c r="F780" s="921"/>
      <c r="G780" s="1277"/>
      <c r="H780" s="921"/>
      <c r="I780" s="1277"/>
      <c r="J780" s="921"/>
      <c r="K780" s="1277"/>
      <c r="L780" s="1277"/>
      <c r="M780" s="919"/>
      <c r="N780" s="919"/>
      <c r="O780" s="919"/>
      <c r="P780" s="1277"/>
      <c r="Q780" s="1277"/>
      <c r="R780" s="1277"/>
      <c r="S780" s="1277"/>
      <c r="T780" s="1277"/>
      <c r="U780" s="1277"/>
      <c r="V780" s="1277"/>
      <c r="W780" s="1277"/>
      <c r="X780" s="1277"/>
    </row>
    <row r="781" spans="6:24">
      <c r="F781" s="921"/>
      <c r="G781" s="1277"/>
      <c r="H781" s="921"/>
      <c r="I781" s="1277"/>
      <c r="J781" s="921"/>
      <c r="K781" s="1277"/>
      <c r="L781" s="1277"/>
      <c r="M781" s="919"/>
      <c r="N781" s="919"/>
      <c r="O781" s="919"/>
      <c r="P781" s="1277"/>
      <c r="Q781" s="1277"/>
      <c r="R781" s="1277"/>
      <c r="S781" s="1277"/>
      <c r="T781" s="1277"/>
      <c r="U781" s="1277"/>
      <c r="V781" s="1277"/>
      <c r="W781" s="1277"/>
      <c r="X781" s="1277"/>
    </row>
    <row r="782" spans="6:24">
      <c r="F782" s="921"/>
      <c r="G782" s="1277"/>
      <c r="H782" s="921"/>
      <c r="I782" s="1277"/>
      <c r="J782" s="921"/>
      <c r="K782" s="1277"/>
      <c r="L782" s="1277"/>
      <c r="M782" s="919"/>
      <c r="N782" s="919"/>
      <c r="O782" s="919"/>
      <c r="P782" s="1277"/>
      <c r="Q782" s="1277"/>
      <c r="R782" s="1277"/>
      <c r="S782" s="1277"/>
      <c r="T782" s="1277"/>
      <c r="U782" s="1277"/>
      <c r="V782" s="1277"/>
      <c r="W782" s="1277"/>
      <c r="X782" s="1277"/>
    </row>
    <row r="783" spans="6:24">
      <c r="F783" s="921"/>
      <c r="G783" s="1277"/>
      <c r="H783" s="921"/>
      <c r="I783" s="1277"/>
      <c r="J783" s="921"/>
      <c r="K783" s="1277"/>
      <c r="L783" s="1277"/>
      <c r="M783" s="919"/>
      <c r="N783" s="919"/>
      <c r="O783" s="919"/>
      <c r="P783" s="1277"/>
      <c r="Q783" s="1277"/>
      <c r="R783" s="1277"/>
      <c r="S783" s="1277"/>
      <c r="T783" s="1277"/>
      <c r="U783" s="1277"/>
      <c r="V783" s="1277"/>
      <c r="W783" s="1277"/>
      <c r="X783" s="1277"/>
    </row>
    <row r="784" spans="6:24">
      <c r="F784" s="921"/>
      <c r="G784" s="1277"/>
      <c r="H784" s="921"/>
      <c r="I784" s="1277"/>
      <c r="J784" s="921"/>
      <c r="K784" s="1277"/>
      <c r="L784" s="1277"/>
      <c r="M784" s="919"/>
      <c r="N784" s="919"/>
      <c r="O784" s="919"/>
      <c r="P784" s="1277"/>
      <c r="Q784" s="1277"/>
      <c r="R784" s="1277"/>
      <c r="S784" s="1277"/>
      <c r="T784" s="1277"/>
      <c r="U784" s="1277"/>
      <c r="V784" s="1277"/>
      <c r="W784" s="1277"/>
      <c r="X784" s="1277"/>
    </row>
    <row r="785" spans="6:24">
      <c r="F785" s="921"/>
      <c r="G785" s="1277"/>
      <c r="H785" s="921"/>
      <c r="I785" s="1277"/>
      <c r="J785" s="921"/>
      <c r="K785" s="1277"/>
      <c r="L785" s="1277"/>
      <c r="M785" s="919"/>
      <c r="N785" s="919"/>
      <c r="O785" s="919"/>
      <c r="P785" s="1277"/>
      <c r="Q785" s="1277"/>
      <c r="R785" s="1277"/>
      <c r="S785" s="1277"/>
      <c r="T785" s="1277"/>
      <c r="U785" s="1277"/>
      <c r="V785" s="1277"/>
      <c r="W785" s="1277"/>
      <c r="X785" s="1277"/>
    </row>
    <row r="786" spans="6:24">
      <c r="F786" s="921"/>
      <c r="G786" s="1277"/>
      <c r="H786" s="921"/>
      <c r="I786" s="1277"/>
      <c r="J786" s="921"/>
      <c r="K786" s="1277"/>
      <c r="L786" s="1277"/>
      <c r="M786" s="919"/>
      <c r="N786" s="919"/>
      <c r="O786" s="919"/>
      <c r="P786" s="1277"/>
      <c r="Q786" s="1277"/>
      <c r="R786" s="1277"/>
      <c r="S786" s="1277"/>
      <c r="T786" s="1277"/>
      <c r="U786" s="1277"/>
      <c r="V786" s="1277"/>
      <c r="W786" s="1277"/>
      <c r="X786" s="1277"/>
    </row>
    <row r="787" spans="6:24">
      <c r="F787" s="921"/>
      <c r="G787" s="1277"/>
      <c r="H787" s="921"/>
      <c r="I787" s="1277"/>
      <c r="J787" s="921"/>
      <c r="K787" s="1277"/>
      <c r="L787" s="1277"/>
      <c r="M787" s="919"/>
      <c r="N787" s="919"/>
      <c r="O787" s="919"/>
      <c r="P787" s="1277"/>
      <c r="Q787" s="1277"/>
      <c r="R787" s="1277"/>
      <c r="S787" s="1277"/>
      <c r="T787" s="1277"/>
      <c r="U787" s="1277"/>
      <c r="V787" s="1277"/>
      <c r="W787" s="1277"/>
      <c r="X787" s="1277"/>
    </row>
    <row r="788" spans="6:24">
      <c r="F788" s="921"/>
      <c r="G788" s="1277"/>
      <c r="H788" s="921"/>
      <c r="I788" s="1277"/>
      <c r="J788" s="921"/>
      <c r="K788" s="1277"/>
      <c r="L788" s="1277"/>
      <c r="M788" s="919"/>
      <c r="N788" s="919"/>
      <c r="O788" s="919"/>
      <c r="P788" s="1277"/>
      <c r="Q788" s="1277"/>
      <c r="R788" s="1277"/>
      <c r="S788" s="1277"/>
      <c r="T788" s="1277"/>
      <c r="U788" s="1277"/>
      <c r="V788" s="1277"/>
      <c r="W788" s="1277"/>
      <c r="X788" s="1277"/>
    </row>
    <row r="789" spans="6:24">
      <c r="F789" s="921"/>
      <c r="G789" s="1277"/>
      <c r="H789" s="921"/>
      <c r="I789" s="1277"/>
      <c r="J789" s="921"/>
      <c r="K789" s="1277"/>
      <c r="L789" s="1277"/>
      <c r="M789" s="919"/>
      <c r="N789" s="919"/>
      <c r="O789" s="919"/>
      <c r="P789" s="1277"/>
      <c r="Q789" s="1277"/>
      <c r="R789" s="1277"/>
      <c r="S789" s="1277"/>
      <c r="T789" s="1277"/>
      <c r="U789" s="1277"/>
      <c r="V789" s="1277"/>
      <c r="W789" s="1277"/>
      <c r="X789" s="1277"/>
    </row>
    <row r="790" spans="6:24">
      <c r="F790" s="921"/>
      <c r="G790" s="1277"/>
      <c r="H790" s="921"/>
      <c r="I790" s="1277"/>
      <c r="J790" s="921"/>
      <c r="K790" s="1277"/>
      <c r="L790" s="1277"/>
      <c r="M790" s="919"/>
      <c r="N790" s="919"/>
      <c r="O790" s="919"/>
      <c r="P790" s="1277"/>
      <c r="Q790" s="1277"/>
      <c r="R790" s="1277"/>
      <c r="S790" s="1277"/>
      <c r="T790" s="1277"/>
      <c r="U790" s="1277"/>
      <c r="V790" s="1277"/>
      <c r="W790" s="1277"/>
      <c r="X790" s="1277"/>
    </row>
    <row r="791" spans="6:24">
      <c r="F791" s="921"/>
      <c r="G791" s="1277"/>
      <c r="H791" s="921"/>
      <c r="I791" s="1277"/>
      <c r="J791" s="921"/>
      <c r="K791" s="1277"/>
      <c r="L791" s="1277"/>
      <c r="M791" s="919"/>
      <c r="N791" s="919"/>
      <c r="O791" s="919"/>
      <c r="P791" s="1277"/>
      <c r="Q791" s="1277"/>
      <c r="R791" s="1277"/>
      <c r="S791" s="1277"/>
      <c r="T791" s="1277"/>
      <c r="U791" s="1277"/>
      <c r="V791" s="1277"/>
      <c r="W791" s="1277"/>
      <c r="X791" s="1277"/>
    </row>
    <row r="792" spans="6:24">
      <c r="F792" s="921"/>
      <c r="G792" s="1277"/>
      <c r="H792" s="921"/>
      <c r="I792" s="1277"/>
      <c r="J792" s="921"/>
      <c r="K792" s="1277"/>
      <c r="L792" s="1277"/>
      <c r="M792" s="919"/>
      <c r="N792" s="919"/>
      <c r="O792" s="919"/>
      <c r="P792" s="1277"/>
      <c r="Q792" s="1277"/>
      <c r="R792" s="1277"/>
      <c r="S792" s="1277"/>
      <c r="T792" s="1277"/>
      <c r="U792" s="1277"/>
      <c r="V792" s="1277"/>
      <c r="W792" s="1277"/>
      <c r="X792" s="1277"/>
    </row>
    <row r="793" spans="6:24">
      <c r="F793" s="921"/>
      <c r="G793" s="1277"/>
      <c r="H793" s="921"/>
      <c r="I793" s="1277"/>
      <c r="J793" s="921"/>
      <c r="K793" s="1277"/>
      <c r="L793" s="1277"/>
      <c r="M793" s="919"/>
      <c r="N793" s="919"/>
      <c r="O793" s="919"/>
      <c r="P793" s="1277"/>
      <c r="Q793" s="1277"/>
      <c r="R793" s="1277"/>
      <c r="S793" s="1277"/>
      <c r="T793" s="1277"/>
      <c r="U793" s="1277"/>
      <c r="V793" s="1277"/>
      <c r="W793" s="1277"/>
      <c r="X793" s="1277"/>
    </row>
    <row r="794" spans="6:24">
      <c r="F794" s="921"/>
      <c r="G794" s="1277"/>
      <c r="H794" s="921"/>
      <c r="I794" s="1277"/>
      <c r="J794" s="921"/>
      <c r="K794" s="1277"/>
      <c r="L794" s="1277"/>
      <c r="M794" s="919"/>
      <c r="N794" s="919"/>
      <c r="O794" s="919"/>
      <c r="P794" s="1277"/>
      <c r="Q794" s="1277"/>
      <c r="R794" s="1277"/>
      <c r="S794" s="1277"/>
      <c r="T794" s="1277"/>
      <c r="U794" s="1277"/>
      <c r="V794" s="1277"/>
      <c r="W794" s="1277"/>
      <c r="X794" s="1277"/>
    </row>
    <row r="795" spans="6:24">
      <c r="F795" s="921"/>
      <c r="G795" s="1277"/>
      <c r="H795" s="921"/>
      <c r="I795" s="1277"/>
      <c r="J795" s="921"/>
      <c r="K795" s="1277"/>
      <c r="L795" s="1277"/>
      <c r="M795" s="919"/>
      <c r="N795" s="919"/>
      <c r="O795" s="919"/>
      <c r="P795" s="1277"/>
      <c r="Q795" s="1277"/>
      <c r="R795" s="1277"/>
      <c r="S795" s="1277"/>
      <c r="T795" s="1277"/>
      <c r="U795" s="1277"/>
      <c r="V795" s="1277"/>
      <c r="W795" s="1277"/>
      <c r="X795" s="1277"/>
    </row>
    <row r="796" spans="6:24">
      <c r="F796" s="921"/>
      <c r="G796" s="1277"/>
      <c r="H796" s="921"/>
      <c r="I796" s="1277"/>
      <c r="J796" s="921"/>
      <c r="K796" s="1277"/>
      <c r="L796" s="1277"/>
      <c r="M796" s="919"/>
      <c r="N796" s="919"/>
      <c r="O796" s="919"/>
      <c r="P796" s="1277"/>
      <c r="Q796" s="1277"/>
      <c r="R796" s="1277"/>
      <c r="S796" s="1277"/>
      <c r="T796" s="1277"/>
      <c r="U796" s="1277"/>
      <c r="V796" s="1277"/>
      <c r="W796" s="1277"/>
      <c r="X796" s="1277"/>
    </row>
    <row r="797" spans="6:24">
      <c r="F797" s="921"/>
      <c r="G797" s="1277"/>
      <c r="H797" s="921"/>
      <c r="I797" s="1277"/>
      <c r="J797" s="921"/>
      <c r="K797" s="1277"/>
      <c r="L797" s="1277"/>
      <c r="M797" s="919"/>
      <c r="N797" s="919"/>
      <c r="O797" s="919"/>
      <c r="P797" s="1277"/>
      <c r="Q797" s="1277"/>
      <c r="R797" s="1277"/>
      <c r="S797" s="1277"/>
      <c r="T797" s="1277"/>
      <c r="U797" s="1277"/>
      <c r="V797" s="1277"/>
      <c r="W797" s="1277"/>
      <c r="X797" s="1277"/>
    </row>
    <row r="798" spans="6:24">
      <c r="F798" s="921"/>
      <c r="G798" s="1277"/>
      <c r="H798" s="921"/>
      <c r="I798" s="1277"/>
      <c r="J798" s="921"/>
      <c r="K798" s="1277"/>
      <c r="L798" s="1277"/>
      <c r="M798" s="919"/>
      <c r="N798" s="919"/>
      <c r="O798" s="919"/>
      <c r="P798" s="1277"/>
      <c r="Q798" s="1277"/>
      <c r="R798" s="1277"/>
      <c r="S798" s="1277"/>
      <c r="T798" s="1277"/>
      <c r="U798" s="1277"/>
      <c r="V798" s="1277"/>
      <c r="W798" s="1277"/>
      <c r="X798" s="1277"/>
    </row>
    <row r="799" spans="6:24">
      <c r="F799" s="921"/>
      <c r="G799" s="1277"/>
      <c r="H799" s="921"/>
      <c r="I799" s="1277"/>
      <c r="J799" s="921"/>
      <c r="K799" s="1277"/>
      <c r="L799" s="1277"/>
      <c r="M799" s="919"/>
      <c r="N799" s="919"/>
      <c r="O799" s="919"/>
      <c r="P799" s="1277"/>
      <c r="Q799" s="1277"/>
      <c r="R799" s="1277"/>
      <c r="S799" s="1277"/>
      <c r="T799" s="1277"/>
      <c r="U799" s="1277"/>
      <c r="V799" s="1277"/>
      <c r="W799" s="1277"/>
      <c r="X799" s="1277"/>
    </row>
    <row r="800" spans="6:24">
      <c r="F800" s="921"/>
      <c r="G800" s="1277"/>
      <c r="H800" s="921"/>
      <c r="I800" s="1277"/>
      <c r="J800" s="921"/>
      <c r="K800" s="1277"/>
      <c r="L800" s="1277"/>
      <c r="M800" s="919"/>
      <c r="N800" s="919"/>
      <c r="O800" s="919"/>
      <c r="P800" s="1277"/>
      <c r="Q800" s="1277"/>
      <c r="R800" s="1277"/>
      <c r="S800" s="1277"/>
      <c r="T800" s="1277"/>
      <c r="U800" s="1277"/>
      <c r="V800" s="1277"/>
      <c r="W800" s="1277"/>
      <c r="X800" s="1277"/>
    </row>
    <row r="801" spans="6:24">
      <c r="F801" s="921"/>
      <c r="G801" s="1277"/>
      <c r="H801" s="921"/>
      <c r="I801" s="1277"/>
      <c r="J801" s="921"/>
      <c r="K801" s="1277"/>
      <c r="L801" s="1277"/>
      <c r="M801" s="919"/>
      <c r="N801" s="919"/>
      <c r="O801" s="919"/>
      <c r="P801" s="1277"/>
      <c r="Q801" s="1277"/>
      <c r="R801" s="1277"/>
      <c r="S801" s="1277"/>
      <c r="T801" s="1277"/>
      <c r="U801" s="1277"/>
      <c r="V801" s="1277"/>
      <c r="W801" s="1277"/>
      <c r="X801" s="1277"/>
    </row>
    <row r="802" spans="6:24">
      <c r="F802" s="921"/>
      <c r="G802" s="1277"/>
      <c r="H802" s="921"/>
      <c r="I802" s="1277"/>
      <c r="J802" s="921"/>
      <c r="K802" s="1277"/>
      <c r="L802" s="1277"/>
      <c r="M802" s="919"/>
      <c r="N802" s="919"/>
      <c r="O802" s="919"/>
      <c r="P802" s="1277"/>
      <c r="Q802" s="1277"/>
      <c r="R802" s="1277"/>
      <c r="S802" s="1277"/>
      <c r="T802" s="1277"/>
      <c r="U802" s="1277"/>
      <c r="V802" s="1277"/>
      <c r="W802" s="1277"/>
      <c r="X802" s="1277"/>
    </row>
    <row r="803" spans="6:24">
      <c r="F803" s="921"/>
      <c r="G803" s="1277"/>
      <c r="H803" s="921"/>
      <c r="I803" s="1277"/>
      <c r="J803" s="921"/>
      <c r="K803" s="1277"/>
      <c r="L803" s="1277"/>
      <c r="M803" s="919"/>
      <c r="N803" s="919"/>
      <c r="O803" s="919"/>
      <c r="P803" s="1277"/>
      <c r="Q803" s="1277"/>
      <c r="R803" s="1277"/>
      <c r="S803" s="1277"/>
      <c r="T803" s="1277"/>
      <c r="U803" s="1277"/>
      <c r="V803" s="1277"/>
      <c r="W803" s="1277"/>
      <c r="X803" s="1277"/>
    </row>
    <row r="804" spans="6:24">
      <c r="F804" s="921"/>
      <c r="G804" s="1277"/>
      <c r="H804" s="921"/>
      <c r="I804" s="1277"/>
      <c r="J804" s="921"/>
      <c r="K804" s="1277"/>
      <c r="L804" s="1277"/>
      <c r="M804" s="919"/>
      <c r="N804" s="919"/>
      <c r="O804" s="919"/>
      <c r="P804" s="1277"/>
      <c r="Q804" s="1277"/>
      <c r="R804" s="1277"/>
      <c r="S804" s="1277"/>
      <c r="T804" s="1277"/>
      <c r="U804" s="1277"/>
      <c r="V804" s="1277"/>
      <c r="W804" s="1277"/>
      <c r="X804" s="1277"/>
    </row>
    <row r="805" spans="6:24">
      <c r="F805" s="921"/>
      <c r="G805" s="1277"/>
      <c r="H805" s="921"/>
      <c r="I805" s="1277"/>
      <c r="J805" s="921"/>
      <c r="K805" s="1277"/>
      <c r="L805" s="1277"/>
      <c r="M805" s="919"/>
      <c r="N805" s="919"/>
      <c r="O805" s="919"/>
      <c r="P805" s="1277"/>
      <c r="Q805" s="1277"/>
      <c r="R805" s="1277"/>
      <c r="S805" s="1277"/>
      <c r="T805" s="1277"/>
      <c r="U805" s="1277"/>
      <c r="V805" s="1277"/>
      <c r="W805" s="1277"/>
      <c r="X805" s="1277"/>
    </row>
    <row r="806" spans="6:24">
      <c r="F806" s="921"/>
      <c r="G806" s="1277"/>
      <c r="H806" s="921"/>
      <c r="I806" s="1277"/>
      <c r="J806" s="921"/>
      <c r="K806" s="1277"/>
      <c r="L806" s="1277"/>
      <c r="M806" s="919"/>
      <c r="N806" s="919"/>
      <c r="O806" s="919"/>
      <c r="P806" s="1277"/>
      <c r="Q806" s="1277"/>
      <c r="R806" s="1277"/>
      <c r="S806" s="1277"/>
      <c r="T806" s="1277"/>
      <c r="U806" s="1277"/>
      <c r="V806" s="1277"/>
      <c r="W806" s="1277"/>
      <c r="X806" s="1277"/>
    </row>
    <row r="807" spans="6:24">
      <c r="F807" s="921"/>
      <c r="G807" s="1277"/>
      <c r="H807" s="921"/>
      <c r="I807" s="1277"/>
      <c r="J807" s="921"/>
      <c r="K807" s="1277"/>
      <c r="L807" s="1277"/>
      <c r="M807" s="919"/>
      <c r="N807" s="919"/>
      <c r="O807" s="919"/>
      <c r="P807" s="1277"/>
      <c r="Q807" s="1277"/>
      <c r="R807" s="1277"/>
      <c r="S807" s="1277"/>
      <c r="T807" s="1277"/>
      <c r="U807" s="1277"/>
      <c r="V807" s="1277"/>
      <c r="W807" s="1277"/>
      <c r="X807" s="1277"/>
    </row>
    <row r="808" spans="6:24">
      <c r="F808" s="921"/>
      <c r="G808" s="1277"/>
      <c r="H808" s="921"/>
      <c r="I808" s="1277"/>
      <c r="J808" s="921"/>
      <c r="K808" s="1277"/>
      <c r="L808" s="1277"/>
      <c r="M808" s="919"/>
      <c r="N808" s="919"/>
      <c r="O808" s="919"/>
      <c r="P808" s="1277"/>
      <c r="Q808" s="1277"/>
      <c r="R808" s="1277"/>
      <c r="S808" s="1277"/>
      <c r="T808" s="1277"/>
      <c r="U808" s="1277"/>
      <c r="V808" s="1277"/>
      <c r="W808" s="1277"/>
      <c r="X808" s="1277"/>
    </row>
    <row r="809" spans="6:24">
      <c r="F809" s="921"/>
      <c r="G809" s="1277"/>
      <c r="H809" s="921"/>
      <c r="I809" s="1277"/>
      <c r="J809" s="921"/>
      <c r="K809" s="1277"/>
      <c r="L809" s="1277"/>
      <c r="M809" s="919"/>
      <c r="N809" s="919"/>
      <c r="O809" s="919"/>
      <c r="P809" s="1277"/>
      <c r="Q809" s="1277"/>
      <c r="R809" s="1277"/>
      <c r="S809" s="1277"/>
      <c r="T809" s="1277"/>
      <c r="U809" s="1277"/>
      <c r="V809" s="1277"/>
      <c r="W809" s="1277"/>
      <c r="X809" s="1277"/>
    </row>
    <row r="810" spans="6:24">
      <c r="F810" s="921"/>
      <c r="G810" s="1277"/>
      <c r="H810" s="921"/>
      <c r="I810" s="1277"/>
      <c r="J810" s="921"/>
      <c r="K810" s="1277"/>
      <c r="L810" s="1277"/>
      <c r="M810" s="919"/>
      <c r="N810" s="919"/>
      <c r="O810" s="919"/>
      <c r="P810" s="1277"/>
      <c r="Q810" s="1277"/>
      <c r="R810" s="1277"/>
      <c r="S810" s="1277"/>
      <c r="T810" s="1277"/>
      <c r="U810" s="1277"/>
      <c r="V810" s="1277"/>
      <c r="W810" s="1277"/>
      <c r="X810" s="1277"/>
    </row>
    <row r="811" spans="6:24">
      <c r="F811" s="921"/>
      <c r="G811" s="1277"/>
      <c r="H811" s="921"/>
      <c r="I811" s="1277"/>
      <c r="J811" s="921"/>
      <c r="K811" s="1277"/>
      <c r="L811" s="1277"/>
      <c r="M811" s="919"/>
      <c r="N811" s="919"/>
      <c r="O811" s="919"/>
      <c r="P811" s="1277"/>
      <c r="Q811" s="1277"/>
      <c r="R811" s="1277"/>
      <c r="S811" s="1277"/>
      <c r="T811" s="1277"/>
      <c r="U811" s="1277"/>
      <c r="V811" s="1277"/>
      <c r="W811" s="1277"/>
      <c r="X811" s="1277"/>
    </row>
    <row r="812" spans="6:24">
      <c r="F812" s="921"/>
      <c r="G812" s="1277"/>
      <c r="H812" s="921"/>
      <c r="I812" s="1277"/>
      <c r="J812" s="921"/>
      <c r="K812" s="1277"/>
      <c r="L812" s="1277"/>
      <c r="M812" s="919"/>
      <c r="N812" s="919"/>
      <c r="O812" s="919"/>
      <c r="P812" s="1277"/>
      <c r="Q812" s="1277"/>
      <c r="R812" s="1277"/>
      <c r="S812" s="1277"/>
      <c r="T812" s="1277"/>
      <c r="U812" s="1277"/>
      <c r="V812" s="1277"/>
      <c r="W812" s="1277"/>
      <c r="X812" s="1277"/>
    </row>
    <row r="813" spans="6:24">
      <c r="F813" s="921"/>
      <c r="G813" s="1277"/>
      <c r="H813" s="921"/>
      <c r="I813" s="1277"/>
      <c r="J813" s="921"/>
      <c r="K813" s="1277"/>
      <c r="L813" s="1277"/>
      <c r="M813" s="919"/>
      <c r="N813" s="919"/>
      <c r="O813" s="919"/>
      <c r="P813" s="1277"/>
      <c r="Q813" s="1277"/>
      <c r="R813" s="1277"/>
      <c r="S813" s="1277"/>
      <c r="T813" s="1277"/>
      <c r="U813" s="1277"/>
      <c r="V813" s="1277"/>
      <c r="W813" s="1277"/>
      <c r="X813" s="1277"/>
    </row>
    <row r="814" spans="6:24">
      <c r="F814" s="921"/>
      <c r="G814" s="1277"/>
      <c r="H814" s="921"/>
      <c r="I814" s="1277"/>
      <c r="J814" s="921"/>
      <c r="K814" s="1277"/>
      <c r="L814" s="1277"/>
      <c r="M814" s="919"/>
      <c r="N814" s="919"/>
      <c r="O814" s="919"/>
      <c r="P814" s="1277"/>
      <c r="Q814" s="1277"/>
      <c r="R814" s="1277"/>
      <c r="S814" s="1277"/>
      <c r="T814" s="1277"/>
      <c r="U814" s="1277"/>
      <c r="V814" s="1277"/>
      <c r="W814" s="1277"/>
      <c r="X814" s="1277"/>
    </row>
    <row r="815" spans="6:24">
      <c r="F815" s="921"/>
      <c r="G815" s="1277"/>
      <c r="H815" s="921"/>
      <c r="I815" s="1277"/>
      <c r="J815" s="921"/>
      <c r="K815" s="1277"/>
      <c r="L815" s="1277"/>
      <c r="M815" s="919"/>
      <c r="N815" s="919"/>
      <c r="O815" s="919"/>
      <c r="P815" s="1277"/>
      <c r="Q815" s="1277"/>
      <c r="R815" s="1277"/>
      <c r="S815" s="1277"/>
      <c r="T815" s="1277"/>
      <c r="U815" s="1277"/>
      <c r="V815" s="1277"/>
      <c r="W815" s="1277"/>
      <c r="X815" s="1277"/>
    </row>
    <row r="816" spans="6:24">
      <c r="F816" s="921"/>
      <c r="G816" s="1277"/>
      <c r="H816" s="921"/>
      <c r="I816" s="1277"/>
      <c r="J816" s="921"/>
      <c r="K816" s="1277"/>
      <c r="L816" s="1277"/>
      <c r="M816" s="919"/>
      <c r="N816" s="919"/>
      <c r="O816" s="919"/>
      <c r="P816" s="1277"/>
      <c r="Q816" s="1277"/>
      <c r="R816" s="1277"/>
      <c r="S816" s="1277"/>
      <c r="T816" s="1277"/>
      <c r="U816" s="1277"/>
      <c r="V816" s="1277"/>
      <c r="W816" s="1277"/>
      <c r="X816" s="1277"/>
    </row>
    <row r="817" spans="6:24">
      <c r="F817" s="921"/>
      <c r="G817" s="1277"/>
      <c r="H817" s="921"/>
      <c r="I817" s="1277"/>
      <c r="J817" s="921"/>
      <c r="K817" s="1277"/>
      <c r="L817" s="1277"/>
      <c r="M817" s="919"/>
      <c r="N817" s="919"/>
      <c r="O817" s="919"/>
      <c r="P817" s="1277"/>
      <c r="Q817" s="1277"/>
      <c r="R817" s="1277"/>
      <c r="S817" s="1277"/>
      <c r="T817" s="1277"/>
      <c r="U817" s="1277"/>
      <c r="V817" s="1277"/>
      <c r="W817" s="1277"/>
      <c r="X817" s="1277"/>
    </row>
    <row r="818" spans="6:24">
      <c r="F818" s="921"/>
      <c r="G818" s="1277"/>
      <c r="H818" s="921"/>
      <c r="I818" s="1277"/>
      <c r="J818" s="921"/>
      <c r="K818" s="1277"/>
      <c r="L818" s="1277"/>
      <c r="M818" s="919"/>
      <c r="N818" s="919"/>
      <c r="O818" s="919"/>
      <c r="P818" s="1277"/>
      <c r="Q818" s="1277"/>
      <c r="R818" s="1277"/>
      <c r="S818" s="1277"/>
      <c r="T818" s="1277"/>
      <c r="U818" s="1277"/>
      <c r="V818" s="1277"/>
      <c r="W818" s="1277"/>
      <c r="X818" s="1277"/>
    </row>
    <row r="819" spans="6:24">
      <c r="F819" s="921"/>
      <c r="G819" s="1277"/>
      <c r="H819" s="921"/>
      <c r="I819" s="1277"/>
      <c r="J819" s="921"/>
      <c r="K819" s="1277"/>
      <c r="L819" s="1277"/>
      <c r="M819" s="919"/>
      <c r="N819" s="919"/>
      <c r="O819" s="919"/>
      <c r="P819" s="1277"/>
      <c r="Q819" s="1277"/>
      <c r="R819" s="1277"/>
      <c r="S819" s="1277"/>
      <c r="T819" s="1277"/>
      <c r="U819" s="1277"/>
      <c r="V819" s="1277"/>
      <c r="W819" s="1277"/>
      <c r="X819" s="1277"/>
    </row>
    <row r="820" spans="6:24">
      <c r="F820" s="921"/>
      <c r="G820" s="1277"/>
      <c r="H820" s="921"/>
      <c r="I820" s="1277"/>
      <c r="J820" s="921"/>
      <c r="K820" s="1277"/>
      <c r="L820" s="1277"/>
      <c r="M820" s="919"/>
      <c r="N820" s="919"/>
      <c r="O820" s="919"/>
      <c r="P820" s="1277"/>
      <c r="Q820" s="1277"/>
      <c r="R820" s="1277"/>
      <c r="S820" s="1277"/>
      <c r="T820" s="1277"/>
      <c r="U820" s="1277"/>
      <c r="V820" s="1277"/>
      <c r="W820" s="1277"/>
      <c r="X820" s="1277"/>
    </row>
    <row r="821" spans="6:24">
      <c r="F821" s="921"/>
      <c r="G821" s="1277"/>
      <c r="H821" s="921"/>
      <c r="I821" s="1277"/>
      <c r="J821" s="921"/>
      <c r="K821" s="1277"/>
      <c r="L821" s="1277"/>
      <c r="M821" s="919"/>
      <c r="N821" s="919"/>
      <c r="O821" s="919"/>
      <c r="P821" s="1277"/>
      <c r="Q821" s="1277"/>
      <c r="R821" s="1277"/>
      <c r="S821" s="1277"/>
      <c r="T821" s="1277"/>
      <c r="U821" s="1277"/>
      <c r="V821" s="1277"/>
      <c r="W821" s="1277"/>
      <c r="X821" s="1277"/>
    </row>
    <row r="822" spans="6:24">
      <c r="F822" s="921"/>
      <c r="G822" s="1277"/>
      <c r="H822" s="921"/>
      <c r="I822" s="1277"/>
      <c r="J822" s="921"/>
      <c r="K822" s="1277"/>
      <c r="L822" s="1277"/>
      <c r="M822" s="919"/>
      <c r="N822" s="919"/>
      <c r="O822" s="919"/>
      <c r="P822" s="1277"/>
      <c r="Q822" s="1277"/>
      <c r="R822" s="1277"/>
      <c r="S822" s="1277"/>
      <c r="T822" s="1277"/>
      <c r="U822" s="1277"/>
      <c r="V822" s="1277"/>
      <c r="W822" s="1277"/>
      <c r="X822" s="1277"/>
    </row>
    <row r="823" spans="6:24">
      <c r="F823" s="921"/>
      <c r="G823" s="1277"/>
      <c r="H823" s="921"/>
      <c r="I823" s="1277"/>
      <c r="J823" s="921"/>
      <c r="K823" s="1277"/>
      <c r="L823" s="1277"/>
      <c r="M823" s="919"/>
      <c r="N823" s="919"/>
      <c r="O823" s="919"/>
      <c r="P823" s="1277"/>
      <c r="Q823" s="1277"/>
      <c r="R823" s="1277"/>
      <c r="S823" s="1277"/>
      <c r="T823" s="1277"/>
      <c r="U823" s="1277"/>
      <c r="V823" s="1277"/>
      <c r="W823" s="1277"/>
      <c r="X823" s="1277"/>
    </row>
    <row r="824" spans="6:24">
      <c r="F824" s="921"/>
      <c r="G824" s="1277"/>
      <c r="H824" s="921"/>
      <c r="I824" s="1277"/>
      <c r="J824" s="921"/>
      <c r="K824" s="1277"/>
      <c r="L824" s="1277"/>
      <c r="M824" s="919"/>
      <c r="N824" s="919"/>
      <c r="O824" s="919"/>
      <c r="P824" s="1277"/>
      <c r="Q824" s="1277"/>
      <c r="R824" s="1277"/>
      <c r="S824" s="1277"/>
      <c r="T824" s="1277"/>
      <c r="U824" s="1277"/>
      <c r="V824" s="1277"/>
      <c r="W824" s="1277"/>
      <c r="X824" s="1277"/>
    </row>
    <row r="825" spans="6:24">
      <c r="F825" s="921"/>
      <c r="G825" s="1277"/>
      <c r="H825" s="921"/>
      <c r="I825" s="1277"/>
      <c r="J825" s="921"/>
      <c r="K825" s="1277"/>
      <c r="L825" s="1277"/>
      <c r="M825" s="919"/>
      <c r="N825" s="919"/>
      <c r="O825" s="919"/>
      <c r="P825" s="1277"/>
      <c r="Q825" s="1277"/>
      <c r="R825" s="1277"/>
      <c r="S825" s="1277"/>
      <c r="T825" s="1277"/>
      <c r="U825" s="1277"/>
      <c r="V825" s="1277"/>
      <c r="W825" s="1277"/>
      <c r="X825" s="1277"/>
    </row>
    <row r="826" spans="6:24">
      <c r="F826" s="921"/>
      <c r="G826" s="1277"/>
      <c r="H826" s="921"/>
      <c r="I826" s="1277"/>
      <c r="J826" s="921"/>
      <c r="K826" s="1277"/>
      <c r="L826" s="1277"/>
      <c r="M826" s="919"/>
      <c r="N826" s="919"/>
      <c r="O826" s="919"/>
      <c r="P826" s="1277"/>
      <c r="Q826" s="1277"/>
      <c r="R826" s="1277"/>
      <c r="S826" s="1277"/>
      <c r="T826" s="1277"/>
      <c r="U826" s="1277"/>
      <c r="V826" s="1277"/>
      <c r="W826" s="1277"/>
      <c r="X826" s="1277"/>
    </row>
    <row r="827" spans="6:24">
      <c r="F827" s="921"/>
      <c r="G827" s="1277"/>
      <c r="H827" s="921"/>
      <c r="I827" s="1277"/>
      <c r="J827" s="921"/>
      <c r="K827" s="1277"/>
      <c r="L827" s="1277"/>
      <c r="M827" s="919"/>
      <c r="N827" s="919"/>
      <c r="O827" s="919"/>
      <c r="P827" s="1277"/>
      <c r="Q827" s="1277"/>
      <c r="R827" s="1277"/>
      <c r="S827" s="1277"/>
      <c r="T827" s="1277"/>
      <c r="U827" s="1277"/>
      <c r="V827" s="1277"/>
      <c r="W827" s="1277"/>
      <c r="X827" s="1277"/>
    </row>
    <row r="828" spans="6:24">
      <c r="F828" s="921"/>
      <c r="G828" s="1277"/>
      <c r="H828" s="921"/>
      <c r="I828" s="1277"/>
      <c r="J828" s="921"/>
      <c r="K828" s="1277"/>
      <c r="L828" s="1277"/>
      <c r="M828" s="919"/>
      <c r="N828" s="919"/>
      <c r="O828" s="919"/>
      <c r="P828" s="1277"/>
      <c r="Q828" s="1277"/>
      <c r="R828" s="1277"/>
      <c r="S828" s="1277"/>
      <c r="T828" s="1277"/>
      <c r="U828" s="1277"/>
      <c r="V828" s="1277"/>
      <c r="W828" s="1277"/>
      <c r="X828" s="1277"/>
    </row>
    <row r="829" spans="6:24">
      <c r="F829" s="921"/>
      <c r="G829" s="1277"/>
      <c r="H829" s="921"/>
      <c r="I829" s="1277"/>
      <c r="J829" s="921"/>
      <c r="K829" s="1277"/>
      <c r="L829" s="1277"/>
      <c r="M829" s="919"/>
      <c r="N829" s="919"/>
      <c r="O829" s="919"/>
      <c r="P829" s="1277"/>
      <c r="Q829" s="1277"/>
      <c r="R829" s="1277"/>
      <c r="S829" s="1277"/>
      <c r="T829" s="1277"/>
      <c r="U829" s="1277"/>
      <c r="V829" s="1277"/>
      <c r="W829" s="1277"/>
      <c r="X829" s="1277"/>
    </row>
    <row r="830" spans="6:24">
      <c r="F830" s="921"/>
      <c r="G830" s="1277"/>
      <c r="H830" s="921"/>
      <c r="I830" s="1277"/>
      <c r="J830" s="921"/>
      <c r="K830" s="1277"/>
      <c r="L830" s="1277"/>
      <c r="M830" s="919"/>
      <c r="N830" s="919"/>
      <c r="O830" s="919"/>
      <c r="P830" s="1277"/>
      <c r="Q830" s="1277"/>
      <c r="R830" s="1277"/>
      <c r="S830" s="1277"/>
      <c r="T830" s="1277"/>
      <c r="U830" s="1277"/>
      <c r="V830" s="1277"/>
      <c r="W830" s="1277"/>
      <c r="X830" s="1277"/>
    </row>
    <row r="831" spans="6:24">
      <c r="F831" s="921"/>
      <c r="G831" s="1277"/>
      <c r="H831" s="921"/>
      <c r="I831" s="1277"/>
      <c r="J831" s="921"/>
      <c r="K831" s="1277"/>
      <c r="L831" s="1277"/>
      <c r="M831" s="919"/>
      <c r="N831" s="919"/>
      <c r="O831" s="919"/>
      <c r="P831" s="1277"/>
      <c r="Q831" s="1277"/>
      <c r="R831" s="1277"/>
      <c r="S831" s="1277"/>
      <c r="T831" s="1277"/>
      <c r="U831" s="1277"/>
      <c r="V831" s="1277"/>
      <c r="W831" s="1277"/>
      <c r="X831" s="1277"/>
    </row>
    <row r="832" spans="6:24">
      <c r="F832" s="921"/>
      <c r="G832" s="1277"/>
      <c r="H832" s="921"/>
      <c r="I832" s="1277"/>
      <c r="J832" s="921"/>
      <c r="K832" s="1277"/>
      <c r="L832" s="1277"/>
      <c r="M832" s="919"/>
      <c r="N832" s="919"/>
      <c r="O832" s="919"/>
      <c r="P832" s="1277"/>
      <c r="Q832" s="1277"/>
      <c r="R832" s="1277"/>
      <c r="S832" s="1277"/>
      <c r="T832" s="1277"/>
      <c r="U832" s="1277"/>
      <c r="V832" s="1277"/>
      <c r="W832" s="1277"/>
      <c r="X832" s="1277"/>
    </row>
    <row r="833" spans="6:24">
      <c r="F833" s="921"/>
      <c r="G833" s="1277"/>
      <c r="H833" s="921"/>
      <c r="I833" s="1277"/>
      <c r="J833" s="921"/>
      <c r="K833" s="1277"/>
      <c r="L833" s="1277"/>
      <c r="M833" s="919"/>
      <c r="N833" s="919"/>
      <c r="O833" s="919"/>
      <c r="P833" s="1277"/>
      <c r="Q833" s="1277"/>
      <c r="R833" s="1277"/>
      <c r="S833" s="1277"/>
      <c r="T833" s="1277"/>
      <c r="U833" s="1277"/>
      <c r="V833" s="1277"/>
      <c r="W833" s="1277"/>
      <c r="X833" s="1277"/>
    </row>
    <row r="834" spans="6:24">
      <c r="F834" s="921"/>
      <c r="G834" s="1277"/>
      <c r="H834" s="921"/>
      <c r="I834" s="1277"/>
      <c r="J834" s="921"/>
      <c r="K834" s="1277"/>
      <c r="L834" s="1277"/>
      <c r="M834" s="919"/>
      <c r="N834" s="919"/>
      <c r="O834" s="919"/>
      <c r="P834" s="1277"/>
      <c r="Q834" s="1277"/>
      <c r="R834" s="1277"/>
      <c r="S834" s="1277"/>
      <c r="T834" s="1277"/>
      <c r="U834" s="1277"/>
      <c r="V834" s="1277"/>
      <c r="W834" s="1277"/>
      <c r="X834" s="1277"/>
    </row>
    <row r="835" spans="6:24">
      <c r="F835" s="921"/>
      <c r="G835" s="1277"/>
      <c r="H835" s="921"/>
      <c r="I835" s="1277"/>
      <c r="J835" s="921"/>
      <c r="K835" s="1277"/>
      <c r="L835" s="1277"/>
      <c r="M835" s="919"/>
      <c r="N835" s="919"/>
      <c r="O835" s="919"/>
      <c r="P835" s="1277"/>
      <c r="Q835" s="1277"/>
      <c r="R835" s="1277"/>
      <c r="S835" s="1277"/>
      <c r="T835" s="1277"/>
      <c r="U835" s="1277"/>
      <c r="V835" s="1277"/>
      <c r="W835" s="1277"/>
      <c r="X835" s="1277"/>
    </row>
    <row r="836" spans="6:24">
      <c r="F836" s="921"/>
      <c r="G836" s="1277"/>
      <c r="H836" s="921"/>
      <c r="I836" s="1277"/>
      <c r="J836" s="921"/>
      <c r="K836" s="1277"/>
      <c r="L836" s="1277"/>
      <c r="M836" s="919"/>
      <c r="N836" s="919"/>
      <c r="O836" s="919"/>
      <c r="P836" s="1277"/>
      <c r="Q836" s="1277"/>
      <c r="R836" s="1277"/>
      <c r="S836" s="1277"/>
      <c r="T836" s="1277"/>
      <c r="U836" s="1277"/>
      <c r="V836" s="1277"/>
      <c r="W836" s="1277"/>
      <c r="X836" s="1277"/>
    </row>
    <row r="837" spans="6:24">
      <c r="F837" s="921"/>
      <c r="G837" s="1277"/>
      <c r="H837" s="921"/>
      <c r="I837" s="1277"/>
      <c r="J837" s="921"/>
      <c r="K837" s="1277"/>
      <c r="L837" s="1277"/>
      <c r="M837" s="919"/>
      <c r="N837" s="919"/>
      <c r="O837" s="919"/>
      <c r="P837" s="1277"/>
      <c r="Q837" s="1277"/>
      <c r="R837" s="1277"/>
      <c r="S837" s="1277"/>
      <c r="T837" s="1277"/>
      <c r="U837" s="1277"/>
      <c r="V837" s="1277"/>
      <c r="W837" s="1277"/>
      <c r="X837" s="1277"/>
    </row>
    <row r="838" spans="6:24">
      <c r="F838" s="921"/>
      <c r="G838" s="1277"/>
      <c r="H838" s="921"/>
      <c r="I838" s="1277"/>
      <c r="J838" s="921"/>
      <c r="K838" s="1277"/>
      <c r="L838" s="1277"/>
      <c r="M838" s="919"/>
      <c r="N838" s="919"/>
      <c r="O838" s="919"/>
      <c r="P838" s="1277"/>
      <c r="Q838" s="1277"/>
      <c r="R838" s="1277"/>
      <c r="S838" s="1277"/>
      <c r="T838" s="1277"/>
      <c r="U838" s="1277"/>
      <c r="V838" s="1277"/>
      <c r="W838" s="1277"/>
      <c r="X838" s="1277"/>
    </row>
    <row r="839" spans="6:24">
      <c r="F839" s="921"/>
      <c r="G839" s="1277"/>
      <c r="H839" s="921"/>
      <c r="I839" s="1277"/>
      <c r="J839" s="921"/>
      <c r="K839" s="1277"/>
      <c r="L839" s="1277"/>
      <c r="M839" s="919"/>
      <c r="N839" s="919"/>
      <c r="O839" s="919"/>
      <c r="P839" s="1277"/>
      <c r="Q839" s="1277"/>
      <c r="R839" s="1277"/>
      <c r="S839" s="1277"/>
      <c r="T839" s="1277"/>
      <c r="U839" s="1277"/>
      <c r="V839" s="1277"/>
      <c r="W839" s="1277"/>
      <c r="X839" s="1277"/>
    </row>
    <row r="840" spans="6:24">
      <c r="F840" s="921"/>
      <c r="G840" s="1277"/>
      <c r="H840" s="921"/>
      <c r="I840" s="1277"/>
      <c r="J840" s="921"/>
      <c r="K840" s="1277"/>
      <c r="L840" s="1277"/>
      <c r="M840" s="919"/>
      <c r="N840" s="919"/>
      <c r="O840" s="919"/>
      <c r="P840" s="1277"/>
      <c r="Q840" s="1277"/>
      <c r="R840" s="1277"/>
      <c r="S840" s="1277"/>
      <c r="T840" s="1277"/>
      <c r="U840" s="1277"/>
      <c r="V840" s="1277"/>
      <c r="W840" s="1277"/>
      <c r="X840" s="1277"/>
    </row>
    <row r="841" spans="6:24">
      <c r="F841" s="921"/>
      <c r="G841" s="1277"/>
      <c r="H841" s="921"/>
      <c r="I841" s="1277"/>
      <c r="J841" s="921"/>
      <c r="K841" s="1277"/>
      <c r="L841" s="1277"/>
      <c r="M841" s="919"/>
      <c r="N841" s="919"/>
      <c r="O841" s="919"/>
      <c r="P841" s="1277"/>
      <c r="Q841" s="1277"/>
      <c r="R841" s="1277"/>
      <c r="S841" s="1277"/>
      <c r="T841" s="1277"/>
      <c r="U841" s="1277"/>
      <c r="V841" s="1277"/>
      <c r="W841" s="1277"/>
      <c r="X841" s="1277"/>
    </row>
    <row r="842" spans="6:24">
      <c r="F842" s="921"/>
      <c r="G842" s="1277"/>
      <c r="H842" s="921"/>
      <c r="I842" s="1277"/>
      <c r="J842" s="921"/>
      <c r="K842" s="1277"/>
      <c r="L842" s="1277"/>
      <c r="M842" s="919"/>
      <c r="N842" s="919"/>
      <c r="O842" s="919"/>
      <c r="P842" s="1277"/>
      <c r="Q842" s="1277"/>
      <c r="R842" s="1277"/>
      <c r="S842" s="1277"/>
      <c r="T842" s="1277"/>
      <c r="U842" s="1277"/>
      <c r="V842" s="1277"/>
      <c r="W842" s="1277"/>
      <c r="X842" s="1277"/>
    </row>
    <row r="843" spans="6:24">
      <c r="F843" s="921"/>
      <c r="G843" s="1277"/>
      <c r="H843" s="921"/>
      <c r="I843" s="1277"/>
      <c r="J843" s="921"/>
      <c r="K843" s="1277"/>
      <c r="L843" s="1277"/>
      <c r="M843" s="919"/>
      <c r="N843" s="919"/>
      <c r="O843" s="919"/>
      <c r="P843" s="1277"/>
      <c r="Q843" s="1277"/>
      <c r="R843" s="1277"/>
      <c r="S843" s="1277"/>
      <c r="T843" s="1277"/>
      <c r="U843" s="1277"/>
      <c r="V843" s="1277"/>
      <c r="W843" s="1277"/>
      <c r="X843" s="1277"/>
    </row>
    <row r="844" spans="6:24">
      <c r="F844" s="921"/>
      <c r="G844" s="1277"/>
      <c r="H844" s="921"/>
      <c r="I844" s="1277"/>
      <c r="J844" s="921"/>
      <c r="K844" s="1277"/>
      <c r="L844" s="1277"/>
      <c r="M844" s="919"/>
      <c r="N844" s="919"/>
      <c r="O844" s="919"/>
      <c r="P844" s="1277"/>
      <c r="Q844" s="1277"/>
      <c r="R844" s="1277"/>
      <c r="S844" s="1277"/>
      <c r="T844" s="1277"/>
      <c r="U844" s="1277"/>
      <c r="V844" s="1277"/>
      <c r="W844" s="1277"/>
      <c r="X844" s="1277"/>
    </row>
    <row r="845" spans="6:24">
      <c r="F845" s="921"/>
      <c r="G845" s="1277"/>
      <c r="H845" s="921"/>
      <c r="I845" s="1277"/>
      <c r="J845" s="921"/>
      <c r="K845" s="1277"/>
      <c r="L845" s="1277"/>
      <c r="M845" s="919"/>
      <c r="N845" s="919"/>
      <c r="O845" s="919"/>
      <c r="P845" s="1277"/>
      <c r="Q845" s="1277"/>
      <c r="R845" s="1277"/>
      <c r="S845" s="1277"/>
      <c r="T845" s="1277"/>
      <c r="U845" s="1277"/>
      <c r="V845" s="1277"/>
      <c r="W845" s="1277"/>
      <c r="X845" s="1277"/>
    </row>
    <row r="846" spans="6:24">
      <c r="F846" s="921"/>
      <c r="G846" s="1277"/>
      <c r="H846" s="921"/>
      <c r="I846" s="1277"/>
      <c r="J846" s="921"/>
      <c r="K846" s="1277"/>
      <c r="L846" s="1277"/>
      <c r="M846" s="919"/>
      <c r="N846" s="919"/>
      <c r="O846" s="919"/>
      <c r="P846" s="1277"/>
      <c r="Q846" s="1277"/>
      <c r="R846" s="1277"/>
      <c r="S846" s="1277"/>
      <c r="T846" s="1277"/>
      <c r="U846" s="1277"/>
      <c r="V846" s="1277"/>
      <c r="W846" s="1277"/>
      <c r="X846" s="1277"/>
    </row>
    <row r="847" spans="6:24">
      <c r="F847" s="921"/>
      <c r="G847" s="1277"/>
      <c r="H847" s="921"/>
      <c r="I847" s="1277"/>
      <c r="J847" s="921"/>
      <c r="K847" s="1277"/>
      <c r="L847" s="1277"/>
      <c r="M847" s="919"/>
      <c r="N847" s="919"/>
      <c r="O847" s="919"/>
      <c r="P847" s="1277"/>
      <c r="Q847" s="1277"/>
      <c r="R847" s="1277"/>
      <c r="S847" s="1277"/>
      <c r="T847" s="1277"/>
      <c r="U847" s="1277"/>
      <c r="V847" s="1277"/>
      <c r="W847" s="1277"/>
      <c r="X847" s="1277"/>
    </row>
    <row r="848" spans="6:24">
      <c r="F848" s="921"/>
      <c r="G848" s="1277"/>
      <c r="H848" s="921"/>
      <c r="I848" s="1277"/>
      <c r="J848" s="921"/>
      <c r="K848" s="1277"/>
      <c r="L848" s="1277"/>
      <c r="M848" s="919"/>
      <c r="N848" s="919"/>
      <c r="O848" s="919"/>
      <c r="P848" s="1277"/>
      <c r="Q848" s="1277"/>
      <c r="R848" s="1277"/>
      <c r="S848" s="1277"/>
      <c r="T848" s="1277"/>
      <c r="U848" s="1277"/>
      <c r="V848" s="1277"/>
      <c r="W848" s="1277"/>
      <c r="X848" s="1277"/>
    </row>
    <row r="849" spans="6:24">
      <c r="F849" s="921"/>
      <c r="G849" s="1277"/>
      <c r="H849" s="921"/>
      <c r="I849" s="1277"/>
      <c r="J849" s="921"/>
      <c r="K849" s="1277"/>
      <c r="L849" s="1277"/>
      <c r="M849" s="919"/>
      <c r="N849" s="919"/>
      <c r="O849" s="919"/>
      <c r="P849" s="1277"/>
      <c r="Q849" s="1277"/>
      <c r="R849" s="1277"/>
      <c r="S849" s="1277"/>
      <c r="T849" s="1277"/>
      <c r="U849" s="1277"/>
      <c r="V849" s="1277"/>
      <c r="W849" s="1277"/>
      <c r="X849" s="1277"/>
    </row>
    <row r="850" spans="6:24">
      <c r="F850" s="921"/>
      <c r="G850" s="1277"/>
      <c r="H850" s="921"/>
      <c r="I850" s="1277"/>
      <c r="J850" s="921"/>
      <c r="K850" s="1277"/>
      <c r="L850" s="1277"/>
      <c r="M850" s="919"/>
      <c r="N850" s="919"/>
      <c r="O850" s="919"/>
      <c r="P850" s="1277"/>
      <c r="Q850" s="1277"/>
      <c r="R850" s="1277"/>
      <c r="S850" s="1277"/>
      <c r="T850" s="1277"/>
      <c r="U850" s="1277"/>
      <c r="V850" s="1277"/>
      <c r="W850" s="1277"/>
      <c r="X850" s="1277"/>
    </row>
    <row r="851" spans="6:24">
      <c r="F851" s="921"/>
      <c r="G851" s="1277"/>
      <c r="H851" s="921"/>
      <c r="I851" s="1277"/>
      <c r="J851" s="921"/>
      <c r="K851" s="1277"/>
      <c r="L851" s="1277"/>
      <c r="M851" s="919"/>
      <c r="N851" s="919"/>
      <c r="O851" s="919"/>
      <c r="P851" s="1277"/>
      <c r="Q851" s="1277"/>
      <c r="R851" s="1277"/>
      <c r="S851" s="1277"/>
      <c r="T851" s="1277"/>
      <c r="U851" s="1277"/>
      <c r="V851" s="1277"/>
      <c r="W851" s="1277"/>
      <c r="X851" s="1277"/>
    </row>
    <row r="852" spans="6:24">
      <c r="F852" s="921"/>
      <c r="G852" s="1277"/>
      <c r="H852" s="921"/>
      <c r="I852" s="1277"/>
      <c r="J852" s="921"/>
      <c r="K852" s="1277"/>
      <c r="L852" s="1277"/>
      <c r="M852" s="919"/>
      <c r="N852" s="919"/>
      <c r="O852" s="919"/>
      <c r="P852" s="1277"/>
      <c r="Q852" s="1277"/>
      <c r="R852" s="1277"/>
      <c r="S852" s="1277"/>
      <c r="T852" s="1277"/>
      <c r="U852" s="1277"/>
      <c r="V852" s="1277"/>
      <c r="W852" s="1277"/>
      <c r="X852" s="1277"/>
    </row>
    <row r="853" spans="6:24">
      <c r="F853" s="921"/>
      <c r="G853" s="1277"/>
      <c r="H853" s="921"/>
      <c r="I853" s="1277"/>
      <c r="J853" s="921"/>
      <c r="K853" s="1277"/>
      <c r="L853" s="1277"/>
      <c r="M853" s="919"/>
      <c r="N853" s="919"/>
      <c r="O853" s="919"/>
      <c r="P853" s="1277"/>
      <c r="Q853" s="1277"/>
      <c r="R853" s="1277"/>
      <c r="S853" s="1277"/>
      <c r="T853" s="1277"/>
      <c r="U853" s="1277"/>
      <c r="V853" s="1277"/>
      <c r="W853" s="1277"/>
      <c r="X853" s="1277"/>
    </row>
    <row r="854" spans="6:24">
      <c r="F854" s="921"/>
      <c r="G854" s="1277"/>
      <c r="H854" s="921"/>
      <c r="I854" s="1277"/>
      <c r="J854" s="921"/>
      <c r="K854" s="1277"/>
      <c r="L854" s="1277"/>
      <c r="M854" s="919"/>
      <c r="N854" s="919"/>
      <c r="O854" s="919"/>
      <c r="P854" s="1277"/>
      <c r="Q854" s="1277"/>
      <c r="R854" s="1277"/>
      <c r="S854" s="1277"/>
      <c r="T854" s="1277"/>
      <c r="U854" s="1277"/>
      <c r="V854" s="1277"/>
      <c r="W854" s="1277"/>
      <c r="X854" s="1277"/>
    </row>
    <row r="855" spans="6:24">
      <c r="F855" s="921"/>
      <c r="G855" s="1277"/>
      <c r="H855" s="921"/>
      <c r="I855" s="1277"/>
      <c r="J855" s="921"/>
      <c r="K855" s="1277"/>
      <c r="L855" s="1277"/>
      <c r="M855" s="919"/>
      <c r="N855" s="919"/>
      <c r="O855" s="919"/>
      <c r="P855" s="1277"/>
      <c r="Q855" s="1277"/>
      <c r="R855" s="1277"/>
      <c r="S855" s="1277"/>
      <c r="T855" s="1277"/>
      <c r="U855" s="1277"/>
      <c r="V855" s="1277"/>
      <c r="W855" s="1277"/>
      <c r="X855" s="1277"/>
    </row>
    <row r="856" spans="6:24">
      <c r="F856" s="921"/>
      <c r="G856" s="1277"/>
      <c r="H856" s="921"/>
      <c r="I856" s="1277"/>
      <c r="J856" s="921"/>
      <c r="K856" s="1277"/>
      <c r="L856" s="1277"/>
      <c r="M856" s="919"/>
      <c r="N856" s="919"/>
      <c r="O856" s="919"/>
      <c r="P856" s="1277"/>
      <c r="Q856" s="1277"/>
      <c r="R856" s="1277"/>
      <c r="S856" s="1277"/>
      <c r="T856" s="1277"/>
      <c r="U856" s="1277"/>
      <c r="V856" s="1277"/>
      <c r="W856" s="1277"/>
      <c r="X856" s="1277"/>
    </row>
    <row r="857" spans="6:24">
      <c r="F857" s="921"/>
      <c r="G857" s="1277"/>
      <c r="H857" s="921"/>
      <c r="I857" s="1277"/>
      <c r="J857" s="921"/>
      <c r="K857" s="1277"/>
      <c r="L857" s="1277"/>
      <c r="M857" s="919"/>
      <c r="N857" s="919"/>
      <c r="O857" s="919"/>
      <c r="P857" s="1277"/>
      <c r="Q857" s="1277"/>
      <c r="R857" s="1277"/>
      <c r="S857" s="1277"/>
      <c r="T857" s="1277"/>
      <c r="U857" s="1277"/>
      <c r="V857" s="1277"/>
      <c r="W857" s="1277"/>
      <c r="X857" s="1277"/>
    </row>
    <row r="858" spans="6:24">
      <c r="F858" s="921"/>
      <c r="G858" s="1277"/>
      <c r="H858" s="921"/>
      <c r="I858" s="1277"/>
      <c r="J858" s="921"/>
      <c r="K858" s="1277"/>
      <c r="L858" s="1277"/>
      <c r="M858" s="919"/>
      <c r="N858" s="919"/>
      <c r="O858" s="919"/>
      <c r="P858" s="1277"/>
      <c r="Q858" s="1277"/>
      <c r="R858" s="1277"/>
      <c r="S858" s="1277"/>
      <c r="T858" s="1277"/>
      <c r="U858" s="1277"/>
      <c r="V858" s="1277"/>
      <c r="W858" s="1277"/>
      <c r="X858" s="1277"/>
    </row>
    <row r="859" spans="6:24">
      <c r="F859" s="921"/>
      <c r="G859" s="1277"/>
      <c r="H859" s="921"/>
      <c r="I859" s="1277"/>
      <c r="J859" s="921"/>
      <c r="K859" s="1277"/>
      <c r="L859" s="1277"/>
      <c r="M859" s="919"/>
      <c r="N859" s="919"/>
      <c r="O859" s="919"/>
      <c r="P859" s="1277"/>
      <c r="Q859" s="1277"/>
      <c r="R859" s="1277"/>
      <c r="S859" s="1277"/>
      <c r="T859" s="1277"/>
      <c r="U859" s="1277"/>
      <c r="V859" s="1277"/>
      <c r="W859" s="1277"/>
      <c r="X859" s="1277"/>
    </row>
    <row r="860" spans="6:24">
      <c r="F860" s="921"/>
      <c r="G860" s="1277"/>
      <c r="H860" s="921"/>
      <c r="I860" s="1277"/>
      <c r="J860" s="921"/>
      <c r="K860" s="1277"/>
      <c r="L860" s="1277"/>
      <c r="M860" s="919"/>
      <c r="N860" s="919"/>
      <c r="O860" s="919"/>
      <c r="P860" s="1277"/>
      <c r="Q860" s="1277"/>
      <c r="R860" s="1277"/>
      <c r="S860" s="1277"/>
      <c r="T860" s="1277"/>
      <c r="U860" s="1277"/>
      <c r="V860" s="1277"/>
      <c r="W860" s="1277"/>
      <c r="X860" s="1277"/>
    </row>
    <row r="861" spans="6:24">
      <c r="F861" s="921"/>
      <c r="G861" s="1277"/>
      <c r="H861" s="921"/>
      <c r="I861" s="1277"/>
      <c r="J861" s="921"/>
      <c r="K861" s="1277"/>
      <c r="L861" s="1277"/>
      <c r="M861" s="919"/>
      <c r="N861" s="919"/>
      <c r="O861" s="919"/>
      <c r="P861" s="1277"/>
      <c r="Q861" s="1277"/>
      <c r="R861" s="1277"/>
      <c r="S861" s="1277"/>
      <c r="T861" s="1277"/>
      <c r="U861" s="1277"/>
      <c r="V861" s="1277"/>
      <c r="W861" s="1277"/>
      <c r="X861" s="1277"/>
    </row>
    <row r="862" spans="6:24">
      <c r="F862" s="921"/>
      <c r="G862" s="1277"/>
      <c r="H862" s="921"/>
      <c r="I862" s="1277"/>
      <c r="J862" s="921"/>
      <c r="K862" s="1277"/>
      <c r="L862" s="1277"/>
      <c r="M862" s="919"/>
      <c r="N862" s="919"/>
      <c r="O862" s="919"/>
      <c r="P862" s="1277"/>
      <c r="Q862" s="1277"/>
      <c r="R862" s="1277"/>
      <c r="S862" s="1277"/>
      <c r="T862" s="1277"/>
      <c r="U862" s="1277"/>
      <c r="V862" s="1277"/>
      <c r="W862" s="1277"/>
      <c r="X862" s="1277"/>
    </row>
    <row r="863" spans="6:24">
      <c r="F863" s="921"/>
      <c r="G863" s="1277"/>
      <c r="H863" s="921"/>
      <c r="I863" s="1277"/>
      <c r="J863" s="921"/>
      <c r="K863" s="1277"/>
      <c r="L863" s="1277"/>
      <c r="M863" s="919"/>
      <c r="N863" s="919"/>
      <c r="O863" s="919"/>
      <c r="P863" s="1277"/>
      <c r="Q863" s="1277"/>
      <c r="R863" s="1277"/>
      <c r="S863" s="1277"/>
      <c r="T863" s="1277"/>
      <c r="U863" s="1277"/>
      <c r="V863" s="1277"/>
      <c r="W863" s="1277"/>
      <c r="X863" s="1277"/>
    </row>
    <row r="864" spans="6:24">
      <c r="F864" s="921"/>
      <c r="G864" s="1277"/>
      <c r="H864" s="921"/>
      <c r="I864" s="1277"/>
      <c r="J864" s="921"/>
      <c r="K864" s="1277"/>
      <c r="L864" s="1277"/>
      <c r="M864" s="919"/>
      <c r="N864" s="919"/>
      <c r="O864" s="919"/>
      <c r="P864" s="1277"/>
      <c r="Q864" s="1277"/>
      <c r="R864" s="1277"/>
      <c r="S864" s="1277"/>
      <c r="T864" s="1277"/>
      <c r="U864" s="1277"/>
      <c r="V864" s="1277"/>
      <c r="W864" s="1277"/>
      <c r="X864" s="1277"/>
    </row>
    <row r="865" spans="6:24">
      <c r="F865" s="921"/>
      <c r="G865" s="1277"/>
      <c r="H865" s="921"/>
      <c r="I865" s="1277"/>
      <c r="J865" s="921"/>
      <c r="K865" s="1277"/>
      <c r="L865" s="1277"/>
      <c r="M865" s="919"/>
      <c r="N865" s="919"/>
      <c r="O865" s="919"/>
      <c r="P865" s="1277"/>
      <c r="Q865" s="1277"/>
      <c r="R865" s="1277"/>
      <c r="S865" s="1277"/>
      <c r="T865" s="1277"/>
      <c r="U865" s="1277"/>
      <c r="V865" s="1277"/>
      <c r="W865" s="1277"/>
      <c r="X865" s="1277"/>
    </row>
    <row r="866" spans="6:24">
      <c r="F866" s="921"/>
      <c r="G866" s="1277"/>
      <c r="H866" s="921"/>
      <c r="I866" s="1277"/>
      <c r="J866" s="921"/>
      <c r="K866" s="1277"/>
      <c r="L866" s="1277"/>
      <c r="M866" s="919"/>
      <c r="N866" s="919"/>
      <c r="O866" s="919"/>
      <c r="P866" s="1277"/>
      <c r="Q866" s="1277"/>
      <c r="R866" s="1277"/>
      <c r="S866" s="1277"/>
      <c r="T866" s="1277"/>
      <c r="U866" s="1277"/>
      <c r="V866" s="1277"/>
      <c r="W866" s="1277"/>
      <c r="X866" s="1277"/>
    </row>
    <row r="867" spans="6:24">
      <c r="F867" s="921"/>
      <c r="G867" s="1277"/>
      <c r="H867" s="921"/>
      <c r="I867" s="1277"/>
      <c r="J867" s="921"/>
      <c r="K867" s="1277"/>
      <c r="L867" s="1277"/>
      <c r="M867" s="919"/>
      <c r="N867" s="919"/>
      <c r="O867" s="919"/>
      <c r="P867" s="1277"/>
      <c r="Q867" s="1277"/>
      <c r="R867" s="1277"/>
      <c r="S867" s="1277"/>
      <c r="T867" s="1277"/>
      <c r="U867" s="1277"/>
      <c r="V867" s="1277"/>
      <c r="W867" s="1277"/>
      <c r="X867" s="1277"/>
    </row>
    <row r="868" spans="6:24">
      <c r="F868" s="921"/>
      <c r="G868" s="1277"/>
      <c r="H868" s="921"/>
      <c r="I868" s="1277"/>
      <c r="J868" s="921"/>
      <c r="K868" s="1277"/>
      <c r="L868" s="1277"/>
      <c r="M868" s="919"/>
      <c r="N868" s="919"/>
      <c r="O868" s="919"/>
      <c r="P868" s="1277"/>
      <c r="Q868" s="1277"/>
      <c r="R868" s="1277"/>
      <c r="S868" s="1277"/>
      <c r="T868" s="1277"/>
      <c r="U868" s="1277"/>
      <c r="V868" s="1277"/>
      <c r="W868" s="1277"/>
      <c r="X868" s="1277"/>
    </row>
    <row r="869" spans="6:24">
      <c r="F869" s="921"/>
      <c r="G869" s="1277"/>
      <c r="H869" s="921"/>
      <c r="I869" s="1277"/>
      <c r="J869" s="921"/>
      <c r="K869" s="1277"/>
      <c r="L869" s="1277"/>
      <c r="M869" s="919"/>
      <c r="N869" s="919"/>
      <c r="O869" s="919"/>
      <c r="P869" s="1277"/>
      <c r="Q869" s="1277"/>
      <c r="R869" s="1277"/>
      <c r="S869" s="1277"/>
      <c r="T869" s="1277"/>
      <c r="U869" s="1277"/>
      <c r="V869" s="1277"/>
      <c r="W869" s="1277"/>
      <c r="X869" s="1277"/>
    </row>
    <row r="870" spans="6:24">
      <c r="F870" s="921"/>
      <c r="G870" s="1277"/>
      <c r="H870" s="921"/>
      <c r="I870" s="1277"/>
      <c r="J870" s="921"/>
      <c r="K870" s="1277"/>
      <c r="L870" s="1277"/>
      <c r="M870" s="919"/>
      <c r="N870" s="919"/>
      <c r="O870" s="919"/>
      <c r="P870" s="1277"/>
      <c r="Q870" s="1277"/>
      <c r="R870" s="1277"/>
      <c r="S870" s="1277"/>
      <c r="T870" s="1277"/>
      <c r="U870" s="1277"/>
      <c r="V870" s="1277"/>
      <c r="W870" s="1277"/>
      <c r="X870" s="1277"/>
    </row>
    <row r="871" spans="6:24">
      <c r="F871" s="921"/>
      <c r="G871" s="1277"/>
      <c r="H871" s="921"/>
      <c r="I871" s="1277"/>
      <c r="J871" s="921"/>
      <c r="K871" s="1277"/>
      <c r="L871" s="1277"/>
      <c r="M871" s="919"/>
      <c r="N871" s="919"/>
      <c r="O871" s="919"/>
      <c r="P871" s="1277"/>
      <c r="Q871" s="1277"/>
      <c r="R871" s="1277"/>
      <c r="S871" s="1277"/>
      <c r="T871" s="1277"/>
      <c r="U871" s="1277"/>
      <c r="V871" s="1277"/>
      <c r="W871" s="1277"/>
      <c r="X871" s="1277"/>
    </row>
    <row r="872" spans="6:24">
      <c r="F872" s="921"/>
      <c r="G872" s="1277"/>
      <c r="H872" s="921"/>
      <c r="I872" s="1277"/>
      <c r="J872" s="921"/>
      <c r="K872" s="1277"/>
      <c r="L872" s="1277"/>
      <c r="M872" s="919"/>
      <c r="N872" s="919"/>
      <c r="O872" s="919"/>
      <c r="P872" s="1277"/>
      <c r="Q872" s="1277"/>
      <c r="R872" s="1277"/>
      <c r="S872" s="1277"/>
      <c r="T872" s="1277"/>
      <c r="U872" s="1277"/>
      <c r="V872" s="1277"/>
      <c r="W872" s="1277"/>
      <c r="X872" s="1277"/>
    </row>
    <row r="873" spans="6:24">
      <c r="F873" s="921"/>
      <c r="G873" s="1277"/>
      <c r="H873" s="921"/>
      <c r="I873" s="1277"/>
      <c r="J873" s="921"/>
      <c r="K873" s="1277"/>
      <c r="L873" s="1277"/>
      <c r="M873" s="919"/>
      <c r="N873" s="919"/>
      <c r="O873" s="919"/>
      <c r="P873" s="1277"/>
      <c r="Q873" s="1277"/>
      <c r="R873" s="1277"/>
      <c r="S873" s="1277"/>
      <c r="T873" s="1277"/>
      <c r="U873" s="1277"/>
      <c r="V873" s="1277"/>
      <c r="W873" s="1277"/>
      <c r="X873" s="1277"/>
    </row>
    <row r="874" spans="6:24">
      <c r="F874" s="921"/>
      <c r="G874" s="1277"/>
      <c r="H874" s="921"/>
      <c r="I874" s="1277"/>
      <c r="J874" s="921"/>
      <c r="K874" s="1277"/>
      <c r="L874" s="1277"/>
      <c r="M874" s="919"/>
      <c r="N874" s="919"/>
      <c r="O874" s="919"/>
      <c r="P874" s="1277"/>
      <c r="Q874" s="1277"/>
      <c r="R874" s="1277"/>
      <c r="S874" s="1277"/>
      <c r="T874" s="1277"/>
      <c r="U874" s="1277"/>
      <c r="V874" s="1277"/>
      <c r="W874" s="1277"/>
      <c r="X874" s="1277"/>
    </row>
    <row r="875" spans="6:24">
      <c r="F875" s="921"/>
      <c r="G875" s="1277"/>
      <c r="H875" s="921"/>
      <c r="I875" s="1277"/>
      <c r="J875" s="921"/>
      <c r="K875" s="1277"/>
      <c r="L875" s="1277"/>
      <c r="M875" s="919"/>
      <c r="N875" s="919"/>
      <c r="O875" s="919"/>
      <c r="P875" s="1277"/>
      <c r="Q875" s="1277"/>
      <c r="R875" s="1277"/>
      <c r="S875" s="1277"/>
      <c r="T875" s="1277"/>
      <c r="U875" s="1277"/>
      <c r="V875" s="1277"/>
      <c r="W875" s="1277"/>
      <c r="X875" s="1277"/>
    </row>
    <row r="876" spans="6:24">
      <c r="F876" s="921"/>
      <c r="G876" s="1277"/>
      <c r="H876" s="921"/>
      <c r="I876" s="1277"/>
      <c r="J876" s="921"/>
      <c r="K876" s="1277"/>
      <c r="L876" s="1277"/>
      <c r="M876" s="919"/>
      <c r="N876" s="919"/>
      <c r="O876" s="919"/>
      <c r="P876" s="1277"/>
      <c r="Q876" s="1277"/>
      <c r="R876" s="1277"/>
      <c r="S876" s="1277"/>
      <c r="T876" s="1277"/>
      <c r="U876" s="1277"/>
      <c r="V876" s="1277"/>
      <c r="W876" s="1277"/>
      <c r="X876" s="1277"/>
    </row>
    <row r="877" spans="6:24">
      <c r="F877" s="921"/>
      <c r="G877" s="1277"/>
      <c r="H877" s="921"/>
      <c r="I877" s="1277"/>
      <c r="J877" s="921"/>
      <c r="K877" s="1277"/>
      <c r="L877" s="1277"/>
      <c r="M877" s="919"/>
      <c r="N877" s="919"/>
      <c r="O877" s="919"/>
      <c r="P877" s="1277"/>
      <c r="Q877" s="1277"/>
      <c r="R877" s="1277"/>
      <c r="S877" s="1277"/>
      <c r="T877" s="1277"/>
      <c r="U877" s="1277"/>
      <c r="V877" s="1277"/>
      <c r="W877" s="1277"/>
      <c r="X877" s="1277"/>
    </row>
    <row r="878" spans="6:24">
      <c r="F878" s="921"/>
      <c r="G878" s="1277"/>
      <c r="H878" s="921"/>
      <c r="I878" s="1277"/>
      <c r="J878" s="921"/>
      <c r="K878" s="1277"/>
      <c r="L878" s="1277"/>
      <c r="M878" s="919"/>
      <c r="N878" s="919"/>
      <c r="O878" s="919"/>
      <c r="P878" s="1277"/>
      <c r="Q878" s="1277"/>
      <c r="R878" s="1277"/>
      <c r="S878" s="1277"/>
      <c r="T878" s="1277"/>
      <c r="U878" s="1277"/>
      <c r="V878" s="1277"/>
      <c r="W878" s="1277"/>
      <c r="X878" s="1277"/>
    </row>
    <row r="879" spans="6:24">
      <c r="F879" s="921"/>
      <c r="G879" s="1277"/>
      <c r="H879" s="921"/>
      <c r="I879" s="1277"/>
      <c r="J879" s="921"/>
      <c r="K879" s="1277"/>
      <c r="L879" s="1277"/>
      <c r="M879" s="919"/>
      <c r="N879" s="919"/>
      <c r="O879" s="919"/>
      <c r="P879" s="1277"/>
      <c r="Q879" s="1277"/>
      <c r="R879" s="1277"/>
      <c r="S879" s="1277"/>
      <c r="T879" s="1277"/>
      <c r="U879" s="1277"/>
      <c r="V879" s="1277"/>
      <c r="W879" s="1277"/>
      <c r="X879" s="1277"/>
    </row>
    <row r="880" spans="6:24">
      <c r="F880" s="921"/>
      <c r="G880" s="1277"/>
      <c r="H880" s="921"/>
      <c r="I880" s="1277"/>
      <c r="J880" s="921"/>
      <c r="K880" s="1277"/>
      <c r="L880" s="1277"/>
      <c r="M880" s="919"/>
      <c r="N880" s="919"/>
      <c r="O880" s="919"/>
      <c r="P880" s="1277"/>
      <c r="Q880" s="1277"/>
      <c r="R880" s="1277"/>
      <c r="S880" s="1277"/>
      <c r="T880" s="1277"/>
      <c r="U880" s="1277"/>
      <c r="V880" s="1277"/>
      <c r="W880" s="1277"/>
      <c r="X880" s="1277"/>
    </row>
    <row r="881" spans="6:24">
      <c r="F881" s="921"/>
      <c r="G881" s="1277"/>
      <c r="H881" s="921"/>
      <c r="I881" s="1277"/>
      <c r="J881" s="921"/>
      <c r="K881" s="1277"/>
      <c r="L881" s="1277"/>
      <c r="M881" s="919"/>
      <c r="N881" s="919"/>
      <c r="O881" s="919"/>
      <c r="P881" s="1277"/>
      <c r="Q881" s="1277"/>
      <c r="R881" s="1277"/>
      <c r="S881" s="1277"/>
      <c r="T881" s="1277"/>
      <c r="U881" s="1277"/>
      <c r="V881" s="1277"/>
      <c r="W881" s="1277"/>
      <c r="X881" s="1277"/>
    </row>
    <row r="882" spans="6:24">
      <c r="F882" s="921"/>
      <c r="G882" s="1277"/>
      <c r="H882" s="921"/>
      <c r="I882" s="1277"/>
      <c r="J882" s="921"/>
      <c r="K882" s="1277"/>
      <c r="L882" s="1277"/>
      <c r="M882" s="919"/>
      <c r="N882" s="919"/>
      <c r="O882" s="919"/>
      <c r="P882" s="1277"/>
      <c r="Q882" s="1277"/>
      <c r="R882" s="1277"/>
      <c r="S882" s="1277"/>
      <c r="T882" s="1277"/>
      <c r="U882" s="1277"/>
      <c r="V882" s="1277"/>
      <c r="W882" s="1277"/>
      <c r="X882" s="1277"/>
    </row>
    <row r="883" spans="6:24">
      <c r="F883" s="921"/>
      <c r="G883" s="1277"/>
      <c r="H883" s="921"/>
      <c r="I883" s="1277"/>
      <c r="J883" s="921"/>
      <c r="K883" s="1277"/>
      <c r="L883" s="1277"/>
      <c r="M883" s="919"/>
      <c r="N883" s="919"/>
      <c r="O883" s="919"/>
      <c r="P883" s="1277"/>
      <c r="Q883" s="1277"/>
      <c r="R883" s="1277"/>
      <c r="S883" s="1277"/>
      <c r="T883" s="1277"/>
      <c r="U883" s="1277"/>
      <c r="V883" s="1277"/>
      <c r="W883" s="1277"/>
      <c r="X883" s="1277"/>
    </row>
    <row r="884" spans="6:24">
      <c r="F884" s="921"/>
      <c r="G884" s="1277"/>
      <c r="H884" s="921"/>
      <c r="I884" s="1277"/>
      <c r="J884" s="921"/>
      <c r="K884" s="1277"/>
      <c r="L884" s="1277"/>
      <c r="M884" s="919"/>
      <c r="N884" s="919"/>
      <c r="O884" s="919"/>
      <c r="P884" s="1277"/>
      <c r="Q884" s="1277"/>
      <c r="R884" s="1277"/>
      <c r="S884" s="1277"/>
      <c r="T884" s="1277"/>
      <c r="U884" s="1277"/>
      <c r="V884" s="1277"/>
      <c r="W884" s="1277"/>
      <c r="X884" s="1277"/>
    </row>
    <row r="885" spans="6:24">
      <c r="F885" s="921"/>
      <c r="G885" s="1277"/>
      <c r="H885" s="921"/>
      <c r="I885" s="1277"/>
      <c r="J885" s="921"/>
      <c r="K885" s="1277"/>
      <c r="L885" s="1277"/>
      <c r="M885" s="919"/>
      <c r="N885" s="919"/>
      <c r="O885" s="919"/>
      <c r="P885" s="1277"/>
      <c r="Q885" s="1277"/>
      <c r="R885" s="1277"/>
      <c r="S885" s="1277"/>
      <c r="T885" s="1277"/>
      <c r="U885" s="1277"/>
      <c r="V885" s="1277"/>
      <c r="W885" s="1277"/>
      <c r="X885" s="1277"/>
    </row>
    <row r="886" spans="6:24">
      <c r="F886" s="921"/>
      <c r="G886" s="1277"/>
      <c r="H886" s="921"/>
      <c r="I886" s="1277"/>
      <c r="J886" s="921"/>
      <c r="K886" s="1277"/>
      <c r="L886" s="1277"/>
      <c r="M886" s="919"/>
      <c r="N886" s="919"/>
      <c r="O886" s="919"/>
      <c r="P886" s="1277"/>
      <c r="Q886" s="1277"/>
      <c r="R886" s="1277"/>
      <c r="S886" s="1277"/>
      <c r="T886" s="1277"/>
      <c r="U886" s="1277"/>
      <c r="V886" s="1277"/>
      <c r="W886" s="1277"/>
      <c r="X886" s="1277"/>
    </row>
    <row r="887" spans="6:24">
      <c r="F887" s="921"/>
      <c r="G887" s="1277"/>
      <c r="H887" s="921"/>
      <c r="I887" s="1277"/>
      <c r="J887" s="921"/>
      <c r="K887" s="1277"/>
      <c r="L887" s="1277"/>
      <c r="M887" s="919"/>
      <c r="N887" s="919"/>
      <c r="O887" s="919"/>
      <c r="P887" s="1277"/>
      <c r="Q887" s="1277"/>
      <c r="R887" s="1277"/>
      <c r="S887" s="1277"/>
      <c r="T887" s="1277"/>
      <c r="U887" s="1277"/>
      <c r="V887" s="1277"/>
      <c r="W887" s="1277"/>
      <c r="X887" s="1277"/>
    </row>
    <row r="888" spans="6:24">
      <c r="F888" s="921"/>
      <c r="G888" s="1277"/>
      <c r="H888" s="921"/>
      <c r="I888" s="1277"/>
      <c r="J888" s="921"/>
      <c r="K888" s="1277"/>
      <c r="L888" s="1277"/>
      <c r="M888" s="919"/>
      <c r="N888" s="919"/>
      <c r="O888" s="919"/>
      <c r="P888" s="1277"/>
      <c r="Q888" s="1277"/>
      <c r="R888" s="1277"/>
      <c r="S888" s="1277"/>
      <c r="T888" s="1277"/>
      <c r="U888" s="1277"/>
      <c r="V888" s="1277"/>
      <c r="W888" s="1277"/>
      <c r="X888" s="1277"/>
    </row>
    <row r="889" spans="6:24">
      <c r="F889" s="921"/>
      <c r="G889" s="1277"/>
      <c r="H889" s="921"/>
      <c r="I889" s="1277"/>
      <c r="J889" s="921"/>
      <c r="K889" s="1277"/>
      <c r="L889" s="1277"/>
      <c r="M889" s="919"/>
      <c r="N889" s="919"/>
      <c r="O889" s="919"/>
      <c r="P889" s="1277"/>
      <c r="Q889" s="1277"/>
      <c r="R889" s="1277"/>
      <c r="S889" s="1277"/>
      <c r="T889" s="1277"/>
      <c r="U889" s="1277"/>
      <c r="V889" s="1277"/>
      <c r="W889" s="1277"/>
      <c r="X889" s="1277"/>
    </row>
    <row r="890" spans="6:24">
      <c r="F890" s="921"/>
      <c r="G890" s="1277"/>
      <c r="H890" s="921"/>
      <c r="I890" s="1277"/>
      <c r="J890" s="921"/>
      <c r="K890" s="1277"/>
      <c r="L890" s="1277"/>
      <c r="M890" s="919"/>
      <c r="N890" s="919"/>
      <c r="O890" s="919"/>
      <c r="P890" s="1277"/>
      <c r="Q890" s="1277"/>
      <c r="R890" s="1277"/>
      <c r="S890" s="1277"/>
      <c r="T890" s="1277"/>
      <c r="U890" s="1277"/>
      <c r="V890" s="1277"/>
      <c r="W890" s="1277"/>
      <c r="X890" s="1277"/>
    </row>
    <row r="891" spans="6:24">
      <c r="F891" s="921"/>
      <c r="G891" s="1277"/>
      <c r="H891" s="921"/>
      <c r="I891" s="1277"/>
      <c r="J891" s="921"/>
      <c r="K891" s="1277"/>
      <c r="L891" s="1277"/>
      <c r="M891" s="919"/>
      <c r="N891" s="919"/>
      <c r="O891" s="919"/>
      <c r="P891" s="1277"/>
      <c r="Q891" s="1277"/>
      <c r="R891" s="1277"/>
      <c r="S891" s="1277"/>
      <c r="T891" s="1277"/>
      <c r="U891" s="1277"/>
      <c r="V891" s="1277"/>
      <c r="W891" s="1277"/>
      <c r="X891" s="1277"/>
    </row>
    <row r="892" spans="6:24">
      <c r="F892" s="921"/>
      <c r="G892" s="1277"/>
      <c r="H892" s="921"/>
      <c r="I892" s="1277"/>
      <c r="J892" s="921"/>
      <c r="K892" s="1277"/>
      <c r="L892" s="1277"/>
      <c r="M892" s="919"/>
      <c r="N892" s="919"/>
      <c r="O892" s="919"/>
      <c r="P892" s="1277"/>
      <c r="Q892" s="1277"/>
      <c r="R892" s="1277"/>
      <c r="S892" s="1277"/>
      <c r="T892" s="1277"/>
      <c r="U892" s="1277"/>
      <c r="V892" s="1277"/>
      <c r="W892" s="1277"/>
      <c r="X892" s="1277"/>
    </row>
    <row r="893" spans="6:24">
      <c r="F893" s="921"/>
      <c r="G893" s="1277"/>
      <c r="H893" s="921"/>
      <c r="I893" s="1277"/>
      <c r="J893" s="921"/>
      <c r="K893" s="1277"/>
      <c r="L893" s="1277"/>
      <c r="M893" s="919"/>
      <c r="N893" s="919"/>
      <c r="O893" s="919"/>
      <c r="P893" s="1277"/>
      <c r="Q893" s="1277"/>
      <c r="R893" s="1277"/>
      <c r="S893" s="1277"/>
      <c r="T893" s="1277"/>
      <c r="U893" s="1277"/>
      <c r="V893" s="1277"/>
      <c r="W893" s="1277"/>
      <c r="X893" s="1277"/>
    </row>
    <row r="894" spans="6:24">
      <c r="F894" s="921"/>
      <c r="G894" s="1277"/>
      <c r="H894" s="921"/>
      <c r="I894" s="1277"/>
      <c r="J894" s="921"/>
      <c r="K894" s="1277"/>
      <c r="L894" s="1277"/>
      <c r="M894" s="919"/>
      <c r="N894" s="919"/>
      <c r="O894" s="919"/>
      <c r="P894" s="1277"/>
      <c r="Q894" s="1277"/>
      <c r="R894" s="1277"/>
      <c r="S894" s="1277"/>
      <c r="T894" s="1277"/>
      <c r="U894" s="1277"/>
      <c r="V894" s="1277"/>
      <c r="W894" s="1277"/>
      <c r="X894" s="1277"/>
    </row>
    <row r="895" spans="6:24">
      <c r="F895" s="921"/>
      <c r="G895" s="1277"/>
      <c r="H895" s="921"/>
      <c r="I895" s="1277"/>
      <c r="J895" s="921"/>
      <c r="K895" s="1277"/>
      <c r="L895" s="1277"/>
      <c r="M895" s="919"/>
      <c r="N895" s="919"/>
      <c r="O895" s="919"/>
      <c r="P895" s="1277"/>
      <c r="Q895" s="1277"/>
      <c r="R895" s="1277"/>
      <c r="S895" s="1277"/>
      <c r="T895" s="1277"/>
      <c r="U895" s="1277"/>
      <c r="V895" s="1277"/>
      <c r="W895" s="1277"/>
      <c r="X895" s="1277"/>
    </row>
    <row r="896" spans="6:24">
      <c r="F896" s="921"/>
      <c r="G896" s="1277"/>
      <c r="H896" s="921"/>
      <c r="I896" s="1277"/>
      <c r="J896" s="921"/>
      <c r="K896" s="1277"/>
      <c r="L896" s="1277"/>
      <c r="M896" s="919"/>
      <c r="N896" s="919"/>
      <c r="O896" s="919"/>
      <c r="P896" s="1277"/>
      <c r="Q896" s="1277"/>
      <c r="R896" s="1277"/>
      <c r="S896" s="1277"/>
      <c r="T896" s="1277"/>
      <c r="U896" s="1277"/>
      <c r="V896" s="1277"/>
      <c r="W896" s="1277"/>
      <c r="X896" s="1277"/>
    </row>
    <row r="897" spans="6:24">
      <c r="F897" s="921"/>
      <c r="G897" s="1277"/>
      <c r="H897" s="921"/>
      <c r="I897" s="1277"/>
      <c r="J897" s="921"/>
      <c r="K897" s="1277"/>
      <c r="L897" s="1277"/>
      <c r="M897" s="919"/>
      <c r="N897" s="919"/>
      <c r="O897" s="919"/>
      <c r="P897" s="1277"/>
      <c r="Q897" s="1277"/>
      <c r="R897" s="1277"/>
      <c r="S897" s="1277"/>
      <c r="T897" s="1277"/>
      <c r="U897" s="1277"/>
      <c r="V897" s="1277"/>
      <c r="W897" s="1277"/>
      <c r="X897" s="1277"/>
    </row>
    <row r="898" spans="6:24">
      <c r="F898" s="921"/>
      <c r="G898" s="1277"/>
      <c r="H898" s="921"/>
      <c r="I898" s="1277"/>
      <c r="J898" s="921"/>
      <c r="K898" s="1277"/>
      <c r="L898" s="1277"/>
      <c r="M898" s="919"/>
      <c r="N898" s="919"/>
      <c r="O898" s="919"/>
      <c r="P898" s="1277"/>
      <c r="Q898" s="1277"/>
      <c r="R898" s="1277"/>
      <c r="S898" s="1277"/>
      <c r="T898" s="1277"/>
      <c r="U898" s="1277"/>
      <c r="V898" s="1277"/>
      <c r="W898" s="1277"/>
      <c r="X898" s="1277"/>
    </row>
    <row r="899" spans="6:24">
      <c r="F899" s="921"/>
      <c r="G899" s="1277"/>
      <c r="H899" s="921"/>
      <c r="I899" s="1277"/>
      <c r="J899" s="921"/>
      <c r="K899" s="1277"/>
      <c r="L899" s="1277"/>
      <c r="M899" s="919"/>
      <c r="N899" s="919"/>
      <c r="O899" s="919"/>
      <c r="P899" s="1277"/>
      <c r="Q899" s="1277"/>
      <c r="R899" s="1277"/>
      <c r="S899" s="1277"/>
      <c r="T899" s="1277"/>
      <c r="U899" s="1277"/>
      <c r="V899" s="1277"/>
      <c r="W899" s="1277"/>
      <c r="X899" s="1277"/>
    </row>
    <row r="900" spans="6:24">
      <c r="F900" s="921"/>
      <c r="G900" s="1277"/>
      <c r="H900" s="921"/>
      <c r="I900" s="1277"/>
      <c r="J900" s="921"/>
      <c r="K900" s="1277"/>
      <c r="L900" s="1277"/>
      <c r="M900" s="919"/>
      <c r="N900" s="919"/>
      <c r="O900" s="919"/>
      <c r="P900" s="1277"/>
      <c r="Q900" s="1277"/>
      <c r="R900" s="1277"/>
      <c r="S900" s="1277"/>
      <c r="T900" s="1277"/>
      <c r="U900" s="1277"/>
      <c r="V900" s="1277"/>
      <c r="W900" s="1277"/>
      <c r="X900" s="1277"/>
    </row>
    <row r="901" spans="6:24">
      <c r="F901" s="921"/>
      <c r="G901" s="1277"/>
      <c r="H901" s="921"/>
      <c r="I901" s="1277"/>
      <c r="J901" s="921"/>
      <c r="K901" s="1277"/>
      <c r="L901" s="1277"/>
      <c r="M901" s="919"/>
      <c r="N901" s="919"/>
      <c r="O901" s="919"/>
      <c r="P901" s="1277"/>
      <c r="Q901" s="1277"/>
      <c r="R901" s="1277"/>
      <c r="S901" s="1277"/>
      <c r="T901" s="1277"/>
      <c r="U901" s="1277"/>
      <c r="V901" s="1277"/>
      <c r="W901" s="1277"/>
      <c r="X901" s="1277"/>
    </row>
    <row r="902" spans="6:24">
      <c r="F902" s="921"/>
      <c r="G902" s="1277"/>
      <c r="H902" s="921"/>
      <c r="I902" s="1277"/>
      <c r="J902" s="921"/>
      <c r="K902" s="1277"/>
      <c r="L902" s="1277"/>
      <c r="M902" s="919"/>
      <c r="N902" s="919"/>
      <c r="O902" s="919"/>
      <c r="P902" s="1277"/>
      <c r="Q902" s="1277"/>
      <c r="R902" s="1277"/>
      <c r="S902" s="1277"/>
      <c r="T902" s="1277"/>
      <c r="U902" s="1277"/>
      <c r="V902" s="1277"/>
      <c r="W902" s="1277"/>
      <c r="X902" s="1277"/>
    </row>
    <row r="903" spans="6:24">
      <c r="F903" s="921"/>
      <c r="G903" s="1277"/>
      <c r="H903" s="921"/>
      <c r="I903" s="1277"/>
      <c r="J903" s="921"/>
      <c r="K903" s="1277"/>
      <c r="L903" s="1277"/>
      <c r="M903" s="919"/>
      <c r="N903" s="919"/>
      <c r="O903" s="919"/>
      <c r="P903" s="1277"/>
      <c r="Q903" s="1277"/>
      <c r="R903" s="1277"/>
      <c r="S903" s="1277"/>
      <c r="T903" s="1277"/>
      <c r="U903" s="1277"/>
      <c r="V903" s="1277"/>
      <c r="W903" s="1277"/>
      <c r="X903" s="1277"/>
    </row>
    <row r="904" spans="6:24">
      <c r="F904" s="921"/>
      <c r="G904" s="1277"/>
      <c r="H904" s="921"/>
      <c r="I904" s="1277"/>
      <c r="J904" s="921"/>
      <c r="K904" s="1277"/>
      <c r="L904" s="1277"/>
      <c r="M904" s="919"/>
      <c r="N904" s="919"/>
      <c r="O904" s="919"/>
      <c r="P904" s="1277"/>
      <c r="Q904" s="1277"/>
      <c r="R904" s="1277"/>
      <c r="S904" s="1277"/>
      <c r="T904" s="1277"/>
      <c r="U904" s="1277"/>
      <c r="V904" s="1277"/>
      <c r="W904" s="1277"/>
      <c r="X904" s="1277"/>
    </row>
    <row r="905" spans="6:24">
      <c r="F905" s="921"/>
      <c r="G905" s="1277"/>
      <c r="H905" s="921"/>
      <c r="I905" s="1277"/>
      <c r="J905" s="921"/>
      <c r="K905" s="1277"/>
      <c r="L905" s="1277"/>
      <c r="M905" s="919"/>
      <c r="N905" s="919"/>
      <c r="O905" s="919"/>
      <c r="P905" s="1277"/>
      <c r="Q905" s="1277"/>
      <c r="R905" s="1277"/>
      <c r="S905" s="1277"/>
      <c r="T905" s="1277"/>
      <c r="U905" s="1277"/>
      <c r="V905" s="1277"/>
      <c r="W905" s="1277"/>
      <c r="X905" s="1277"/>
    </row>
    <row r="906" spans="6:24">
      <c r="F906" s="921"/>
      <c r="G906" s="1277"/>
      <c r="H906" s="921"/>
      <c r="I906" s="1277"/>
      <c r="J906" s="921"/>
      <c r="K906" s="1277"/>
      <c r="L906" s="1277"/>
      <c r="M906" s="919"/>
      <c r="N906" s="919"/>
      <c r="O906" s="919"/>
      <c r="P906" s="1277"/>
      <c r="Q906" s="1277"/>
      <c r="R906" s="1277"/>
      <c r="S906" s="1277"/>
      <c r="T906" s="1277"/>
      <c r="U906" s="1277"/>
      <c r="V906" s="1277"/>
      <c r="W906" s="1277"/>
      <c r="X906" s="1277"/>
    </row>
    <row r="907" spans="6:24">
      <c r="F907" s="921"/>
      <c r="G907" s="1277"/>
      <c r="H907" s="921"/>
      <c r="I907" s="1277"/>
      <c r="J907" s="921"/>
      <c r="K907" s="1277"/>
      <c r="L907" s="1277"/>
      <c r="M907" s="919"/>
      <c r="N907" s="919"/>
      <c r="O907" s="919"/>
      <c r="P907" s="1277"/>
      <c r="Q907" s="1277"/>
      <c r="R907" s="1277"/>
      <c r="S907" s="1277"/>
      <c r="T907" s="1277"/>
      <c r="U907" s="1277"/>
      <c r="V907" s="1277"/>
      <c r="W907" s="1277"/>
      <c r="X907" s="1277"/>
    </row>
    <row r="908" spans="6:24">
      <c r="F908" s="921"/>
      <c r="G908" s="1277"/>
      <c r="H908" s="921"/>
      <c r="I908" s="1277"/>
      <c r="J908" s="921"/>
      <c r="K908" s="1277"/>
      <c r="L908" s="1277"/>
      <c r="M908" s="919"/>
      <c r="N908" s="919"/>
      <c r="O908" s="919"/>
      <c r="P908" s="1277"/>
      <c r="Q908" s="1277"/>
      <c r="R908" s="1277"/>
      <c r="S908" s="1277"/>
      <c r="T908" s="1277"/>
      <c r="U908" s="1277"/>
      <c r="V908" s="1277"/>
      <c r="W908" s="1277"/>
      <c r="X908" s="1277"/>
    </row>
    <row r="909" spans="6:24">
      <c r="F909" s="921"/>
      <c r="G909" s="1277"/>
      <c r="H909" s="921"/>
      <c r="I909" s="1277"/>
      <c r="J909" s="921"/>
      <c r="K909" s="1277"/>
      <c r="L909" s="1277"/>
      <c r="M909" s="919"/>
      <c r="N909" s="919"/>
      <c r="O909" s="919"/>
      <c r="P909" s="1277"/>
      <c r="Q909" s="1277"/>
      <c r="R909" s="1277"/>
      <c r="S909" s="1277"/>
      <c r="T909" s="1277"/>
      <c r="U909" s="1277"/>
      <c r="V909" s="1277"/>
      <c r="W909" s="1277"/>
      <c r="X909" s="1277"/>
    </row>
    <row r="910" spans="6:24">
      <c r="F910" s="921"/>
      <c r="G910" s="1277"/>
      <c r="H910" s="921"/>
      <c r="I910" s="1277"/>
      <c r="J910" s="921"/>
      <c r="K910" s="1277"/>
      <c r="L910" s="1277"/>
      <c r="M910" s="919"/>
      <c r="N910" s="919"/>
      <c r="O910" s="919"/>
      <c r="P910" s="1277"/>
      <c r="Q910" s="1277"/>
      <c r="R910" s="1277"/>
      <c r="S910" s="1277"/>
      <c r="T910" s="1277"/>
      <c r="U910" s="1277"/>
      <c r="V910" s="1277"/>
      <c r="W910" s="1277"/>
      <c r="X910" s="1277"/>
    </row>
    <row r="911" spans="6:24">
      <c r="F911" s="921"/>
      <c r="G911" s="1277"/>
      <c r="H911" s="921"/>
      <c r="I911" s="1277"/>
      <c r="J911" s="921"/>
      <c r="K911" s="1277"/>
      <c r="L911" s="1277"/>
      <c r="M911" s="919"/>
      <c r="N911" s="919"/>
      <c r="O911" s="919"/>
      <c r="P911" s="1277"/>
      <c r="Q911" s="1277"/>
      <c r="R911" s="1277"/>
      <c r="S911" s="1277"/>
      <c r="T911" s="1277"/>
      <c r="U911" s="1277"/>
      <c r="V911" s="1277"/>
      <c r="W911" s="1277"/>
      <c r="X911" s="1277"/>
    </row>
    <row r="912" spans="6:24">
      <c r="F912" s="921"/>
      <c r="G912" s="1277"/>
      <c r="H912" s="921"/>
      <c r="I912" s="1277"/>
      <c r="J912" s="921"/>
      <c r="K912" s="1277"/>
      <c r="L912" s="1277"/>
      <c r="M912" s="919"/>
      <c r="N912" s="919"/>
      <c r="O912" s="919"/>
      <c r="P912" s="1277"/>
      <c r="Q912" s="1277"/>
      <c r="R912" s="1277"/>
      <c r="S912" s="1277"/>
      <c r="T912" s="1277"/>
      <c r="U912" s="1277"/>
      <c r="V912" s="1277"/>
      <c r="W912" s="1277"/>
      <c r="X912" s="1277"/>
    </row>
    <row r="913" spans="6:24">
      <c r="F913" s="921"/>
      <c r="G913" s="1277"/>
      <c r="H913" s="921"/>
      <c r="I913" s="1277"/>
      <c r="J913" s="921"/>
      <c r="K913" s="1277"/>
      <c r="L913" s="1277"/>
      <c r="M913" s="919"/>
      <c r="N913" s="919"/>
      <c r="O913" s="919"/>
      <c r="P913" s="1277"/>
      <c r="Q913" s="1277"/>
      <c r="R913" s="1277"/>
      <c r="S913" s="1277"/>
      <c r="T913" s="1277"/>
      <c r="U913" s="1277"/>
      <c r="V913" s="1277"/>
      <c r="W913" s="1277"/>
      <c r="X913" s="1277"/>
    </row>
    <row r="914" spans="6:24">
      <c r="F914" s="921"/>
      <c r="G914" s="1277"/>
      <c r="H914" s="921"/>
      <c r="I914" s="1277"/>
      <c r="J914" s="921"/>
      <c r="K914" s="1277"/>
      <c r="L914" s="1277"/>
      <c r="M914" s="919"/>
      <c r="N914" s="919"/>
      <c r="O914" s="919"/>
      <c r="P914" s="1277"/>
      <c r="Q914" s="1277"/>
      <c r="R914" s="1277"/>
      <c r="S914" s="1277"/>
      <c r="T914" s="1277"/>
      <c r="U914" s="1277"/>
      <c r="V914" s="1277"/>
      <c r="W914" s="1277"/>
      <c r="X914" s="1277"/>
    </row>
    <row r="915" spans="6:24">
      <c r="F915" s="921"/>
      <c r="G915" s="1277"/>
      <c r="H915" s="921"/>
      <c r="I915" s="1277"/>
      <c r="J915" s="921"/>
      <c r="K915" s="1277"/>
      <c r="L915" s="1277"/>
      <c r="M915" s="919"/>
      <c r="N915" s="919"/>
      <c r="O915" s="919"/>
      <c r="P915" s="1277"/>
      <c r="Q915" s="1277"/>
      <c r="R915" s="1277"/>
      <c r="S915" s="1277"/>
      <c r="T915" s="1277"/>
      <c r="U915" s="1277"/>
      <c r="V915" s="1277"/>
      <c r="W915" s="1277"/>
      <c r="X915" s="1277"/>
    </row>
    <row r="916" spans="6:24">
      <c r="F916" s="921"/>
      <c r="G916" s="1277"/>
      <c r="H916" s="921"/>
      <c r="I916" s="1277"/>
      <c r="J916" s="921"/>
      <c r="K916" s="1277"/>
      <c r="L916" s="1277"/>
      <c r="M916" s="919"/>
      <c r="N916" s="919"/>
      <c r="O916" s="919"/>
      <c r="P916" s="1277"/>
      <c r="Q916" s="1277"/>
      <c r="R916" s="1277"/>
      <c r="S916" s="1277"/>
      <c r="T916" s="1277"/>
      <c r="U916" s="1277"/>
      <c r="V916" s="1277"/>
      <c r="W916" s="1277"/>
      <c r="X916" s="1277"/>
    </row>
    <row r="917" spans="6:24">
      <c r="F917" s="921"/>
      <c r="G917" s="1277"/>
      <c r="H917" s="921"/>
      <c r="I917" s="1277"/>
      <c r="J917" s="921"/>
      <c r="K917" s="1277"/>
      <c r="L917" s="1277"/>
      <c r="M917" s="919"/>
      <c r="N917" s="919"/>
      <c r="O917" s="919"/>
      <c r="P917" s="1277"/>
      <c r="Q917" s="1277"/>
      <c r="R917" s="1277"/>
      <c r="S917" s="1277"/>
      <c r="T917" s="1277"/>
      <c r="U917" s="1277"/>
      <c r="V917" s="1277"/>
      <c r="W917" s="1277"/>
      <c r="X917" s="1277"/>
    </row>
    <row r="918" spans="6:24">
      <c r="F918" s="921"/>
      <c r="G918" s="1277"/>
      <c r="H918" s="921"/>
      <c r="I918" s="1277"/>
      <c r="J918" s="921"/>
      <c r="K918" s="1277"/>
      <c r="L918" s="1277"/>
      <c r="M918" s="919"/>
      <c r="N918" s="919"/>
      <c r="O918" s="919"/>
      <c r="P918" s="1277"/>
      <c r="Q918" s="1277"/>
      <c r="R918" s="1277"/>
      <c r="S918" s="1277"/>
      <c r="T918" s="1277"/>
      <c r="U918" s="1277"/>
      <c r="V918" s="1277"/>
      <c r="W918" s="1277"/>
      <c r="X918" s="1277"/>
    </row>
    <row r="919" spans="6:24">
      <c r="F919" s="921"/>
      <c r="G919" s="1277"/>
      <c r="H919" s="921"/>
      <c r="I919" s="1277"/>
      <c r="J919" s="921"/>
      <c r="K919" s="1277"/>
      <c r="L919" s="1277"/>
      <c r="M919" s="919"/>
      <c r="N919" s="919"/>
      <c r="O919" s="919"/>
      <c r="P919" s="1277"/>
      <c r="Q919" s="1277"/>
      <c r="R919" s="1277"/>
      <c r="S919" s="1277"/>
      <c r="T919" s="1277"/>
      <c r="U919" s="1277"/>
      <c r="V919" s="1277"/>
      <c r="W919" s="1277"/>
      <c r="X919" s="1277"/>
    </row>
    <row r="920" spans="6:24">
      <c r="F920" s="921"/>
      <c r="G920" s="1277"/>
      <c r="H920" s="921"/>
      <c r="I920" s="1277"/>
      <c r="J920" s="921"/>
      <c r="K920" s="1277"/>
      <c r="L920" s="1277"/>
      <c r="M920" s="919"/>
      <c r="N920" s="919"/>
      <c r="O920" s="919"/>
      <c r="P920" s="1277"/>
      <c r="Q920" s="1277"/>
      <c r="R920" s="1277"/>
      <c r="S920" s="1277"/>
      <c r="T920" s="1277"/>
      <c r="U920" s="1277"/>
      <c r="V920" s="1277"/>
      <c r="W920" s="1277"/>
      <c r="X920" s="1277"/>
    </row>
    <row r="921" spans="6:24">
      <c r="F921" s="921"/>
      <c r="G921" s="1277"/>
      <c r="H921" s="921"/>
      <c r="I921" s="1277"/>
      <c r="J921" s="921"/>
      <c r="K921" s="1277"/>
      <c r="L921" s="1277"/>
      <c r="M921" s="919"/>
      <c r="N921" s="919"/>
      <c r="O921" s="919"/>
      <c r="P921" s="1277"/>
      <c r="Q921" s="1277"/>
      <c r="R921" s="1277"/>
      <c r="S921" s="1277"/>
      <c r="T921" s="1277"/>
      <c r="U921" s="1277"/>
      <c r="V921" s="1277"/>
      <c r="W921" s="1277"/>
      <c r="X921" s="1277"/>
    </row>
    <row r="922" spans="6:24">
      <c r="F922" s="921"/>
      <c r="G922" s="1277"/>
      <c r="H922" s="921"/>
      <c r="I922" s="1277"/>
      <c r="J922" s="921"/>
      <c r="K922" s="1277"/>
      <c r="L922" s="1277"/>
      <c r="M922" s="919"/>
      <c r="N922" s="919"/>
      <c r="O922" s="919"/>
      <c r="P922" s="1277"/>
      <c r="Q922" s="1277"/>
      <c r="R922" s="1277"/>
      <c r="S922" s="1277"/>
      <c r="T922" s="1277"/>
      <c r="U922" s="1277"/>
      <c r="V922" s="1277"/>
      <c r="W922" s="1277"/>
      <c r="X922" s="1277"/>
    </row>
    <row r="923" spans="6:24">
      <c r="F923" s="921"/>
      <c r="G923" s="1277"/>
      <c r="H923" s="921"/>
      <c r="I923" s="1277"/>
      <c r="J923" s="921"/>
      <c r="K923" s="1277"/>
      <c r="L923" s="1277"/>
      <c r="M923" s="919"/>
      <c r="N923" s="919"/>
      <c r="O923" s="919"/>
      <c r="P923" s="1277"/>
      <c r="Q923" s="1277"/>
      <c r="R923" s="1277"/>
      <c r="S923" s="1277"/>
      <c r="T923" s="1277"/>
      <c r="U923" s="1277"/>
      <c r="V923" s="1277"/>
      <c r="W923" s="1277"/>
      <c r="X923" s="1277"/>
    </row>
    <row r="924" spans="6:24">
      <c r="F924" s="921"/>
      <c r="G924" s="1277"/>
      <c r="H924" s="921"/>
      <c r="I924" s="1277"/>
      <c r="J924" s="921"/>
      <c r="K924" s="1277"/>
      <c r="L924" s="1277"/>
      <c r="M924" s="919"/>
      <c r="N924" s="919"/>
      <c r="O924" s="919"/>
      <c r="P924" s="1277"/>
      <c r="Q924" s="1277"/>
      <c r="R924" s="1277"/>
      <c r="S924" s="1277"/>
      <c r="T924" s="1277"/>
      <c r="U924" s="1277"/>
      <c r="V924" s="1277"/>
      <c r="W924" s="1277"/>
      <c r="X924" s="1277"/>
    </row>
    <row r="925" spans="6:24">
      <c r="F925" s="921"/>
      <c r="G925" s="1277"/>
      <c r="H925" s="921"/>
      <c r="I925" s="1277"/>
      <c r="J925" s="921"/>
      <c r="K925" s="1277"/>
      <c r="L925" s="1277"/>
      <c r="M925" s="919"/>
      <c r="N925" s="919"/>
      <c r="O925" s="919"/>
      <c r="P925" s="1277"/>
      <c r="Q925" s="1277"/>
      <c r="R925" s="1277"/>
      <c r="S925" s="1277"/>
      <c r="T925" s="1277"/>
      <c r="U925" s="1277"/>
      <c r="V925" s="1277"/>
      <c r="W925" s="1277"/>
      <c r="X925" s="1277"/>
    </row>
    <row r="926" spans="6:24">
      <c r="F926" s="921"/>
      <c r="G926" s="1277"/>
      <c r="H926" s="921"/>
      <c r="I926" s="1277"/>
      <c r="J926" s="921"/>
      <c r="K926" s="1277"/>
      <c r="L926" s="1277"/>
      <c r="M926" s="919"/>
      <c r="N926" s="919"/>
      <c r="O926" s="919"/>
      <c r="P926" s="1277"/>
      <c r="Q926" s="1277"/>
      <c r="R926" s="1277"/>
      <c r="S926" s="1277"/>
      <c r="T926" s="1277"/>
      <c r="U926" s="1277"/>
      <c r="V926" s="1277"/>
      <c r="W926" s="1277"/>
      <c r="X926" s="1277"/>
    </row>
    <row r="927" spans="6:24">
      <c r="F927" s="921"/>
      <c r="G927" s="1277"/>
      <c r="H927" s="921"/>
      <c r="I927" s="1277"/>
      <c r="J927" s="921"/>
      <c r="K927" s="1277"/>
      <c r="L927" s="1277"/>
      <c r="M927" s="919"/>
      <c r="N927" s="919"/>
      <c r="O927" s="919"/>
      <c r="P927" s="1277"/>
      <c r="Q927" s="1277"/>
      <c r="R927" s="1277"/>
      <c r="S927" s="1277"/>
      <c r="T927" s="1277"/>
      <c r="U927" s="1277"/>
      <c r="V927" s="1277"/>
      <c r="W927" s="1277"/>
      <c r="X927" s="1277"/>
    </row>
    <row r="928" spans="6:24">
      <c r="F928" s="921"/>
      <c r="G928" s="1277"/>
      <c r="H928" s="921"/>
      <c r="I928" s="1277"/>
      <c r="J928" s="921"/>
      <c r="K928" s="1277"/>
      <c r="L928" s="1277"/>
      <c r="M928" s="919"/>
      <c r="N928" s="919"/>
      <c r="O928" s="919"/>
      <c r="P928" s="1277"/>
      <c r="Q928" s="1277"/>
      <c r="R928" s="1277"/>
      <c r="S928" s="1277"/>
      <c r="T928" s="1277"/>
      <c r="U928" s="1277"/>
      <c r="V928" s="1277"/>
      <c r="W928" s="1277"/>
      <c r="X928" s="1277"/>
    </row>
    <row r="929" spans="6:24">
      <c r="F929" s="921"/>
      <c r="G929" s="1277"/>
      <c r="H929" s="921"/>
      <c r="I929" s="1277"/>
      <c r="J929" s="921"/>
      <c r="K929" s="1277"/>
      <c r="L929" s="1277"/>
      <c r="M929" s="919"/>
      <c r="N929" s="919"/>
      <c r="O929" s="919"/>
      <c r="P929" s="1277"/>
      <c r="Q929" s="1277"/>
      <c r="R929" s="1277"/>
      <c r="S929" s="1277"/>
      <c r="T929" s="1277"/>
      <c r="U929" s="1277"/>
      <c r="V929" s="1277"/>
      <c r="W929" s="1277"/>
      <c r="X929" s="1277"/>
    </row>
    <row r="930" spans="6:24">
      <c r="F930" s="921"/>
      <c r="G930" s="1277"/>
      <c r="H930" s="921"/>
      <c r="I930" s="1277"/>
      <c r="J930" s="921"/>
      <c r="K930" s="1277"/>
      <c r="L930" s="1277"/>
      <c r="M930" s="919"/>
      <c r="N930" s="919"/>
      <c r="O930" s="919"/>
      <c r="P930" s="1277"/>
      <c r="Q930" s="1277"/>
      <c r="R930" s="1277"/>
      <c r="S930" s="1277"/>
      <c r="T930" s="1277"/>
      <c r="U930" s="1277"/>
      <c r="V930" s="1277"/>
      <c r="W930" s="1277"/>
      <c r="X930" s="1277"/>
    </row>
    <row r="931" spans="6:24">
      <c r="F931" s="921"/>
      <c r="G931" s="1277"/>
      <c r="H931" s="921"/>
      <c r="I931" s="1277"/>
      <c r="J931" s="921"/>
      <c r="K931" s="1277"/>
      <c r="L931" s="1277"/>
      <c r="M931" s="919"/>
      <c r="N931" s="919"/>
      <c r="O931" s="919"/>
      <c r="P931" s="1277"/>
      <c r="Q931" s="1277"/>
      <c r="R931" s="1277"/>
      <c r="S931" s="1277"/>
      <c r="T931" s="1277"/>
      <c r="U931" s="1277"/>
      <c r="V931" s="1277"/>
      <c r="W931" s="1277"/>
      <c r="X931" s="1277"/>
    </row>
    <row r="932" spans="6:24">
      <c r="F932" s="921"/>
      <c r="G932" s="1277"/>
      <c r="H932" s="921"/>
      <c r="I932" s="1277"/>
      <c r="J932" s="921"/>
      <c r="K932" s="1277"/>
      <c r="L932" s="1277"/>
      <c r="M932" s="919"/>
      <c r="N932" s="919"/>
      <c r="O932" s="919"/>
      <c r="P932" s="1277"/>
      <c r="Q932" s="1277"/>
      <c r="R932" s="1277"/>
      <c r="S932" s="1277"/>
      <c r="T932" s="1277"/>
      <c r="U932" s="1277"/>
      <c r="V932" s="1277"/>
      <c r="W932" s="1277"/>
      <c r="X932" s="1277"/>
    </row>
    <row r="933" spans="6:24">
      <c r="F933" s="921"/>
      <c r="G933" s="1277"/>
      <c r="H933" s="921"/>
      <c r="I933" s="1277"/>
      <c r="J933" s="921"/>
      <c r="K933" s="1277"/>
      <c r="L933" s="1277"/>
      <c r="M933" s="919"/>
      <c r="N933" s="919"/>
      <c r="O933" s="919"/>
      <c r="P933" s="1277"/>
      <c r="Q933" s="1277"/>
      <c r="R933" s="1277"/>
      <c r="S933" s="1277"/>
      <c r="T933" s="1277"/>
      <c r="U933" s="1277"/>
      <c r="V933" s="1277"/>
      <c r="W933" s="1277"/>
      <c r="X933" s="1277"/>
    </row>
    <row r="934" spans="6:24">
      <c r="F934" s="921"/>
      <c r="G934" s="1277"/>
      <c r="H934" s="921"/>
      <c r="I934" s="1277"/>
      <c r="J934" s="921"/>
      <c r="K934" s="1277"/>
      <c r="L934" s="1277"/>
      <c r="M934" s="919"/>
      <c r="N934" s="919"/>
      <c r="O934" s="919"/>
      <c r="P934" s="1277"/>
      <c r="Q934" s="1277"/>
      <c r="R934" s="1277"/>
      <c r="S934" s="1277"/>
      <c r="T934" s="1277"/>
      <c r="U934" s="1277"/>
      <c r="V934" s="1277"/>
      <c r="W934" s="1277"/>
      <c r="X934" s="1277"/>
    </row>
    <row r="935" spans="6:24">
      <c r="F935" s="921"/>
      <c r="G935" s="1277"/>
      <c r="H935" s="921"/>
      <c r="I935" s="1277"/>
      <c r="J935" s="921"/>
      <c r="K935" s="1277"/>
      <c r="L935" s="1277"/>
      <c r="M935" s="919"/>
      <c r="N935" s="919"/>
      <c r="O935" s="919"/>
      <c r="P935" s="1277"/>
      <c r="Q935" s="1277"/>
      <c r="R935" s="1277"/>
      <c r="S935" s="1277"/>
      <c r="T935" s="1277"/>
      <c r="U935" s="1277"/>
      <c r="V935" s="1277"/>
      <c r="W935" s="1277"/>
      <c r="X935" s="1277"/>
    </row>
    <row r="936" spans="6:24">
      <c r="F936" s="921"/>
      <c r="G936" s="1277"/>
      <c r="H936" s="921"/>
      <c r="I936" s="1277"/>
      <c r="J936" s="921"/>
      <c r="K936" s="1277"/>
      <c r="L936" s="1277"/>
      <c r="M936" s="919"/>
      <c r="N936" s="919"/>
      <c r="O936" s="919"/>
      <c r="P936" s="1277"/>
      <c r="Q936" s="1277"/>
      <c r="R936" s="1277"/>
      <c r="S936" s="1277"/>
      <c r="T936" s="1277"/>
      <c r="U936" s="1277"/>
      <c r="V936" s="1277"/>
      <c r="W936" s="1277"/>
      <c r="X936" s="1277"/>
    </row>
    <row r="937" spans="6:24">
      <c r="F937" s="921"/>
      <c r="G937" s="1277"/>
      <c r="H937" s="921"/>
      <c r="I937" s="1277"/>
      <c r="J937" s="921"/>
      <c r="K937" s="1277"/>
      <c r="L937" s="1277"/>
      <c r="M937" s="919"/>
      <c r="N937" s="919"/>
      <c r="O937" s="919"/>
      <c r="P937" s="1277"/>
      <c r="Q937" s="1277"/>
      <c r="R937" s="1277"/>
      <c r="S937" s="1277"/>
      <c r="T937" s="1277"/>
      <c r="U937" s="1277"/>
      <c r="V937" s="1277"/>
      <c r="W937" s="1277"/>
      <c r="X937" s="1277"/>
    </row>
    <row r="938" spans="6:24">
      <c r="F938" s="921"/>
      <c r="G938" s="1277"/>
      <c r="H938" s="921"/>
      <c r="I938" s="1277"/>
      <c r="J938" s="921"/>
      <c r="K938" s="1277"/>
      <c r="L938" s="1277"/>
      <c r="M938" s="919"/>
      <c r="N938" s="919"/>
      <c r="O938" s="919"/>
      <c r="P938" s="1277"/>
      <c r="Q938" s="1277"/>
      <c r="R938" s="1277"/>
      <c r="S938" s="1277"/>
      <c r="T938" s="1277"/>
      <c r="U938" s="1277"/>
      <c r="V938" s="1277"/>
      <c r="W938" s="1277"/>
      <c r="X938" s="1277"/>
    </row>
    <row r="939" spans="6:24">
      <c r="F939" s="921"/>
      <c r="G939" s="1277"/>
      <c r="H939" s="921"/>
      <c r="I939" s="1277"/>
      <c r="J939" s="921"/>
      <c r="K939" s="1277"/>
      <c r="L939" s="1277"/>
      <c r="M939" s="919"/>
      <c r="N939" s="919"/>
      <c r="O939" s="919"/>
      <c r="P939" s="1277"/>
      <c r="Q939" s="1277"/>
      <c r="R939" s="1277"/>
      <c r="S939" s="1277"/>
      <c r="T939" s="1277"/>
      <c r="U939" s="1277"/>
      <c r="V939" s="1277"/>
      <c r="W939" s="1277"/>
      <c r="X939" s="1277"/>
    </row>
    <row r="940" spans="6:24">
      <c r="F940" s="921"/>
      <c r="G940" s="1277"/>
      <c r="H940" s="921"/>
      <c r="I940" s="1277"/>
      <c r="J940" s="921"/>
      <c r="K940" s="1277"/>
      <c r="L940" s="1277"/>
      <c r="M940" s="919"/>
      <c r="N940" s="919"/>
      <c r="O940" s="919"/>
      <c r="P940" s="1277"/>
      <c r="Q940" s="1277"/>
      <c r="R940" s="1277"/>
      <c r="S940" s="1277"/>
      <c r="T940" s="1277"/>
      <c r="U940" s="1277"/>
      <c r="V940" s="1277"/>
      <c r="W940" s="1277"/>
      <c r="X940" s="1277"/>
    </row>
    <row r="941" spans="6:24">
      <c r="F941" s="921"/>
      <c r="G941" s="1277"/>
      <c r="H941" s="921"/>
      <c r="I941" s="1277"/>
      <c r="J941" s="921"/>
      <c r="K941" s="1277"/>
      <c r="L941" s="1277"/>
      <c r="M941" s="919"/>
      <c r="N941" s="919"/>
      <c r="O941" s="919"/>
      <c r="P941" s="1277"/>
      <c r="Q941" s="1277"/>
      <c r="R941" s="1277"/>
      <c r="S941" s="1277"/>
      <c r="T941" s="1277"/>
      <c r="U941" s="1277"/>
      <c r="V941" s="1277"/>
      <c r="W941" s="1277"/>
      <c r="X941" s="1277"/>
    </row>
    <row r="942" spans="6:24">
      <c r="F942" s="921"/>
      <c r="G942" s="1277"/>
      <c r="H942" s="921"/>
      <c r="I942" s="1277"/>
      <c r="J942" s="921"/>
      <c r="K942" s="1277"/>
      <c r="L942" s="1277"/>
      <c r="M942" s="919"/>
      <c r="N942" s="919"/>
      <c r="O942" s="919"/>
      <c r="P942" s="1277"/>
      <c r="Q942" s="1277"/>
      <c r="R942" s="1277"/>
      <c r="S942" s="1277"/>
      <c r="T942" s="1277"/>
      <c r="U942" s="1277"/>
      <c r="V942" s="1277"/>
      <c r="W942" s="1277"/>
      <c r="X942" s="1277"/>
    </row>
    <row r="943" spans="6:24">
      <c r="F943" s="921"/>
      <c r="G943" s="1277"/>
      <c r="H943" s="921"/>
      <c r="I943" s="1277"/>
      <c r="J943" s="921"/>
      <c r="K943" s="1277"/>
      <c r="L943" s="1277"/>
      <c r="M943" s="919"/>
      <c r="N943" s="919"/>
      <c r="O943" s="919"/>
      <c r="P943" s="1277"/>
      <c r="Q943" s="1277"/>
      <c r="R943" s="1277"/>
      <c r="S943" s="1277"/>
      <c r="T943" s="1277"/>
      <c r="U943" s="1277"/>
      <c r="V943" s="1277"/>
      <c r="W943" s="1277"/>
      <c r="X943" s="1277"/>
    </row>
    <row r="944" spans="6:24">
      <c r="F944" s="921"/>
      <c r="G944" s="1277"/>
      <c r="H944" s="921"/>
      <c r="I944" s="1277"/>
      <c r="J944" s="921"/>
      <c r="K944" s="1277"/>
      <c r="L944" s="1277"/>
      <c r="M944" s="919"/>
      <c r="N944" s="919"/>
      <c r="O944" s="919"/>
      <c r="P944" s="1277"/>
      <c r="Q944" s="1277"/>
      <c r="R944" s="1277"/>
      <c r="S944" s="1277"/>
      <c r="T944" s="1277"/>
      <c r="U944" s="1277"/>
      <c r="V944" s="1277"/>
      <c r="W944" s="1277"/>
      <c r="X944" s="1277"/>
    </row>
    <row r="945" spans="6:24">
      <c r="F945" s="921"/>
      <c r="G945" s="1277"/>
      <c r="H945" s="921"/>
      <c r="I945" s="1277"/>
      <c r="J945" s="921"/>
      <c r="K945" s="1277"/>
      <c r="L945" s="1277"/>
      <c r="M945" s="919"/>
      <c r="N945" s="919"/>
      <c r="O945" s="919"/>
      <c r="P945" s="1277"/>
      <c r="Q945" s="1277"/>
      <c r="R945" s="1277"/>
      <c r="S945" s="1277"/>
      <c r="T945" s="1277"/>
      <c r="U945" s="1277"/>
      <c r="V945" s="1277"/>
      <c r="W945" s="1277"/>
      <c r="X945" s="1277"/>
    </row>
    <row r="946" spans="6:24">
      <c r="F946" s="921"/>
      <c r="G946" s="1277"/>
      <c r="H946" s="921"/>
      <c r="I946" s="1277"/>
      <c r="J946" s="921"/>
      <c r="K946" s="1277"/>
      <c r="L946" s="1277"/>
      <c r="M946" s="919"/>
      <c r="N946" s="919"/>
      <c r="O946" s="919"/>
      <c r="P946" s="1277"/>
      <c r="Q946" s="1277"/>
      <c r="R946" s="1277"/>
      <c r="S946" s="1277"/>
      <c r="T946" s="1277"/>
      <c r="U946" s="1277"/>
      <c r="V946" s="1277"/>
      <c r="W946" s="1277"/>
      <c r="X946" s="1277"/>
    </row>
    <row r="947" spans="6:24">
      <c r="F947" s="921"/>
      <c r="G947" s="1277"/>
      <c r="H947" s="921"/>
      <c r="I947" s="1277"/>
      <c r="J947" s="921"/>
      <c r="K947" s="1277"/>
      <c r="L947" s="1277"/>
      <c r="M947" s="919"/>
      <c r="N947" s="919"/>
      <c r="O947" s="919"/>
      <c r="P947" s="1277"/>
      <c r="Q947" s="1277"/>
      <c r="R947" s="1277"/>
      <c r="S947" s="1277"/>
      <c r="T947" s="1277"/>
      <c r="U947" s="1277"/>
      <c r="V947" s="1277"/>
      <c r="W947" s="1277"/>
      <c r="X947" s="1277"/>
    </row>
    <row r="948" spans="6:24">
      <c r="F948" s="921"/>
      <c r="G948" s="1277"/>
      <c r="H948" s="921"/>
      <c r="I948" s="1277"/>
      <c r="J948" s="921"/>
      <c r="K948" s="1277"/>
      <c r="L948" s="1277"/>
      <c r="M948" s="919"/>
      <c r="N948" s="919"/>
      <c r="O948" s="919"/>
      <c r="P948" s="1277"/>
      <c r="Q948" s="1277"/>
      <c r="R948" s="1277"/>
      <c r="S948" s="1277"/>
      <c r="T948" s="1277"/>
      <c r="U948" s="1277"/>
      <c r="V948" s="1277"/>
      <c r="W948" s="1277"/>
      <c r="X948" s="1277"/>
    </row>
    <row r="949" spans="6:24">
      <c r="F949" s="921"/>
      <c r="G949" s="1277"/>
      <c r="H949" s="921"/>
      <c r="I949" s="1277"/>
      <c r="J949" s="921"/>
      <c r="K949" s="1277"/>
      <c r="L949" s="1277"/>
      <c r="M949" s="919"/>
      <c r="N949" s="919"/>
      <c r="O949" s="919"/>
      <c r="P949" s="1277"/>
      <c r="Q949" s="1277"/>
      <c r="R949" s="1277"/>
      <c r="S949" s="1277"/>
      <c r="T949" s="1277"/>
      <c r="U949" s="1277"/>
      <c r="V949" s="1277"/>
      <c r="W949" s="1277"/>
      <c r="X949" s="1277"/>
    </row>
    <row r="950" spans="6:24">
      <c r="F950" s="921"/>
      <c r="G950" s="1277"/>
      <c r="H950" s="921"/>
      <c r="I950" s="1277"/>
      <c r="J950" s="921"/>
      <c r="K950" s="1277"/>
      <c r="L950" s="1277"/>
      <c r="M950" s="919"/>
      <c r="N950" s="919"/>
      <c r="O950" s="919"/>
      <c r="P950" s="1277"/>
      <c r="Q950" s="1277"/>
      <c r="R950" s="1277"/>
      <c r="S950" s="1277"/>
      <c r="T950" s="1277"/>
      <c r="U950" s="1277"/>
      <c r="V950" s="1277"/>
      <c r="W950" s="1277"/>
      <c r="X950" s="1277"/>
    </row>
    <row r="951" spans="6:24">
      <c r="F951" s="921"/>
      <c r="G951" s="1277"/>
      <c r="H951" s="921"/>
      <c r="I951" s="1277"/>
      <c r="J951" s="921"/>
      <c r="K951" s="1277"/>
      <c r="L951" s="1277"/>
      <c r="M951" s="919"/>
      <c r="N951" s="919"/>
      <c r="O951" s="919"/>
      <c r="P951" s="1277"/>
      <c r="Q951" s="1277"/>
      <c r="R951" s="1277"/>
      <c r="S951" s="1277"/>
      <c r="T951" s="1277"/>
      <c r="U951" s="1277"/>
      <c r="V951" s="1277"/>
      <c r="W951" s="1277"/>
      <c r="X951" s="1277"/>
    </row>
    <row r="952" spans="6:24">
      <c r="F952" s="921"/>
      <c r="G952" s="1277"/>
      <c r="H952" s="921"/>
      <c r="I952" s="1277"/>
      <c r="J952" s="921"/>
      <c r="K952" s="1277"/>
      <c r="L952" s="1277"/>
      <c r="M952" s="919"/>
      <c r="N952" s="919"/>
      <c r="O952" s="919"/>
      <c r="P952" s="1277"/>
      <c r="Q952" s="1277"/>
      <c r="R952" s="1277"/>
      <c r="S952" s="1277"/>
      <c r="T952" s="1277"/>
      <c r="U952" s="1277"/>
      <c r="V952" s="1277"/>
      <c r="W952" s="1277"/>
      <c r="X952" s="1277"/>
    </row>
    <row r="953" spans="6:24">
      <c r="F953" s="921"/>
      <c r="G953" s="1277"/>
      <c r="H953" s="921"/>
      <c r="I953" s="1277"/>
      <c r="J953" s="921"/>
      <c r="K953" s="1277"/>
      <c r="L953" s="1277"/>
      <c r="M953" s="919"/>
      <c r="N953" s="919"/>
      <c r="O953" s="919"/>
      <c r="P953" s="1277"/>
      <c r="Q953" s="1277"/>
      <c r="R953" s="1277"/>
      <c r="S953" s="1277"/>
      <c r="T953" s="1277"/>
      <c r="U953" s="1277"/>
      <c r="V953" s="1277"/>
      <c r="W953" s="1277"/>
      <c r="X953" s="1277"/>
    </row>
    <row r="954" spans="6:24">
      <c r="F954" s="921"/>
      <c r="G954" s="1277"/>
      <c r="H954" s="921"/>
      <c r="I954" s="1277"/>
      <c r="J954" s="921"/>
      <c r="K954" s="1277"/>
      <c r="L954" s="1277"/>
      <c r="M954" s="919"/>
      <c r="N954" s="919"/>
      <c r="O954" s="919"/>
      <c r="P954" s="1277"/>
      <c r="Q954" s="1277"/>
      <c r="R954" s="1277"/>
      <c r="S954" s="1277"/>
      <c r="T954" s="1277"/>
      <c r="U954" s="1277"/>
      <c r="V954" s="1277"/>
      <c r="W954" s="1277"/>
      <c r="X954" s="1277"/>
    </row>
    <row r="955" spans="6:24">
      <c r="F955" s="921"/>
      <c r="G955" s="1277"/>
      <c r="H955" s="921"/>
      <c r="I955" s="1277"/>
      <c r="J955" s="921"/>
      <c r="K955" s="1277"/>
      <c r="L955" s="1277"/>
      <c r="M955" s="919"/>
      <c r="N955" s="919"/>
      <c r="O955" s="919"/>
      <c r="P955" s="1277"/>
      <c r="Q955" s="1277"/>
      <c r="R955" s="1277"/>
      <c r="S955" s="1277"/>
      <c r="T955" s="1277"/>
      <c r="U955" s="1277"/>
      <c r="V955" s="1277"/>
      <c r="W955" s="1277"/>
      <c r="X955" s="1277"/>
    </row>
    <row r="956" spans="6:24">
      <c r="F956" s="921"/>
      <c r="G956" s="1277"/>
      <c r="H956" s="921"/>
      <c r="I956" s="1277"/>
      <c r="J956" s="921"/>
      <c r="K956" s="1277"/>
      <c r="L956" s="1277"/>
      <c r="M956" s="919"/>
      <c r="N956" s="919"/>
      <c r="O956" s="919"/>
      <c r="P956" s="1277"/>
      <c r="Q956" s="1277"/>
      <c r="R956" s="1277"/>
      <c r="S956" s="1277"/>
      <c r="T956" s="1277"/>
      <c r="U956" s="1277"/>
      <c r="V956" s="1277"/>
      <c r="W956" s="1277"/>
      <c r="X956" s="1277"/>
    </row>
    <row r="957" spans="6:24">
      <c r="F957" s="921"/>
      <c r="G957" s="1277"/>
      <c r="H957" s="921"/>
      <c r="I957" s="1277"/>
      <c r="J957" s="921"/>
      <c r="K957" s="1277"/>
      <c r="L957" s="1277"/>
      <c r="M957" s="919"/>
      <c r="N957" s="919"/>
      <c r="O957" s="919"/>
      <c r="P957" s="1277"/>
      <c r="Q957" s="1277"/>
      <c r="R957" s="1277"/>
      <c r="S957" s="1277"/>
      <c r="T957" s="1277"/>
      <c r="U957" s="1277"/>
      <c r="V957" s="1277"/>
      <c r="W957" s="1277"/>
      <c r="X957" s="1277"/>
    </row>
    <row r="958" spans="6:24">
      <c r="F958" s="921"/>
      <c r="G958" s="1277"/>
      <c r="H958" s="921"/>
      <c r="I958" s="1277"/>
      <c r="J958" s="921"/>
      <c r="K958" s="1277"/>
      <c r="L958" s="1277"/>
      <c r="M958" s="919"/>
      <c r="N958" s="919"/>
      <c r="O958" s="919"/>
      <c r="P958" s="1277"/>
      <c r="Q958" s="1277"/>
      <c r="R958" s="1277"/>
      <c r="S958" s="1277"/>
      <c r="T958" s="1277"/>
      <c r="U958" s="1277"/>
      <c r="V958" s="1277"/>
      <c r="W958" s="1277"/>
      <c r="X958" s="1277"/>
    </row>
    <row r="959" spans="6:24">
      <c r="F959" s="921"/>
      <c r="G959" s="1277"/>
      <c r="H959" s="921"/>
      <c r="I959" s="1277"/>
      <c r="J959" s="921"/>
      <c r="K959" s="1277"/>
      <c r="L959" s="1277"/>
      <c r="M959" s="919"/>
      <c r="N959" s="919"/>
      <c r="O959" s="919"/>
      <c r="P959" s="1277"/>
      <c r="Q959" s="1277"/>
      <c r="R959" s="1277"/>
      <c r="S959" s="1277"/>
      <c r="T959" s="1277"/>
      <c r="U959" s="1277"/>
      <c r="V959" s="1277"/>
      <c r="W959" s="1277"/>
      <c r="X959" s="1277"/>
    </row>
    <row r="960" spans="6:24">
      <c r="F960" s="921"/>
      <c r="G960" s="1277"/>
      <c r="H960" s="921"/>
      <c r="I960" s="1277"/>
      <c r="J960" s="921"/>
      <c r="K960" s="1277"/>
      <c r="L960" s="1277"/>
      <c r="M960" s="919"/>
      <c r="N960" s="919"/>
      <c r="O960" s="919"/>
      <c r="P960" s="1277"/>
      <c r="Q960" s="1277"/>
      <c r="R960" s="1277"/>
      <c r="S960" s="1277"/>
      <c r="T960" s="1277"/>
      <c r="U960" s="1277"/>
      <c r="V960" s="1277"/>
      <c r="W960" s="1277"/>
      <c r="X960" s="1277"/>
    </row>
    <row r="961" spans="6:24">
      <c r="F961" s="921"/>
      <c r="G961" s="1277"/>
      <c r="H961" s="921"/>
      <c r="I961" s="1277"/>
      <c r="J961" s="921"/>
      <c r="K961" s="1277"/>
      <c r="L961" s="1277"/>
      <c r="M961" s="919"/>
      <c r="N961" s="919"/>
      <c r="O961" s="919"/>
      <c r="P961" s="1277"/>
      <c r="Q961" s="1277"/>
      <c r="R961" s="1277"/>
      <c r="S961" s="1277"/>
      <c r="T961" s="1277"/>
      <c r="U961" s="1277"/>
      <c r="V961" s="1277"/>
      <c r="W961" s="1277"/>
      <c r="X961" s="1277"/>
    </row>
    <row r="962" spans="6:24">
      <c r="F962" s="921"/>
      <c r="G962" s="1277"/>
      <c r="H962" s="921"/>
      <c r="I962" s="1277"/>
      <c r="J962" s="921"/>
      <c r="K962" s="1277"/>
      <c r="L962" s="1277"/>
      <c r="M962" s="919"/>
      <c r="N962" s="919"/>
      <c r="O962" s="919"/>
      <c r="P962" s="1277"/>
      <c r="Q962" s="1277"/>
      <c r="R962" s="1277"/>
      <c r="S962" s="1277"/>
      <c r="T962" s="1277"/>
      <c r="U962" s="1277"/>
      <c r="V962" s="1277"/>
      <c r="W962" s="1277"/>
      <c r="X962" s="1277"/>
    </row>
    <row r="963" spans="6:24">
      <c r="F963" s="921"/>
      <c r="G963" s="1277"/>
      <c r="H963" s="921"/>
      <c r="I963" s="1277"/>
      <c r="J963" s="921"/>
      <c r="K963" s="1277"/>
      <c r="L963" s="1277"/>
      <c r="M963" s="919"/>
      <c r="N963" s="919"/>
      <c r="O963" s="919"/>
      <c r="P963" s="1277"/>
      <c r="Q963" s="1277"/>
      <c r="R963" s="1277"/>
      <c r="S963" s="1277"/>
      <c r="T963" s="1277"/>
      <c r="U963" s="1277"/>
      <c r="V963" s="1277"/>
      <c r="W963" s="1277"/>
      <c r="X963" s="1277"/>
    </row>
    <row r="964" spans="6:24">
      <c r="F964" s="921"/>
      <c r="G964" s="1277"/>
      <c r="H964" s="921"/>
      <c r="I964" s="1277"/>
      <c r="J964" s="921"/>
      <c r="K964" s="1277"/>
      <c r="L964" s="1277"/>
      <c r="M964" s="919"/>
      <c r="N964" s="919"/>
      <c r="O964" s="919"/>
      <c r="P964" s="1277"/>
      <c r="Q964" s="1277"/>
      <c r="R964" s="1277"/>
      <c r="S964" s="1277"/>
      <c r="T964" s="1277"/>
      <c r="U964" s="1277"/>
      <c r="V964" s="1277"/>
      <c r="W964" s="1277"/>
      <c r="X964" s="1277"/>
    </row>
    <row r="965" spans="6:24">
      <c r="F965" s="921"/>
      <c r="G965" s="1277"/>
      <c r="H965" s="921"/>
      <c r="I965" s="1277"/>
      <c r="J965" s="921"/>
      <c r="K965" s="1277"/>
      <c r="L965" s="1277"/>
      <c r="M965" s="919"/>
      <c r="N965" s="919"/>
      <c r="O965" s="919"/>
      <c r="P965" s="1277"/>
      <c r="Q965" s="1277"/>
      <c r="R965" s="1277"/>
      <c r="S965" s="1277"/>
      <c r="T965" s="1277"/>
      <c r="U965" s="1277"/>
      <c r="V965" s="1277"/>
      <c r="W965" s="1277"/>
      <c r="X965" s="1277"/>
    </row>
    <row r="966" spans="6:24">
      <c r="F966" s="921"/>
      <c r="G966" s="1277"/>
      <c r="H966" s="921"/>
      <c r="I966" s="1277"/>
      <c r="J966" s="921"/>
      <c r="K966" s="1277"/>
      <c r="L966" s="1277"/>
      <c r="M966" s="919"/>
      <c r="N966" s="919"/>
      <c r="O966" s="919"/>
      <c r="P966" s="1277"/>
      <c r="Q966" s="1277"/>
      <c r="R966" s="1277"/>
      <c r="S966" s="1277"/>
      <c r="T966" s="1277"/>
      <c r="U966" s="1277"/>
      <c r="V966" s="1277"/>
      <c r="W966" s="1277"/>
      <c r="X966" s="1277"/>
    </row>
    <row r="967" spans="6:24">
      <c r="F967" s="921"/>
      <c r="G967" s="1277"/>
      <c r="H967" s="921"/>
      <c r="I967" s="1277"/>
      <c r="J967" s="921"/>
      <c r="K967" s="1277"/>
      <c r="L967" s="1277"/>
      <c r="M967" s="919"/>
      <c r="N967" s="919"/>
      <c r="O967" s="919"/>
      <c r="P967" s="1277"/>
      <c r="Q967" s="1277"/>
      <c r="R967" s="1277"/>
      <c r="S967" s="1277"/>
      <c r="T967" s="1277"/>
      <c r="U967" s="1277"/>
      <c r="V967" s="1277"/>
      <c r="W967" s="1277"/>
      <c r="X967" s="1277"/>
    </row>
    <row r="968" spans="6:24">
      <c r="F968" s="921"/>
      <c r="G968" s="1277"/>
      <c r="H968" s="921"/>
      <c r="I968" s="1277"/>
      <c r="J968" s="921"/>
      <c r="K968" s="1277"/>
      <c r="L968" s="1277"/>
      <c r="M968" s="919"/>
      <c r="N968" s="919"/>
      <c r="O968" s="919"/>
      <c r="P968" s="1277"/>
      <c r="Q968" s="1277"/>
      <c r="R968" s="1277"/>
      <c r="S968" s="1277"/>
      <c r="T968" s="1277"/>
      <c r="U968" s="1277"/>
      <c r="V968" s="1277"/>
      <c r="W968" s="1277"/>
      <c r="X968" s="1277"/>
    </row>
    <row r="969" spans="6:24">
      <c r="F969" s="921"/>
      <c r="G969" s="1277"/>
      <c r="H969" s="921"/>
      <c r="I969" s="1277"/>
      <c r="J969" s="921"/>
      <c r="K969" s="1277"/>
      <c r="L969" s="1277"/>
      <c r="M969" s="919"/>
      <c r="N969" s="919"/>
      <c r="O969" s="919"/>
      <c r="P969" s="1277"/>
      <c r="Q969" s="1277"/>
      <c r="R969" s="1277"/>
      <c r="S969" s="1277"/>
      <c r="T969" s="1277"/>
      <c r="U969" s="1277"/>
      <c r="V969" s="1277"/>
      <c r="W969" s="1277"/>
      <c r="X969" s="1277"/>
    </row>
    <row r="970" spans="6:24">
      <c r="F970" s="921"/>
      <c r="G970" s="1277"/>
      <c r="H970" s="921"/>
      <c r="I970" s="1277"/>
      <c r="J970" s="921"/>
      <c r="K970" s="1277"/>
      <c r="L970" s="1277"/>
      <c r="M970" s="919"/>
      <c r="N970" s="919"/>
      <c r="O970" s="919"/>
      <c r="P970" s="1277"/>
      <c r="Q970" s="1277"/>
      <c r="R970" s="1277"/>
      <c r="S970" s="1277"/>
      <c r="T970" s="1277"/>
      <c r="U970" s="1277"/>
      <c r="V970" s="1277"/>
      <c r="W970" s="1277"/>
      <c r="X970" s="1277"/>
    </row>
    <row r="971" spans="6:24">
      <c r="F971" s="921"/>
      <c r="G971" s="1277"/>
      <c r="H971" s="921"/>
      <c r="I971" s="1277"/>
      <c r="J971" s="921"/>
      <c r="K971" s="1277"/>
      <c r="L971" s="1277"/>
      <c r="M971" s="919"/>
      <c r="N971" s="919"/>
      <c r="O971" s="919"/>
      <c r="P971" s="1277"/>
      <c r="Q971" s="1277"/>
      <c r="R971" s="1277"/>
      <c r="S971" s="1277"/>
      <c r="T971" s="1277"/>
      <c r="U971" s="1277"/>
      <c r="V971" s="1277"/>
      <c r="W971" s="1277"/>
      <c r="X971" s="1277"/>
    </row>
    <row r="972" spans="6:24">
      <c r="F972" s="921"/>
      <c r="G972" s="1277"/>
      <c r="H972" s="921"/>
      <c r="I972" s="1277"/>
      <c r="J972" s="921"/>
      <c r="K972" s="1277"/>
      <c r="L972" s="1277"/>
      <c r="M972" s="919"/>
      <c r="N972" s="919"/>
      <c r="O972" s="919"/>
      <c r="P972" s="1277"/>
      <c r="Q972" s="1277"/>
      <c r="R972" s="1277"/>
      <c r="S972" s="1277"/>
      <c r="T972" s="1277"/>
      <c r="U972" s="1277"/>
      <c r="V972" s="1277"/>
      <c r="W972" s="1277"/>
      <c r="X972" s="1277"/>
    </row>
    <row r="973" spans="6:24">
      <c r="F973" s="921"/>
      <c r="G973" s="1277"/>
      <c r="H973" s="921"/>
      <c r="I973" s="1277"/>
      <c r="J973" s="921"/>
      <c r="K973" s="1277"/>
      <c r="L973" s="1277"/>
      <c r="M973" s="919"/>
      <c r="N973" s="919"/>
      <c r="O973" s="919"/>
      <c r="P973" s="1277"/>
      <c r="Q973" s="1277"/>
      <c r="R973" s="1277"/>
      <c r="S973" s="1277"/>
      <c r="T973" s="1277"/>
      <c r="U973" s="1277"/>
      <c r="V973" s="1277"/>
      <c r="W973" s="1277"/>
      <c r="X973" s="1277"/>
    </row>
    <row r="974" spans="6:24">
      <c r="F974" s="921"/>
      <c r="G974" s="1277"/>
      <c r="H974" s="921"/>
      <c r="I974" s="1277"/>
      <c r="J974" s="921"/>
      <c r="K974" s="1277"/>
      <c r="L974" s="1277"/>
      <c r="M974" s="919"/>
      <c r="N974" s="919"/>
      <c r="O974" s="919"/>
      <c r="P974" s="1277"/>
      <c r="Q974" s="1277"/>
      <c r="R974" s="1277"/>
      <c r="S974" s="1277"/>
      <c r="T974" s="1277"/>
      <c r="U974" s="1277"/>
      <c r="V974" s="1277"/>
      <c r="W974" s="1277"/>
      <c r="X974" s="1277"/>
    </row>
    <row r="975" spans="6:24">
      <c r="F975" s="921"/>
      <c r="G975" s="1277"/>
      <c r="H975" s="921"/>
      <c r="I975" s="1277"/>
      <c r="J975" s="921"/>
      <c r="K975" s="1277"/>
      <c r="L975" s="1277"/>
      <c r="M975" s="919"/>
      <c r="N975" s="919"/>
      <c r="O975" s="919"/>
      <c r="P975" s="1277"/>
      <c r="Q975" s="1277"/>
      <c r="R975" s="1277"/>
      <c r="S975" s="1277"/>
      <c r="T975" s="1277"/>
      <c r="U975" s="1277"/>
      <c r="V975" s="1277"/>
      <c r="W975" s="1277"/>
      <c r="X975" s="1277"/>
    </row>
    <row r="976" spans="6:24">
      <c r="F976" s="921"/>
      <c r="G976" s="1277"/>
      <c r="H976" s="921"/>
      <c r="I976" s="1277"/>
      <c r="J976" s="921"/>
      <c r="K976" s="1277"/>
      <c r="L976" s="1277"/>
      <c r="M976" s="919"/>
      <c r="N976" s="919"/>
      <c r="O976" s="919"/>
      <c r="P976" s="1277"/>
      <c r="Q976" s="1277"/>
      <c r="R976" s="1277"/>
      <c r="S976" s="1277"/>
      <c r="T976" s="1277"/>
      <c r="U976" s="1277"/>
      <c r="V976" s="1277"/>
      <c r="W976" s="1277"/>
      <c r="X976" s="1277"/>
    </row>
    <row r="977" spans="6:24">
      <c r="F977" s="921"/>
      <c r="G977" s="1277"/>
      <c r="H977" s="921"/>
      <c r="I977" s="1277"/>
      <c r="J977" s="921"/>
      <c r="K977" s="1277"/>
      <c r="L977" s="1277"/>
      <c r="M977" s="919"/>
      <c r="N977" s="919"/>
      <c r="O977" s="919"/>
      <c r="P977" s="1277"/>
      <c r="Q977" s="1277"/>
      <c r="R977" s="1277"/>
      <c r="S977" s="1277"/>
      <c r="T977" s="1277"/>
      <c r="U977" s="1277"/>
      <c r="V977" s="1277"/>
      <c r="W977" s="1277"/>
      <c r="X977" s="1277"/>
    </row>
    <row r="978" spans="6:24">
      <c r="F978" s="921"/>
      <c r="G978" s="1277"/>
      <c r="H978" s="921"/>
      <c r="I978" s="1277"/>
      <c r="J978" s="921"/>
      <c r="K978" s="1277"/>
      <c r="L978" s="1277"/>
      <c r="M978" s="919"/>
      <c r="N978" s="919"/>
      <c r="O978" s="919"/>
      <c r="P978" s="1277"/>
      <c r="Q978" s="1277"/>
      <c r="R978" s="1277"/>
      <c r="S978" s="1277"/>
      <c r="T978" s="1277"/>
      <c r="U978" s="1277"/>
      <c r="V978" s="1277"/>
      <c r="W978" s="1277"/>
      <c r="X978" s="1277"/>
    </row>
    <row r="979" spans="6:24">
      <c r="F979" s="921"/>
      <c r="G979" s="1277"/>
      <c r="H979" s="921"/>
      <c r="I979" s="1277"/>
      <c r="J979" s="921"/>
      <c r="K979" s="1277"/>
      <c r="L979" s="1277"/>
      <c r="M979" s="919"/>
      <c r="N979" s="919"/>
      <c r="O979" s="919"/>
      <c r="P979" s="1277"/>
      <c r="Q979" s="1277"/>
      <c r="R979" s="1277"/>
      <c r="S979" s="1277"/>
      <c r="T979" s="1277"/>
      <c r="U979" s="1277"/>
      <c r="V979" s="1277"/>
      <c r="W979" s="1277"/>
      <c r="X979" s="1277"/>
    </row>
    <row r="980" spans="6:24">
      <c r="F980" s="921"/>
      <c r="G980" s="1277"/>
      <c r="H980" s="921"/>
      <c r="I980" s="1277"/>
      <c r="J980" s="921"/>
      <c r="K980" s="1277"/>
      <c r="L980" s="1277"/>
      <c r="M980" s="919"/>
      <c r="N980" s="919"/>
      <c r="O980" s="919"/>
      <c r="P980" s="1277"/>
      <c r="Q980" s="1277"/>
      <c r="R980" s="1277"/>
      <c r="S980" s="1277"/>
      <c r="T980" s="1277"/>
      <c r="U980" s="1277"/>
      <c r="V980" s="1277"/>
      <c r="W980" s="1277"/>
      <c r="X980" s="1277"/>
    </row>
    <row r="981" spans="6:24">
      <c r="F981" s="921"/>
      <c r="G981" s="1277"/>
      <c r="H981" s="921"/>
      <c r="I981" s="1277"/>
      <c r="J981" s="921"/>
      <c r="K981" s="1277"/>
      <c r="L981" s="1277"/>
      <c r="M981" s="919"/>
      <c r="N981" s="919"/>
      <c r="O981" s="919"/>
      <c r="P981" s="1277"/>
      <c r="Q981" s="1277"/>
      <c r="R981" s="1277"/>
      <c r="S981" s="1277"/>
      <c r="T981" s="1277"/>
      <c r="U981" s="1277"/>
      <c r="V981" s="1277"/>
      <c r="W981" s="1277"/>
      <c r="X981" s="1277"/>
    </row>
    <row r="982" spans="6:24">
      <c r="F982" s="921"/>
      <c r="G982" s="1277"/>
      <c r="H982" s="921"/>
      <c r="I982" s="1277"/>
      <c r="J982" s="921"/>
      <c r="K982" s="1277"/>
      <c r="L982" s="1277"/>
      <c r="M982" s="919"/>
      <c r="N982" s="919"/>
      <c r="O982" s="919"/>
      <c r="P982" s="1277"/>
      <c r="Q982" s="1277"/>
      <c r="R982" s="1277"/>
      <c r="S982" s="1277"/>
      <c r="T982" s="1277"/>
      <c r="U982" s="1277"/>
      <c r="V982" s="1277"/>
      <c r="W982" s="1277"/>
      <c r="X982" s="1277"/>
    </row>
    <row r="983" spans="6:24">
      <c r="F983" s="921"/>
      <c r="G983" s="1277"/>
      <c r="H983" s="921"/>
      <c r="I983" s="1277"/>
      <c r="J983" s="921"/>
      <c r="K983" s="1277"/>
      <c r="L983" s="1277"/>
      <c r="M983" s="919"/>
      <c r="N983" s="919"/>
      <c r="O983" s="919"/>
      <c r="P983" s="1277"/>
      <c r="Q983" s="1277"/>
      <c r="R983" s="1277"/>
      <c r="S983" s="1277"/>
      <c r="T983" s="1277"/>
      <c r="U983" s="1277"/>
      <c r="V983" s="1277"/>
      <c r="W983" s="1277"/>
      <c r="X983" s="1277"/>
    </row>
    <row r="984" spans="6:24">
      <c r="F984" s="921"/>
      <c r="G984" s="1277"/>
      <c r="H984" s="921"/>
      <c r="I984" s="1277"/>
      <c r="J984" s="921"/>
      <c r="K984" s="1277"/>
      <c r="L984" s="1277"/>
      <c r="M984" s="919"/>
      <c r="N984" s="919"/>
      <c r="O984" s="919"/>
      <c r="P984" s="1277"/>
      <c r="Q984" s="1277"/>
      <c r="R984" s="1277"/>
      <c r="S984" s="1277"/>
      <c r="T984" s="1277"/>
      <c r="U984" s="1277"/>
      <c r="V984" s="1277"/>
      <c r="W984" s="1277"/>
      <c r="X984" s="1277"/>
    </row>
    <row r="985" spans="6:24">
      <c r="F985" s="921"/>
      <c r="G985" s="1277"/>
      <c r="H985" s="921"/>
      <c r="I985" s="1277"/>
      <c r="J985" s="921"/>
      <c r="K985" s="1277"/>
      <c r="L985" s="1277"/>
      <c r="M985" s="919"/>
      <c r="N985" s="919"/>
      <c r="O985" s="919"/>
      <c r="P985" s="1277"/>
      <c r="Q985" s="1277"/>
      <c r="R985" s="1277"/>
      <c r="S985" s="1277"/>
      <c r="T985" s="1277"/>
      <c r="U985" s="1277"/>
      <c r="V985" s="1277"/>
      <c r="W985" s="1277"/>
      <c r="X985" s="1277"/>
    </row>
    <row r="986" spans="6:24">
      <c r="F986" s="921"/>
      <c r="G986" s="1277"/>
      <c r="H986" s="921"/>
      <c r="I986" s="1277"/>
      <c r="J986" s="921"/>
      <c r="K986" s="1277"/>
      <c r="L986" s="1277"/>
      <c r="M986" s="919"/>
      <c r="N986" s="919"/>
      <c r="O986" s="919"/>
      <c r="P986" s="1277"/>
      <c r="Q986" s="1277"/>
      <c r="R986" s="1277"/>
      <c r="S986" s="1277"/>
      <c r="T986" s="1277"/>
      <c r="U986" s="1277"/>
      <c r="V986" s="1277"/>
      <c r="W986" s="1277"/>
      <c r="X986" s="1277"/>
    </row>
    <row r="987" spans="6:24">
      <c r="F987" s="921"/>
      <c r="G987" s="1277"/>
      <c r="H987" s="921"/>
      <c r="I987" s="1277"/>
      <c r="J987" s="921"/>
      <c r="K987" s="1277"/>
      <c r="L987" s="1277"/>
      <c r="M987" s="919"/>
      <c r="N987" s="919"/>
      <c r="O987" s="919"/>
      <c r="P987" s="1277"/>
      <c r="Q987" s="1277"/>
      <c r="R987" s="1277"/>
      <c r="S987" s="1277"/>
      <c r="T987" s="1277"/>
      <c r="U987" s="1277"/>
      <c r="V987" s="1277"/>
      <c r="W987" s="1277"/>
      <c r="X987" s="1277"/>
    </row>
    <row r="988" spans="6:24">
      <c r="F988" s="921"/>
      <c r="G988" s="1277"/>
      <c r="H988" s="921"/>
      <c r="I988" s="1277"/>
      <c r="J988" s="921"/>
      <c r="K988" s="1277"/>
      <c r="L988" s="1277"/>
      <c r="M988" s="919"/>
      <c r="N988" s="919"/>
      <c r="O988" s="919"/>
      <c r="P988" s="1277"/>
      <c r="Q988" s="1277"/>
      <c r="R988" s="1277"/>
      <c r="S988" s="1277"/>
      <c r="T988" s="1277"/>
      <c r="U988" s="1277"/>
      <c r="V988" s="1277"/>
      <c r="W988" s="1277"/>
      <c r="X988" s="1277"/>
    </row>
    <row r="989" spans="6:24">
      <c r="F989" s="921"/>
      <c r="G989" s="1277"/>
      <c r="H989" s="921"/>
      <c r="I989" s="1277"/>
      <c r="J989" s="921"/>
      <c r="K989" s="1277"/>
      <c r="L989" s="1277"/>
      <c r="M989" s="919"/>
      <c r="N989" s="919"/>
      <c r="O989" s="919"/>
      <c r="P989" s="1277"/>
      <c r="Q989" s="1277"/>
      <c r="R989" s="1277"/>
      <c r="S989" s="1277"/>
      <c r="T989" s="1277"/>
      <c r="U989" s="1277"/>
      <c r="V989" s="1277"/>
      <c r="W989" s="1277"/>
      <c r="X989" s="1277"/>
    </row>
    <row r="990" spans="6:24">
      <c r="F990" s="921"/>
      <c r="G990" s="1277"/>
      <c r="H990" s="921"/>
      <c r="I990" s="1277"/>
      <c r="J990" s="921"/>
      <c r="K990" s="1277"/>
      <c r="L990" s="1277"/>
      <c r="M990" s="919"/>
      <c r="N990" s="919"/>
      <c r="O990" s="919"/>
      <c r="P990" s="1277"/>
      <c r="Q990" s="1277"/>
      <c r="R990" s="1277"/>
      <c r="S990" s="1277"/>
      <c r="T990" s="1277"/>
      <c r="U990" s="1277"/>
      <c r="V990" s="1277"/>
      <c r="W990" s="1277"/>
      <c r="X990" s="1277"/>
    </row>
    <row r="991" spans="6:24">
      <c r="F991" s="921"/>
      <c r="G991" s="1277"/>
      <c r="H991" s="921"/>
      <c r="I991" s="1277"/>
      <c r="J991" s="921"/>
      <c r="K991" s="1277"/>
      <c r="L991" s="1277"/>
      <c r="M991" s="919"/>
      <c r="N991" s="919"/>
      <c r="O991" s="919"/>
      <c r="P991" s="1277"/>
      <c r="Q991" s="1277"/>
      <c r="R991" s="1277"/>
      <c r="S991" s="1277"/>
      <c r="T991" s="1277"/>
      <c r="U991" s="1277"/>
      <c r="V991" s="1277"/>
      <c r="W991" s="1277"/>
      <c r="X991" s="1277"/>
    </row>
    <row r="992" spans="6:24">
      <c r="F992" s="921"/>
      <c r="G992" s="1277"/>
      <c r="H992" s="921"/>
      <c r="I992" s="1277"/>
      <c r="J992" s="921"/>
      <c r="K992" s="1277"/>
      <c r="L992" s="1277"/>
      <c r="M992" s="919"/>
      <c r="N992" s="919"/>
      <c r="O992" s="919"/>
      <c r="P992" s="1277"/>
      <c r="Q992" s="1277"/>
      <c r="R992" s="1277"/>
      <c r="S992" s="1277"/>
      <c r="T992" s="1277"/>
      <c r="U992" s="1277"/>
      <c r="V992" s="1277"/>
      <c r="W992" s="1277"/>
      <c r="X992" s="1277"/>
    </row>
    <row r="993" spans="6:24">
      <c r="F993" s="921"/>
      <c r="G993" s="1277"/>
      <c r="H993" s="921"/>
      <c r="I993" s="1277"/>
      <c r="J993" s="921"/>
      <c r="K993" s="1277"/>
      <c r="L993" s="1277"/>
      <c r="M993" s="919"/>
      <c r="N993" s="919"/>
      <c r="O993" s="919"/>
      <c r="P993" s="1277"/>
      <c r="Q993" s="1277"/>
      <c r="R993" s="1277"/>
      <c r="S993" s="1277"/>
      <c r="T993" s="1277"/>
      <c r="U993" s="1277"/>
      <c r="V993" s="1277"/>
      <c r="W993" s="1277"/>
      <c r="X993" s="1277"/>
    </row>
    <row r="994" spans="6:24">
      <c r="F994" s="921"/>
      <c r="G994" s="1277"/>
      <c r="H994" s="921"/>
      <c r="I994" s="1277"/>
      <c r="J994" s="921"/>
      <c r="K994" s="1277"/>
      <c r="L994" s="1277"/>
      <c r="M994" s="919"/>
      <c r="N994" s="919"/>
      <c r="O994" s="919"/>
      <c r="P994" s="1277"/>
      <c r="Q994" s="1277"/>
      <c r="R994" s="1277"/>
      <c r="S994" s="1277"/>
      <c r="T994" s="1277"/>
      <c r="U994" s="1277"/>
      <c r="V994" s="1277"/>
      <c r="W994" s="1277"/>
      <c r="X994" s="1277"/>
    </row>
    <row r="995" spans="6:24">
      <c r="F995" s="921"/>
      <c r="G995" s="1277"/>
      <c r="H995" s="921"/>
      <c r="I995" s="1277"/>
      <c r="J995" s="921"/>
      <c r="K995" s="1277"/>
      <c r="L995" s="1277"/>
      <c r="M995" s="919"/>
      <c r="N995" s="919"/>
      <c r="O995" s="919"/>
      <c r="P995" s="1277"/>
      <c r="Q995" s="1277"/>
      <c r="R995" s="1277"/>
      <c r="S995" s="1277"/>
      <c r="T995" s="1277"/>
      <c r="U995" s="1277"/>
      <c r="V995" s="1277"/>
      <c r="W995" s="1277"/>
      <c r="X995" s="1277"/>
    </row>
    <row r="996" spans="6:24">
      <c r="F996" s="921"/>
      <c r="G996" s="1277"/>
      <c r="H996" s="921"/>
      <c r="I996" s="1277"/>
      <c r="J996" s="921"/>
      <c r="K996" s="1277"/>
      <c r="L996" s="1277"/>
      <c r="M996" s="919"/>
      <c r="N996" s="919"/>
      <c r="O996" s="919"/>
      <c r="P996" s="1277"/>
      <c r="Q996" s="1277"/>
      <c r="R996" s="1277"/>
      <c r="S996" s="1277"/>
      <c r="T996" s="1277"/>
      <c r="U996" s="1277"/>
      <c r="V996" s="1277"/>
      <c r="W996" s="1277"/>
      <c r="X996" s="1277"/>
    </row>
    <row r="997" spans="6:24">
      <c r="F997" s="921"/>
      <c r="G997" s="1277"/>
      <c r="H997" s="921"/>
      <c r="I997" s="1277"/>
      <c r="J997" s="921"/>
      <c r="K997" s="1277"/>
      <c r="L997" s="1277"/>
      <c r="M997" s="919"/>
      <c r="N997" s="919"/>
      <c r="O997" s="919"/>
      <c r="P997" s="1277"/>
      <c r="Q997" s="1277"/>
      <c r="R997" s="1277"/>
      <c r="S997" s="1277"/>
      <c r="T997" s="1277"/>
      <c r="U997" s="1277"/>
      <c r="V997" s="1277"/>
      <c r="W997" s="1277"/>
      <c r="X997" s="1277"/>
    </row>
    <row r="998" spans="6:24">
      <c r="F998" s="921"/>
      <c r="G998" s="1277"/>
      <c r="H998" s="921"/>
      <c r="I998" s="1277"/>
      <c r="J998" s="921"/>
      <c r="K998" s="1277"/>
      <c r="L998" s="1277"/>
      <c r="M998" s="919"/>
      <c r="N998" s="919"/>
      <c r="O998" s="919"/>
      <c r="P998" s="1277"/>
      <c r="Q998" s="1277"/>
      <c r="R998" s="1277"/>
      <c r="S998" s="1277"/>
      <c r="T998" s="1277"/>
      <c r="U998" s="1277"/>
      <c r="V998" s="1277"/>
      <c r="W998" s="1277"/>
      <c r="X998" s="1277"/>
    </row>
    <row r="999" spans="6:24">
      <c r="F999" s="921"/>
      <c r="G999" s="1277"/>
      <c r="H999" s="921"/>
      <c r="I999" s="1277"/>
      <c r="J999" s="921"/>
      <c r="K999" s="1277"/>
      <c r="L999" s="1277"/>
      <c r="M999" s="919"/>
      <c r="N999" s="919"/>
      <c r="O999" s="919"/>
      <c r="P999" s="1277"/>
      <c r="Q999" s="1277"/>
      <c r="R999" s="1277"/>
      <c r="S999" s="1277"/>
      <c r="T999" s="1277"/>
      <c r="U999" s="1277"/>
      <c r="V999" s="1277"/>
      <c r="W999" s="1277"/>
      <c r="X999" s="1277"/>
    </row>
    <row r="1000" spans="6:24">
      <c r="F1000" s="921"/>
      <c r="G1000" s="1277"/>
      <c r="H1000" s="921"/>
      <c r="I1000" s="1277"/>
      <c r="J1000" s="921"/>
      <c r="K1000" s="1277"/>
      <c r="L1000" s="1277"/>
      <c r="M1000" s="919"/>
      <c r="N1000" s="919"/>
      <c r="O1000" s="919"/>
      <c r="P1000" s="1277"/>
      <c r="Q1000" s="1277"/>
      <c r="R1000" s="1277"/>
      <c r="S1000" s="1277"/>
      <c r="T1000" s="1277"/>
      <c r="U1000" s="1277"/>
      <c r="V1000" s="1277"/>
      <c r="W1000" s="1277"/>
      <c r="X1000" s="1277"/>
    </row>
    <row r="1001" spans="6:24">
      <c r="F1001" s="921"/>
      <c r="G1001" s="1277"/>
      <c r="H1001" s="921"/>
      <c r="I1001" s="1277"/>
      <c r="J1001" s="921"/>
      <c r="K1001" s="1277"/>
      <c r="L1001" s="1277"/>
      <c r="M1001" s="919"/>
      <c r="N1001" s="919"/>
      <c r="O1001" s="919"/>
      <c r="P1001" s="1277"/>
      <c r="Q1001" s="1277"/>
      <c r="R1001" s="1277"/>
      <c r="S1001" s="1277"/>
      <c r="T1001" s="1277"/>
      <c r="U1001" s="1277"/>
      <c r="V1001" s="1277"/>
      <c r="W1001" s="1277"/>
      <c r="X1001" s="1277"/>
    </row>
    <row r="1002" spans="6:24">
      <c r="F1002" s="921"/>
      <c r="G1002" s="1277"/>
      <c r="H1002" s="921"/>
      <c r="I1002" s="1277"/>
      <c r="J1002" s="921"/>
      <c r="K1002" s="1277"/>
      <c r="L1002" s="1277"/>
      <c r="M1002" s="919"/>
      <c r="N1002" s="919"/>
      <c r="O1002" s="919"/>
      <c r="P1002" s="1277"/>
      <c r="Q1002" s="1277"/>
      <c r="R1002" s="1277"/>
      <c r="S1002" s="1277"/>
      <c r="T1002" s="1277"/>
      <c r="U1002" s="1277"/>
      <c r="V1002" s="1277"/>
      <c r="W1002" s="1277"/>
      <c r="X1002" s="1277"/>
    </row>
    <row r="1003" spans="6:24">
      <c r="F1003" s="921"/>
      <c r="G1003" s="1277"/>
      <c r="H1003" s="921"/>
      <c r="I1003" s="1277"/>
      <c r="J1003" s="921"/>
      <c r="K1003" s="1277"/>
      <c r="L1003" s="1277"/>
      <c r="M1003" s="919"/>
      <c r="N1003" s="919"/>
      <c r="O1003" s="919"/>
      <c r="P1003" s="1277"/>
      <c r="Q1003" s="1277"/>
      <c r="R1003" s="1277"/>
      <c r="S1003" s="1277"/>
      <c r="T1003" s="1277"/>
      <c r="U1003" s="1277"/>
      <c r="V1003" s="1277"/>
      <c r="W1003" s="1277"/>
      <c r="X1003" s="1277"/>
    </row>
    <row r="1004" spans="6:24">
      <c r="F1004" s="921"/>
      <c r="G1004" s="1277"/>
      <c r="H1004" s="921"/>
      <c r="I1004" s="1277"/>
      <c r="J1004" s="921"/>
      <c r="K1004" s="1277"/>
      <c r="L1004" s="1277"/>
      <c r="M1004" s="919"/>
      <c r="N1004" s="919"/>
      <c r="O1004" s="919"/>
      <c r="P1004" s="1277"/>
      <c r="Q1004" s="1277"/>
      <c r="R1004" s="1277"/>
      <c r="S1004" s="1277"/>
      <c r="T1004" s="1277"/>
      <c r="U1004" s="1277"/>
      <c r="V1004" s="1277"/>
      <c r="W1004" s="1277"/>
      <c r="X1004" s="1277"/>
    </row>
    <row r="1005" spans="6:24">
      <c r="F1005" s="921"/>
      <c r="G1005" s="1277"/>
      <c r="H1005" s="921"/>
      <c r="I1005" s="1277"/>
      <c r="J1005" s="921"/>
      <c r="K1005" s="1277"/>
      <c r="L1005" s="1277"/>
      <c r="M1005" s="919"/>
      <c r="N1005" s="919"/>
      <c r="O1005" s="919"/>
      <c r="P1005" s="1277"/>
      <c r="Q1005" s="1277"/>
      <c r="R1005" s="1277"/>
      <c r="S1005" s="1277"/>
      <c r="T1005" s="1277"/>
      <c r="U1005" s="1277"/>
      <c r="V1005" s="1277"/>
      <c r="W1005" s="1277"/>
      <c r="X1005" s="1277"/>
    </row>
    <row r="1006" spans="6:24">
      <c r="F1006" s="921"/>
      <c r="G1006" s="1277"/>
      <c r="H1006" s="921"/>
      <c r="I1006" s="1277"/>
      <c r="J1006" s="921"/>
      <c r="K1006" s="1277"/>
      <c r="L1006" s="1277"/>
      <c r="M1006" s="919"/>
      <c r="N1006" s="919"/>
      <c r="O1006" s="919"/>
      <c r="P1006" s="1277"/>
      <c r="Q1006" s="1277"/>
      <c r="R1006" s="1277"/>
      <c r="S1006" s="1277"/>
      <c r="T1006" s="1277"/>
      <c r="U1006" s="1277"/>
      <c r="V1006" s="1277"/>
      <c r="W1006" s="1277"/>
      <c r="X1006" s="1277"/>
    </row>
    <row r="1007" spans="6:24">
      <c r="F1007" s="921"/>
      <c r="G1007" s="1277"/>
      <c r="H1007" s="921"/>
      <c r="I1007" s="1277"/>
      <c r="J1007" s="921"/>
      <c r="K1007" s="1277"/>
      <c r="L1007" s="1277"/>
      <c r="M1007" s="919"/>
      <c r="N1007" s="919"/>
      <c r="O1007" s="919"/>
      <c r="P1007" s="1277"/>
      <c r="Q1007" s="1277"/>
      <c r="R1007" s="1277"/>
      <c r="S1007" s="1277"/>
      <c r="T1007" s="1277"/>
      <c r="U1007" s="1277"/>
      <c r="V1007" s="1277"/>
      <c r="W1007" s="1277"/>
      <c r="X1007" s="1277"/>
    </row>
    <row r="1008" spans="6:24">
      <c r="F1008" s="921"/>
      <c r="G1008" s="1277"/>
      <c r="H1008" s="921"/>
      <c r="I1008" s="1277"/>
      <c r="J1008" s="921"/>
      <c r="K1008" s="1277"/>
      <c r="L1008" s="1277"/>
      <c r="M1008" s="919"/>
      <c r="N1008" s="919"/>
      <c r="O1008" s="919"/>
      <c r="P1008" s="1277"/>
      <c r="Q1008" s="1277"/>
      <c r="R1008" s="1277"/>
      <c r="S1008" s="1277"/>
      <c r="T1008" s="1277"/>
      <c r="U1008" s="1277"/>
      <c r="V1008" s="1277"/>
      <c r="W1008" s="1277"/>
      <c r="X1008" s="1277"/>
    </row>
    <row r="1009" spans="6:24">
      <c r="F1009" s="921"/>
      <c r="G1009" s="1277"/>
      <c r="H1009" s="921"/>
      <c r="I1009" s="1277"/>
      <c r="J1009" s="921"/>
      <c r="K1009" s="1277"/>
      <c r="L1009" s="1277"/>
      <c r="M1009" s="919"/>
      <c r="N1009" s="919"/>
      <c r="O1009" s="919"/>
      <c r="P1009" s="1277"/>
      <c r="Q1009" s="1277"/>
      <c r="R1009" s="1277"/>
      <c r="S1009" s="1277"/>
      <c r="T1009" s="1277"/>
      <c r="U1009" s="1277"/>
      <c r="V1009" s="1277"/>
      <c r="W1009" s="1277"/>
      <c r="X1009" s="1277"/>
    </row>
    <row r="1010" spans="6:24">
      <c r="F1010" s="921"/>
      <c r="G1010" s="1277"/>
      <c r="H1010" s="921"/>
      <c r="I1010" s="1277"/>
      <c r="J1010" s="921"/>
      <c r="K1010" s="1277"/>
      <c r="L1010" s="1277"/>
      <c r="M1010" s="919"/>
      <c r="N1010" s="919"/>
      <c r="O1010" s="919"/>
      <c r="P1010" s="1277"/>
      <c r="Q1010" s="1277"/>
      <c r="R1010" s="1277"/>
      <c r="S1010" s="1277"/>
      <c r="T1010" s="1277"/>
      <c r="U1010" s="1277"/>
      <c r="V1010" s="1277"/>
      <c r="W1010" s="1277"/>
      <c r="X1010" s="1277"/>
    </row>
    <row r="1011" spans="6:24">
      <c r="F1011" s="921"/>
      <c r="G1011" s="1277"/>
      <c r="H1011" s="921"/>
      <c r="I1011" s="1277"/>
      <c r="J1011" s="921"/>
      <c r="K1011" s="1277"/>
      <c r="L1011" s="1277"/>
      <c r="M1011" s="919"/>
      <c r="N1011" s="919"/>
      <c r="O1011" s="919"/>
      <c r="P1011" s="1277"/>
      <c r="Q1011" s="1277"/>
      <c r="R1011" s="1277"/>
      <c r="S1011" s="1277"/>
      <c r="T1011" s="1277"/>
      <c r="U1011" s="1277"/>
      <c r="V1011" s="1277"/>
      <c r="W1011" s="1277"/>
      <c r="X1011" s="1277"/>
    </row>
    <row r="1012" spans="6:24">
      <c r="F1012" s="921"/>
      <c r="G1012" s="1277"/>
      <c r="H1012" s="921"/>
      <c r="I1012" s="1277"/>
      <c r="J1012" s="921"/>
      <c r="K1012" s="1277"/>
      <c r="L1012" s="1277"/>
      <c r="M1012" s="919"/>
      <c r="N1012" s="919"/>
      <c r="O1012" s="919"/>
      <c r="P1012" s="1277"/>
      <c r="Q1012" s="1277"/>
      <c r="R1012" s="1277"/>
      <c r="S1012" s="1277"/>
      <c r="T1012" s="1277"/>
      <c r="U1012" s="1277"/>
      <c r="V1012" s="1277"/>
      <c r="W1012" s="1277"/>
      <c r="X1012" s="1277"/>
    </row>
    <row r="1013" spans="6:24">
      <c r="F1013" s="921"/>
      <c r="G1013" s="1277"/>
      <c r="H1013" s="921"/>
      <c r="I1013" s="1277"/>
      <c r="J1013" s="921"/>
      <c r="K1013" s="1277"/>
      <c r="L1013" s="1277"/>
      <c r="M1013" s="919"/>
      <c r="N1013" s="919"/>
      <c r="O1013" s="919"/>
      <c r="P1013" s="1277"/>
      <c r="Q1013" s="1277"/>
      <c r="R1013" s="1277"/>
      <c r="S1013" s="1277"/>
      <c r="T1013" s="1277"/>
      <c r="U1013" s="1277"/>
      <c r="V1013" s="1277"/>
      <c r="W1013" s="1277"/>
      <c r="X1013" s="1277"/>
    </row>
    <row r="1014" spans="6:24">
      <c r="F1014" s="921"/>
      <c r="G1014" s="1277"/>
      <c r="H1014" s="921"/>
      <c r="I1014" s="1277"/>
      <c r="J1014" s="921"/>
      <c r="K1014" s="1277"/>
      <c r="L1014" s="1277"/>
      <c r="M1014" s="919"/>
      <c r="N1014" s="919"/>
      <c r="O1014" s="919"/>
      <c r="P1014" s="1277"/>
      <c r="Q1014" s="1277"/>
      <c r="R1014" s="1277"/>
      <c r="S1014" s="1277"/>
      <c r="T1014" s="1277"/>
      <c r="U1014" s="1277"/>
      <c r="V1014" s="1277"/>
      <c r="W1014" s="1277"/>
      <c r="X1014" s="1277"/>
    </row>
    <row r="1015" spans="6:24">
      <c r="F1015" s="921"/>
      <c r="G1015" s="1277"/>
      <c r="H1015" s="921"/>
      <c r="I1015" s="1277"/>
      <c r="J1015" s="921"/>
      <c r="K1015" s="1277"/>
      <c r="L1015" s="1277"/>
      <c r="M1015" s="919"/>
      <c r="N1015" s="919"/>
      <c r="O1015" s="919"/>
      <c r="P1015" s="1277"/>
      <c r="Q1015" s="1277"/>
      <c r="R1015" s="1277"/>
      <c r="S1015" s="1277"/>
      <c r="T1015" s="1277"/>
      <c r="U1015" s="1277"/>
      <c r="V1015" s="1277"/>
      <c r="W1015" s="1277"/>
      <c r="X1015" s="1277"/>
    </row>
    <row r="1016" spans="6:24">
      <c r="F1016" s="921"/>
      <c r="G1016" s="1277"/>
      <c r="H1016" s="921"/>
      <c r="I1016" s="1277"/>
      <c r="J1016" s="921"/>
      <c r="K1016" s="1277"/>
      <c r="L1016" s="1277"/>
      <c r="M1016" s="919"/>
      <c r="N1016" s="919"/>
      <c r="O1016" s="919"/>
      <c r="P1016" s="1277"/>
      <c r="Q1016" s="1277"/>
      <c r="R1016" s="1277"/>
      <c r="S1016" s="1277"/>
      <c r="T1016" s="1277"/>
      <c r="U1016" s="1277"/>
      <c r="V1016" s="1277"/>
      <c r="W1016" s="1277"/>
      <c r="X1016" s="1277"/>
    </row>
    <row r="1017" spans="6:24">
      <c r="F1017" s="921"/>
      <c r="G1017" s="1277"/>
      <c r="H1017" s="921"/>
      <c r="I1017" s="1277"/>
      <c r="J1017" s="921"/>
      <c r="K1017" s="1277"/>
      <c r="L1017" s="1277"/>
      <c r="M1017" s="919"/>
      <c r="N1017" s="919"/>
      <c r="O1017" s="919"/>
      <c r="P1017" s="1277"/>
      <c r="Q1017" s="1277"/>
      <c r="R1017" s="1277"/>
      <c r="S1017" s="1277"/>
      <c r="T1017" s="1277"/>
      <c r="U1017" s="1277"/>
      <c r="V1017" s="1277"/>
      <c r="W1017" s="1277"/>
      <c r="X1017" s="1277"/>
    </row>
    <row r="1018" spans="6:24">
      <c r="F1018" s="921"/>
      <c r="G1018" s="1277"/>
      <c r="H1018" s="921"/>
      <c r="I1018" s="1277"/>
      <c r="J1018" s="921"/>
      <c r="K1018" s="1277"/>
      <c r="L1018" s="1277"/>
      <c r="M1018" s="919"/>
      <c r="N1018" s="919"/>
      <c r="O1018" s="919"/>
      <c r="P1018" s="1277"/>
      <c r="Q1018" s="1277"/>
      <c r="R1018" s="1277"/>
      <c r="S1018" s="1277"/>
      <c r="T1018" s="1277"/>
      <c r="U1018" s="1277"/>
      <c r="V1018" s="1277"/>
      <c r="W1018" s="1277"/>
      <c r="X1018" s="1277"/>
    </row>
    <row r="1019" spans="6:24">
      <c r="F1019" s="921"/>
      <c r="G1019" s="1277"/>
      <c r="H1019" s="921"/>
      <c r="I1019" s="1277"/>
      <c r="J1019" s="921"/>
      <c r="K1019" s="1277"/>
      <c r="L1019" s="1277"/>
      <c r="M1019" s="919"/>
      <c r="N1019" s="919"/>
      <c r="O1019" s="919"/>
      <c r="P1019" s="1277"/>
      <c r="Q1019" s="1277"/>
      <c r="R1019" s="1277"/>
      <c r="S1019" s="1277"/>
      <c r="T1019" s="1277"/>
      <c r="U1019" s="1277"/>
      <c r="V1019" s="1277"/>
      <c r="W1019" s="1277"/>
      <c r="X1019" s="1277"/>
    </row>
    <row r="1020" spans="6:24">
      <c r="F1020" s="921"/>
      <c r="G1020" s="1277"/>
      <c r="H1020" s="921"/>
      <c r="I1020" s="1277"/>
      <c r="J1020" s="921"/>
      <c r="K1020" s="1277"/>
      <c r="L1020" s="1277"/>
      <c r="M1020" s="919"/>
      <c r="N1020" s="919"/>
      <c r="O1020" s="919"/>
      <c r="P1020" s="1277"/>
      <c r="Q1020" s="1277"/>
      <c r="R1020" s="1277"/>
      <c r="S1020" s="1277"/>
      <c r="T1020" s="1277"/>
      <c r="U1020" s="1277"/>
      <c r="V1020" s="1277"/>
      <c r="W1020" s="1277"/>
      <c r="X1020" s="1277"/>
    </row>
    <row r="1021" spans="6:24">
      <c r="F1021" s="921"/>
      <c r="G1021" s="1277"/>
      <c r="H1021" s="921"/>
      <c r="I1021" s="1277"/>
      <c r="J1021" s="921"/>
      <c r="K1021" s="1277"/>
      <c r="L1021" s="1277"/>
      <c r="M1021" s="919"/>
      <c r="N1021" s="919"/>
      <c r="O1021" s="919"/>
      <c r="P1021" s="1277"/>
      <c r="Q1021" s="1277"/>
      <c r="R1021" s="1277"/>
      <c r="S1021" s="1277"/>
      <c r="T1021" s="1277"/>
      <c r="U1021" s="1277"/>
      <c r="V1021" s="1277"/>
      <c r="W1021" s="1277"/>
      <c r="X1021" s="1277"/>
    </row>
    <row r="1022" spans="6:24">
      <c r="F1022" s="921"/>
      <c r="G1022" s="1277"/>
      <c r="H1022" s="921"/>
      <c r="I1022" s="1277"/>
      <c r="J1022" s="921"/>
      <c r="K1022" s="1277"/>
      <c r="L1022" s="1277"/>
      <c r="M1022" s="919"/>
      <c r="N1022" s="919"/>
      <c r="O1022" s="919"/>
      <c r="P1022" s="1277"/>
      <c r="Q1022" s="1277"/>
      <c r="R1022" s="1277"/>
      <c r="S1022" s="1277"/>
      <c r="T1022" s="1277"/>
      <c r="U1022" s="1277"/>
      <c r="V1022" s="1277"/>
      <c r="W1022" s="1277"/>
      <c r="X1022" s="1277"/>
    </row>
    <row r="1023" spans="6:24">
      <c r="F1023" s="921"/>
      <c r="G1023" s="1277"/>
      <c r="H1023" s="921"/>
      <c r="I1023" s="1277"/>
      <c r="J1023" s="921"/>
      <c r="K1023" s="1277"/>
      <c r="L1023" s="1277"/>
      <c r="M1023" s="919"/>
      <c r="N1023" s="919"/>
      <c r="O1023" s="919"/>
      <c r="P1023" s="1277"/>
      <c r="Q1023" s="1277"/>
      <c r="R1023" s="1277"/>
      <c r="S1023" s="1277"/>
      <c r="T1023" s="1277"/>
      <c r="U1023" s="1277"/>
      <c r="V1023" s="1277"/>
      <c r="W1023" s="1277"/>
      <c r="X1023" s="1277"/>
    </row>
    <row r="1024" spans="6:24">
      <c r="F1024" s="921"/>
      <c r="G1024" s="1277"/>
      <c r="H1024" s="921"/>
      <c r="I1024" s="1277"/>
      <c r="J1024" s="921"/>
      <c r="K1024" s="1277"/>
      <c r="L1024" s="1277"/>
      <c r="M1024" s="919"/>
      <c r="N1024" s="919"/>
      <c r="O1024" s="919"/>
      <c r="P1024" s="1277"/>
      <c r="Q1024" s="1277"/>
      <c r="R1024" s="1277"/>
      <c r="S1024" s="1277"/>
      <c r="T1024" s="1277"/>
      <c r="U1024" s="1277"/>
      <c r="V1024" s="1277"/>
      <c r="W1024" s="1277"/>
      <c r="X1024" s="1277"/>
    </row>
    <row r="1025" spans="6:24">
      <c r="F1025" s="921"/>
      <c r="G1025" s="1277"/>
      <c r="H1025" s="921"/>
      <c r="I1025" s="1277"/>
      <c r="J1025" s="921"/>
      <c r="K1025" s="1277"/>
      <c r="L1025" s="1277"/>
      <c r="M1025" s="919"/>
      <c r="N1025" s="919"/>
      <c r="O1025" s="919"/>
      <c r="P1025" s="1277"/>
      <c r="Q1025" s="1277"/>
      <c r="R1025" s="1277"/>
      <c r="S1025" s="1277"/>
      <c r="T1025" s="1277"/>
      <c r="U1025" s="1277"/>
      <c r="V1025" s="1277"/>
      <c r="W1025" s="1277"/>
      <c r="X1025" s="1277"/>
    </row>
    <row r="1026" spans="6:24">
      <c r="F1026" s="921"/>
      <c r="G1026" s="1277"/>
      <c r="H1026" s="921"/>
      <c r="I1026" s="1277"/>
      <c r="J1026" s="921"/>
      <c r="K1026" s="1277"/>
      <c r="L1026" s="1277"/>
      <c r="M1026" s="919"/>
      <c r="N1026" s="919"/>
      <c r="O1026" s="919"/>
      <c r="P1026" s="1277"/>
      <c r="Q1026" s="1277"/>
      <c r="R1026" s="1277"/>
      <c r="S1026" s="1277"/>
      <c r="T1026" s="1277"/>
      <c r="U1026" s="1277"/>
      <c r="V1026" s="1277"/>
      <c r="W1026" s="1277"/>
      <c r="X1026" s="1277"/>
    </row>
    <row r="1027" spans="6:24">
      <c r="F1027" s="921"/>
      <c r="G1027" s="1277"/>
      <c r="H1027" s="921"/>
      <c r="I1027" s="1277"/>
      <c r="J1027" s="921"/>
      <c r="K1027" s="1277"/>
      <c r="L1027" s="1277"/>
      <c r="M1027" s="919"/>
      <c r="N1027" s="919"/>
      <c r="O1027" s="919"/>
      <c r="P1027" s="1277"/>
      <c r="Q1027" s="1277"/>
      <c r="R1027" s="1277"/>
      <c r="S1027" s="1277"/>
      <c r="T1027" s="1277"/>
      <c r="U1027" s="1277"/>
      <c r="V1027" s="1277"/>
      <c r="W1027" s="1277"/>
      <c r="X1027" s="1277"/>
    </row>
    <row r="1028" spans="6:24">
      <c r="F1028" s="921"/>
      <c r="G1028" s="1277"/>
      <c r="H1028" s="921"/>
      <c r="I1028" s="1277"/>
      <c r="J1028" s="921"/>
      <c r="K1028" s="1277"/>
      <c r="L1028" s="1277"/>
      <c r="M1028" s="919"/>
      <c r="N1028" s="919"/>
      <c r="O1028" s="919"/>
      <c r="P1028" s="1277"/>
      <c r="Q1028" s="1277"/>
      <c r="R1028" s="1277"/>
      <c r="S1028" s="1277"/>
      <c r="T1028" s="1277"/>
      <c r="U1028" s="1277"/>
      <c r="V1028" s="1277"/>
      <c r="W1028" s="1277"/>
      <c r="X1028" s="1277"/>
    </row>
    <row r="1029" spans="6:24">
      <c r="F1029" s="921"/>
      <c r="G1029" s="1277"/>
      <c r="H1029" s="921"/>
      <c r="I1029" s="1277"/>
      <c r="J1029" s="921"/>
      <c r="K1029" s="1277"/>
      <c r="L1029" s="1277"/>
      <c r="M1029" s="919"/>
      <c r="N1029" s="919"/>
      <c r="O1029" s="919"/>
      <c r="P1029" s="1277"/>
      <c r="Q1029" s="1277"/>
      <c r="R1029" s="1277"/>
      <c r="S1029" s="1277"/>
      <c r="T1029" s="1277"/>
      <c r="U1029" s="1277"/>
      <c r="V1029" s="1277"/>
      <c r="W1029" s="1277"/>
      <c r="X1029" s="1277"/>
    </row>
    <row r="1030" spans="6:24">
      <c r="F1030" s="921"/>
      <c r="G1030" s="1277"/>
      <c r="H1030" s="921"/>
      <c r="I1030" s="1277"/>
      <c r="J1030" s="921"/>
      <c r="K1030" s="1277"/>
      <c r="L1030" s="1277"/>
      <c r="M1030" s="919"/>
      <c r="N1030" s="919"/>
      <c r="O1030" s="919"/>
      <c r="P1030" s="1277"/>
      <c r="Q1030" s="1277"/>
      <c r="R1030" s="1277"/>
      <c r="S1030" s="1277"/>
      <c r="T1030" s="1277"/>
      <c r="U1030" s="1277"/>
      <c r="V1030" s="1277"/>
      <c r="W1030" s="1277"/>
      <c r="X1030" s="1277"/>
    </row>
    <row r="1031" spans="6:24">
      <c r="F1031" s="921"/>
      <c r="G1031" s="1277"/>
      <c r="H1031" s="921"/>
      <c r="I1031" s="1277"/>
      <c r="J1031" s="921"/>
      <c r="K1031" s="1277"/>
      <c r="L1031" s="1277"/>
      <c r="M1031" s="919"/>
      <c r="N1031" s="919"/>
      <c r="O1031" s="919"/>
      <c r="P1031" s="1277"/>
      <c r="Q1031" s="1277"/>
      <c r="R1031" s="1277"/>
      <c r="S1031" s="1277"/>
      <c r="T1031" s="1277"/>
      <c r="U1031" s="1277"/>
      <c r="V1031" s="1277"/>
      <c r="W1031" s="1277"/>
      <c r="X1031" s="1277"/>
    </row>
    <row r="1032" spans="6:24">
      <c r="F1032" s="921"/>
      <c r="G1032" s="1277"/>
      <c r="H1032" s="921"/>
      <c r="I1032" s="1277"/>
      <c r="J1032" s="921"/>
      <c r="K1032" s="1277"/>
      <c r="L1032" s="1277"/>
      <c r="M1032" s="919"/>
      <c r="N1032" s="919"/>
      <c r="O1032" s="919"/>
      <c r="P1032" s="1277"/>
      <c r="Q1032" s="1277"/>
      <c r="R1032" s="1277"/>
      <c r="S1032" s="1277"/>
      <c r="T1032" s="1277"/>
      <c r="U1032" s="1277"/>
      <c r="V1032" s="1277"/>
      <c r="W1032" s="1277"/>
      <c r="X1032" s="1277"/>
    </row>
    <row r="1033" spans="6:24">
      <c r="F1033" s="921"/>
      <c r="G1033" s="1277"/>
      <c r="H1033" s="921"/>
      <c r="I1033" s="1277"/>
      <c r="J1033" s="921"/>
      <c r="K1033" s="1277"/>
      <c r="L1033" s="1277"/>
      <c r="M1033" s="919"/>
      <c r="N1033" s="919"/>
      <c r="O1033" s="919"/>
      <c r="P1033" s="1277"/>
      <c r="Q1033" s="1277"/>
      <c r="R1033" s="1277"/>
      <c r="S1033" s="1277"/>
      <c r="T1033" s="1277"/>
      <c r="U1033" s="1277"/>
      <c r="V1033" s="1277"/>
      <c r="W1033" s="1277"/>
      <c r="X1033" s="1277"/>
    </row>
    <row r="1034" spans="6:24">
      <c r="F1034" s="921"/>
      <c r="G1034" s="1277"/>
      <c r="H1034" s="921"/>
      <c r="I1034" s="1277"/>
      <c r="J1034" s="921"/>
      <c r="K1034" s="1277"/>
      <c r="L1034" s="1277"/>
      <c r="M1034" s="919"/>
      <c r="N1034" s="919"/>
      <c r="O1034" s="919"/>
      <c r="P1034" s="1277"/>
      <c r="Q1034" s="1277"/>
      <c r="R1034" s="1277"/>
      <c r="S1034" s="1277"/>
      <c r="T1034" s="1277"/>
      <c r="U1034" s="1277"/>
      <c r="V1034" s="1277"/>
      <c r="W1034" s="1277"/>
      <c r="X1034" s="1277"/>
    </row>
    <row r="1035" spans="6:24">
      <c r="F1035" s="921"/>
      <c r="G1035" s="1277"/>
      <c r="H1035" s="921"/>
      <c r="I1035" s="1277"/>
      <c r="J1035" s="921"/>
      <c r="K1035" s="1277"/>
      <c r="L1035" s="1277"/>
      <c r="M1035" s="919"/>
      <c r="N1035" s="919"/>
      <c r="O1035" s="919"/>
      <c r="P1035" s="1277"/>
      <c r="Q1035" s="1277"/>
      <c r="R1035" s="1277"/>
      <c r="S1035" s="1277"/>
      <c r="T1035" s="1277"/>
      <c r="U1035" s="1277"/>
      <c r="V1035" s="1277"/>
      <c r="W1035" s="1277"/>
      <c r="X1035" s="1277"/>
    </row>
    <row r="1036" spans="6:24">
      <c r="F1036" s="921"/>
      <c r="G1036" s="1277"/>
      <c r="H1036" s="921"/>
      <c r="I1036" s="1277"/>
      <c r="J1036" s="921"/>
      <c r="K1036" s="1277"/>
      <c r="L1036" s="1277"/>
      <c r="M1036" s="919"/>
      <c r="N1036" s="919"/>
      <c r="O1036" s="919"/>
      <c r="P1036" s="1277"/>
      <c r="Q1036" s="1277"/>
      <c r="R1036" s="1277"/>
      <c r="S1036" s="1277"/>
      <c r="T1036" s="1277"/>
      <c r="U1036" s="1277"/>
      <c r="V1036" s="1277"/>
      <c r="W1036" s="1277"/>
      <c r="X1036" s="1277"/>
    </row>
    <row r="1037" spans="6:24">
      <c r="F1037" s="921"/>
      <c r="G1037" s="1277"/>
      <c r="H1037" s="921"/>
      <c r="I1037" s="1277"/>
      <c r="J1037" s="921"/>
      <c r="K1037" s="1277"/>
      <c r="L1037" s="1277"/>
      <c r="M1037" s="919"/>
      <c r="N1037" s="919"/>
      <c r="O1037" s="919"/>
      <c r="P1037" s="1277"/>
      <c r="Q1037" s="1277"/>
      <c r="R1037" s="1277"/>
      <c r="S1037" s="1277"/>
      <c r="T1037" s="1277"/>
      <c r="U1037" s="1277"/>
      <c r="V1037" s="1277"/>
      <c r="W1037" s="1277"/>
      <c r="X1037" s="1277"/>
    </row>
    <row r="1038" spans="6:24">
      <c r="F1038" s="921"/>
      <c r="G1038" s="1277"/>
      <c r="H1038" s="921"/>
      <c r="I1038" s="1277"/>
      <c r="J1038" s="921"/>
      <c r="K1038" s="1277"/>
      <c r="L1038" s="1277"/>
      <c r="M1038" s="919"/>
      <c r="N1038" s="919"/>
      <c r="O1038" s="919"/>
      <c r="P1038" s="1277"/>
      <c r="Q1038" s="1277"/>
      <c r="R1038" s="1277"/>
      <c r="S1038" s="1277"/>
      <c r="T1038" s="1277"/>
      <c r="U1038" s="1277"/>
      <c r="V1038" s="1277"/>
      <c r="W1038" s="1277"/>
      <c r="X1038" s="1277"/>
    </row>
    <row r="1039" spans="6:24">
      <c r="F1039" s="921"/>
      <c r="G1039" s="1277"/>
      <c r="H1039" s="921"/>
      <c r="I1039" s="1277"/>
      <c r="J1039" s="921"/>
      <c r="K1039" s="1277"/>
      <c r="L1039" s="1277"/>
      <c r="M1039" s="919"/>
      <c r="N1039" s="919"/>
      <c r="O1039" s="919"/>
      <c r="P1039" s="1277"/>
      <c r="Q1039" s="1277"/>
      <c r="R1039" s="1277"/>
      <c r="S1039" s="1277"/>
      <c r="T1039" s="1277"/>
      <c r="U1039" s="1277"/>
      <c r="V1039" s="1277"/>
      <c r="W1039" s="1277"/>
      <c r="X1039" s="1277"/>
    </row>
    <row r="1040" spans="6:24">
      <c r="F1040" s="921"/>
      <c r="G1040" s="1277"/>
      <c r="H1040" s="921"/>
      <c r="I1040" s="1277"/>
      <c r="J1040" s="921"/>
      <c r="K1040" s="1277"/>
      <c r="L1040" s="1277"/>
      <c r="M1040" s="919"/>
      <c r="N1040" s="919"/>
      <c r="O1040" s="919"/>
      <c r="P1040" s="1277"/>
      <c r="Q1040" s="1277"/>
      <c r="R1040" s="1277"/>
      <c r="S1040" s="1277"/>
      <c r="T1040" s="1277"/>
      <c r="U1040" s="1277"/>
      <c r="V1040" s="1277"/>
      <c r="W1040" s="1277"/>
      <c r="X1040" s="1277"/>
    </row>
    <row r="1041" spans="6:24">
      <c r="F1041" s="921"/>
      <c r="G1041" s="1277"/>
      <c r="H1041" s="921"/>
      <c r="I1041" s="1277"/>
      <c r="J1041" s="921"/>
      <c r="K1041" s="1277"/>
      <c r="L1041" s="1277"/>
      <c r="M1041" s="919"/>
      <c r="N1041" s="919"/>
      <c r="O1041" s="919"/>
      <c r="P1041" s="1277"/>
      <c r="Q1041" s="1277"/>
      <c r="R1041" s="1277"/>
      <c r="S1041" s="1277"/>
      <c r="T1041" s="1277"/>
      <c r="U1041" s="1277"/>
      <c r="V1041" s="1277"/>
      <c r="W1041" s="1277"/>
      <c r="X1041" s="1277"/>
    </row>
    <row r="1042" spans="6:24">
      <c r="F1042" s="921"/>
      <c r="G1042" s="1277"/>
      <c r="H1042" s="921"/>
      <c r="I1042" s="1277"/>
      <c r="J1042" s="921"/>
      <c r="K1042" s="1277"/>
      <c r="L1042" s="1277"/>
      <c r="M1042" s="919"/>
      <c r="N1042" s="919"/>
      <c r="O1042" s="919"/>
      <c r="P1042" s="1277"/>
      <c r="Q1042" s="1277"/>
      <c r="R1042" s="1277"/>
      <c r="S1042" s="1277"/>
      <c r="T1042" s="1277"/>
      <c r="U1042" s="1277"/>
      <c r="V1042" s="1277"/>
      <c r="W1042" s="1277"/>
      <c r="X1042" s="1277"/>
    </row>
    <row r="1043" spans="6:24">
      <c r="F1043" s="921"/>
      <c r="G1043" s="1277"/>
      <c r="H1043" s="921"/>
      <c r="I1043" s="1277"/>
      <c r="J1043" s="921"/>
      <c r="K1043" s="1277"/>
      <c r="L1043" s="1277"/>
      <c r="M1043" s="919"/>
      <c r="N1043" s="919"/>
      <c r="O1043" s="919"/>
      <c r="P1043" s="1277"/>
      <c r="Q1043" s="1277"/>
      <c r="R1043" s="1277"/>
      <c r="S1043" s="1277"/>
      <c r="T1043" s="1277"/>
      <c r="U1043" s="1277"/>
      <c r="V1043" s="1277"/>
      <c r="W1043" s="1277"/>
      <c r="X1043" s="1277"/>
    </row>
    <row r="1044" spans="6:24">
      <c r="F1044" s="921"/>
      <c r="G1044" s="1277"/>
      <c r="H1044" s="921"/>
      <c r="I1044" s="1277"/>
      <c r="J1044" s="921"/>
      <c r="K1044" s="1277"/>
      <c r="L1044" s="1277"/>
      <c r="M1044" s="919"/>
      <c r="N1044" s="919"/>
      <c r="O1044" s="919"/>
      <c r="P1044" s="1277"/>
      <c r="Q1044" s="1277"/>
      <c r="R1044" s="1277"/>
      <c r="S1044" s="1277"/>
      <c r="T1044" s="1277"/>
      <c r="U1044" s="1277"/>
      <c r="V1044" s="1277"/>
      <c r="W1044" s="1277"/>
      <c r="X1044" s="1277"/>
    </row>
    <row r="1045" spans="6:24">
      <c r="F1045" s="921"/>
      <c r="G1045" s="1277"/>
      <c r="H1045" s="921"/>
      <c r="I1045" s="1277"/>
      <c r="J1045" s="921"/>
      <c r="K1045" s="1277"/>
      <c r="L1045" s="1277"/>
      <c r="M1045" s="919"/>
      <c r="N1045" s="919"/>
      <c r="O1045" s="919"/>
      <c r="P1045" s="1277"/>
      <c r="Q1045" s="1277"/>
      <c r="R1045" s="1277"/>
      <c r="S1045" s="1277"/>
      <c r="T1045" s="1277"/>
      <c r="U1045" s="1277"/>
      <c r="V1045" s="1277"/>
      <c r="W1045" s="1277"/>
      <c r="X1045" s="1277"/>
    </row>
    <row r="1046" spans="6:24">
      <c r="F1046" s="921"/>
      <c r="G1046" s="1277"/>
      <c r="H1046" s="921"/>
      <c r="I1046" s="1277"/>
      <c r="J1046" s="921"/>
      <c r="K1046" s="1277"/>
      <c r="L1046" s="1277"/>
      <c r="M1046" s="919"/>
      <c r="N1046" s="919"/>
      <c r="O1046" s="919"/>
      <c r="P1046" s="1277"/>
      <c r="Q1046" s="1277"/>
      <c r="R1046" s="1277"/>
      <c r="S1046" s="1277"/>
      <c r="T1046" s="1277"/>
      <c r="U1046" s="1277"/>
      <c r="V1046" s="1277"/>
      <c r="W1046" s="1277"/>
      <c r="X1046" s="1277"/>
    </row>
    <row r="1047" spans="6:24">
      <c r="F1047" s="921"/>
      <c r="G1047" s="1277"/>
      <c r="H1047" s="921"/>
      <c r="I1047" s="1277"/>
      <c r="J1047" s="921"/>
      <c r="K1047" s="1277"/>
      <c r="L1047" s="1277"/>
      <c r="M1047" s="919"/>
      <c r="N1047" s="919"/>
      <c r="O1047" s="919"/>
      <c r="P1047" s="1277"/>
      <c r="Q1047" s="1277"/>
      <c r="R1047" s="1277"/>
      <c r="S1047" s="1277"/>
      <c r="T1047" s="1277"/>
      <c r="U1047" s="1277"/>
      <c r="V1047" s="1277"/>
      <c r="W1047" s="1277"/>
      <c r="X1047" s="1277"/>
    </row>
    <row r="1048" spans="6:24">
      <c r="F1048" s="921"/>
      <c r="G1048" s="1277"/>
      <c r="H1048" s="921"/>
      <c r="I1048" s="1277"/>
      <c r="J1048" s="921"/>
      <c r="K1048" s="1277"/>
      <c r="L1048" s="1277"/>
      <c r="M1048" s="919"/>
      <c r="N1048" s="919"/>
      <c r="O1048" s="919"/>
      <c r="P1048" s="1277"/>
      <c r="Q1048" s="1277"/>
      <c r="R1048" s="1277"/>
      <c r="S1048" s="1277"/>
      <c r="T1048" s="1277"/>
      <c r="U1048" s="1277"/>
      <c r="V1048" s="1277"/>
      <c r="W1048" s="1277"/>
      <c r="X1048" s="1277"/>
    </row>
    <row r="1049" spans="6:24">
      <c r="F1049" s="921"/>
      <c r="G1049" s="1277"/>
      <c r="H1049" s="921"/>
      <c r="I1049" s="1277"/>
      <c r="J1049" s="921"/>
      <c r="K1049" s="1277"/>
      <c r="L1049" s="1277"/>
      <c r="M1049" s="919"/>
      <c r="N1049" s="919"/>
      <c r="O1049" s="919"/>
      <c r="P1049" s="1277"/>
      <c r="Q1049" s="1277"/>
      <c r="R1049" s="1277"/>
      <c r="S1049" s="1277"/>
      <c r="T1049" s="1277"/>
      <c r="U1049" s="1277"/>
      <c r="V1049" s="1277"/>
      <c r="W1049" s="1277"/>
      <c r="X1049" s="1277"/>
    </row>
    <row r="1050" spans="6:24">
      <c r="F1050" s="921"/>
      <c r="G1050" s="1277"/>
      <c r="H1050" s="921"/>
      <c r="I1050" s="1277"/>
      <c r="J1050" s="921"/>
      <c r="K1050" s="1277"/>
      <c r="L1050" s="1277"/>
      <c r="M1050" s="919"/>
      <c r="N1050" s="919"/>
      <c r="O1050" s="919"/>
      <c r="P1050" s="1277"/>
      <c r="Q1050" s="1277"/>
      <c r="R1050" s="1277"/>
      <c r="S1050" s="1277"/>
      <c r="T1050" s="1277"/>
      <c r="U1050" s="1277"/>
      <c r="V1050" s="1277"/>
      <c r="W1050" s="1277"/>
      <c r="X1050" s="1277"/>
    </row>
    <row r="1051" spans="6:24">
      <c r="F1051" s="921"/>
      <c r="G1051" s="1277"/>
      <c r="H1051" s="921"/>
      <c r="I1051" s="1277"/>
      <c r="J1051" s="921"/>
      <c r="K1051" s="1277"/>
      <c r="L1051" s="1277"/>
      <c r="M1051" s="919"/>
      <c r="N1051" s="919"/>
      <c r="O1051" s="919"/>
      <c r="P1051" s="1277"/>
      <c r="Q1051" s="1277"/>
      <c r="R1051" s="1277"/>
      <c r="S1051" s="1277"/>
      <c r="T1051" s="1277"/>
      <c r="U1051" s="1277"/>
      <c r="V1051" s="1277"/>
      <c r="W1051" s="1277"/>
      <c r="X1051" s="1277"/>
    </row>
    <row r="1052" spans="6:24">
      <c r="F1052" s="921"/>
      <c r="G1052" s="1277"/>
      <c r="H1052" s="921"/>
      <c r="I1052" s="1277"/>
      <c r="J1052" s="921"/>
      <c r="K1052" s="1277"/>
      <c r="L1052" s="1277"/>
      <c r="M1052" s="919"/>
      <c r="N1052" s="919"/>
      <c r="O1052" s="919"/>
      <c r="P1052" s="1277"/>
      <c r="Q1052" s="1277"/>
      <c r="R1052" s="1277"/>
      <c r="S1052" s="1277"/>
      <c r="T1052" s="1277"/>
      <c r="U1052" s="1277"/>
      <c r="V1052" s="1277"/>
      <c r="W1052" s="1277"/>
      <c r="X1052" s="1277"/>
    </row>
    <row r="1053" spans="6:24">
      <c r="F1053" s="921"/>
      <c r="G1053" s="1277"/>
      <c r="H1053" s="921"/>
      <c r="I1053" s="1277"/>
      <c r="J1053" s="921"/>
      <c r="K1053" s="1277"/>
      <c r="L1053" s="1277"/>
      <c r="M1053" s="919"/>
      <c r="N1053" s="919"/>
      <c r="O1053" s="919"/>
      <c r="P1053" s="1277"/>
      <c r="Q1053" s="1277"/>
      <c r="R1053" s="1277"/>
      <c r="S1053" s="1277"/>
      <c r="T1053" s="1277"/>
      <c r="U1053" s="1277"/>
      <c r="V1053" s="1277"/>
      <c r="W1053" s="1277"/>
      <c r="X1053" s="1277"/>
    </row>
    <row r="1054" spans="6:24">
      <c r="F1054" s="921"/>
      <c r="G1054" s="1277"/>
      <c r="H1054" s="921"/>
      <c r="I1054" s="1277"/>
      <c r="J1054" s="921"/>
      <c r="K1054" s="1277"/>
      <c r="L1054" s="1277"/>
      <c r="M1054" s="919"/>
      <c r="N1054" s="919"/>
      <c r="O1054" s="919"/>
      <c r="P1054" s="1277"/>
      <c r="Q1054" s="1277"/>
      <c r="R1054" s="1277"/>
      <c r="S1054" s="1277"/>
      <c r="T1054" s="1277"/>
      <c r="U1054" s="1277"/>
      <c r="V1054" s="1277"/>
      <c r="W1054" s="1277"/>
      <c r="X1054" s="1277"/>
    </row>
    <row r="1055" spans="6:24">
      <c r="F1055" s="921"/>
      <c r="G1055" s="1277"/>
      <c r="H1055" s="921"/>
      <c r="I1055" s="1277"/>
      <c r="J1055" s="921"/>
      <c r="K1055" s="1277"/>
      <c r="L1055" s="1277"/>
      <c r="M1055" s="919"/>
      <c r="N1055" s="919"/>
      <c r="O1055" s="919"/>
      <c r="P1055" s="1277"/>
      <c r="Q1055" s="1277"/>
      <c r="R1055" s="1277"/>
      <c r="S1055" s="1277"/>
      <c r="T1055" s="1277"/>
      <c r="U1055" s="1277"/>
      <c r="V1055" s="1277"/>
      <c r="W1055" s="1277"/>
      <c r="X1055" s="1277"/>
    </row>
    <row r="1056" spans="6:24">
      <c r="F1056" s="921"/>
      <c r="G1056" s="1277"/>
      <c r="H1056" s="921"/>
      <c r="I1056" s="1277"/>
      <c r="J1056" s="921"/>
      <c r="K1056" s="1277"/>
      <c r="L1056" s="1277"/>
      <c r="M1056" s="919"/>
      <c r="N1056" s="919"/>
      <c r="O1056" s="919"/>
      <c r="P1056" s="1277"/>
      <c r="Q1056" s="1277"/>
      <c r="R1056" s="1277"/>
      <c r="S1056" s="1277"/>
      <c r="T1056" s="1277"/>
      <c r="U1056" s="1277"/>
      <c r="V1056" s="1277"/>
      <c r="W1056" s="1277"/>
      <c r="X1056" s="1277"/>
    </row>
    <row r="1057" spans="6:24">
      <c r="F1057" s="921"/>
      <c r="G1057" s="1277"/>
      <c r="H1057" s="921"/>
      <c r="I1057" s="1277"/>
      <c r="J1057" s="921"/>
      <c r="K1057" s="1277"/>
      <c r="L1057" s="1277"/>
      <c r="M1057" s="919"/>
      <c r="N1057" s="919"/>
      <c r="O1057" s="919"/>
      <c r="P1057" s="1277"/>
      <c r="Q1057" s="1277"/>
      <c r="R1057" s="1277"/>
      <c r="S1057" s="1277"/>
      <c r="T1057" s="1277"/>
      <c r="U1057" s="1277"/>
      <c r="V1057" s="1277"/>
      <c r="W1057" s="1277"/>
      <c r="X1057" s="1277"/>
    </row>
    <row r="1058" spans="6:24">
      <c r="F1058" s="921"/>
      <c r="G1058" s="1277"/>
      <c r="H1058" s="921"/>
      <c r="I1058" s="1277"/>
      <c r="J1058" s="921"/>
      <c r="K1058" s="1277"/>
      <c r="L1058" s="1277"/>
      <c r="M1058" s="919"/>
      <c r="N1058" s="919"/>
      <c r="O1058" s="919"/>
      <c r="P1058" s="1277"/>
      <c r="Q1058" s="1277"/>
      <c r="R1058" s="1277"/>
      <c r="S1058" s="1277"/>
      <c r="T1058" s="1277"/>
      <c r="U1058" s="1277"/>
      <c r="V1058" s="1277"/>
      <c r="W1058" s="1277"/>
      <c r="X1058" s="1277"/>
    </row>
    <row r="1059" spans="6:24">
      <c r="F1059" s="921"/>
      <c r="G1059" s="1277"/>
      <c r="H1059" s="921"/>
      <c r="I1059" s="1277"/>
      <c r="J1059" s="921"/>
      <c r="K1059" s="1277"/>
      <c r="L1059" s="1277"/>
      <c r="M1059" s="919"/>
      <c r="N1059" s="919"/>
      <c r="O1059" s="919"/>
      <c r="P1059" s="1277"/>
      <c r="Q1059" s="1277"/>
      <c r="R1059" s="1277"/>
      <c r="S1059" s="1277"/>
      <c r="T1059" s="1277"/>
      <c r="U1059" s="1277"/>
      <c r="V1059" s="1277"/>
      <c r="W1059" s="1277"/>
      <c r="X1059" s="1277"/>
    </row>
    <row r="1060" spans="6:24">
      <c r="F1060" s="921"/>
      <c r="G1060" s="1277"/>
      <c r="H1060" s="921"/>
      <c r="I1060" s="1277"/>
      <c r="J1060" s="921"/>
      <c r="K1060" s="1277"/>
      <c r="L1060" s="1277"/>
      <c r="M1060" s="919"/>
      <c r="N1060" s="919"/>
      <c r="O1060" s="919"/>
      <c r="P1060" s="1277"/>
      <c r="Q1060" s="1277"/>
      <c r="R1060" s="1277"/>
      <c r="S1060" s="1277"/>
      <c r="T1060" s="1277"/>
      <c r="U1060" s="1277"/>
      <c r="V1060" s="1277"/>
      <c r="W1060" s="1277"/>
      <c r="X1060" s="1277"/>
    </row>
    <row r="1061" spans="6:24">
      <c r="F1061" s="921"/>
      <c r="G1061" s="1277"/>
      <c r="H1061" s="921"/>
      <c r="I1061" s="1277"/>
      <c r="J1061" s="921"/>
      <c r="K1061" s="1277"/>
      <c r="L1061" s="1277"/>
      <c r="M1061" s="919"/>
      <c r="N1061" s="919"/>
      <c r="O1061" s="919"/>
      <c r="P1061" s="1277"/>
      <c r="Q1061" s="1277"/>
      <c r="R1061" s="1277"/>
      <c r="S1061" s="1277"/>
      <c r="T1061" s="1277"/>
      <c r="U1061" s="1277"/>
      <c r="V1061" s="1277"/>
      <c r="W1061" s="1277"/>
      <c r="X1061" s="1277"/>
    </row>
    <row r="1062" spans="6:24">
      <c r="F1062" s="921"/>
      <c r="G1062" s="1277"/>
      <c r="H1062" s="921"/>
      <c r="I1062" s="1277"/>
      <c r="J1062" s="921"/>
      <c r="K1062" s="1277"/>
      <c r="L1062" s="1277"/>
      <c r="M1062" s="919"/>
      <c r="N1062" s="919"/>
      <c r="O1062" s="919"/>
      <c r="P1062" s="1277"/>
      <c r="Q1062" s="1277"/>
      <c r="R1062" s="1277"/>
      <c r="S1062" s="1277"/>
      <c r="T1062" s="1277"/>
      <c r="U1062" s="1277"/>
      <c r="V1062" s="1277"/>
      <c r="W1062" s="1277"/>
      <c r="X1062" s="1277"/>
    </row>
    <row r="1063" spans="6:24">
      <c r="F1063" s="921"/>
      <c r="G1063" s="1277"/>
      <c r="H1063" s="921"/>
      <c r="I1063" s="1277"/>
      <c r="J1063" s="921"/>
      <c r="K1063" s="1277"/>
      <c r="L1063" s="1277"/>
      <c r="M1063" s="919"/>
      <c r="N1063" s="919"/>
      <c r="O1063" s="919"/>
      <c r="P1063" s="1277"/>
      <c r="Q1063" s="1277"/>
      <c r="R1063" s="1277"/>
      <c r="S1063" s="1277"/>
      <c r="T1063" s="1277"/>
      <c r="U1063" s="1277"/>
      <c r="V1063" s="1277"/>
      <c r="W1063" s="1277"/>
      <c r="X1063" s="1277"/>
    </row>
    <row r="1064" spans="6:24">
      <c r="F1064" s="921"/>
      <c r="G1064" s="1277"/>
      <c r="H1064" s="921"/>
      <c r="I1064" s="1277"/>
      <c r="J1064" s="921"/>
      <c r="K1064" s="1277"/>
      <c r="L1064" s="1277"/>
      <c r="M1064" s="919"/>
      <c r="N1064" s="919"/>
      <c r="O1064" s="919"/>
      <c r="P1064" s="1277"/>
      <c r="Q1064" s="1277"/>
      <c r="R1064" s="1277"/>
      <c r="S1064" s="1277"/>
      <c r="T1064" s="1277"/>
      <c r="U1064" s="1277"/>
      <c r="V1064" s="1277"/>
      <c r="W1064" s="1277"/>
      <c r="X1064" s="1277"/>
    </row>
    <row r="1065" spans="6:24">
      <c r="F1065" s="921"/>
      <c r="G1065" s="1277"/>
      <c r="H1065" s="921"/>
      <c r="I1065" s="1277"/>
      <c r="J1065" s="921"/>
      <c r="K1065" s="1277"/>
      <c r="L1065" s="1277"/>
      <c r="M1065" s="919"/>
      <c r="N1065" s="919"/>
      <c r="O1065" s="919"/>
      <c r="P1065" s="1277"/>
      <c r="Q1065" s="1277"/>
      <c r="R1065" s="1277"/>
      <c r="S1065" s="1277"/>
      <c r="T1065" s="1277"/>
      <c r="U1065" s="1277"/>
      <c r="V1065" s="1277"/>
      <c r="W1065" s="1277"/>
      <c r="X1065" s="1277"/>
    </row>
    <row r="1066" spans="6:24">
      <c r="F1066" s="921"/>
      <c r="G1066" s="1277"/>
      <c r="H1066" s="921"/>
      <c r="I1066" s="1277"/>
      <c r="J1066" s="921"/>
      <c r="K1066" s="1277"/>
      <c r="L1066" s="1277"/>
      <c r="M1066" s="919"/>
      <c r="N1066" s="919"/>
      <c r="O1066" s="919"/>
      <c r="P1066" s="1277"/>
      <c r="Q1066" s="1277"/>
      <c r="R1066" s="1277"/>
      <c r="S1066" s="1277"/>
      <c r="T1066" s="1277"/>
      <c r="U1066" s="1277"/>
      <c r="V1066" s="1277"/>
      <c r="W1066" s="1277"/>
      <c r="X1066" s="1277"/>
    </row>
    <row r="1067" spans="6:24">
      <c r="F1067" s="921"/>
      <c r="G1067" s="1277"/>
      <c r="H1067" s="921"/>
      <c r="I1067" s="1277"/>
      <c r="J1067" s="921"/>
      <c r="K1067" s="1277"/>
      <c r="L1067" s="1277"/>
      <c r="M1067" s="919"/>
      <c r="N1067" s="919"/>
      <c r="O1067" s="919"/>
      <c r="P1067" s="1277"/>
      <c r="Q1067" s="1277"/>
      <c r="R1067" s="1277"/>
      <c r="S1067" s="1277"/>
      <c r="T1067" s="1277"/>
      <c r="U1067" s="1277"/>
      <c r="V1067" s="1277"/>
      <c r="W1067" s="1277"/>
      <c r="X1067" s="1277"/>
    </row>
    <row r="1068" spans="6:24">
      <c r="F1068" s="921"/>
      <c r="G1068" s="1277"/>
      <c r="H1068" s="921"/>
      <c r="I1068" s="1277"/>
      <c r="J1068" s="921"/>
      <c r="K1068" s="1277"/>
      <c r="L1068" s="1277"/>
      <c r="M1068" s="919"/>
      <c r="N1068" s="919"/>
      <c r="O1068" s="919"/>
      <c r="P1068" s="1277"/>
      <c r="Q1068" s="1277"/>
      <c r="R1068" s="1277"/>
      <c r="S1068" s="1277"/>
      <c r="T1068" s="1277"/>
      <c r="U1068" s="1277"/>
      <c r="V1068" s="1277"/>
      <c r="W1068" s="1277"/>
      <c r="X1068" s="1277"/>
    </row>
    <row r="1069" spans="6:24">
      <c r="F1069" s="921"/>
      <c r="G1069" s="1277"/>
      <c r="H1069" s="921"/>
      <c r="I1069" s="1277"/>
      <c r="J1069" s="921"/>
      <c r="K1069" s="1277"/>
      <c r="L1069" s="1277"/>
      <c r="M1069" s="919"/>
      <c r="N1069" s="919"/>
      <c r="O1069" s="919"/>
      <c r="P1069" s="1277"/>
      <c r="Q1069" s="1277"/>
      <c r="R1069" s="1277"/>
      <c r="S1069" s="1277"/>
      <c r="T1069" s="1277"/>
      <c r="U1069" s="1277"/>
      <c r="V1069" s="1277"/>
      <c r="W1069" s="1277"/>
      <c r="X1069" s="1277"/>
    </row>
    <row r="1070" spans="6:24">
      <c r="F1070" s="921"/>
      <c r="G1070" s="1277"/>
      <c r="H1070" s="921"/>
      <c r="I1070" s="1277"/>
      <c r="J1070" s="921"/>
      <c r="K1070" s="1277"/>
      <c r="L1070" s="1277"/>
      <c r="M1070" s="919"/>
      <c r="N1070" s="919"/>
      <c r="O1070" s="919"/>
      <c r="P1070" s="1277"/>
      <c r="Q1070" s="1277"/>
      <c r="R1070" s="1277"/>
      <c r="S1070" s="1277"/>
      <c r="T1070" s="1277"/>
      <c r="U1070" s="1277"/>
      <c r="V1070" s="1277"/>
      <c r="W1070" s="1277"/>
      <c r="X1070" s="1277"/>
    </row>
    <row r="1071" spans="6:24">
      <c r="F1071" s="921"/>
      <c r="G1071" s="1277"/>
      <c r="H1071" s="921"/>
      <c r="I1071" s="1277"/>
      <c r="J1071" s="921"/>
      <c r="K1071" s="1277"/>
      <c r="L1071" s="1277"/>
      <c r="M1071" s="919"/>
      <c r="N1071" s="919"/>
      <c r="O1071" s="919"/>
      <c r="P1071" s="1277"/>
      <c r="Q1071" s="1277"/>
      <c r="R1071" s="1277"/>
      <c r="S1071" s="1277"/>
      <c r="T1071" s="1277"/>
      <c r="U1071" s="1277"/>
      <c r="V1071" s="1277"/>
      <c r="W1071" s="1277"/>
      <c r="X1071" s="1277"/>
    </row>
    <row r="1072" spans="6:24">
      <c r="F1072" s="921"/>
      <c r="G1072" s="1277"/>
      <c r="H1072" s="921"/>
      <c r="I1072" s="1277"/>
      <c r="J1072" s="921"/>
      <c r="K1072" s="1277"/>
      <c r="L1072" s="1277"/>
      <c r="M1072" s="919"/>
      <c r="N1072" s="919"/>
      <c r="O1072" s="919"/>
      <c r="P1072" s="1277"/>
      <c r="Q1072" s="1277"/>
      <c r="R1072" s="1277"/>
      <c r="S1072" s="1277"/>
      <c r="T1072" s="1277"/>
      <c r="U1072" s="1277"/>
      <c r="V1072" s="1277"/>
      <c r="W1072" s="1277"/>
      <c r="X1072" s="1277"/>
    </row>
    <row r="1073" spans="6:24">
      <c r="F1073" s="921"/>
      <c r="G1073" s="1277"/>
      <c r="H1073" s="921"/>
      <c r="I1073" s="1277"/>
      <c r="J1073" s="921"/>
      <c r="K1073" s="1277"/>
      <c r="L1073" s="1277"/>
      <c r="M1073" s="919"/>
      <c r="N1073" s="919"/>
      <c r="O1073" s="919"/>
      <c r="P1073" s="1277"/>
      <c r="Q1073" s="1277"/>
      <c r="R1073" s="1277"/>
      <c r="S1073" s="1277"/>
      <c r="T1073" s="1277"/>
      <c r="U1073" s="1277"/>
      <c r="V1073" s="1277"/>
      <c r="W1073" s="1277"/>
      <c r="X1073" s="1277"/>
    </row>
    <row r="1074" spans="6:24">
      <c r="F1074" s="921"/>
      <c r="G1074" s="1277"/>
      <c r="H1074" s="921"/>
      <c r="I1074" s="1277"/>
      <c r="J1074" s="921"/>
      <c r="K1074" s="1277"/>
      <c r="L1074" s="1277"/>
      <c r="M1074" s="919"/>
      <c r="N1074" s="919"/>
      <c r="O1074" s="919"/>
      <c r="P1074" s="1277"/>
      <c r="Q1074" s="1277"/>
      <c r="R1074" s="1277"/>
      <c r="S1074" s="1277"/>
      <c r="T1074" s="1277"/>
      <c r="U1074" s="1277"/>
      <c r="V1074" s="1277"/>
      <c r="W1074" s="1277"/>
      <c r="X1074" s="1277"/>
    </row>
    <row r="1075" spans="6:24">
      <c r="F1075" s="921"/>
      <c r="G1075" s="1277"/>
      <c r="H1075" s="921"/>
      <c r="I1075" s="1277"/>
      <c r="J1075" s="921"/>
      <c r="K1075" s="1277"/>
      <c r="L1075" s="1277"/>
      <c r="M1075" s="919"/>
      <c r="N1075" s="919"/>
      <c r="O1075" s="919"/>
      <c r="P1075" s="1277"/>
      <c r="Q1075" s="1277"/>
      <c r="R1075" s="1277"/>
      <c r="S1075" s="1277"/>
      <c r="T1075" s="1277"/>
      <c r="U1075" s="1277"/>
      <c r="V1075" s="1277"/>
      <c r="W1075" s="1277"/>
      <c r="X1075" s="1277"/>
    </row>
    <row r="1076" spans="6:24">
      <c r="F1076" s="921"/>
      <c r="G1076" s="1277"/>
      <c r="H1076" s="921"/>
      <c r="I1076" s="1277"/>
      <c r="J1076" s="921"/>
      <c r="K1076" s="1277"/>
      <c r="L1076" s="1277"/>
      <c r="M1076" s="919"/>
      <c r="N1076" s="919"/>
      <c r="O1076" s="919"/>
      <c r="P1076" s="1277"/>
      <c r="Q1076" s="1277"/>
      <c r="R1076" s="1277"/>
      <c r="S1076" s="1277"/>
      <c r="T1076" s="1277"/>
      <c r="U1076" s="1277"/>
      <c r="V1076" s="1277"/>
      <c r="W1076" s="1277"/>
      <c r="X1076" s="1277"/>
    </row>
    <row r="1077" spans="6:24">
      <c r="F1077" s="921"/>
      <c r="G1077" s="1277"/>
      <c r="H1077" s="921"/>
      <c r="I1077" s="1277"/>
      <c r="J1077" s="921"/>
      <c r="K1077" s="1277"/>
      <c r="L1077" s="1277"/>
      <c r="M1077" s="919"/>
      <c r="N1077" s="919"/>
      <c r="O1077" s="919"/>
      <c r="P1077" s="1277"/>
      <c r="Q1077" s="1277"/>
      <c r="R1077" s="1277"/>
      <c r="S1077" s="1277"/>
      <c r="T1077" s="1277"/>
      <c r="U1077" s="1277"/>
      <c r="V1077" s="1277"/>
      <c r="W1077" s="1277"/>
      <c r="X1077" s="1277"/>
    </row>
    <row r="1078" spans="6:24">
      <c r="F1078" s="921"/>
      <c r="G1078" s="1277"/>
      <c r="H1078" s="921"/>
      <c r="I1078" s="1277"/>
      <c r="J1078" s="921"/>
      <c r="K1078" s="1277"/>
      <c r="L1078" s="1277"/>
      <c r="M1078" s="919"/>
      <c r="N1078" s="919"/>
      <c r="O1078" s="919"/>
      <c r="P1078" s="1277"/>
      <c r="Q1078" s="1277"/>
      <c r="R1078" s="1277"/>
      <c r="S1078" s="1277"/>
      <c r="T1078" s="1277"/>
      <c r="U1078" s="1277"/>
      <c r="V1078" s="1277"/>
      <c r="W1078" s="1277"/>
      <c r="X1078" s="1277"/>
    </row>
    <row r="1079" spans="6:24">
      <c r="F1079" s="921"/>
      <c r="G1079" s="1277"/>
      <c r="H1079" s="921"/>
      <c r="I1079" s="1277"/>
      <c r="J1079" s="921"/>
      <c r="K1079" s="1277"/>
      <c r="L1079" s="1277"/>
      <c r="M1079" s="919"/>
      <c r="N1079" s="919"/>
      <c r="O1079" s="919"/>
      <c r="P1079" s="1277"/>
      <c r="Q1079" s="1277"/>
      <c r="R1079" s="1277"/>
      <c r="S1079" s="1277"/>
      <c r="T1079" s="1277"/>
      <c r="U1079" s="1277"/>
      <c r="V1079" s="1277"/>
      <c r="W1079" s="1277"/>
      <c r="X1079" s="1277"/>
    </row>
    <row r="1080" spans="6:24">
      <c r="F1080" s="921"/>
      <c r="G1080" s="1277"/>
      <c r="H1080" s="921"/>
      <c r="I1080" s="1277"/>
      <c r="J1080" s="921"/>
      <c r="K1080" s="1277"/>
      <c r="L1080" s="1277"/>
      <c r="M1080" s="919"/>
      <c r="N1080" s="919"/>
      <c r="O1080" s="919"/>
      <c r="P1080" s="1277"/>
      <c r="Q1080" s="1277"/>
      <c r="R1080" s="1277"/>
      <c r="S1080" s="1277"/>
      <c r="T1080" s="1277"/>
      <c r="U1080" s="1277"/>
      <c r="V1080" s="1277"/>
      <c r="W1080" s="1277"/>
      <c r="X1080" s="1277"/>
    </row>
    <row r="1081" spans="6:24">
      <c r="F1081" s="921"/>
      <c r="G1081" s="1277"/>
      <c r="H1081" s="921"/>
      <c r="I1081" s="1277"/>
      <c r="J1081" s="921"/>
      <c r="K1081" s="1277"/>
      <c r="L1081" s="1277"/>
      <c r="M1081" s="919"/>
      <c r="N1081" s="919"/>
      <c r="O1081" s="919"/>
      <c r="P1081" s="1277"/>
      <c r="Q1081" s="1277"/>
      <c r="R1081" s="1277"/>
      <c r="S1081" s="1277"/>
      <c r="T1081" s="1277"/>
      <c r="U1081" s="1277"/>
      <c r="V1081" s="1277"/>
      <c r="W1081" s="1277"/>
      <c r="X1081" s="1277"/>
    </row>
    <row r="1082" spans="6:24">
      <c r="F1082" s="921"/>
      <c r="G1082" s="1277"/>
      <c r="H1082" s="921"/>
      <c r="I1082" s="1277"/>
      <c r="J1082" s="921"/>
      <c r="K1082" s="1277"/>
      <c r="L1082" s="1277"/>
      <c r="M1082" s="919"/>
      <c r="N1082" s="919"/>
      <c r="O1082" s="919"/>
      <c r="P1082" s="1277"/>
      <c r="Q1082" s="1277"/>
      <c r="R1082" s="1277"/>
      <c r="S1082" s="1277"/>
      <c r="T1082" s="1277"/>
      <c r="U1082" s="1277"/>
      <c r="V1082" s="1277"/>
      <c r="W1082" s="1277"/>
      <c r="X1082" s="1277"/>
    </row>
    <row r="1083" spans="6:24">
      <c r="F1083" s="921"/>
      <c r="G1083" s="1277"/>
      <c r="H1083" s="921"/>
      <c r="I1083" s="1277"/>
      <c r="J1083" s="921"/>
      <c r="K1083" s="1277"/>
      <c r="L1083" s="1277"/>
      <c r="M1083" s="919"/>
      <c r="N1083" s="919"/>
      <c r="O1083" s="919"/>
      <c r="P1083" s="1277"/>
      <c r="Q1083" s="1277"/>
      <c r="R1083" s="1277"/>
      <c r="S1083" s="1277"/>
      <c r="T1083" s="1277"/>
      <c r="U1083" s="1277"/>
      <c r="V1083" s="1277"/>
      <c r="W1083" s="1277"/>
      <c r="X1083" s="1277"/>
    </row>
    <row r="1084" spans="6:24">
      <c r="F1084" s="921"/>
      <c r="G1084" s="1277"/>
      <c r="H1084" s="921"/>
      <c r="I1084" s="1277"/>
      <c r="J1084" s="921"/>
      <c r="K1084" s="1277"/>
      <c r="L1084" s="1277"/>
      <c r="M1084" s="919"/>
      <c r="N1084" s="919"/>
      <c r="O1084" s="919"/>
      <c r="P1084" s="1277"/>
      <c r="Q1084" s="1277"/>
      <c r="R1084" s="1277"/>
      <c r="S1084" s="1277"/>
      <c r="T1084" s="1277"/>
      <c r="U1084" s="1277"/>
      <c r="V1084" s="1277"/>
      <c r="W1084" s="1277"/>
      <c r="X1084" s="1277"/>
    </row>
    <row r="1085" spans="6:24">
      <c r="F1085" s="921"/>
      <c r="G1085" s="1277"/>
      <c r="H1085" s="921"/>
      <c r="I1085" s="1277"/>
      <c r="J1085" s="921"/>
      <c r="K1085" s="1277"/>
      <c r="L1085" s="1277"/>
      <c r="M1085" s="919"/>
      <c r="N1085" s="919"/>
      <c r="O1085" s="919"/>
      <c r="P1085" s="1277"/>
      <c r="Q1085" s="1277"/>
      <c r="R1085" s="1277"/>
      <c r="S1085" s="1277"/>
      <c r="T1085" s="1277"/>
      <c r="U1085" s="1277"/>
      <c r="V1085" s="1277"/>
      <c r="W1085" s="1277"/>
      <c r="X1085" s="1277"/>
    </row>
    <row r="1086" spans="6:24">
      <c r="F1086" s="921"/>
      <c r="G1086" s="1277"/>
      <c r="H1086" s="921"/>
      <c r="I1086" s="1277"/>
      <c r="J1086" s="921"/>
      <c r="K1086" s="1277"/>
      <c r="L1086" s="1277"/>
      <c r="M1086" s="919"/>
      <c r="N1086" s="919"/>
      <c r="O1086" s="919"/>
      <c r="P1086" s="1277"/>
      <c r="Q1086" s="1277"/>
      <c r="R1086" s="1277"/>
      <c r="S1086" s="1277"/>
      <c r="T1086" s="1277"/>
      <c r="U1086" s="1277"/>
      <c r="V1086" s="1277"/>
      <c r="W1086" s="1277"/>
      <c r="X1086" s="1277"/>
    </row>
    <row r="1087" spans="6:24">
      <c r="F1087" s="921"/>
      <c r="G1087" s="1277"/>
      <c r="H1087" s="921"/>
      <c r="I1087" s="1277"/>
      <c r="J1087" s="921"/>
      <c r="K1087" s="1277"/>
      <c r="L1087" s="1277"/>
      <c r="M1087" s="919"/>
      <c r="N1087" s="919"/>
      <c r="O1087" s="919"/>
      <c r="P1087" s="1277"/>
      <c r="Q1087" s="1277"/>
      <c r="R1087" s="1277"/>
      <c r="S1087" s="1277"/>
      <c r="T1087" s="1277"/>
      <c r="U1087" s="1277"/>
      <c r="V1087" s="1277"/>
      <c r="W1087" s="1277"/>
      <c r="X1087" s="1277"/>
    </row>
    <row r="1088" spans="6:24">
      <c r="F1088" s="921"/>
      <c r="G1088" s="1277"/>
      <c r="H1088" s="921"/>
      <c r="I1088" s="1277"/>
      <c r="J1088" s="921"/>
      <c r="K1088" s="1277"/>
      <c r="L1088" s="1277"/>
      <c r="M1088" s="919"/>
      <c r="N1088" s="919"/>
      <c r="O1088" s="919"/>
      <c r="P1088" s="1277"/>
      <c r="Q1088" s="1277"/>
      <c r="R1088" s="1277"/>
      <c r="S1088" s="1277"/>
      <c r="T1088" s="1277"/>
      <c r="U1088" s="1277"/>
      <c r="V1088" s="1277"/>
      <c r="W1088" s="1277"/>
      <c r="X1088" s="1277"/>
    </row>
    <row r="1089" spans="6:24">
      <c r="F1089" s="921"/>
      <c r="G1089" s="1277"/>
      <c r="H1089" s="921"/>
      <c r="I1089" s="1277"/>
      <c r="J1089" s="921"/>
      <c r="K1089" s="1277"/>
      <c r="L1089" s="1277"/>
      <c r="M1089" s="919"/>
      <c r="N1089" s="919"/>
      <c r="O1089" s="919"/>
      <c r="P1089" s="1277"/>
      <c r="Q1089" s="1277"/>
      <c r="R1089" s="1277"/>
      <c r="S1089" s="1277"/>
      <c r="T1089" s="1277"/>
      <c r="U1089" s="1277"/>
      <c r="V1089" s="1277"/>
      <c r="W1089" s="1277"/>
      <c r="X1089" s="1277"/>
    </row>
    <row r="1090" spans="6:24">
      <c r="F1090" s="921"/>
      <c r="G1090" s="1277"/>
      <c r="H1090" s="921"/>
      <c r="I1090" s="1277"/>
      <c r="J1090" s="921"/>
      <c r="K1090" s="1277"/>
      <c r="L1090" s="1277"/>
      <c r="M1090" s="919"/>
      <c r="N1090" s="919"/>
      <c r="O1090" s="919"/>
      <c r="P1090" s="1277"/>
      <c r="Q1090" s="1277"/>
      <c r="R1090" s="1277"/>
      <c r="S1090" s="1277"/>
      <c r="T1090" s="1277"/>
      <c r="U1090" s="1277"/>
      <c r="V1090" s="1277"/>
      <c r="W1090" s="1277"/>
      <c r="X1090" s="1277"/>
    </row>
    <row r="1091" spans="6:24">
      <c r="F1091" s="921"/>
      <c r="G1091" s="1277"/>
      <c r="H1091" s="921"/>
      <c r="I1091" s="1277"/>
      <c r="J1091" s="921"/>
      <c r="K1091" s="1277"/>
      <c r="L1091" s="1277"/>
      <c r="M1091" s="919"/>
      <c r="N1091" s="919"/>
      <c r="O1091" s="919"/>
      <c r="P1091" s="1277"/>
      <c r="Q1091" s="1277"/>
      <c r="R1091" s="1277"/>
      <c r="S1091" s="1277"/>
      <c r="T1091" s="1277"/>
      <c r="U1091" s="1277"/>
      <c r="V1091" s="1277"/>
      <c r="W1091" s="1277"/>
      <c r="X1091" s="1277"/>
    </row>
    <row r="1092" spans="6:24">
      <c r="F1092" s="921"/>
      <c r="G1092" s="1277"/>
      <c r="H1092" s="921"/>
      <c r="I1092" s="1277"/>
      <c r="J1092" s="921"/>
      <c r="K1092" s="1277"/>
      <c r="L1092" s="1277"/>
      <c r="M1092" s="919"/>
      <c r="N1092" s="919"/>
      <c r="O1092" s="919"/>
      <c r="P1092" s="1277"/>
      <c r="Q1092" s="1277"/>
      <c r="R1092" s="1277"/>
      <c r="S1092" s="1277"/>
      <c r="T1092" s="1277"/>
      <c r="U1092" s="1277"/>
      <c r="V1092" s="1277"/>
      <c r="W1092" s="1277"/>
      <c r="X1092" s="1277"/>
    </row>
    <row r="1093" spans="6:24">
      <c r="F1093" s="921"/>
      <c r="G1093" s="1277"/>
      <c r="H1093" s="921"/>
      <c r="I1093" s="1277"/>
      <c r="J1093" s="921"/>
      <c r="K1093" s="1277"/>
      <c r="L1093" s="1277"/>
      <c r="M1093" s="919"/>
      <c r="N1093" s="919"/>
      <c r="O1093" s="919"/>
      <c r="P1093" s="1277"/>
      <c r="Q1093" s="1277"/>
      <c r="R1093" s="1277"/>
      <c r="S1093" s="1277"/>
      <c r="T1093" s="1277"/>
      <c r="U1093" s="1277"/>
      <c r="V1093" s="1277"/>
      <c r="W1093" s="1277"/>
      <c r="X1093" s="1277"/>
    </row>
    <row r="1094" spans="6:24">
      <c r="F1094" s="921"/>
      <c r="G1094" s="1277"/>
      <c r="H1094" s="921"/>
      <c r="I1094" s="1277"/>
      <c r="J1094" s="921"/>
      <c r="K1094" s="1277"/>
      <c r="L1094" s="1277"/>
      <c r="M1094" s="919"/>
      <c r="N1094" s="919"/>
      <c r="O1094" s="919"/>
      <c r="P1094" s="1277"/>
      <c r="Q1094" s="1277"/>
      <c r="R1094" s="1277"/>
      <c r="S1094" s="1277"/>
      <c r="T1094" s="1277"/>
      <c r="U1094" s="1277"/>
      <c r="V1094" s="1277"/>
      <c r="W1094" s="1277"/>
      <c r="X1094" s="1277"/>
    </row>
    <row r="1095" spans="6:24">
      <c r="F1095" s="921"/>
      <c r="G1095" s="1277"/>
      <c r="H1095" s="921"/>
      <c r="I1095" s="1277"/>
      <c r="J1095" s="921"/>
      <c r="K1095" s="1277"/>
      <c r="L1095" s="1277"/>
      <c r="M1095" s="919"/>
      <c r="N1095" s="919"/>
      <c r="O1095" s="919"/>
      <c r="P1095" s="1277"/>
      <c r="Q1095" s="1277"/>
      <c r="R1095" s="1277"/>
      <c r="S1095" s="1277"/>
      <c r="T1095" s="1277"/>
      <c r="U1095" s="1277"/>
      <c r="V1095" s="1277"/>
      <c r="W1095" s="1277"/>
      <c r="X1095" s="1277"/>
    </row>
    <row r="1096" spans="6:24">
      <c r="F1096" s="921"/>
      <c r="G1096" s="1277"/>
      <c r="H1096" s="921"/>
      <c r="I1096" s="1277"/>
      <c r="J1096" s="921"/>
      <c r="K1096" s="1277"/>
      <c r="L1096" s="1277"/>
      <c r="M1096" s="919"/>
      <c r="N1096" s="919"/>
      <c r="O1096" s="919"/>
      <c r="P1096" s="1277"/>
      <c r="Q1096" s="1277"/>
      <c r="R1096" s="1277"/>
      <c r="S1096" s="1277"/>
      <c r="T1096" s="1277"/>
      <c r="U1096" s="1277"/>
      <c r="V1096" s="1277"/>
      <c r="W1096" s="1277"/>
      <c r="X1096" s="1277"/>
    </row>
    <row r="1097" spans="6:24">
      <c r="F1097" s="921"/>
      <c r="G1097" s="1277"/>
      <c r="H1097" s="921"/>
      <c r="I1097" s="1277"/>
      <c r="J1097" s="921"/>
      <c r="K1097" s="1277"/>
      <c r="L1097" s="1277"/>
      <c r="M1097" s="919"/>
      <c r="N1097" s="919"/>
      <c r="O1097" s="919"/>
      <c r="P1097" s="1277"/>
      <c r="Q1097" s="1277"/>
      <c r="R1097" s="1277"/>
      <c r="S1097" s="1277"/>
      <c r="T1097" s="1277"/>
      <c r="U1097" s="1277"/>
      <c r="V1097" s="1277"/>
      <c r="W1097" s="1277"/>
      <c r="X1097" s="1277"/>
    </row>
    <row r="1098" spans="6:24">
      <c r="F1098" s="921"/>
      <c r="G1098" s="1277"/>
      <c r="H1098" s="921"/>
      <c r="I1098" s="1277"/>
      <c r="J1098" s="921"/>
      <c r="K1098" s="1277"/>
      <c r="L1098" s="1277"/>
      <c r="M1098" s="919"/>
      <c r="N1098" s="919"/>
      <c r="O1098" s="919"/>
      <c r="P1098" s="1277"/>
      <c r="Q1098" s="1277"/>
      <c r="R1098" s="1277"/>
      <c r="S1098" s="1277"/>
      <c r="T1098" s="1277"/>
      <c r="U1098" s="1277"/>
      <c r="V1098" s="1277"/>
      <c r="W1098" s="1277"/>
      <c r="X1098" s="1277"/>
    </row>
    <row r="1099" spans="6:24">
      <c r="F1099" s="921"/>
      <c r="G1099" s="1277"/>
      <c r="H1099" s="921"/>
      <c r="I1099" s="1277"/>
      <c r="J1099" s="921"/>
      <c r="K1099" s="1277"/>
      <c r="L1099" s="1277"/>
      <c r="M1099" s="919"/>
      <c r="N1099" s="919"/>
      <c r="O1099" s="919"/>
      <c r="P1099" s="1277"/>
      <c r="Q1099" s="1277"/>
      <c r="R1099" s="1277"/>
      <c r="S1099" s="1277"/>
      <c r="T1099" s="1277"/>
      <c r="U1099" s="1277"/>
      <c r="V1099" s="1277"/>
      <c r="W1099" s="1277"/>
      <c r="X1099" s="1277"/>
    </row>
    <row r="1100" spans="6:24">
      <c r="F1100" s="921"/>
      <c r="G1100" s="1277"/>
      <c r="H1100" s="921"/>
      <c r="I1100" s="1277"/>
      <c r="J1100" s="921"/>
      <c r="K1100" s="1277"/>
      <c r="L1100" s="1277"/>
      <c r="M1100" s="919"/>
      <c r="N1100" s="919"/>
      <c r="O1100" s="919"/>
      <c r="P1100" s="1277"/>
      <c r="Q1100" s="1277"/>
      <c r="R1100" s="1277"/>
      <c r="S1100" s="1277"/>
      <c r="T1100" s="1277"/>
      <c r="U1100" s="1277"/>
      <c r="V1100" s="1277"/>
      <c r="W1100" s="1277"/>
      <c r="X1100" s="1277"/>
    </row>
    <row r="1101" spans="6:24">
      <c r="F1101" s="921"/>
      <c r="G1101" s="1277"/>
      <c r="H1101" s="921"/>
      <c r="I1101" s="1277"/>
      <c r="J1101" s="921"/>
      <c r="K1101" s="1277"/>
      <c r="L1101" s="1277"/>
      <c r="M1101" s="919"/>
      <c r="N1101" s="919"/>
      <c r="O1101" s="919"/>
      <c r="P1101" s="1277"/>
      <c r="Q1101" s="1277"/>
      <c r="R1101" s="1277"/>
      <c r="S1101" s="1277"/>
      <c r="T1101" s="1277"/>
      <c r="U1101" s="1277"/>
      <c r="V1101" s="1277"/>
      <c r="W1101" s="1277"/>
      <c r="X1101" s="1277"/>
    </row>
    <row r="1102" spans="6:24">
      <c r="F1102" s="921"/>
      <c r="G1102" s="1277"/>
      <c r="H1102" s="921"/>
      <c r="I1102" s="1277"/>
      <c r="J1102" s="921"/>
      <c r="K1102" s="1277"/>
      <c r="L1102" s="1277"/>
      <c r="M1102" s="919"/>
      <c r="N1102" s="919"/>
      <c r="O1102" s="919"/>
      <c r="P1102" s="1277"/>
      <c r="Q1102" s="1277"/>
      <c r="R1102" s="1277"/>
      <c r="S1102" s="1277"/>
      <c r="T1102" s="1277"/>
      <c r="U1102" s="1277"/>
      <c r="V1102" s="1277"/>
      <c r="W1102" s="1277"/>
      <c r="X1102" s="1277"/>
    </row>
    <row r="1103" spans="6:24">
      <c r="F1103" s="921"/>
      <c r="G1103" s="1277"/>
      <c r="H1103" s="921"/>
      <c r="I1103" s="1277"/>
      <c r="J1103" s="921"/>
      <c r="K1103" s="1277"/>
      <c r="L1103" s="1277"/>
      <c r="M1103" s="919"/>
      <c r="N1103" s="919"/>
      <c r="O1103" s="919"/>
      <c r="P1103" s="1277"/>
      <c r="Q1103" s="1277"/>
      <c r="R1103" s="1277"/>
      <c r="S1103" s="1277"/>
      <c r="T1103" s="1277"/>
      <c r="U1103" s="1277"/>
      <c r="V1103" s="1277"/>
      <c r="W1103" s="1277"/>
      <c r="X1103" s="1277"/>
    </row>
    <row r="1104" spans="6:24">
      <c r="F1104" s="921"/>
      <c r="G1104" s="1277"/>
      <c r="H1104" s="921"/>
      <c r="I1104" s="1277"/>
      <c r="J1104" s="921"/>
      <c r="K1104" s="1277"/>
      <c r="L1104" s="1277"/>
      <c r="M1104" s="919"/>
      <c r="N1104" s="919"/>
      <c r="O1104" s="919"/>
      <c r="P1104" s="1277"/>
      <c r="Q1104" s="1277"/>
      <c r="R1104" s="1277"/>
      <c r="S1104" s="1277"/>
      <c r="T1104" s="1277"/>
      <c r="U1104" s="1277"/>
      <c r="V1104" s="1277"/>
      <c r="W1104" s="1277"/>
      <c r="X1104" s="1277"/>
    </row>
    <row r="1105" spans="6:24">
      <c r="F1105" s="921"/>
      <c r="G1105" s="1277"/>
      <c r="H1105" s="921"/>
      <c r="I1105" s="1277"/>
      <c r="J1105" s="921"/>
      <c r="K1105" s="1277"/>
      <c r="L1105" s="1277"/>
      <c r="M1105" s="919"/>
      <c r="N1105" s="919"/>
      <c r="O1105" s="919"/>
      <c r="P1105" s="1277"/>
      <c r="Q1105" s="1277"/>
      <c r="R1105" s="1277"/>
      <c r="S1105" s="1277"/>
      <c r="T1105" s="1277"/>
      <c r="U1105" s="1277"/>
      <c r="V1105" s="1277"/>
      <c r="W1105" s="1277"/>
      <c r="X1105" s="1277"/>
    </row>
    <row r="1106" spans="6:24">
      <c r="F1106" s="921"/>
      <c r="G1106" s="1277"/>
      <c r="H1106" s="921"/>
      <c r="I1106" s="1277"/>
      <c r="J1106" s="921"/>
      <c r="K1106" s="1277"/>
      <c r="L1106" s="1277"/>
      <c r="M1106" s="919"/>
      <c r="N1106" s="919"/>
      <c r="O1106" s="919"/>
      <c r="P1106" s="1277"/>
      <c r="Q1106" s="1277"/>
      <c r="R1106" s="1277"/>
      <c r="S1106" s="1277"/>
      <c r="T1106" s="1277"/>
      <c r="U1106" s="1277"/>
      <c r="V1106" s="1277"/>
      <c r="W1106" s="1277"/>
      <c r="X1106" s="1277"/>
    </row>
    <row r="1107" spans="6:24">
      <c r="F1107" s="921"/>
      <c r="G1107" s="1277"/>
      <c r="H1107" s="921"/>
      <c r="I1107" s="1277"/>
      <c r="J1107" s="921"/>
      <c r="K1107" s="1277"/>
      <c r="L1107" s="1277"/>
      <c r="M1107" s="919"/>
      <c r="N1107" s="919"/>
      <c r="O1107" s="919"/>
      <c r="P1107" s="1277"/>
      <c r="Q1107" s="1277"/>
      <c r="R1107" s="1277"/>
      <c r="S1107" s="1277"/>
      <c r="T1107" s="1277"/>
      <c r="U1107" s="1277"/>
      <c r="V1107" s="1277"/>
      <c r="W1107" s="1277"/>
      <c r="X1107" s="1277"/>
    </row>
    <row r="1108" spans="6:24">
      <c r="F1108" s="921"/>
      <c r="G1108" s="1277"/>
      <c r="H1108" s="921"/>
      <c r="I1108" s="1277"/>
      <c r="J1108" s="921"/>
      <c r="K1108" s="1277"/>
      <c r="L1108" s="1277"/>
      <c r="M1108" s="919"/>
      <c r="N1108" s="919"/>
      <c r="O1108" s="919"/>
      <c r="P1108" s="1277"/>
      <c r="Q1108" s="1277"/>
      <c r="R1108" s="1277"/>
      <c r="S1108" s="1277"/>
      <c r="T1108" s="1277"/>
      <c r="U1108" s="1277"/>
      <c r="V1108" s="1277"/>
      <c r="W1108" s="1277"/>
      <c r="X1108" s="1277"/>
    </row>
    <row r="1109" spans="6:24">
      <c r="F1109" s="921"/>
      <c r="G1109" s="1277"/>
      <c r="H1109" s="921"/>
      <c r="I1109" s="1277"/>
      <c r="J1109" s="921"/>
      <c r="K1109" s="1277"/>
      <c r="L1109" s="1277"/>
      <c r="M1109" s="919"/>
      <c r="N1109" s="919"/>
      <c r="O1109" s="919"/>
      <c r="P1109" s="1277"/>
      <c r="Q1109" s="1277"/>
      <c r="R1109" s="1277"/>
      <c r="S1109" s="1277"/>
      <c r="T1109" s="1277"/>
      <c r="U1109" s="1277"/>
      <c r="V1109" s="1277"/>
      <c r="W1109" s="1277"/>
      <c r="X1109" s="1277"/>
    </row>
    <row r="1110" spans="6:24">
      <c r="F1110" s="921"/>
      <c r="G1110" s="1277"/>
      <c r="H1110" s="921"/>
      <c r="I1110" s="1277"/>
      <c r="J1110" s="921"/>
      <c r="K1110" s="1277"/>
      <c r="L1110" s="1277"/>
      <c r="M1110" s="919"/>
      <c r="N1110" s="919"/>
      <c r="O1110" s="919"/>
      <c r="P1110" s="1277"/>
      <c r="Q1110" s="1277"/>
      <c r="R1110" s="1277"/>
      <c r="S1110" s="1277"/>
      <c r="T1110" s="1277"/>
      <c r="U1110" s="1277"/>
      <c r="V1110" s="1277"/>
      <c r="W1110" s="1277"/>
      <c r="X1110" s="1277"/>
    </row>
    <row r="1111" spans="6:24">
      <c r="F1111" s="921"/>
      <c r="G1111" s="1277"/>
      <c r="H1111" s="921"/>
      <c r="I1111" s="1277"/>
      <c r="J1111" s="921"/>
      <c r="K1111" s="1277"/>
      <c r="L1111" s="1277"/>
      <c r="M1111" s="919"/>
      <c r="N1111" s="919"/>
      <c r="O1111" s="919"/>
      <c r="P1111" s="1277"/>
      <c r="Q1111" s="1277"/>
      <c r="R1111" s="1277"/>
      <c r="S1111" s="1277"/>
      <c r="T1111" s="1277"/>
      <c r="U1111" s="1277"/>
      <c r="V1111" s="1277"/>
      <c r="W1111" s="1277"/>
      <c r="X1111" s="1277"/>
    </row>
    <row r="1112" spans="6:24">
      <c r="F1112" s="921"/>
      <c r="G1112" s="1277"/>
      <c r="H1112" s="921"/>
      <c r="I1112" s="1277"/>
      <c r="J1112" s="921"/>
      <c r="K1112" s="1277"/>
      <c r="L1112" s="1277"/>
      <c r="M1112" s="919"/>
      <c r="N1112" s="919"/>
      <c r="O1112" s="919"/>
      <c r="P1112" s="1277"/>
      <c r="Q1112" s="1277"/>
      <c r="R1112" s="1277"/>
      <c r="S1112" s="1277"/>
      <c r="T1112" s="1277"/>
      <c r="U1112" s="1277"/>
      <c r="V1112" s="1277"/>
      <c r="W1112" s="1277"/>
      <c r="X1112" s="1277"/>
    </row>
    <row r="1113" spans="6:24">
      <c r="F1113" s="921"/>
      <c r="G1113" s="1277"/>
      <c r="H1113" s="921"/>
      <c r="I1113" s="1277"/>
      <c r="J1113" s="921"/>
      <c r="K1113" s="1277"/>
      <c r="L1113" s="1277"/>
      <c r="M1113" s="919"/>
      <c r="N1113" s="919"/>
      <c r="O1113" s="919"/>
      <c r="P1113" s="1277"/>
      <c r="Q1113" s="1277"/>
      <c r="R1113" s="1277"/>
      <c r="S1113" s="1277"/>
      <c r="T1113" s="1277"/>
      <c r="U1113" s="1277"/>
      <c r="V1113" s="1277"/>
      <c r="W1113" s="1277"/>
      <c r="X1113" s="1277"/>
    </row>
    <row r="1114" spans="6:24">
      <c r="F1114" s="921"/>
      <c r="G1114" s="1277"/>
      <c r="H1114" s="921"/>
      <c r="I1114" s="1277"/>
      <c r="J1114" s="921"/>
      <c r="K1114" s="1277"/>
      <c r="L1114" s="1277"/>
      <c r="M1114" s="919"/>
      <c r="N1114" s="919"/>
      <c r="O1114" s="919"/>
      <c r="P1114" s="1277"/>
      <c r="Q1114" s="1277"/>
      <c r="R1114" s="1277"/>
      <c r="S1114" s="1277"/>
      <c r="T1114" s="1277"/>
      <c r="U1114" s="1277"/>
      <c r="V1114" s="1277"/>
      <c r="W1114" s="1277"/>
      <c r="X1114" s="1277"/>
    </row>
    <row r="1115" spans="6:24">
      <c r="F1115" s="921"/>
      <c r="G1115" s="1277"/>
      <c r="H1115" s="921"/>
      <c r="I1115" s="1277"/>
      <c r="J1115" s="921"/>
      <c r="K1115" s="1277"/>
      <c r="L1115" s="1277"/>
      <c r="M1115" s="919"/>
      <c r="N1115" s="919"/>
      <c r="O1115" s="919"/>
      <c r="P1115" s="1277"/>
      <c r="Q1115" s="1277"/>
      <c r="R1115" s="1277"/>
      <c r="S1115" s="1277"/>
      <c r="T1115" s="1277"/>
      <c r="U1115" s="1277"/>
      <c r="V1115" s="1277"/>
      <c r="W1115" s="1277"/>
      <c r="X1115" s="1277"/>
    </row>
    <row r="1116" spans="6:24">
      <c r="F1116" s="921"/>
      <c r="G1116" s="1277"/>
      <c r="H1116" s="921"/>
      <c r="I1116" s="1277"/>
      <c r="J1116" s="921"/>
      <c r="K1116" s="1277"/>
      <c r="L1116" s="1277"/>
      <c r="M1116" s="919"/>
      <c r="N1116" s="919"/>
      <c r="O1116" s="919"/>
      <c r="P1116" s="1277"/>
      <c r="Q1116" s="1277"/>
      <c r="R1116" s="1277"/>
      <c r="S1116" s="1277"/>
      <c r="T1116" s="1277"/>
      <c r="U1116" s="1277"/>
      <c r="V1116" s="1277"/>
      <c r="W1116" s="1277"/>
      <c r="X1116" s="1277"/>
    </row>
    <row r="1117" spans="6:24">
      <c r="F1117" s="921"/>
      <c r="G1117" s="1277"/>
      <c r="H1117" s="921"/>
      <c r="I1117" s="1277"/>
      <c r="J1117" s="921"/>
      <c r="K1117" s="1277"/>
      <c r="L1117" s="1277"/>
      <c r="M1117" s="919"/>
      <c r="N1117" s="919"/>
      <c r="O1117" s="919"/>
      <c r="P1117" s="1277"/>
      <c r="Q1117" s="1277"/>
      <c r="R1117" s="1277"/>
      <c r="S1117" s="1277"/>
      <c r="T1117" s="1277"/>
      <c r="U1117" s="1277"/>
      <c r="V1117" s="1277"/>
      <c r="W1117" s="1277"/>
      <c r="X1117" s="1277"/>
    </row>
    <row r="1118" spans="6:24">
      <c r="F1118" s="921"/>
      <c r="G1118" s="1277"/>
      <c r="H1118" s="921"/>
      <c r="I1118" s="1277"/>
      <c r="J1118" s="921"/>
      <c r="K1118" s="1277"/>
      <c r="L1118" s="1277"/>
      <c r="M1118" s="919"/>
      <c r="N1118" s="919"/>
      <c r="O1118" s="919"/>
      <c r="P1118" s="1277"/>
      <c r="Q1118" s="1277"/>
      <c r="R1118" s="1277"/>
      <c r="S1118" s="1277"/>
      <c r="T1118" s="1277"/>
      <c r="U1118" s="1277"/>
      <c r="V1118" s="1277"/>
      <c r="W1118" s="1277"/>
      <c r="X1118" s="1277"/>
    </row>
    <row r="1119" spans="6:24">
      <c r="F1119" s="921"/>
      <c r="G1119" s="1277"/>
      <c r="H1119" s="921"/>
      <c r="I1119" s="1277"/>
      <c r="J1119" s="921"/>
      <c r="K1119" s="1277"/>
      <c r="L1119" s="1277"/>
      <c r="M1119" s="919"/>
      <c r="N1119" s="919"/>
      <c r="O1119" s="919"/>
      <c r="P1119" s="1277"/>
      <c r="Q1119" s="1277"/>
      <c r="R1119" s="1277"/>
      <c r="S1119" s="1277"/>
      <c r="T1119" s="1277"/>
      <c r="U1119" s="1277"/>
      <c r="V1119" s="1277"/>
      <c r="W1119" s="1277"/>
      <c r="X1119" s="1277"/>
    </row>
    <row r="1120" spans="6:24">
      <c r="F1120" s="921"/>
      <c r="G1120" s="1277"/>
      <c r="H1120" s="921"/>
      <c r="I1120" s="1277"/>
      <c r="J1120" s="921"/>
      <c r="K1120" s="1277"/>
      <c r="L1120" s="1277"/>
      <c r="M1120" s="919"/>
      <c r="N1120" s="919"/>
      <c r="O1120" s="919"/>
      <c r="P1120" s="1277"/>
      <c r="Q1120" s="1277"/>
      <c r="R1120" s="1277"/>
      <c r="S1120" s="1277"/>
      <c r="T1120" s="1277"/>
      <c r="U1120" s="1277"/>
      <c r="V1120" s="1277"/>
      <c r="W1120" s="1277"/>
      <c r="X1120" s="1277"/>
    </row>
    <row r="1121" spans="6:24">
      <c r="F1121" s="921"/>
      <c r="G1121" s="1277"/>
      <c r="H1121" s="921"/>
      <c r="I1121" s="1277"/>
      <c r="J1121" s="921"/>
      <c r="K1121" s="1277"/>
      <c r="L1121" s="1277"/>
      <c r="M1121" s="919"/>
      <c r="N1121" s="919"/>
      <c r="O1121" s="919"/>
      <c r="P1121" s="1277"/>
      <c r="Q1121" s="1277"/>
      <c r="R1121" s="1277"/>
      <c r="S1121" s="1277"/>
      <c r="T1121" s="1277"/>
      <c r="U1121" s="1277"/>
      <c r="V1121" s="1277"/>
      <c r="W1121" s="1277"/>
      <c r="X1121" s="1277"/>
    </row>
    <row r="1122" spans="6:24">
      <c r="F1122" s="921"/>
      <c r="G1122" s="1277"/>
      <c r="H1122" s="921"/>
      <c r="I1122" s="1277"/>
      <c r="J1122" s="921"/>
      <c r="K1122" s="1277"/>
      <c r="L1122" s="1277"/>
      <c r="M1122" s="919"/>
      <c r="N1122" s="919"/>
      <c r="O1122" s="919"/>
      <c r="P1122" s="1277"/>
      <c r="Q1122" s="1277"/>
      <c r="R1122" s="1277"/>
      <c r="S1122" s="1277"/>
      <c r="T1122" s="1277"/>
      <c r="U1122" s="1277"/>
      <c r="V1122" s="1277"/>
      <c r="W1122" s="1277"/>
      <c r="X1122" s="1277"/>
    </row>
    <row r="1123" spans="6:24">
      <c r="F1123" s="921"/>
      <c r="G1123" s="1277"/>
      <c r="H1123" s="921"/>
      <c r="I1123" s="1277"/>
      <c r="J1123" s="921"/>
      <c r="K1123" s="1277"/>
      <c r="L1123" s="1277"/>
      <c r="M1123" s="919"/>
      <c r="N1123" s="919"/>
      <c r="O1123" s="919"/>
      <c r="P1123" s="1277"/>
      <c r="Q1123" s="1277"/>
      <c r="R1123" s="1277"/>
      <c r="S1123" s="1277"/>
      <c r="T1123" s="1277"/>
      <c r="U1123" s="1277"/>
      <c r="V1123" s="1277"/>
      <c r="W1123" s="1277"/>
      <c r="X1123" s="1277"/>
    </row>
    <row r="1124" spans="6:24">
      <c r="F1124" s="921"/>
      <c r="G1124" s="1277"/>
      <c r="H1124" s="921"/>
      <c r="I1124" s="1277"/>
      <c r="J1124" s="921"/>
      <c r="K1124" s="1277"/>
      <c r="L1124" s="1277"/>
      <c r="M1124" s="919"/>
      <c r="N1124" s="919"/>
      <c r="O1124" s="919"/>
      <c r="P1124" s="1277"/>
      <c r="Q1124" s="1277"/>
      <c r="R1124" s="1277"/>
      <c r="S1124" s="1277"/>
      <c r="T1124" s="1277"/>
      <c r="U1124" s="1277"/>
      <c r="V1124" s="1277"/>
      <c r="W1124" s="1277"/>
      <c r="X1124" s="1277"/>
    </row>
    <row r="1125" spans="6:24">
      <c r="F1125" s="921"/>
      <c r="G1125" s="1277"/>
      <c r="H1125" s="921"/>
      <c r="I1125" s="1277"/>
      <c r="J1125" s="921"/>
      <c r="K1125" s="1277"/>
      <c r="L1125" s="1277"/>
      <c r="M1125" s="919"/>
      <c r="N1125" s="919"/>
      <c r="O1125" s="919"/>
      <c r="P1125" s="1277"/>
      <c r="Q1125" s="1277"/>
      <c r="R1125" s="1277"/>
      <c r="S1125" s="1277"/>
      <c r="T1125" s="1277"/>
      <c r="U1125" s="1277"/>
      <c r="V1125" s="1277"/>
      <c r="W1125" s="1277"/>
      <c r="X1125" s="1277"/>
    </row>
    <row r="1126" spans="6:24">
      <c r="F1126" s="921"/>
      <c r="G1126" s="1277"/>
      <c r="H1126" s="921"/>
      <c r="I1126" s="1277"/>
      <c r="J1126" s="921"/>
      <c r="K1126" s="1277"/>
      <c r="L1126" s="1277"/>
      <c r="M1126" s="919"/>
      <c r="N1126" s="919"/>
      <c r="O1126" s="919"/>
      <c r="P1126" s="1277"/>
      <c r="Q1126" s="1277"/>
      <c r="R1126" s="1277"/>
      <c r="S1126" s="1277"/>
      <c r="T1126" s="1277"/>
      <c r="U1126" s="1277"/>
      <c r="V1126" s="1277"/>
      <c r="W1126" s="1277"/>
      <c r="X1126" s="1277"/>
    </row>
    <row r="1127" spans="6:24">
      <c r="F1127" s="921"/>
      <c r="G1127" s="1277"/>
      <c r="H1127" s="921"/>
      <c r="I1127" s="1277"/>
      <c r="J1127" s="921"/>
      <c r="K1127" s="1277"/>
      <c r="L1127" s="1277"/>
      <c r="M1127" s="919"/>
      <c r="N1127" s="919"/>
      <c r="O1127" s="919"/>
      <c r="P1127" s="1277"/>
      <c r="Q1127" s="1277"/>
      <c r="R1127" s="1277"/>
      <c r="S1127" s="1277"/>
      <c r="T1127" s="1277"/>
      <c r="U1127" s="1277"/>
      <c r="V1127" s="1277"/>
      <c r="W1127" s="1277"/>
      <c r="X1127" s="1277"/>
    </row>
    <row r="1128" spans="6:24">
      <c r="F1128" s="921"/>
      <c r="G1128" s="1277"/>
      <c r="H1128" s="921"/>
      <c r="I1128" s="1277"/>
      <c r="J1128" s="921"/>
      <c r="K1128" s="1277"/>
      <c r="L1128" s="1277"/>
      <c r="M1128" s="919"/>
      <c r="N1128" s="919"/>
      <c r="O1128" s="919"/>
      <c r="P1128" s="1277"/>
      <c r="Q1128" s="1277"/>
      <c r="R1128" s="1277"/>
      <c r="S1128" s="1277"/>
      <c r="T1128" s="1277"/>
      <c r="U1128" s="1277"/>
      <c r="V1128" s="1277"/>
      <c r="W1128" s="1277"/>
      <c r="X1128" s="1277"/>
    </row>
    <row r="1129" spans="6:24">
      <c r="F1129" s="921"/>
      <c r="G1129" s="1277"/>
      <c r="H1129" s="921"/>
      <c r="I1129" s="1277"/>
      <c r="J1129" s="921"/>
      <c r="K1129" s="1277"/>
      <c r="L1129" s="1277"/>
      <c r="M1129" s="919"/>
      <c r="N1129" s="919"/>
      <c r="O1129" s="919"/>
      <c r="P1129" s="1277"/>
      <c r="Q1129" s="1277"/>
      <c r="R1129" s="1277"/>
      <c r="S1129" s="1277"/>
      <c r="T1129" s="1277"/>
      <c r="U1129" s="1277"/>
      <c r="V1129" s="1277"/>
      <c r="W1129" s="1277"/>
      <c r="X1129" s="1277"/>
    </row>
    <row r="1130" spans="6:24">
      <c r="F1130" s="921"/>
      <c r="G1130" s="1277"/>
      <c r="H1130" s="921"/>
      <c r="I1130" s="1277"/>
      <c r="J1130" s="921"/>
      <c r="K1130" s="1277"/>
      <c r="L1130" s="1277"/>
      <c r="M1130" s="919"/>
      <c r="N1130" s="919"/>
      <c r="O1130" s="919"/>
      <c r="P1130" s="1277"/>
      <c r="Q1130" s="1277"/>
      <c r="R1130" s="1277"/>
      <c r="S1130" s="1277"/>
      <c r="T1130" s="1277"/>
      <c r="U1130" s="1277"/>
      <c r="V1130" s="1277"/>
      <c r="W1130" s="1277"/>
      <c r="X1130" s="1277"/>
    </row>
    <row r="1131" spans="6:24">
      <c r="F1131" s="921"/>
      <c r="G1131" s="1277"/>
      <c r="H1131" s="921"/>
      <c r="I1131" s="1277"/>
      <c r="J1131" s="921"/>
      <c r="K1131" s="1277"/>
      <c r="L1131" s="1277"/>
      <c r="M1131" s="919"/>
      <c r="N1131" s="919"/>
      <c r="O1131" s="919"/>
      <c r="P1131" s="1277"/>
      <c r="Q1131" s="1277"/>
      <c r="R1131" s="1277"/>
      <c r="S1131" s="1277"/>
      <c r="T1131" s="1277"/>
      <c r="U1131" s="1277"/>
      <c r="V1131" s="1277"/>
      <c r="W1131" s="1277"/>
      <c r="X1131" s="1277"/>
    </row>
    <row r="1132" spans="6:24">
      <c r="F1132" s="921"/>
      <c r="G1132" s="1277"/>
      <c r="H1132" s="921"/>
      <c r="I1132" s="1277"/>
      <c r="J1132" s="921"/>
      <c r="K1132" s="1277"/>
      <c r="L1132" s="1277"/>
      <c r="M1132" s="919"/>
      <c r="N1132" s="919"/>
      <c r="O1132" s="919"/>
      <c r="P1132" s="1277"/>
      <c r="Q1132" s="1277"/>
      <c r="R1132" s="1277"/>
      <c r="S1132" s="1277"/>
      <c r="T1132" s="1277"/>
      <c r="U1132" s="1277"/>
      <c r="V1132" s="1277"/>
      <c r="W1132" s="1277"/>
      <c r="X1132" s="1277"/>
    </row>
    <row r="1133" spans="6:24">
      <c r="F1133" s="921"/>
      <c r="G1133" s="1277"/>
      <c r="H1133" s="921"/>
      <c r="I1133" s="1277"/>
      <c r="J1133" s="921"/>
      <c r="K1133" s="1277"/>
      <c r="L1133" s="1277"/>
      <c r="M1133" s="919"/>
      <c r="N1133" s="919"/>
      <c r="O1133" s="919"/>
      <c r="P1133" s="1277"/>
      <c r="Q1133" s="1277"/>
      <c r="R1133" s="1277"/>
      <c r="S1133" s="1277"/>
      <c r="T1133" s="1277"/>
      <c r="U1133" s="1277"/>
      <c r="V1133" s="1277"/>
      <c r="W1133" s="1277"/>
      <c r="X1133" s="1277"/>
    </row>
    <row r="1134" spans="6:24">
      <c r="F1134" s="921"/>
      <c r="G1134" s="1277"/>
      <c r="H1134" s="921"/>
      <c r="I1134" s="1277"/>
      <c r="J1134" s="921"/>
      <c r="K1134" s="1277"/>
      <c r="L1134" s="1277"/>
      <c r="M1134" s="919"/>
      <c r="N1134" s="919"/>
      <c r="O1134" s="919"/>
      <c r="P1134" s="1277"/>
      <c r="Q1134" s="1277"/>
      <c r="R1134" s="1277"/>
      <c r="S1134" s="1277"/>
      <c r="T1134" s="1277"/>
      <c r="U1134" s="1277"/>
      <c r="V1134" s="1277"/>
      <c r="W1134" s="1277"/>
      <c r="X1134" s="1277"/>
    </row>
    <row r="1135" spans="6:24">
      <c r="F1135" s="921"/>
      <c r="G1135" s="1277"/>
      <c r="H1135" s="921"/>
      <c r="I1135" s="1277"/>
      <c r="J1135" s="921"/>
      <c r="K1135" s="1277"/>
      <c r="L1135" s="1277"/>
      <c r="M1135" s="919"/>
      <c r="N1135" s="919"/>
      <c r="O1135" s="919"/>
      <c r="P1135" s="1277"/>
      <c r="Q1135" s="1277"/>
      <c r="R1135" s="1277"/>
      <c r="S1135" s="1277"/>
      <c r="T1135" s="1277"/>
      <c r="U1135" s="1277"/>
      <c r="V1135" s="1277"/>
      <c r="W1135" s="1277"/>
      <c r="X1135" s="1277"/>
    </row>
    <row r="1136" spans="6:24">
      <c r="F1136" s="921"/>
      <c r="G1136" s="1277"/>
      <c r="H1136" s="921"/>
      <c r="I1136" s="1277"/>
      <c r="J1136" s="921"/>
      <c r="K1136" s="1277"/>
      <c r="L1136" s="1277"/>
      <c r="M1136" s="919"/>
      <c r="N1136" s="919"/>
      <c r="O1136" s="919"/>
      <c r="P1136" s="1277"/>
      <c r="Q1136" s="1277"/>
      <c r="R1136" s="1277"/>
      <c r="S1136" s="1277"/>
      <c r="T1136" s="1277"/>
      <c r="U1136" s="1277"/>
      <c r="V1136" s="1277"/>
      <c r="W1136" s="1277"/>
      <c r="X1136" s="1277"/>
    </row>
    <row r="1137" spans="6:24">
      <c r="F1137" s="921"/>
      <c r="G1137" s="1277"/>
      <c r="H1137" s="921"/>
      <c r="I1137" s="1277"/>
      <c r="J1137" s="921"/>
      <c r="K1137" s="1277"/>
      <c r="L1137" s="1277"/>
      <c r="M1137" s="919"/>
      <c r="N1137" s="919"/>
      <c r="O1137" s="919"/>
      <c r="P1137" s="1277"/>
      <c r="Q1137" s="1277"/>
      <c r="R1137" s="1277"/>
      <c r="S1137" s="1277"/>
      <c r="T1137" s="1277"/>
      <c r="U1137" s="1277"/>
      <c r="V1137" s="1277"/>
      <c r="W1137" s="1277"/>
      <c r="X1137" s="1277"/>
    </row>
    <row r="1138" spans="6:24">
      <c r="F1138" s="921"/>
      <c r="G1138" s="1277"/>
      <c r="H1138" s="921"/>
      <c r="I1138" s="1277"/>
      <c r="J1138" s="921"/>
      <c r="K1138" s="1277"/>
      <c r="L1138" s="1277"/>
      <c r="M1138" s="919"/>
      <c r="N1138" s="919"/>
      <c r="O1138" s="919"/>
      <c r="P1138" s="1277"/>
      <c r="Q1138" s="1277"/>
      <c r="R1138" s="1277"/>
      <c r="S1138" s="1277"/>
      <c r="T1138" s="1277"/>
      <c r="U1138" s="1277"/>
      <c r="V1138" s="1277"/>
      <c r="W1138" s="1277"/>
      <c r="X1138" s="1277"/>
    </row>
    <row r="1139" spans="6:24">
      <c r="F1139" s="921"/>
      <c r="G1139" s="1277"/>
      <c r="H1139" s="921"/>
      <c r="I1139" s="1277"/>
      <c r="J1139" s="921"/>
      <c r="K1139" s="1277"/>
      <c r="L1139" s="1277"/>
      <c r="M1139" s="919"/>
      <c r="N1139" s="919"/>
      <c r="O1139" s="919"/>
      <c r="P1139" s="1277"/>
      <c r="Q1139" s="1277"/>
      <c r="R1139" s="1277"/>
      <c r="S1139" s="1277"/>
      <c r="T1139" s="1277"/>
      <c r="U1139" s="1277"/>
      <c r="V1139" s="1277"/>
      <c r="W1139" s="1277"/>
      <c r="X1139" s="1277"/>
    </row>
    <row r="1140" spans="6:24">
      <c r="F1140" s="921"/>
      <c r="G1140" s="1277"/>
      <c r="H1140" s="921"/>
      <c r="I1140" s="1277"/>
      <c r="J1140" s="921"/>
      <c r="K1140" s="1277"/>
      <c r="L1140" s="1277"/>
      <c r="M1140" s="919"/>
      <c r="N1140" s="919"/>
      <c r="O1140" s="919"/>
      <c r="P1140" s="1277"/>
      <c r="Q1140" s="1277"/>
      <c r="R1140" s="1277"/>
      <c r="S1140" s="1277"/>
      <c r="T1140" s="1277"/>
      <c r="U1140" s="1277"/>
      <c r="V1140" s="1277"/>
      <c r="W1140" s="1277"/>
      <c r="X1140" s="1277"/>
    </row>
    <row r="1141" spans="6:24">
      <c r="F1141" s="921"/>
      <c r="G1141" s="1277"/>
      <c r="H1141" s="921"/>
      <c r="I1141" s="1277"/>
      <c r="J1141" s="921"/>
      <c r="K1141" s="1277"/>
      <c r="L1141" s="1277"/>
      <c r="M1141" s="919"/>
      <c r="N1141" s="919"/>
      <c r="O1141" s="919"/>
      <c r="P1141" s="1277"/>
      <c r="Q1141" s="1277"/>
      <c r="R1141" s="1277"/>
      <c r="S1141" s="1277"/>
      <c r="T1141" s="1277"/>
      <c r="U1141" s="1277"/>
      <c r="V1141" s="1277"/>
      <c r="W1141" s="1277"/>
      <c r="X1141" s="1277"/>
    </row>
    <row r="1142" spans="6:24">
      <c r="F1142" s="921"/>
      <c r="G1142" s="1277"/>
      <c r="H1142" s="921"/>
      <c r="I1142" s="1277"/>
      <c r="J1142" s="921"/>
      <c r="K1142" s="1277"/>
      <c r="L1142" s="1277"/>
      <c r="M1142" s="919"/>
      <c r="N1142" s="919"/>
      <c r="O1142" s="919"/>
      <c r="P1142" s="1277"/>
      <c r="Q1142" s="1277"/>
      <c r="R1142" s="1277"/>
      <c r="S1142" s="1277"/>
      <c r="T1142" s="1277"/>
      <c r="U1142" s="1277"/>
      <c r="V1142" s="1277"/>
      <c r="W1142" s="1277"/>
      <c r="X1142" s="1277"/>
    </row>
    <row r="1143" spans="6:24">
      <c r="F1143" s="921"/>
      <c r="G1143" s="1277"/>
      <c r="H1143" s="921"/>
      <c r="I1143" s="1277"/>
      <c r="J1143" s="921"/>
      <c r="K1143" s="1277"/>
      <c r="L1143" s="1277"/>
      <c r="M1143" s="919"/>
      <c r="N1143" s="919"/>
      <c r="O1143" s="919"/>
      <c r="P1143" s="1277"/>
      <c r="Q1143" s="1277"/>
      <c r="R1143" s="1277"/>
      <c r="S1143" s="1277"/>
      <c r="T1143" s="1277"/>
      <c r="U1143" s="1277"/>
      <c r="V1143" s="1277"/>
      <c r="W1143" s="1277"/>
      <c r="X1143" s="1277"/>
    </row>
    <row r="1144" spans="6:24">
      <c r="F1144" s="921"/>
      <c r="G1144" s="1277"/>
      <c r="H1144" s="921"/>
      <c r="I1144" s="1277"/>
      <c r="J1144" s="921"/>
      <c r="K1144" s="1277"/>
      <c r="L1144" s="1277"/>
      <c r="M1144" s="919"/>
      <c r="N1144" s="919"/>
      <c r="O1144" s="919"/>
      <c r="P1144" s="1277"/>
      <c r="Q1144" s="1277"/>
      <c r="R1144" s="1277"/>
      <c r="S1144" s="1277"/>
      <c r="T1144" s="1277"/>
      <c r="U1144" s="1277"/>
      <c r="V1144" s="1277"/>
      <c r="W1144" s="1277"/>
      <c r="X1144" s="1277"/>
    </row>
    <row r="1145" spans="6:24">
      <c r="F1145" s="921"/>
      <c r="G1145" s="1277"/>
      <c r="H1145" s="921"/>
      <c r="I1145" s="1277"/>
      <c r="J1145" s="921"/>
      <c r="K1145" s="1277"/>
      <c r="L1145" s="1277"/>
      <c r="M1145" s="919"/>
      <c r="N1145" s="919"/>
      <c r="O1145" s="919"/>
      <c r="P1145" s="1277"/>
      <c r="Q1145" s="1277"/>
      <c r="R1145" s="1277"/>
      <c r="S1145" s="1277"/>
      <c r="T1145" s="1277"/>
      <c r="U1145" s="1277"/>
      <c r="V1145" s="1277"/>
      <c r="W1145" s="1277"/>
      <c r="X1145" s="1277"/>
    </row>
    <row r="1146" spans="6:24">
      <c r="F1146" s="921"/>
      <c r="G1146" s="1277"/>
      <c r="H1146" s="921"/>
      <c r="I1146" s="1277"/>
      <c r="J1146" s="921"/>
      <c r="K1146" s="1277"/>
      <c r="L1146" s="1277"/>
      <c r="M1146" s="919"/>
      <c r="N1146" s="919"/>
      <c r="O1146" s="919"/>
      <c r="P1146" s="1277"/>
      <c r="Q1146" s="1277"/>
      <c r="R1146" s="1277"/>
      <c r="S1146" s="1277"/>
      <c r="T1146" s="1277"/>
      <c r="U1146" s="1277"/>
      <c r="V1146" s="1277"/>
      <c r="W1146" s="1277"/>
      <c r="X1146" s="1277"/>
    </row>
    <row r="1147" spans="6:24">
      <c r="F1147" s="921"/>
      <c r="G1147" s="1277"/>
      <c r="H1147" s="921"/>
      <c r="I1147" s="1277"/>
      <c r="J1147" s="921"/>
      <c r="K1147" s="1277"/>
      <c r="L1147" s="1277"/>
      <c r="M1147" s="919"/>
      <c r="N1147" s="919"/>
      <c r="O1147" s="919"/>
      <c r="P1147" s="1277"/>
      <c r="Q1147" s="1277"/>
      <c r="R1147" s="1277"/>
      <c r="S1147" s="1277"/>
      <c r="T1147" s="1277"/>
      <c r="U1147" s="1277"/>
      <c r="V1147" s="1277"/>
      <c r="W1147" s="1277"/>
      <c r="X1147" s="1277"/>
    </row>
    <row r="1148" spans="6:24">
      <c r="F1148" s="921"/>
      <c r="G1148" s="1277"/>
      <c r="H1148" s="921"/>
      <c r="I1148" s="1277"/>
      <c r="J1148" s="921"/>
      <c r="K1148" s="1277"/>
      <c r="L1148" s="1277"/>
      <c r="M1148" s="919"/>
      <c r="N1148" s="919"/>
      <c r="O1148" s="919"/>
      <c r="P1148" s="1277"/>
      <c r="Q1148" s="1277"/>
      <c r="R1148" s="1277"/>
      <c r="S1148" s="1277"/>
      <c r="T1148" s="1277"/>
      <c r="U1148" s="1277"/>
      <c r="V1148" s="1277"/>
      <c r="W1148" s="1277"/>
      <c r="X1148" s="1277"/>
    </row>
    <row r="1149" spans="6:24">
      <c r="F1149" s="921"/>
      <c r="G1149" s="1277"/>
      <c r="H1149" s="921"/>
      <c r="I1149" s="1277"/>
      <c r="J1149" s="921"/>
      <c r="K1149" s="1277"/>
      <c r="L1149" s="1277"/>
      <c r="M1149" s="919"/>
      <c r="N1149" s="919"/>
      <c r="O1149" s="919"/>
      <c r="P1149" s="1277"/>
      <c r="Q1149" s="1277"/>
      <c r="R1149" s="1277"/>
      <c r="S1149" s="1277"/>
      <c r="T1149" s="1277"/>
      <c r="U1149" s="1277"/>
      <c r="V1149" s="1277"/>
      <c r="W1149" s="1277"/>
      <c r="X1149" s="1277"/>
    </row>
    <row r="1150" spans="6:24">
      <c r="F1150" s="921"/>
      <c r="G1150" s="1277"/>
      <c r="H1150" s="921"/>
      <c r="I1150" s="1277"/>
      <c r="J1150" s="921"/>
      <c r="K1150" s="1277"/>
      <c r="L1150" s="1277"/>
      <c r="M1150" s="919"/>
      <c r="N1150" s="919"/>
      <c r="O1150" s="919"/>
      <c r="P1150" s="1277"/>
      <c r="Q1150" s="1277"/>
      <c r="R1150" s="1277"/>
      <c r="S1150" s="1277"/>
      <c r="T1150" s="1277"/>
      <c r="U1150" s="1277"/>
      <c r="V1150" s="1277"/>
      <c r="W1150" s="1277"/>
      <c r="X1150" s="1277"/>
    </row>
    <row r="1151" spans="6:24">
      <c r="F1151" s="921"/>
      <c r="G1151" s="1277"/>
      <c r="H1151" s="921"/>
      <c r="I1151" s="1277"/>
      <c r="J1151" s="921"/>
      <c r="K1151" s="1277"/>
      <c r="L1151" s="1277"/>
      <c r="M1151" s="919"/>
      <c r="N1151" s="919"/>
      <c r="O1151" s="919"/>
      <c r="P1151" s="1277"/>
      <c r="Q1151" s="1277"/>
      <c r="R1151" s="1277"/>
      <c r="S1151" s="1277"/>
      <c r="T1151" s="1277"/>
      <c r="U1151" s="1277"/>
      <c r="V1151" s="1277"/>
      <c r="W1151" s="1277"/>
      <c r="X1151" s="1277"/>
    </row>
    <row r="1152" spans="6:24">
      <c r="F1152" s="921"/>
      <c r="G1152" s="1277"/>
      <c r="H1152" s="921"/>
      <c r="I1152" s="1277"/>
      <c r="J1152" s="921"/>
      <c r="K1152" s="1277"/>
      <c r="L1152" s="1277"/>
      <c r="M1152" s="919"/>
      <c r="N1152" s="919"/>
      <c r="O1152" s="919"/>
      <c r="P1152" s="1277"/>
      <c r="Q1152" s="1277"/>
      <c r="R1152" s="1277"/>
      <c r="S1152" s="1277"/>
      <c r="T1152" s="1277"/>
      <c r="U1152" s="1277"/>
      <c r="V1152" s="1277"/>
      <c r="W1152" s="1277"/>
      <c r="X1152" s="1277"/>
    </row>
    <row r="1153" spans="6:24">
      <c r="F1153" s="921"/>
      <c r="G1153" s="1277"/>
      <c r="H1153" s="921"/>
      <c r="I1153" s="1277"/>
      <c r="J1153" s="921"/>
      <c r="K1153" s="1277"/>
      <c r="L1153" s="1277"/>
      <c r="M1153" s="919"/>
      <c r="N1153" s="919"/>
      <c r="O1153" s="919"/>
      <c r="P1153" s="1277"/>
      <c r="Q1153" s="1277"/>
      <c r="R1153" s="1277"/>
      <c r="S1153" s="1277"/>
      <c r="T1153" s="1277"/>
      <c r="U1153" s="1277"/>
      <c r="V1153" s="1277"/>
      <c r="W1153" s="1277"/>
      <c r="X1153" s="1277"/>
    </row>
    <row r="1154" spans="6:24">
      <c r="F1154" s="921"/>
      <c r="G1154" s="1277"/>
      <c r="H1154" s="921"/>
      <c r="I1154" s="1277"/>
      <c r="J1154" s="921"/>
      <c r="K1154" s="1277"/>
      <c r="L1154" s="1277"/>
      <c r="M1154" s="919"/>
      <c r="N1154" s="919"/>
      <c r="O1154" s="919"/>
      <c r="P1154" s="1277"/>
      <c r="Q1154" s="1277"/>
      <c r="R1154" s="1277"/>
      <c r="S1154" s="1277"/>
      <c r="T1154" s="1277"/>
      <c r="U1154" s="1277"/>
      <c r="V1154" s="1277"/>
      <c r="W1154" s="1277"/>
      <c r="X1154" s="1277"/>
    </row>
    <row r="1155" spans="6:24">
      <c r="F1155" s="921"/>
      <c r="G1155" s="1277"/>
      <c r="H1155" s="921"/>
      <c r="I1155" s="1277"/>
      <c r="J1155" s="921"/>
      <c r="K1155" s="1277"/>
      <c r="L1155" s="1277"/>
      <c r="M1155" s="919"/>
      <c r="N1155" s="919"/>
      <c r="O1155" s="919"/>
      <c r="P1155" s="1277"/>
      <c r="Q1155" s="1277"/>
      <c r="R1155" s="1277"/>
      <c r="S1155" s="1277"/>
      <c r="T1155" s="1277"/>
      <c r="U1155" s="1277"/>
      <c r="V1155" s="1277"/>
      <c r="W1155" s="1277"/>
      <c r="X1155" s="1277"/>
    </row>
    <row r="1156" spans="6:24">
      <c r="F1156" s="921"/>
      <c r="G1156" s="1277"/>
      <c r="H1156" s="921"/>
      <c r="I1156" s="1277"/>
      <c r="J1156" s="921"/>
      <c r="K1156" s="1277"/>
      <c r="L1156" s="1277"/>
      <c r="M1156" s="919"/>
      <c r="N1156" s="919"/>
      <c r="O1156" s="919"/>
      <c r="P1156" s="1277"/>
      <c r="Q1156" s="1277"/>
      <c r="R1156" s="1277"/>
      <c r="S1156" s="1277"/>
      <c r="T1156" s="1277"/>
      <c r="U1156" s="1277"/>
      <c r="V1156" s="1277"/>
      <c r="W1156" s="1277"/>
      <c r="X1156" s="1277"/>
    </row>
    <row r="1157" spans="6:24">
      <c r="F1157" s="921"/>
      <c r="G1157" s="1277"/>
      <c r="H1157" s="921"/>
      <c r="I1157" s="1277"/>
      <c r="J1157" s="921"/>
      <c r="K1157" s="1277"/>
      <c r="L1157" s="1277"/>
      <c r="M1157" s="919"/>
      <c r="N1157" s="919"/>
      <c r="O1157" s="919"/>
      <c r="P1157" s="1277"/>
      <c r="Q1157" s="1277"/>
      <c r="R1157" s="1277"/>
      <c r="S1157" s="1277"/>
      <c r="T1157" s="1277"/>
      <c r="U1157" s="1277"/>
      <c r="V1157" s="1277"/>
      <c r="W1157" s="1277"/>
      <c r="X1157" s="1277"/>
    </row>
    <row r="1158" spans="6:24">
      <c r="F1158" s="921"/>
      <c r="G1158" s="1277"/>
      <c r="H1158" s="921"/>
      <c r="I1158" s="1277"/>
      <c r="J1158" s="921"/>
      <c r="K1158" s="1277"/>
      <c r="L1158" s="1277"/>
      <c r="M1158" s="919"/>
      <c r="N1158" s="919"/>
      <c r="O1158" s="919"/>
      <c r="P1158" s="1277"/>
      <c r="Q1158" s="1277"/>
      <c r="R1158" s="1277"/>
      <c r="S1158" s="1277"/>
      <c r="T1158" s="1277"/>
      <c r="U1158" s="1277"/>
      <c r="V1158" s="1277"/>
      <c r="W1158" s="1277"/>
      <c r="X1158" s="1277"/>
    </row>
    <row r="1159" spans="6:24">
      <c r="F1159" s="921"/>
      <c r="G1159" s="1277"/>
      <c r="H1159" s="921"/>
      <c r="I1159" s="1277"/>
      <c r="J1159" s="921"/>
      <c r="K1159" s="1277"/>
      <c r="L1159" s="1277"/>
      <c r="M1159" s="919"/>
      <c r="N1159" s="919"/>
      <c r="O1159" s="919"/>
      <c r="P1159" s="1277"/>
      <c r="Q1159" s="1277"/>
      <c r="R1159" s="1277"/>
      <c r="S1159" s="1277"/>
      <c r="T1159" s="1277"/>
      <c r="U1159" s="1277"/>
      <c r="V1159" s="1277"/>
      <c r="W1159" s="1277"/>
      <c r="X1159" s="1277"/>
    </row>
    <row r="1160" spans="6:24">
      <c r="F1160" s="921"/>
      <c r="G1160" s="1277"/>
      <c r="H1160" s="921"/>
      <c r="I1160" s="1277"/>
      <c r="J1160" s="921"/>
      <c r="K1160" s="1277"/>
      <c r="L1160" s="1277"/>
      <c r="M1160" s="919"/>
      <c r="N1160" s="919"/>
      <c r="O1160" s="919"/>
      <c r="P1160" s="1277"/>
      <c r="Q1160" s="1277"/>
      <c r="R1160" s="1277"/>
      <c r="S1160" s="1277"/>
      <c r="T1160" s="1277"/>
      <c r="U1160" s="1277"/>
      <c r="V1160" s="1277"/>
      <c r="W1160" s="1277"/>
      <c r="X1160" s="1277"/>
    </row>
    <row r="1161" spans="6:24">
      <c r="F1161" s="921"/>
      <c r="G1161" s="1277"/>
      <c r="H1161" s="921"/>
      <c r="I1161" s="1277"/>
      <c r="J1161" s="921"/>
      <c r="K1161" s="1277"/>
      <c r="L1161" s="1277"/>
      <c r="M1161" s="919"/>
      <c r="N1161" s="919"/>
      <c r="O1161" s="919"/>
      <c r="P1161" s="1277"/>
      <c r="Q1161" s="1277"/>
      <c r="R1161" s="1277"/>
      <c r="S1161" s="1277"/>
      <c r="T1161" s="1277"/>
      <c r="U1161" s="1277"/>
      <c r="V1161" s="1277"/>
      <c r="W1161" s="1277"/>
      <c r="X1161" s="1277"/>
    </row>
    <row r="1162" spans="6:24">
      <c r="F1162" s="921"/>
      <c r="G1162" s="1277"/>
      <c r="H1162" s="921"/>
      <c r="I1162" s="1277"/>
      <c r="J1162" s="921"/>
      <c r="K1162" s="1277"/>
      <c r="L1162" s="1277"/>
      <c r="M1162" s="919"/>
      <c r="N1162" s="919"/>
      <c r="O1162" s="919"/>
      <c r="P1162" s="1277"/>
      <c r="Q1162" s="1277"/>
      <c r="R1162" s="1277"/>
      <c r="S1162" s="1277"/>
      <c r="T1162" s="1277"/>
      <c r="U1162" s="1277"/>
      <c r="V1162" s="1277"/>
      <c r="W1162" s="1277"/>
      <c r="X1162" s="1277"/>
    </row>
    <row r="1163" spans="6:24">
      <c r="F1163" s="921"/>
      <c r="G1163" s="1277"/>
      <c r="H1163" s="921"/>
      <c r="I1163" s="1277"/>
      <c r="J1163" s="921"/>
      <c r="K1163" s="1277"/>
      <c r="L1163" s="1277"/>
      <c r="M1163" s="919"/>
      <c r="N1163" s="919"/>
      <c r="O1163" s="919"/>
      <c r="P1163" s="1277"/>
      <c r="Q1163" s="1277"/>
      <c r="R1163" s="1277"/>
      <c r="S1163" s="1277"/>
      <c r="T1163" s="1277"/>
      <c r="U1163" s="1277"/>
      <c r="V1163" s="1277"/>
      <c r="W1163" s="1277"/>
      <c r="X1163" s="1277"/>
    </row>
    <row r="1164" spans="6:24">
      <c r="F1164" s="921"/>
      <c r="G1164" s="1277"/>
      <c r="H1164" s="921"/>
      <c r="I1164" s="1277"/>
      <c r="J1164" s="921"/>
      <c r="K1164" s="1277"/>
      <c r="L1164" s="1277"/>
      <c r="M1164" s="919"/>
      <c r="N1164" s="919"/>
      <c r="O1164" s="919"/>
      <c r="P1164" s="1277"/>
      <c r="Q1164" s="1277"/>
      <c r="R1164" s="1277"/>
      <c r="S1164" s="1277"/>
      <c r="T1164" s="1277"/>
      <c r="U1164" s="1277"/>
      <c r="V1164" s="1277"/>
      <c r="W1164" s="1277"/>
      <c r="X1164" s="1277"/>
    </row>
    <row r="1165" spans="6:24">
      <c r="F1165" s="921"/>
      <c r="G1165" s="1277"/>
      <c r="H1165" s="921"/>
      <c r="I1165" s="1277"/>
      <c r="J1165" s="921"/>
      <c r="K1165" s="1277"/>
      <c r="L1165" s="1277"/>
      <c r="M1165" s="919"/>
      <c r="N1165" s="919"/>
      <c r="O1165" s="919"/>
      <c r="P1165" s="1277"/>
      <c r="Q1165" s="1277"/>
      <c r="R1165" s="1277"/>
      <c r="S1165" s="1277"/>
      <c r="T1165" s="1277"/>
      <c r="U1165" s="1277"/>
      <c r="V1165" s="1277"/>
      <c r="W1165" s="1277"/>
      <c r="X1165" s="1277"/>
    </row>
    <row r="1166" spans="6:24">
      <c r="F1166" s="921"/>
      <c r="G1166" s="1277"/>
      <c r="H1166" s="921"/>
      <c r="I1166" s="1277"/>
      <c r="J1166" s="921"/>
      <c r="K1166" s="1277"/>
      <c r="L1166" s="1277"/>
      <c r="M1166" s="919"/>
      <c r="N1166" s="919"/>
      <c r="O1166" s="919"/>
      <c r="P1166" s="1277"/>
      <c r="Q1166" s="1277"/>
      <c r="R1166" s="1277"/>
      <c r="S1166" s="1277"/>
      <c r="T1166" s="1277"/>
      <c r="U1166" s="1277"/>
      <c r="V1166" s="1277"/>
      <c r="W1166" s="1277"/>
      <c r="X1166" s="1277"/>
    </row>
    <row r="1167" spans="6:24">
      <c r="F1167" s="921"/>
      <c r="G1167" s="1277"/>
      <c r="H1167" s="921"/>
      <c r="I1167" s="1277"/>
      <c r="J1167" s="921"/>
      <c r="K1167" s="1277"/>
      <c r="L1167" s="1277"/>
      <c r="M1167" s="919"/>
      <c r="N1167" s="919"/>
      <c r="O1167" s="919"/>
      <c r="P1167" s="1277"/>
      <c r="Q1167" s="1277"/>
      <c r="R1167" s="1277"/>
      <c r="S1167" s="1277"/>
      <c r="T1167" s="1277"/>
      <c r="U1167" s="1277"/>
      <c r="V1167" s="1277"/>
      <c r="W1167" s="1277"/>
      <c r="X1167" s="1277"/>
    </row>
    <row r="1168" spans="6:24">
      <c r="F1168" s="921"/>
      <c r="G1168" s="1277"/>
      <c r="H1168" s="921"/>
      <c r="I1168" s="1277"/>
      <c r="J1168" s="921"/>
      <c r="K1168" s="1277"/>
      <c r="L1168" s="1277"/>
      <c r="M1168" s="919"/>
      <c r="N1168" s="919"/>
      <c r="O1168" s="919"/>
      <c r="P1168" s="1277"/>
      <c r="Q1168" s="1277"/>
      <c r="R1168" s="1277"/>
      <c r="S1168" s="1277"/>
      <c r="T1168" s="1277"/>
      <c r="U1168" s="1277"/>
      <c r="V1168" s="1277"/>
      <c r="W1168" s="1277"/>
      <c r="X1168" s="1277"/>
    </row>
    <row r="1169" spans="6:24">
      <c r="F1169" s="921"/>
      <c r="G1169" s="1277"/>
      <c r="H1169" s="921"/>
      <c r="I1169" s="1277"/>
      <c r="J1169" s="921"/>
      <c r="K1169" s="1277"/>
      <c r="L1169" s="1277"/>
      <c r="M1169" s="919"/>
      <c r="N1169" s="919"/>
      <c r="O1169" s="919"/>
      <c r="P1169" s="1277"/>
      <c r="Q1169" s="1277"/>
      <c r="R1169" s="1277"/>
      <c r="S1169" s="1277"/>
      <c r="T1169" s="1277"/>
      <c r="U1169" s="1277"/>
      <c r="V1169" s="1277"/>
      <c r="W1169" s="1277"/>
      <c r="X1169" s="1277"/>
    </row>
    <row r="1170" spans="6:24">
      <c r="F1170" s="921"/>
      <c r="G1170" s="1277"/>
      <c r="H1170" s="921"/>
      <c r="I1170" s="1277"/>
      <c r="J1170" s="921"/>
      <c r="K1170" s="1277"/>
      <c r="L1170" s="1277"/>
      <c r="M1170" s="919"/>
      <c r="N1170" s="919"/>
      <c r="O1170" s="919"/>
      <c r="P1170" s="1277"/>
      <c r="Q1170" s="1277"/>
      <c r="R1170" s="1277"/>
      <c r="S1170" s="1277"/>
      <c r="T1170" s="1277"/>
      <c r="U1170" s="1277"/>
      <c r="V1170" s="1277"/>
      <c r="W1170" s="1277"/>
      <c r="X1170" s="1277"/>
    </row>
    <row r="1171" spans="6:24">
      <c r="F1171" s="921"/>
      <c r="G1171" s="1277"/>
      <c r="H1171" s="921"/>
      <c r="I1171" s="1277"/>
      <c r="J1171" s="921"/>
      <c r="K1171" s="1277"/>
      <c r="L1171" s="1277"/>
      <c r="M1171" s="919"/>
      <c r="N1171" s="919"/>
      <c r="O1171" s="919"/>
      <c r="P1171" s="1277"/>
      <c r="Q1171" s="1277"/>
      <c r="R1171" s="1277"/>
      <c r="S1171" s="1277"/>
      <c r="T1171" s="1277"/>
      <c r="U1171" s="1277"/>
      <c r="V1171" s="1277"/>
      <c r="W1171" s="1277"/>
      <c r="X1171" s="1277"/>
    </row>
    <row r="1172" spans="6:24">
      <c r="F1172" s="921"/>
      <c r="G1172" s="1277"/>
      <c r="H1172" s="921"/>
      <c r="I1172" s="1277"/>
      <c r="J1172" s="921"/>
      <c r="K1172" s="1277"/>
      <c r="L1172" s="1277"/>
      <c r="M1172" s="919"/>
      <c r="N1172" s="919"/>
      <c r="O1172" s="919"/>
      <c r="P1172" s="1277"/>
      <c r="Q1172" s="1277"/>
      <c r="R1172" s="1277"/>
      <c r="S1172" s="1277"/>
      <c r="T1172" s="1277"/>
      <c r="U1172" s="1277"/>
      <c r="V1172" s="1277"/>
      <c r="W1172" s="1277"/>
      <c r="X1172" s="1277"/>
    </row>
    <row r="1173" spans="6:24">
      <c r="F1173" s="921"/>
      <c r="G1173" s="1277"/>
      <c r="H1173" s="921"/>
      <c r="I1173" s="1277"/>
      <c r="J1173" s="921"/>
      <c r="K1173" s="1277"/>
      <c r="L1173" s="1277"/>
      <c r="M1173" s="919"/>
      <c r="N1173" s="919"/>
      <c r="O1173" s="919"/>
      <c r="P1173" s="1277"/>
      <c r="Q1173" s="1277"/>
      <c r="R1173" s="1277"/>
      <c r="S1173" s="1277"/>
      <c r="T1173" s="1277"/>
      <c r="U1173" s="1277"/>
      <c r="V1173" s="1277"/>
      <c r="W1173" s="1277"/>
      <c r="X1173" s="1277"/>
    </row>
    <row r="1174" spans="6:24">
      <c r="F1174" s="921"/>
      <c r="G1174" s="1277"/>
      <c r="H1174" s="921"/>
      <c r="I1174" s="1277"/>
      <c r="J1174" s="921"/>
      <c r="K1174" s="1277"/>
      <c r="L1174" s="1277"/>
      <c r="M1174" s="919"/>
      <c r="N1174" s="919"/>
      <c r="O1174" s="919"/>
      <c r="P1174" s="1277"/>
      <c r="Q1174" s="1277"/>
      <c r="R1174" s="1277"/>
      <c r="S1174" s="1277"/>
      <c r="T1174" s="1277"/>
      <c r="U1174" s="1277"/>
      <c r="V1174" s="1277"/>
      <c r="W1174" s="1277"/>
      <c r="X1174" s="1277"/>
    </row>
    <row r="1175" spans="6:24">
      <c r="F1175" s="921"/>
      <c r="G1175" s="1277"/>
      <c r="H1175" s="921"/>
      <c r="I1175" s="1277"/>
      <c r="J1175" s="921"/>
      <c r="K1175" s="1277"/>
      <c r="L1175" s="1277"/>
      <c r="M1175" s="919"/>
      <c r="N1175" s="919"/>
      <c r="O1175" s="919"/>
      <c r="P1175" s="1277"/>
      <c r="Q1175" s="1277"/>
      <c r="R1175" s="1277"/>
      <c r="S1175" s="1277"/>
      <c r="T1175" s="1277"/>
      <c r="U1175" s="1277"/>
      <c r="V1175" s="1277"/>
      <c r="W1175" s="1277"/>
      <c r="X1175" s="1277"/>
    </row>
    <row r="1176" spans="6:24">
      <c r="F1176" s="921"/>
      <c r="G1176" s="1277"/>
      <c r="H1176" s="921"/>
      <c r="I1176" s="1277"/>
      <c r="J1176" s="921"/>
      <c r="K1176" s="1277"/>
      <c r="L1176" s="1277"/>
      <c r="M1176" s="919"/>
      <c r="N1176" s="919"/>
      <c r="O1176" s="919"/>
      <c r="P1176" s="1277"/>
      <c r="Q1176" s="1277"/>
      <c r="R1176" s="1277"/>
      <c r="S1176" s="1277"/>
      <c r="T1176" s="1277"/>
      <c r="U1176" s="1277"/>
      <c r="V1176" s="1277"/>
      <c r="W1176" s="1277"/>
      <c r="X1176" s="1277"/>
    </row>
    <row r="1177" spans="6:24">
      <c r="F1177" s="921"/>
      <c r="G1177" s="1277"/>
      <c r="H1177" s="921"/>
      <c r="I1177" s="1277"/>
      <c r="J1177" s="921"/>
      <c r="K1177" s="1277"/>
      <c r="L1177" s="1277"/>
      <c r="M1177" s="919"/>
      <c r="N1177" s="919"/>
      <c r="O1177" s="919"/>
      <c r="P1177" s="1277"/>
      <c r="Q1177" s="1277"/>
      <c r="R1177" s="1277"/>
      <c r="S1177" s="1277"/>
      <c r="T1177" s="1277"/>
      <c r="U1177" s="1277"/>
      <c r="V1177" s="1277"/>
      <c r="W1177" s="1277"/>
      <c r="X1177" s="1277"/>
    </row>
    <row r="1178" spans="6:24">
      <c r="F1178" s="921"/>
      <c r="G1178" s="1277"/>
      <c r="H1178" s="921"/>
      <c r="I1178" s="1277"/>
      <c r="J1178" s="921"/>
      <c r="K1178" s="1277"/>
      <c r="L1178" s="1277"/>
      <c r="M1178" s="919"/>
      <c r="N1178" s="919"/>
      <c r="O1178" s="919"/>
      <c r="P1178" s="1277"/>
      <c r="Q1178" s="1277"/>
      <c r="R1178" s="1277"/>
      <c r="S1178" s="1277"/>
      <c r="T1178" s="1277"/>
      <c r="U1178" s="1277"/>
      <c r="V1178" s="1277"/>
      <c r="W1178" s="1277"/>
      <c r="X1178" s="1277"/>
    </row>
    <row r="1179" spans="6:24">
      <c r="F1179" s="921"/>
      <c r="G1179" s="1277"/>
      <c r="H1179" s="921"/>
      <c r="I1179" s="1277"/>
      <c r="J1179" s="921"/>
      <c r="K1179" s="1277"/>
      <c r="L1179" s="1277"/>
      <c r="M1179" s="919"/>
      <c r="N1179" s="919"/>
      <c r="O1179" s="919"/>
      <c r="P1179" s="1277"/>
      <c r="Q1179" s="1277"/>
      <c r="R1179" s="1277"/>
      <c r="S1179" s="1277"/>
      <c r="T1179" s="1277"/>
      <c r="U1179" s="1277"/>
      <c r="V1179" s="1277"/>
      <c r="W1179" s="1277"/>
      <c r="X1179" s="1277"/>
    </row>
    <row r="1180" spans="6:24">
      <c r="F1180" s="921"/>
      <c r="G1180" s="1277"/>
      <c r="H1180" s="921"/>
      <c r="I1180" s="1277"/>
      <c r="J1180" s="921"/>
      <c r="K1180" s="1277"/>
      <c r="L1180" s="1277"/>
      <c r="M1180" s="919"/>
      <c r="N1180" s="919"/>
      <c r="O1180" s="919"/>
      <c r="P1180" s="1277"/>
      <c r="Q1180" s="1277"/>
      <c r="R1180" s="1277"/>
      <c r="S1180" s="1277"/>
      <c r="T1180" s="1277"/>
      <c r="U1180" s="1277"/>
      <c r="V1180" s="1277"/>
      <c r="W1180" s="1277"/>
      <c r="X1180" s="1277"/>
    </row>
    <row r="1181" spans="6:24">
      <c r="F1181" s="921"/>
      <c r="G1181" s="1277"/>
      <c r="H1181" s="921"/>
      <c r="I1181" s="1277"/>
      <c r="J1181" s="921"/>
      <c r="K1181" s="1277"/>
      <c r="L1181" s="1277"/>
      <c r="M1181" s="919"/>
      <c r="N1181" s="919"/>
      <c r="O1181" s="919"/>
      <c r="P1181" s="1277"/>
      <c r="Q1181" s="1277"/>
      <c r="R1181" s="1277"/>
      <c r="S1181" s="1277"/>
      <c r="T1181" s="1277"/>
      <c r="U1181" s="1277"/>
      <c r="V1181" s="1277"/>
      <c r="W1181" s="1277"/>
      <c r="X1181" s="1277"/>
    </row>
    <row r="1182" spans="6:24">
      <c r="F1182" s="921"/>
      <c r="G1182" s="1277"/>
      <c r="H1182" s="921"/>
      <c r="I1182" s="1277"/>
      <c r="J1182" s="921"/>
      <c r="K1182" s="1277"/>
      <c r="L1182" s="1277"/>
      <c r="M1182" s="919"/>
      <c r="N1182" s="919"/>
      <c r="O1182" s="919"/>
      <c r="P1182" s="1277"/>
      <c r="Q1182" s="1277"/>
      <c r="R1182" s="1277"/>
      <c r="S1182" s="1277"/>
      <c r="T1182" s="1277"/>
      <c r="U1182" s="1277"/>
      <c r="V1182" s="1277"/>
      <c r="W1182" s="1277"/>
      <c r="X1182" s="1277"/>
    </row>
    <row r="1183" spans="6:24">
      <c r="F1183" s="921"/>
      <c r="G1183" s="1277"/>
      <c r="H1183" s="921"/>
      <c r="I1183" s="1277"/>
      <c r="J1183" s="921"/>
      <c r="K1183" s="1277"/>
      <c r="L1183" s="1277"/>
      <c r="M1183" s="919"/>
      <c r="N1183" s="919"/>
      <c r="O1183" s="919"/>
      <c r="P1183" s="1277"/>
      <c r="Q1183" s="1277"/>
      <c r="R1183" s="1277"/>
      <c r="S1183" s="1277"/>
      <c r="T1183" s="1277"/>
      <c r="U1183" s="1277"/>
      <c r="V1183" s="1277"/>
      <c r="W1183" s="1277"/>
      <c r="X1183" s="1277"/>
    </row>
    <row r="1184" spans="6:24">
      <c r="F1184" s="921"/>
      <c r="G1184" s="1277"/>
      <c r="H1184" s="921"/>
      <c r="I1184" s="1277"/>
      <c r="J1184" s="921"/>
      <c r="K1184" s="1277"/>
      <c r="L1184" s="1277"/>
      <c r="M1184" s="919"/>
      <c r="N1184" s="919"/>
      <c r="O1184" s="919"/>
      <c r="P1184" s="1277"/>
      <c r="Q1184" s="1277"/>
      <c r="R1184" s="1277"/>
      <c r="S1184" s="1277"/>
      <c r="T1184" s="1277"/>
      <c r="U1184" s="1277"/>
      <c r="V1184" s="1277"/>
      <c r="W1184" s="1277"/>
      <c r="X1184" s="1277"/>
    </row>
    <row r="1185" spans="6:24">
      <c r="F1185" s="921"/>
      <c r="G1185" s="1277"/>
      <c r="H1185" s="921"/>
      <c r="I1185" s="1277"/>
      <c r="J1185" s="921"/>
      <c r="K1185" s="1277"/>
      <c r="L1185" s="1277"/>
      <c r="M1185" s="919"/>
      <c r="N1185" s="919"/>
      <c r="O1185" s="919"/>
      <c r="P1185" s="1277"/>
      <c r="Q1185" s="1277"/>
      <c r="R1185" s="1277"/>
      <c r="S1185" s="1277"/>
      <c r="T1185" s="1277"/>
      <c r="U1185" s="1277"/>
      <c r="V1185" s="1277"/>
      <c r="W1185" s="1277"/>
      <c r="X1185" s="1277"/>
    </row>
    <row r="1186" spans="6:24">
      <c r="F1186" s="921"/>
      <c r="G1186" s="1277"/>
      <c r="H1186" s="921"/>
      <c r="I1186" s="1277"/>
      <c r="J1186" s="921"/>
      <c r="K1186" s="1277"/>
      <c r="L1186" s="1277"/>
      <c r="M1186" s="919"/>
      <c r="N1186" s="919"/>
      <c r="O1186" s="919"/>
      <c r="P1186" s="1277"/>
      <c r="Q1186" s="1277"/>
      <c r="R1186" s="1277"/>
      <c r="S1186" s="1277"/>
      <c r="T1186" s="1277"/>
      <c r="U1186" s="1277"/>
      <c r="V1186" s="1277"/>
      <c r="W1186" s="1277"/>
      <c r="X1186" s="1277"/>
    </row>
    <row r="1187" spans="6:24">
      <c r="F1187" s="921"/>
      <c r="G1187" s="1277"/>
      <c r="H1187" s="921"/>
      <c r="I1187" s="1277"/>
      <c r="J1187" s="921"/>
      <c r="K1187" s="1277"/>
      <c r="L1187" s="1277"/>
      <c r="M1187" s="919"/>
      <c r="N1187" s="919"/>
      <c r="O1187" s="919"/>
      <c r="P1187" s="1277"/>
      <c r="Q1187" s="1277"/>
      <c r="R1187" s="1277"/>
      <c r="S1187" s="1277"/>
      <c r="T1187" s="1277"/>
      <c r="U1187" s="1277"/>
      <c r="V1187" s="1277"/>
      <c r="W1187" s="1277"/>
      <c r="X1187" s="1277"/>
    </row>
    <row r="1188" spans="6:24">
      <c r="F1188" s="921"/>
      <c r="G1188" s="1277"/>
      <c r="H1188" s="921"/>
      <c r="I1188" s="1277"/>
      <c r="J1188" s="921"/>
      <c r="K1188" s="1277"/>
      <c r="L1188" s="1277"/>
      <c r="M1188" s="919"/>
      <c r="N1188" s="919"/>
      <c r="O1188" s="919"/>
      <c r="P1188" s="1277"/>
      <c r="Q1188" s="1277"/>
      <c r="R1188" s="1277"/>
      <c r="S1188" s="1277"/>
      <c r="T1188" s="1277"/>
      <c r="U1188" s="1277"/>
      <c r="V1188" s="1277"/>
      <c r="W1188" s="1277"/>
      <c r="X1188" s="1277"/>
    </row>
    <row r="1189" spans="6:24">
      <c r="F1189" s="921"/>
      <c r="G1189" s="1277"/>
      <c r="H1189" s="921"/>
      <c r="I1189" s="1277"/>
      <c r="J1189" s="921"/>
      <c r="K1189" s="1277"/>
      <c r="L1189" s="1277"/>
      <c r="M1189" s="919"/>
      <c r="N1189" s="919"/>
      <c r="O1189" s="919"/>
      <c r="P1189" s="1277"/>
      <c r="Q1189" s="1277"/>
      <c r="R1189" s="1277"/>
      <c r="S1189" s="1277"/>
      <c r="T1189" s="1277"/>
      <c r="U1189" s="1277"/>
      <c r="V1189" s="1277"/>
      <c r="W1189" s="1277"/>
      <c r="X1189" s="1277"/>
    </row>
    <row r="1190" spans="6:24">
      <c r="F1190" s="921"/>
      <c r="G1190" s="1277"/>
      <c r="H1190" s="921"/>
      <c r="I1190" s="1277"/>
      <c r="J1190" s="921"/>
      <c r="K1190" s="1277"/>
      <c r="L1190" s="1277"/>
      <c r="M1190" s="919"/>
      <c r="N1190" s="919"/>
      <c r="O1190" s="919"/>
      <c r="P1190" s="1277"/>
      <c r="Q1190" s="1277"/>
      <c r="R1190" s="1277"/>
      <c r="S1190" s="1277"/>
      <c r="T1190" s="1277"/>
      <c r="U1190" s="1277"/>
      <c r="V1190" s="1277"/>
      <c r="W1190" s="1277"/>
      <c r="X1190" s="1277"/>
    </row>
    <row r="1191" spans="6:24">
      <c r="F1191" s="921"/>
      <c r="G1191" s="1277"/>
      <c r="H1191" s="921"/>
      <c r="I1191" s="1277"/>
      <c r="J1191" s="921"/>
      <c r="K1191" s="1277"/>
      <c r="L1191" s="1277"/>
      <c r="M1191" s="919"/>
      <c r="N1191" s="919"/>
      <c r="O1191" s="919"/>
      <c r="P1191" s="1277"/>
      <c r="Q1191" s="1277"/>
      <c r="R1191" s="1277"/>
      <c r="S1191" s="1277"/>
      <c r="T1191" s="1277"/>
      <c r="U1191" s="1277"/>
      <c r="V1191" s="1277"/>
      <c r="W1191" s="1277"/>
      <c r="X1191" s="1277"/>
    </row>
    <row r="1192" spans="6:24">
      <c r="F1192" s="921"/>
      <c r="G1192" s="1277"/>
      <c r="H1192" s="921"/>
      <c r="I1192" s="1277"/>
      <c r="J1192" s="921"/>
      <c r="K1192" s="1277"/>
      <c r="L1192" s="1277"/>
      <c r="M1192" s="919"/>
      <c r="N1192" s="919"/>
      <c r="O1192" s="919"/>
      <c r="P1192" s="1277"/>
      <c r="Q1192" s="1277"/>
      <c r="R1192" s="1277"/>
      <c r="S1192" s="1277"/>
      <c r="T1192" s="1277"/>
      <c r="U1192" s="1277"/>
      <c r="V1192" s="1277"/>
      <c r="W1192" s="1277"/>
      <c r="X1192" s="1277"/>
    </row>
    <row r="1193" spans="6:24">
      <c r="F1193" s="921"/>
      <c r="G1193" s="1277"/>
      <c r="H1193" s="921"/>
      <c r="I1193" s="1277"/>
      <c r="J1193" s="921"/>
      <c r="K1193" s="1277"/>
      <c r="L1193" s="1277"/>
      <c r="M1193" s="919"/>
      <c r="N1193" s="919"/>
      <c r="O1193" s="919"/>
      <c r="P1193" s="1277"/>
      <c r="Q1193" s="1277"/>
      <c r="R1193" s="1277"/>
      <c r="S1193" s="1277"/>
      <c r="T1193" s="1277"/>
      <c r="U1193" s="1277"/>
      <c r="V1193" s="1277"/>
      <c r="W1193" s="1277"/>
      <c r="X1193" s="1277"/>
    </row>
    <row r="1194" spans="6:24">
      <c r="F1194" s="921"/>
      <c r="G1194" s="1277"/>
      <c r="H1194" s="921"/>
      <c r="I1194" s="1277"/>
      <c r="J1194" s="921"/>
      <c r="K1194" s="1277"/>
      <c r="L1194" s="1277"/>
      <c r="M1194" s="919"/>
      <c r="N1194" s="919"/>
      <c r="O1194" s="919"/>
      <c r="P1194" s="1277"/>
      <c r="Q1194" s="1277"/>
      <c r="R1194" s="1277"/>
      <c r="S1194" s="1277"/>
      <c r="T1194" s="1277"/>
      <c r="U1194" s="1277"/>
      <c r="V1194" s="1277"/>
      <c r="W1194" s="1277"/>
      <c r="X1194" s="1277"/>
    </row>
    <row r="1195" spans="6:24">
      <c r="F1195" s="921"/>
      <c r="G1195" s="1277"/>
      <c r="H1195" s="921"/>
      <c r="I1195" s="1277"/>
      <c r="J1195" s="921"/>
      <c r="K1195" s="1277"/>
      <c r="L1195" s="1277"/>
      <c r="M1195" s="919"/>
      <c r="N1195" s="919"/>
      <c r="O1195" s="919"/>
      <c r="P1195" s="1277"/>
      <c r="Q1195" s="1277"/>
      <c r="R1195" s="1277"/>
      <c r="S1195" s="1277"/>
      <c r="T1195" s="1277"/>
      <c r="U1195" s="1277"/>
      <c r="V1195" s="1277"/>
      <c r="W1195" s="1277"/>
      <c r="X1195" s="1277"/>
    </row>
    <row r="1196" spans="6:24">
      <c r="F1196" s="921"/>
      <c r="G1196" s="1277"/>
      <c r="H1196" s="921"/>
      <c r="I1196" s="1277"/>
      <c r="J1196" s="921"/>
      <c r="K1196" s="1277"/>
      <c r="L1196" s="1277"/>
      <c r="M1196" s="919"/>
      <c r="N1196" s="919"/>
      <c r="O1196" s="919"/>
      <c r="P1196" s="1277"/>
      <c r="Q1196" s="1277"/>
      <c r="R1196" s="1277"/>
      <c r="S1196" s="1277"/>
      <c r="T1196" s="1277"/>
      <c r="U1196" s="1277"/>
      <c r="V1196" s="1277"/>
      <c r="W1196" s="1277"/>
      <c r="X1196" s="1277"/>
    </row>
    <row r="1197" spans="6:24">
      <c r="F1197" s="921"/>
      <c r="G1197" s="1277"/>
      <c r="H1197" s="921"/>
      <c r="I1197" s="1277"/>
      <c r="J1197" s="921"/>
      <c r="K1197" s="1277"/>
      <c r="L1197" s="1277"/>
      <c r="M1197" s="919"/>
      <c r="N1197" s="919"/>
      <c r="O1197" s="919"/>
      <c r="P1197" s="1277"/>
      <c r="Q1197" s="1277"/>
      <c r="R1197" s="1277"/>
      <c r="S1197" s="1277"/>
      <c r="T1197" s="1277"/>
      <c r="U1197" s="1277"/>
      <c r="V1197" s="1277"/>
      <c r="W1197" s="1277"/>
      <c r="X1197" s="1277"/>
    </row>
    <row r="1198" spans="6:24">
      <c r="F1198" s="921"/>
      <c r="G1198" s="1277"/>
      <c r="H1198" s="921"/>
      <c r="I1198" s="1277"/>
      <c r="J1198" s="921"/>
      <c r="K1198" s="1277"/>
      <c r="L1198" s="1277"/>
      <c r="M1198" s="919"/>
      <c r="N1198" s="919"/>
      <c r="O1198" s="919"/>
      <c r="P1198" s="1277"/>
      <c r="Q1198" s="1277"/>
      <c r="R1198" s="1277"/>
      <c r="S1198" s="1277"/>
      <c r="T1198" s="1277"/>
      <c r="U1198" s="1277"/>
      <c r="V1198" s="1277"/>
      <c r="W1198" s="1277"/>
      <c r="X1198" s="1277"/>
    </row>
    <row r="1199" spans="6:24">
      <c r="F1199" s="921"/>
      <c r="G1199" s="1277"/>
      <c r="H1199" s="921"/>
      <c r="I1199" s="1277"/>
      <c r="J1199" s="921"/>
      <c r="K1199" s="1277"/>
      <c r="L1199" s="1277"/>
      <c r="M1199" s="919"/>
      <c r="N1199" s="919"/>
      <c r="O1199" s="919"/>
      <c r="P1199" s="1277"/>
      <c r="Q1199" s="1277"/>
      <c r="R1199" s="1277"/>
      <c r="S1199" s="1277"/>
      <c r="T1199" s="1277"/>
      <c r="U1199" s="1277"/>
      <c r="V1199" s="1277"/>
      <c r="W1199" s="1277"/>
      <c r="X1199" s="1277"/>
    </row>
    <row r="1200" spans="6:24">
      <c r="F1200" s="921"/>
      <c r="G1200" s="1277"/>
      <c r="H1200" s="921"/>
      <c r="I1200" s="1277"/>
      <c r="J1200" s="921"/>
      <c r="K1200" s="1277"/>
      <c r="L1200" s="1277"/>
      <c r="M1200" s="919"/>
      <c r="N1200" s="919"/>
      <c r="O1200" s="919"/>
      <c r="P1200" s="1277"/>
      <c r="Q1200" s="1277"/>
      <c r="R1200" s="1277"/>
      <c r="S1200" s="1277"/>
      <c r="T1200" s="1277"/>
      <c r="U1200" s="1277"/>
      <c r="V1200" s="1277"/>
      <c r="W1200" s="1277"/>
      <c r="X1200" s="1277"/>
    </row>
    <row r="1201" spans="6:24">
      <c r="F1201" s="921"/>
      <c r="G1201" s="1277"/>
      <c r="H1201" s="921"/>
      <c r="I1201" s="1277"/>
      <c r="J1201" s="921"/>
      <c r="K1201" s="1277"/>
      <c r="L1201" s="1277"/>
      <c r="M1201" s="919"/>
      <c r="N1201" s="919"/>
      <c r="O1201" s="919"/>
      <c r="P1201" s="1277"/>
      <c r="Q1201" s="1277"/>
      <c r="R1201" s="1277"/>
      <c r="S1201" s="1277"/>
      <c r="T1201" s="1277"/>
      <c r="U1201" s="1277"/>
      <c r="V1201" s="1277"/>
      <c r="W1201" s="1277"/>
      <c r="X1201" s="1277"/>
    </row>
    <row r="1202" spans="6:24">
      <c r="F1202" s="921"/>
      <c r="G1202" s="1277"/>
      <c r="H1202" s="921"/>
      <c r="I1202" s="1277"/>
      <c r="J1202" s="921"/>
      <c r="K1202" s="1277"/>
      <c r="L1202" s="1277"/>
      <c r="M1202" s="919"/>
      <c r="N1202" s="919"/>
      <c r="O1202" s="919"/>
      <c r="P1202" s="1277"/>
      <c r="Q1202" s="1277"/>
      <c r="R1202" s="1277"/>
      <c r="S1202" s="1277"/>
      <c r="T1202" s="1277"/>
      <c r="U1202" s="1277"/>
      <c r="V1202" s="1277"/>
      <c r="W1202" s="1277"/>
      <c r="X1202" s="1277"/>
    </row>
    <row r="1203" spans="6:24">
      <c r="F1203" s="921"/>
      <c r="G1203" s="1277"/>
      <c r="H1203" s="921"/>
      <c r="I1203" s="1277"/>
      <c r="J1203" s="921"/>
      <c r="K1203" s="1277"/>
      <c r="L1203" s="1277"/>
      <c r="M1203" s="919"/>
      <c r="N1203" s="919"/>
      <c r="O1203" s="919"/>
      <c r="P1203" s="1277"/>
      <c r="Q1203" s="1277"/>
      <c r="R1203" s="1277"/>
      <c r="S1203" s="1277"/>
      <c r="T1203" s="1277"/>
      <c r="U1203" s="1277"/>
      <c r="V1203" s="1277"/>
      <c r="W1203" s="1277"/>
      <c r="X1203" s="1277"/>
    </row>
    <row r="1204" spans="6:24">
      <c r="F1204" s="921"/>
      <c r="G1204" s="1277"/>
      <c r="H1204" s="921"/>
      <c r="I1204" s="1277"/>
      <c r="J1204" s="921"/>
      <c r="K1204" s="1277"/>
      <c r="L1204" s="1277"/>
      <c r="M1204" s="919"/>
      <c r="N1204" s="919"/>
      <c r="O1204" s="919"/>
      <c r="P1204" s="1277"/>
      <c r="Q1204" s="1277"/>
      <c r="R1204" s="1277"/>
      <c r="S1204" s="1277"/>
      <c r="T1204" s="1277"/>
      <c r="U1204" s="1277"/>
      <c r="V1204" s="1277"/>
      <c r="W1204" s="1277"/>
      <c r="X1204" s="1277"/>
    </row>
    <row r="1205" spans="6:24">
      <c r="F1205" s="921"/>
      <c r="G1205" s="1277"/>
      <c r="H1205" s="921"/>
      <c r="I1205" s="1277"/>
      <c r="J1205" s="921"/>
      <c r="K1205" s="1277"/>
      <c r="L1205" s="1277"/>
      <c r="M1205" s="919"/>
      <c r="N1205" s="919"/>
      <c r="O1205" s="919"/>
      <c r="P1205" s="1277"/>
      <c r="Q1205" s="1277"/>
      <c r="R1205" s="1277"/>
      <c r="S1205" s="1277"/>
      <c r="T1205" s="1277"/>
      <c r="U1205" s="1277"/>
      <c r="V1205" s="1277"/>
      <c r="W1205" s="1277"/>
      <c r="X1205" s="1277"/>
    </row>
    <row r="1206" spans="6:24">
      <c r="F1206" s="921"/>
      <c r="G1206" s="1277"/>
      <c r="H1206" s="921"/>
      <c r="I1206" s="1277"/>
      <c r="J1206" s="921"/>
      <c r="K1206" s="1277"/>
      <c r="L1206" s="1277"/>
      <c r="M1206" s="919"/>
      <c r="N1206" s="919"/>
      <c r="O1206" s="919"/>
      <c r="P1206" s="1277"/>
      <c r="Q1206" s="1277"/>
      <c r="R1206" s="1277"/>
      <c r="S1206" s="1277"/>
      <c r="T1206" s="1277"/>
      <c r="U1206" s="1277"/>
      <c r="V1206" s="1277"/>
      <c r="W1206" s="1277"/>
      <c r="X1206" s="1277"/>
    </row>
    <row r="1207" spans="6:24">
      <c r="F1207" s="921"/>
      <c r="G1207" s="1277"/>
      <c r="H1207" s="921"/>
      <c r="I1207" s="1277"/>
      <c r="J1207" s="921"/>
      <c r="K1207" s="1277"/>
      <c r="L1207" s="1277"/>
      <c r="M1207" s="919"/>
      <c r="N1207" s="919"/>
      <c r="O1207" s="919"/>
      <c r="P1207" s="1277"/>
      <c r="Q1207" s="1277"/>
      <c r="R1207" s="1277"/>
      <c r="S1207" s="1277"/>
      <c r="T1207" s="1277"/>
      <c r="U1207" s="1277"/>
      <c r="V1207" s="1277"/>
      <c r="W1207" s="1277"/>
      <c r="X1207" s="1277"/>
    </row>
    <row r="1208" spans="6:24">
      <c r="F1208" s="921"/>
      <c r="G1208" s="1277"/>
      <c r="H1208" s="921"/>
      <c r="I1208" s="1277"/>
      <c r="J1208" s="921"/>
      <c r="K1208" s="1277"/>
      <c r="L1208" s="1277"/>
      <c r="M1208" s="919"/>
      <c r="N1208" s="919"/>
      <c r="O1208" s="919"/>
      <c r="P1208" s="1277"/>
      <c r="Q1208" s="1277"/>
      <c r="R1208" s="1277"/>
      <c r="S1208" s="1277"/>
      <c r="T1208" s="1277"/>
      <c r="U1208" s="1277"/>
      <c r="V1208" s="1277"/>
      <c r="W1208" s="1277"/>
      <c r="X1208" s="1277"/>
    </row>
    <row r="1209" spans="6:24">
      <c r="F1209" s="921"/>
      <c r="G1209" s="1277"/>
      <c r="H1209" s="921"/>
      <c r="I1209" s="1277"/>
      <c r="J1209" s="921"/>
      <c r="K1209" s="1277"/>
      <c r="L1209" s="1277"/>
      <c r="M1209" s="919"/>
      <c r="N1209" s="919"/>
      <c r="O1209" s="919"/>
      <c r="P1209" s="1277"/>
      <c r="Q1209" s="1277"/>
      <c r="R1209" s="1277"/>
      <c r="S1209" s="1277"/>
      <c r="T1209" s="1277"/>
      <c r="U1209" s="1277"/>
      <c r="V1209" s="1277"/>
      <c r="W1209" s="1277"/>
      <c r="X1209" s="1277"/>
    </row>
    <row r="1210" spans="6:24">
      <c r="F1210" s="921"/>
      <c r="G1210" s="1277"/>
      <c r="H1210" s="921"/>
      <c r="I1210" s="1277"/>
      <c r="J1210" s="921"/>
      <c r="K1210" s="1277"/>
      <c r="L1210" s="1277"/>
      <c r="M1210" s="919"/>
      <c r="N1210" s="919"/>
      <c r="O1210" s="919"/>
      <c r="P1210" s="1277"/>
      <c r="Q1210" s="1277"/>
      <c r="R1210" s="1277"/>
      <c r="S1210" s="1277"/>
      <c r="T1210" s="1277"/>
      <c r="U1210" s="1277"/>
      <c r="V1210" s="1277"/>
      <c r="W1210" s="1277"/>
      <c r="X1210" s="1277"/>
    </row>
    <row r="1211" spans="6:24">
      <c r="F1211" s="921"/>
      <c r="G1211" s="1277"/>
      <c r="H1211" s="921"/>
      <c r="I1211" s="1277"/>
      <c r="J1211" s="921"/>
      <c r="K1211" s="1277"/>
      <c r="L1211" s="1277"/>
      <c r="M1211" s="919"/>
      <c r="N1211" s="919"/>
      <c r="O1211" s="919"/>
      <c r="P1211" s="1277"/>
      <c r="Q1211" s="1277"/>
      <c r="R1211" s="1277"/>
      <c r="S1211" s="1277"/>
      <c r="T1211" s="1277"/>
      <c r="U1211" s="1277"/>
      <c r="V1211" s="1277"/>
      <c r="W1211" s="1277"/>
      <c r="X1211" s="1277"/>
    </row>
    <row r="1212" spans="6:24">
      <c r="F1212" s="921"/>
      <c r="G1212" s="1277"/>
      <c r="H1212" s="921"/>
      <c r="I1212" s="1277"/>
      <c r="J1212" s="921"/>
      <c r="K1212" s="1277"/>
      <c r="L1212" s="1277"/>
      <c r="M1212" s="919"/>
      <c r="N1212" s="919"/>
      <c r="O1212" s="919"/>
      <c r="P1212" s="1277"/>
      <c r="Q1212" s="1277"/>
      <c r="R1212" s="1277"/>
      <c r="S1212" s="1277"/>
      <c r="T1212" s="1277"/>
      <c r="U1212" s="1277"/>
      <c r="V1212" s="1277"/>
      <c r="W1212" s="1277"/>
      <c r="X1212" s="1277"/>
    </row>
    <row r="1213" spans="6:24">
      <c r="F1213" s="921"/>
      <c r="G1213" s="1277"/>
      <c r="H1213" s="921"/>
      <c r="I1213" s="1277"/>
      <c r="J1213" s="921"/>
      <c r="K1213" s="1277"/>
      <c r="L1213" s="1277"/>
      <c r="M1213" s="919"/>
      <c r="N1213" s="919"/>
      <c r="O1213" s="919"/>
      <c r="P1213" s="1277"/>
      <c r="Q1213" s="1277"/>
      <c r="R1213" s="1277"/>
      <c r="S1213" s="1277"/>
      <c r="T1213" s="1277"/>
      <c r="U1213" s="1277"/>
      <c r="V1213" s="1277"/>
      <c r="W1213" s="1277"/>
      <c r="X1213" s="1277"/>
    </row>
    <row r="1214" spans="6:24">
      <c r="F1214" s="921"/>
      <c r="G1214" s="1277"/>
      <c r="H1214" s="921"/>
      <c r="I1214" s="1277"/>
      <c r="J1214" s="921"/>
      <c r="K1214" s="1277"/>
      <c r="L1214" s="1277"/>
      <c r="M1214" s="919"/>
      <c r="N1214" s="919"/>
      <c r="O1214" s="919"/>
      <c r="P1214" s="1277"/>
      <c r="Q1214" s="1277"/>
      <c r="R1214" s="1277"/>
      <c r="S1214" s="1277"/>
      <c r="T1214" s="1277"/>
      <c r="U1214" s="1277"/>
      <c r="V1214" s="1277"/>
      <c r="W1214" s="1277"/>
      <c r="X1214" s="1277"/>
    </row>
    <row r="1215" spans="6:24">
      <c r="F1215" s="921"/>
      <c r="G1215" s="1277"/>
      <c r="H1215" s="921"/>
      <c r="I1215" s="1277"/>
      <c r="J1215" s="921"/>
      <c r="K1215" s="1277"/>
      <c r="L1215" s="1277"/>
      <c r="M1215" s="919"/>
      <c r="N1215" s="919"/>
      <c r="O1215" s="919"/>
      <c r="P1215" s="1277"/>
      <c r="Q1215" s="1277"/>
      <c r="R1215" s="1277"/>
      <c r="S1215" s="1277"/>
      <c r="T1215" s="1277"/>
      <c r="U1215" s="1277"/>
      <c r="V1215" s="1277"/>
      <c r="W1215" s="1277"/>
      <c r="X1215" s="1277"/>
    </row>
    <row r="1216" spans="6:24">
      <c r="F1216" s="921"/>
      <c r="G1216" s="1277"/>
      <c r="H1216" s="921"/>
      <c r="I1216" s="1277"/>
      <c r="J1216" s="921"/>
      <c r="K1216" s="1277"/>
      <c r="L1216" s="1277"/>
      <c r="M1216" s="919"/>
      <c r="N1216" s="919"/>
      <c r="O1216" s="919"/>
      <c r="P1216" s="1277"/>
      <c r="Q1216" s="1277"/>
      <c r="R1216" s="1277"/>
      <c r="S1216" s="1277"/>
      <c r="T1216" s="1277"/>
      <c r="U1216" s="1277"/>
      <c r="V1216" s="1277"/>
      <c r="W1216" s="1277"/>
      <c r="X1216" s="1277"/>
    </row>
    <row r="1217" spans="6:24">
      <c r="F1217" s="921"/>
      <c r="G1217" s="1277"/>
      <c r="H1217" s="921"/>
      <c r="I1217" s="1277"/>
      <c r="J1217" s="921"/>
      <c r="K1217" s="1277"/>
      <c r="L1217" s="1277"/>
      <c r="M1217" s="919"/>
      <c r="N1217" s="919"/>
      <c r="O1217" s="919"/>
      <c r="P1217" s="1277"/>
      <c r="Q1217" s="1277"/>
      <c r="R1217" s="1277"/>
      <c r="S1217" s="1277"/>
      <c r="T1217" s="1277"/>
      <c r="U1217" s="1277"/>
      <c r="V1217" s="1277"/>
      <c r="W1217" s="1277"/>
      <c r="X1217" s="1277"/>
    </row>
    <row r="1218" spans="6:24">
      <c r="F1218" s="921"/>
      <c r="G1218" s="1277"/>
      <c r="H1218" s="921"/>
      <c r="I1218" s="1277"/>
      <c r="J1218" s="921"/>
      <c r="K1218" s="1277"/>
      <c r="L1218" s="1277"/>
      <c r="M1218" s="919"/>
      <c r="N1218" s="919"/>
      <c r="O1218" s="919"/>
      <c r="P1218" s="1277"/>
      <c r="Q1218" s="1277"/>
      <c r="R1218" s="1277"/>
      <c r="S1218" s="1277"/>
      <c r="T1218" s="1277"/>
      <c r="U1218" s="1277"/>
      <c r="V1218" s="1277"/>
      <c r="W1218" s="1277"/>
      <c r="X1218" s="1277"/>
    </row>
    <row r="1219" spans="6:24">
      <c r="F1219" s="921"/>
      <c r="G1219" s="1277"/>
      <c r="H1219" s="921"/>
      <c r="I1219" s="1277"/>
      <c r="J1219" s="921"/>
      <c r="K1219" s="1277"/>
      <c r="L1219" s="1277"/>
      <c r="M1219" s="919"/>
      <c r="N1219" s="919"/>
      <c r="O1219" s="919"/>
      <c r="P1219" s="1277"/>
      <c r="Q1219" s="1277"/>
      <c r="R1219" s="1277"/>
      <c r="S1219" s="1277"/>
      <c r="T1219" s="1277"/>
      <c r="U1219" s="1277"/>
      <c r="V1219" s="1277"/>
      <c r="W1219" s="1277"/>
      <c r="X1219" s="1277"/>
    </row>
    <row r="1220" spans="6:24">
      <c r="F1220" s="921"/>
      <c r="G1220" s="1277"/>
      <c r="H1220" s="921"/>
      <c r="I1220" s="1277"/>
      <c r="J1220" s="921"/>
      <c r="K1220" s="1277"/>
      <c r="L1220" s="1277"/>
      <c r="M1220" s="919"/>
      <c r="N1220" s="919"/>
      <c r="O1220" s="919"/>
      <c r="P1220" s="1277"/>
      <c r="Q1220" s="1277"/>
      <c r="R1220" s="1277"/>
      <c r="S1220" s="1277"/>
      <c r="T1220" s="1277"/>
      <c r="U1220" s="1277"/>
      <c r="V1220" s="1277"/>
      <c r="W1220" s="1277"/>
      <c r="X1220" s="1277"/>
    </row>
    <row r="1221" spans="6:24">
      <c r="F1221" s="921"/>
      <c r="G1221" s="1277"/>
      <c r="H1221" s="921"/>
      <c r="I1221" s="1277"/>
      <c r="J1221" s="921"/>
      <c r="K1221" s="1277"/>
      <c r="L1221" s="1277"/>
      <c r="M1221" s="919"/>
      <c r="N1221" s="919"/>
      <c r="O1221" s="919"/>
      <c r="P1221" s="1277"/>
      <c r="Q1221" s="1277"/>
      <c r="R1221" s="1277"/>
      <c r="S1221" s="1277"/>
      <c r="T1221" s="1277"/>
      <c r="U1221" s="1277"/>
      <c r="V1221" s="1277"/>
      <c r="W1221" s="1277"/>
      <c r="X1221" s="1277"/>
    </row>
    <row r="1222" spans="6:24">
      <c r="F1222" s="921"/>
      <c r="G1222" s="1277"/>
      <c r="H1222" s="921"/>
      <c r="I1222" s="1277"/>
      <c r="J1222" s="921"/>
      <c r="K1222" s="1277"/>
      <c r="L1222" s="1277"/>
      <c r="M1222" s="919"/>
      <c r="N1222" s="919"/>
      <c r="O1222" s="919"/>
      <c r="P1222" s="1277"/>
      <c r="Q1222" s="1277"/>
      <c r="R1222" s="1277"/>
      <c r="S1222" s="1277"/>
      <c r="T1222" s="1277"/>
      <c r="U1222" s="1277"/>
      <c r="V1222" s="1277"/>
      <c r="W1222" s="1277"/>
      <c r="X1222" s="1277"/>
    </row>
    <row r="1223" spans="6:24">
      <c r="F1223" s="921"/>
      <c r="G1223" s="1277"/>
      <c r="H1223" s="921"/>
      <c r="I1223" s="1277"/>
      <c r="J1223" s="921"/>
      <c r="K1223" s="1277"/>
      <c r="L1223" s="1277"/>
      <c r="M1223" s="919"/>
      <c r="N1223" s="919"/>
      <c r="O1223" s="919"/>
      <c r="P1223" s="1277"/>
      <c r="Q1223" s="1277"/>
      <c r="R1223" s="1277"/>
      <c r="S1223" s="1277"/>
      <c r="T1223" s="1277"/>
      <c r="U1223" s="1277"/>
      <c r="V1223" s="1277"/>
      <c r="W1223" s="1277"/>
      <c r="X1223" s="1277"/>
    </row>
    <row r="1224" spans="6:24">
      <c r="F1224" s="921"/>
      <c r="G1224" s="1277"/>
      <c r="H1224" s="921"/>
      <c r="I1224" s="1277"/>
      <c r="J1224" s="921"/>
      <c r="K1224" s="1277"/>
      <c r="L1224" s="1277"/>
      <c r="M1224" s="919"/>
      <c r="N1224" s="919"/>
      <c r="O1224" s="919"/>
      <c r="P1224" s="1277"/>
      <c r="Q1224" s="1277"/>
      <c r="R1224" s="1277"/>
      <c r="S1224" s="1277"/>
      <c r="T1224" s="1277"/>
      <c r="U1224" s="1277"/>
      <c r="V1224" s="1277"/>
      <c r="W1224" s="1277"/>
      <c r="X1224" s="1277"/>
    </row>
    <row r="1225" spans="6:24">
      <c r="F1225" s="921"/>
      <c r="G1225" s="1277"/>
      <c r="H1225" s="921"/>
      <c r="I1225" s="1277"/>
      <c r="J1225" s="921"/>
      <c r="K1225" s="1277"/>
      <c r="L1225" s="1277"/>
      <c r="M1225" s="919"/>
      <c r="N1225" s="919"/>
      <c r="O1225" s="919"/>
      <c r="P1225" s="1277"/>
      <c r="Q1225" s="1277"/>
      <c r="R1225" s="1277"/>
      <c r="S1225" s="1277"/>
      <c r="T1225" s="1277"/>
      <c r="U1225" s="1277"/>
      <c r="V1225" s="1277"/>
      <c r="W1225" s="1277"/>
      <c r="X1225" s="1277"/>
    </row>
    <row r="1226" spans="6:24">
      <c r="F1226" s="921"/>
      <c r="G1226" s="1277"/>
      <c r="H1226" s="921"/>
      <c r="I1226" s="1277"/>
      <c r="J1226" s="921"/>
      <c r="K1226" s="1277"/>
      <c r="L1226" s="1277"/>
      <c r="M1226" s="919"/>
      <c r="N1226" s="919"/>
      <c r="O1226" s="919"/>
      <c r="P1226" s="1277"/>
      <c r="Q1226" s="1277"/>
      <c r="R1226" s="1277"/>
      <c r="S1226" s="1277"/>
      <c r="T1226" s="1277"/>
      <c r="U1226" s="1277"/>
      <c r="V1226" s="1277"/>
      <c r="W1226" s="1277"/>
      <c r="X1226" s="1277"/>
    </row>
    <row r="1227" spans="6:24">
      <c r="F1227" s="921"/>
      <c r="G1227" s="1277"/>
      <c r="H1227" s="921"/>
      <c r="I1227" s="1277"/>
      <c r="J1227" s="921"/>
      <c r="K1227" s="1277"/>
      <c r="L1227" s="1277"/>
      <c r="M1227" s="919"/>
      <c r="N1227" s="919"/>
      <c r="O1227" s="919"/>
      <c r="P1227" s="1277"/>
      <c r="Q1227" s="1277"/>
      <c r="R1227" s="1277"/>
      <c r="S1227" s="1277"/>
      <c r="T1227" s="1277"/>
      <c r="U1227" s="1277"/>
      <c r="V1227" s="1277"/>
      <c r="W1227" s="1277"/>
      <c r="X1227" s="1277"/>
    </row>
    <row r="1228" spans="6:24">
      <c r="F1228" s="921"/>
      <c r="G1228" s="1277"/>
      <c r="H1228" s="921"/>
      <c r="I1228" s="1277"/>
      <c r="J1228" s="921"/>
      <c r="K1228" s="1277"/>
      <c r="L1228" s="1277"/>
      <c r="M1228" s="919"/>
      <c r="N1228" s="919"/>
      <c r="O1228" s="919"/>
      <c r="P1228" s="1277"/>
      <c r="Q1228" s="1277"/>
      <c r="R1228" s="1277"/>
      <c r="S1228" s="1277"/>
      <c r="T1228" s="1277"/>
      <c r="U1228" s="1277"/>
      <c r="V1228" s="1277"/>
      <c r="W1228" s="1277"/>
      <c r="X1228" s="1277"/>
    </row>
    <row r="1229" spans="6:24">
      <c r="F1229" s="921"/>
      <c r="G1229" s="1277"/>
      <c r="H1229" s="921"/>
      <c r="I1229" s="1277"/>
      <c r="J1229" s="921"/>
      <c r="K1229" s="1277"/>
      <c r="L1229" s="1277"/>
      <c r="M1229" s="919"/>
      <c r="N1229" s="919"/>
      <c r="O1229" s="919"/>
      <c r="P1229" s="1277"/>
      <c r="Q1229" s="1277"/>
      <c r="R1229" s="1277"/>
      <c r="S1229" s="1277"/>
      <c r="T1229" s="1277"/>
      <c r="U1229" s="1277"/>
      <c r="V1229" s="1277"/>
      <c r="W1229" s="1277"/>
      <c r="X1229" s="1277"/>
    </row>
    <row r="1230" spans="6:24">
      <c r="F1230" s="921"/>
      <c r="G1230" s="1277"/>
      <c r="H1230" s="921"/>
      <c r="I1230" s="1277"/>
      <c r="J1230" s="921"/>
      <c r="K1230" s="1277"/>
      <c r="L1230" s="1277"/>
      <c r="M1230" s="919"/>
      <c r="N1230" s="919"/>
      <c r="O1230" s="919"/>
      <c r="P1230" s="1277"/>
      <c r="Q1230" s="1277"/>
      <c r="R1230" s="1277"/>
      <c r="S1230" s="1277"/>
      <c r="T1230" s="1277"/>
      <c r="U1230" s="1277"/>
      <c r="V1230" s="1277"/>
      <c r="W1230" s="1277"/>
      <c r="X1230" s="1277"/>
    </row>
    <row r="1231" spans="6:24">
      <c r="F1231" s="921"/>
      <c r="G1231" s="1277"/>
      <c r="H1231" s="921"/>
      <c r="I1231" s="1277"/>
      <c r="J1231" s="921"/>
      <c r="K1231" s="1277"/>
      <c r="L1231" s="1277"/>
      <c r="M1231" s="919"/>
      <c r="N1231" s="919"/>
      <c r="O1231" s="919"/>
      <c r="P1231" s="1277"/>
      <c r="Q1231" s="1277"/>
      <c r="R1231" s="1277"/>
      <c r="S1231" s="1277"/>
      <c r="T1231" s="1277"/>
      <c r="U1231" s="1277"/>
      <c r="V1231" s="1277"/>
      <c r="W1231" s="1277"/>
      <c r="X1231" s="1277"/>
    </row>
    <row r="1232" spans="6:24">
      <c r="F1232" s="921"/>
      <c r="G1232" s="1277"/>
      <c r="H1232" s="921"/>
      <c r="I1232" s="1277"/>
      <c r="J1232" s="921"/>
      <c r="K1232" s="1277"/>
      <c r="L1232" s="1277"/>
      <c r="M1232" s="919"/>
      <c r="N1232" s="919"/>
      <c r="O1232" s="919"/>
      <c r="P1232" s="1277"/>
      <c r="Q1232" s="1277"/>
      <c r="R1232" s="1277"/>
      <c r="S1232" s="1277"/>
      <c r="T1232" s="1277"/>
      <c r="U1232" s="1277"/>
      <c r="V1232" s="1277"/>
      <c r="W1232" s="1277"/>
      <c r="X1232" s="1277"/>
    </row>
    <row r="1233" spans="2:24">
      <c r="F1233" s="921"/>
      <c r="G1233" s="1277"/>
      <c r="H1233" s="921"/>
      <c r="I1233" s="1277"/>
      <c r="J1233" s="921"/>
      <c r="K1233" s="1277"/>
      <c r="L1233" s="1277"/>
      <c r="M1233" s="919"/>
      <c r="N1233" s="919"/>
      <c r="O1233" s="919"/>
      <c r="P1233" s="1277"/>
      <c r="Q1233" s="1277"/>
      <c r="R1233" s="1277"/>
      <c r="S1233" s="1277"/>
      <c r="T1233" s="1277"/>
      <c r="U1233" s="1277"/>
      <c r="V1233" s="1277"/>
      <c r="W1233" s="1277"/>
      <c r="X1233" s="1277"/>
    </row>
    <row r="1234" spans="2:24">
      <c r="F1234" s="921"/>
      <c r="G1234" s="1277"/>
      <c r="H1234" s="921"/>
      <c r="I1234" s="1277"/>
      <c r="J1234" s="921"/>
      <c r="K1234" s="1277"/>
      <c r="L1234" s="1277"/>
      <c r="M1234" s="919"/>
      <c r="N1234" s="919"/>
      <c r="O1234" s="919"/>
      <c r="P1234" s="1277"/>
      <c r="Q1234" s="1277"/>
      <c r="R1234" s="1277"/>
      <c r="S1234" s="1277"/>
      <c r="T1234" s="1277"/>
      <c r="U1234" s="1277"/>
      <c r="V1234" s="1277"/>
      <c r="W1234" s="1277"/>
      <c r="X1234" s="1277"/>
    </row>
    <row r="1235" spans="2:24">
      <c r="F1235" s="921"/>
      <c r="G1235" s="1277"/>
      <c r="H1235" s="921"/>
      <c r="I1235" s="1277"/>
      <c r="J1235" s="921"/>
      <c r="K1235" s="1277"/>
      <c r="L1235" s="1277"/>
      <c r="M1235" s="919"/>
      <c r="N1235" s="919"/>
      <c r="O1235" s="919"/>
      <c r="P1235" s="1277"/>
      <c r="Q1235" s="1277"/>
      <c r="R1235" s="1277"/>
      <c r="S1235" s="1277"/>
      <c r="T1235" s="1277"/>
      <c r="U1235" s="1277"/>
      <c r="V1235" s="1277"/>
      <c r="W1235" s="1277"/>
      <c r="X1235" s="1277"/>
    </row>
    <row r="1236" spans="2:24">
      <c r="F1236" s="921"/>
      <c r="G1236" s="1277"/>
      <c r="H1236" s="921"/>
      <c r="I1236" s="1277"/>
      <c r="J1236" s="921"/>
      <c r="K1236" s="1277"/>
      <c r="L1236" s="1277"/>
      <c r="M1236" s="919"/>
      <c r="N1236" s="919"/>
      <c r="O1236" s="919"/>
      <c r="P1236" s="1277"/>
      <c r="Q1236" s="1277"/>
      <c r="R1236" s="1277"/>
      <c r="S1236" s="1277"/>
      <c r="T1236" s="1277"/>
      <c r="U1236" s="1277"/>
      <c r="V1236" s="1277"/>
      <c r="W1236" s="1277"/>
      <c r="X1236" s="1277"/>
    </row>
    <row r="1237" spans="2:24">
      <c r="F1237" s="921"/>
      <c r="G1237" s="1277"/>
      <c r="H1237" s="921"/>
      <c r="I1237" s="1277"/>
      <c r="J1237" s="921"/>
      <c r="K1237" s="1277"/>
      <c r="L1237" s="1277"/>
      <c r="M1237" s="919"/>
      <c r="N1237" s="919"/>
      <c r="O1237" s="919"/>
      <c r="P1237" s="1277"/>
      <c r="Q1237" s="1277"/>
      <c r="R1237" s="1277"/>
      <c r="S1237" s="1277"/>
      <c r="T1237" s="1277"/>
      <c r="U1237" s="1277"/>
      <c r="V1237" s="1277"/>
      <c r="W1237" s="1277"/>
      <c r="X1237" s="1277"/>
    </row>
    <row r="1238" spans="2:24">
      <c r="F1238" s="921"/>
      <c r="G1238" s="1277"/>
      <c r="H1238" s="921"/>
      <c r="I1238" s="1277"/>
      <c r="J1238" s="921"/>
      <c r="K1238" s="1277"/>
      <c r="L1238" s="1277"/>
      <c r="M1238" s="919"/>
      <c r="N1238" s="919"/>
      <c r="O1238" s="919"/>
      <c r="P1238" s="1277"/>
      <c r="Q1238" s="1277"/>
      <c r="R1238" s="1277"/>
      <c r="S1238" s="1277"/>
      <c r="T1238" s="1277"/>
      <c r="U1238" s="1277"/>
      <c r="V1238" s="1277"/>
      <c r="W1238" s="1277"/>
      <c r="X1238" s="1277"/>
    </row>
    <row r="1239" spans="2:24">
      <c r="F1239" s="921"/>
      <c r="G1239" s="1277"/>
      <c r="H1239" s="921"/>
      <c r="I1239" s="1277"/>
      <c r="J1239" s="921"/>
      <c r="K1239" s="1277"/>
      <c r="L1239" s="1277"/>
      <c r="M1239" s="919"/>
      <c r="N1239" s="919"/>
      <c r="O1239" s="919"/>
      <c r="P1239" s="1277"/>
      <c r="Q1239" s="1277"/>
      <c r="R1239" s="1277"/>
      <c r="S1239" s="1277"/>
      <c r="T1239" s="1277"/>
      <c r="U1239" s="1277"/>
      <c r="V1239" s="1277"/>
      <c r="W1239" s="1277"/>
      <c r="X1239" s="1277"/>
    </row>
    <row r="1240" spans="2:24">
      <c r="F1240" s="921"/>
      <c r="G1240" s="1277"/>
      <c r="H1240" s="921"/>
      <c r="I1240" s="1277"/>
      <c r="J1240" s="921"/>
      <c r="K1240" s="1277"/>
      <c r="L1240" s="1277"/>
      <c r="M1240" s="919"/>
      <c r="N1240" s="919"/>
      <c r="O1240" s="919"/>
      <c r="P1240" s="1277"/>
      <c r="Q1240" s="1277"/>
      <c r="R1240" s="1277"/>
      <c r="S1240" s="1277"/>
      <c r="T1240" s="1277"/>
      <c r="U1240" s="1277"/>
      <c r="V1240" s="1277"/>
      <c r="W1240" s="1277"/>
      <c r="X1240" s="1277"/>
    </row>
    <row r="1241" spans="2:24">
      <c r="F1241" s="921"/>
      <c r="G1241" s="1277"/>
      <c r="H1241" s="921"/>
      <c r="I1241" s="1277"/>
      <c r="J1241" s="921"/>
      <c r="K1241" s="1277"/>
      <c r="L1241" s="1277"/>
      <c r="M1241" s="919"/>
      <c r="N1241" s="919"/>
      <c r="O1241" s="919"/>
      <c r="P1241" s="1277"/>
      <c r="Q1241" s="1277"/>
      <c r="R1241" s="1277"/>
      <c r="S1241" s="1277"/>
      <c r="T1241" s="1277"/>
      <c r="U1241" s="1277"/>
      <c r="V1241" s="1277"/>
      <c r="W1241" s="1277"/>
      <c r="X1241" s="1277"/>
    </row>
    <row r="1242" spans="2:24">
      <c r="B1242" s="1277"/>
      <c r="C1242" s="1277"/>
      <c r="D1242" s="1277"/>
      <c r="E1242" s="1277"/>
      <c r="F1242" s="921"/>
      <c r="G1242" s="1277"/>
      <c r="H1242" s="921"/>
      <c r="I1242" s="1277"/>
      <c r="J1242" s="921"/>
      <c r="K1242" s="1277"/>
      <c r="L1242" s="1277"/>
      <c r="M1242" s="919"/>
      <c r="N1242" s="919"/>
      <c r="O1242" s="919"/>
      <c r="P1242" s="1277"/>
      <c r="Q1242" s="1277"/>
      <c r="R1242" s="1277"/>
      <c r="S1242" s="1277"/>
      <c r="T1242" s="1277"/>
      <c r="U1242" s="1277"/>
      <c r="V1242" s="1277"/>
      <c r="W1242" s="1277"/>
      <c r="X1242" s="1277"/>
    </row>
    <row r="1243" spans="2:24">
      <c r="B1243" s="1277"/>
      <c r="C1243" s="1277"/>
      <c r="D1243" s="1277"/>
      <c r="E1243" s="1277"/>
      <c r="F1243" s="921"/>
      <c r="G1243" s="1277"/>
      <c r="H1243" s="921"/>
      <c r="I1243" s="1277"/>
      <c r="J1243" s="921"/>
      <c r="K1243" s="1277"/>
      <c r="L1243" s="1277"/>
      <c r="M1243" s="919"/>
      <c r="N1243" s="919"/>
      <c r="O1243" s="919"/>
      <c r="P1243" s="1277"/>
      <c r="Q1243" s="1277"/>
      <c r="R1243" s="1277"/>
      <c r="S1243" s="1277"/>
      <c r="T1243" s="1277"/>
      <c r="U1243" s="1277"/>
      <c r="V1243" s="1277"/>
      <c r="W1243" s="1277"/>
      <c r="X1243" s="1277"/>
    </row>
    <row r="1244" spans="2:24">
      <c r="B1244" s="1277"/>
      <c r="C1244" s="1277"/>
      <c r="D1244" s="1277"/>
      <c r="E1244" s="1277"/>
      <c r="F1244" s="921"/>
      <c r="G1244" s="1277"/>
      <c r="H1244" s="921"/>
      <c r="I1244" s="1277"/>
      <c r="J1244" s="921"/>
      <c r="K1244" s="1277"/>
      <c r="L1244" s="1277"/>
      <c r="M1244" s="919"/>
      <c r="N1244" s="919"/>
      <c r="O1244" s="919"/>
      <c r="P1244" s="1277"/>
      <c r="Q1244" s="1277"/>
      <c r="R1244" s="1277"/>
      <c r="S1244" s="1277"/>
      <c r="T1244" s="1277"/>
      <c r="U1244" s="1277"/>
      <c r="V1244" s="1277"/>
      <c r="W1244" s="1277"/>
      <c r="X1244" s="1277"/>
    </row>
    <row r="1245" spans="2:24">
      <c r="B1245" s="1277"/>
      <c r="C1245" s="1277"/>
      <c r="D1245" s="1277"/>
      <c r="E1245" s="1277"/>
      <c r="F1245" s="921"/>
      <c r="G1245" s="1277"/>
      <c r="H1245" s="921"/>
      <c r="I1245" s="1277"/>
      <c r="J1245" s="921"/>
      <c r="K1245" s="1277"/>
      <c r="L1245" s="1277"/>
      <c r="M1245" s="919"/>
      <c r="N1245" s="919"/>
      <c r="O1245" s="919"/>
      <c r="P1245" s="1277"/>
      <c r="Q1245" s="1277"/>
      <c r="R1245" s="1277"/>
      <c r="S1245" s="1277"/>
      <c r="T1245" s="1277"/>
      <c r="U1245" s="1277"/>
      <c r="V1245" s="1277"/>
      <c r="W1245" s="1277"/>
      <c r="X1245" s="1277"/>
    </row>
    <row r="1246" spans="2:24">
      <c r="B1246" s="1277"/>
      <c r="C1246" s="1277"/>
      <c r="D1246" s="1277"/>
      <c r="E1246" s="1277"/>
      <c r="F1246" s="921"/>
      <c r="G1246" s="1277"/>
      <c r="H1246" s="921"/>
      <c r="I1246" s="1277"/>
      <c r="J1246" s="921"/>
      <c r="K1246" s="1277"/>
      <c r="L1246" s="1277"/>
      <c r="M1246" s="919"/>
      <c r="N1246" s="919"/>
      <c r="O1246" s="919"/>
      <c r="P1246" s="1277"/>
      <c r="Q1246" s="1277"/>
      <c r="R1246" s="1277"/>
      <c r="S1246" s="1277"/>
      <c r="T1246" s="1277"/>
      <c r="U1246" s="1277"/>
      <c r="V1246" s="1277"/>
      <c r="W1246" s="1277"/>
      <c r="X1246" s="1277"/>
    </row>
    <row r="1247" spans="2:24">
      <c r="B1247" s="1277"/>
      <c r="C1247" s="1277"/>
      <c r="D1247" s="1277"/>
      <c r="E1247" s="1277"/>
      <c r="F1247" s="921"/>
      <c r="G1247" s="1277"/>
      <c r="H1247" s="921"/>
      <c r="I1247" s="1277"/>
      <c r="J1247" s="921"/>
      <c r="K1247" s="1277"/>
      <c r="L1247" s="1277"/>
      <c r="M1247" s="919"/>
      <c r="N1247" s="919"/>
      <c r="O1247" s="919"/>
      <c r="P1247" s="1277"/>
      <c r="Q1247" s="1277"/>
      <c r="R1247" s="1277"/>
      <c r="S1247" s="1277"/>
      <c r="T1247" s="1277"/>
      <c r="U1247" s="1277"/>
      <c r="V1247" s="1277"/>
      <c r="W1247" s="1277"/>
      <c r="X1247" s="1277"/>
    </row>
    <row r="1248" spans="2:24">
      <c r="F1248" s="972"/>
      <c r="H1248" s="972"/>
      <c r="J1248" s="972"/>
      <c r="M1248" s="919"/>
      <c r="N1248" s="919"/>
      <c r="O1248" s="919"/>
      <c r="P1248" s="1277"/>
      <c r="Q1248" s="1277"/>
      <c r="R1248" s="1277"/>
      <c r="S1248" s="1277"/>
      <c r="T1248" s="1277"/>
      <c r="U1248" s="1277"/>
      <c r="V1248" s="1277"/>
      <c r="W1248" s="1277"/>
      <c r="X1248" s="1277"/>
    </row>
    <row r="1249" spans="6:24">
      <c r="F1249" s="972"/>
      <c r="H1249" s="972"/>
      <c r="J1249" s="972"/>
      <c r="M1249" s="919"/>
      <c r="N1249" s="919"/>
      <c r="O1249" s="919"/>
      <c r="P1249" s="1277"/>
      <c r="Q1249" s="1277"/>
      <c r="R1249" s="1277"/>
      <c r="S1249" s="1277"/>
      <c r="T1249" s="1277"/>
      <c r="U1249" s="1277"/>
      <c r="V1249" s="1277"/>
      <c r="W1249" s="1277"/>
      <c r="X1249" s="1277"/>
    </row>
    <row r="1250" spans="6:24">
      <c r="F1250" s="972"/>
      <c r="H1250" s="972"/>
      <c r="J1250" s="972"/>
      <c r="M1250" s="919"/>
      <c r="N1250" s="919"/>
      <c r="O1250" s="919"/>
      <c r="P1250" s="1277"/>
      <c r="Q1250" s="1277"/>
      <c r="R1250" s="1277"/>
      <c r="S1250" s="1277"/>
      <c r="T1250" s="1277"/>
      <c r="U1250" s="1277"/>
      <c r="V1250" s="1277"/>
      <c r="W1250" s="1277"/>
      <c r="X1250" s="1277"/>
    </row>
    <row r="1251" spans="6:24">
      <c r="F1251" s="972"/>
      <c r="H1251" s="972"/>
      <c r="J1251" s="972"/>
      <c r="M1251" s="919"/>
      <c r="N1251" s="919"/>
      <c r="O1251" s="919"/>
      <c r="P1251" s="1277"/>
      <c r="Q1251" s="1277"/>
      <c r="R1251" s="1277"/>
      <c r="S1251" s="1277"/>
      <c r="T1251" s="1277"/>
      <c r="U1251" s="1277"/>
      <c r="V1251" s="1277"/>
      <c r="W1251" s="1277"/>
      <c r="X1251" s="1277"/>
    </row>
    <row r="1252" spans="6:24">
      <c r="F1252" s="972"/>
      <c r="H1252" s="972"/>
      <c r="J1252" s="972"/>
      <c r="M1252" s="919"/>
      <c r="N1252" s="919"/>
      <c r="O1252" s="919"/>
      <c r="P1252" s="1277"/>
      <c r="Q1252" s="1277"/>
      <c r="R1252" s="1277"/>
      <c r="S1252" s="1277"/>
      <c r="T1252" s="1277"/>
      <c r="U1252" s="1277"/>
      <c r="V1252" s="1277"/>
      <c r="W1252" s="1277"/>
      <c r="X1252" s="1277"/>
    </row>
    <row r="1253" spans="6:24">
      <c r="F1253" s="972"/>
      <c r="H1253" s="972"/>
      <c r="J1253" s="972"/>
      <c r="M1253" s="919"/>
      <c r="N1253" s="919"/>
      <c r="O1253" s="919"/>
      <c r="P1253" s="1277"/>
      <c r="Q1253" s="1277"/>
      <c r="R1253" s="1277"/>
      <c r="S1253" s="1277"/>
      <c r="T1253" s="1277"/>
      <c r="U1253" s="1277"/>
      <c r="V1253" s="1277"/>
      <c r="W1253" s="1277"/>
      <c r="X1253" s="1277"/>
    </row>
    <row r="1254" spans="6:24">
      <c r="F1254" s="972"/>
      <c r="H1254" s="972"/>
      <c r="J1254" s="972"/>
      <c r="M1254" s="919"/>
      <c r="N1254" s="919"/>
      <c r="O1254" s="919"/>
      <c r="P1254" s="1277"/>
      <c r="Q1254" s="1277"/>
      <c r="R1254" s="1277"/>
      <c r="S1254" s="1277"/>
      <c r="T1254" s="1277"/>
      <c r="U1254" s="1277"/>
      <c r="V1254" s="1277"/>
      <c r="W1254" s="1277"/>
      <c r="X1254" s="1277"/>
    </row>
    <row r="1255" spans="6:24">
      <c r="F1255" s="972"/>
      <c r="H1255" s="972"/>
      <c r="J1255" s="972"/>
      <c r="M1255" s="919"/>
      <c r="N1255" s="919"/>
      <c r="O1255" s="919"/>
      <c r="P1255" s="1277"/>
      <c r="Q1255" s="1277"/>
      <c r="R1255" s="1277"/>
      <c r="S1255" s="1277"/>
      <c r="T1255" s="1277"/>
      <c r="U1255" s="1277"/>
      <c r="V1255" s="1277"/>
      <c r="W1255" s="1277"/>
      <c r="X1255" s="1277"/>
    </row>
    <row r="1256" spans="6:24">
      <c r="F1256" s="972"/>
      <c r="H1256" s="972"/>
      <c r="J1256" s="972"/>
      <c r="M1256" s="919"/>
      <c r="N1256" s="919"/>
      <c r="O1256" s="919"/>
      <c r="P1256" s="1277"/>
      <c r="Q1256" s="1277"/>
      <c r="R1256" s="1277"/>
      <c r="S1256" s="1277"/>
      <c r="T1256" s="1277"/>
      <c r="U1256" s="1277"/>
      <c r="V1256" s="1277"/>
      <c r="W1256" s="1277"/>
      <c r="X1256" s="1277"/>
    </row>
    <row r="1257" spans="6:24">
      <c r="F1257" s="972"/>
      <c r="H1257" s="972"/>
      <c r="J1257" s="972"/>
      <c r="M1257" s="919"/>
      <c r="N1257" s="919"/>
      <c r="O1257" s="919"/>
      <c r="P1257" s="1277"/>
      <c r="Q1257" s="1277"/>
      <c r="R1257" s="1277"/>
      <c r="S1257" s="1277"/>
      <c r="T1257" s="1277"/>
      <c r="U1257" s="1277"/>
      <c r="V1257" s="1277"/>
      <c r="W1257" s="1277"/>
      <c r="X1257" s="1277"/>
    </row>
    <row r="1258" spans="6:24">
      <c r="F1258" s="972"/>
      <c r="H1258" s="972"/>
      <c r="J1258" s="972"/>
      <c r="M1258" s="919"/>
      <c r="N1258" s="919"/>
      <c r="O1258" s="919"/>
      <c r="P1258" s="1277"/>
      <c r="Q1258" s="1277"/>
      <c r="R1258" s="1277"/>
      <c r="S1258" s="1277"/>
      <c r="T1258" s="1277"/>
      <c r="U1258" s="1277"/>
      <c r="V1258" s="1277"/>
      <c r="W1258" s="1277"/>
      <c r="X1258" s="1277"/>
    </row>
    <row r="1259" spans="6:24">
      <c r="F1259" s="972"/>
      <c r="H1259" s="972"/>
      <c r="J1259" s="972"/>
      <c r="M1259" s="919"/>
      <c r="N1259" s="919"/>
      <c r="O1259" s="919"/>
      <c r="P1259" s="1277"/>
      <c r="Q1259" s="1277"/>
      <c r="R1259" s="1277"/>
      <c r="S1259" s="1277"/>
      <c r="T1259" s="1277"/>
      <c r="U1259" s="1277"/>
      <c r="V1259" s="1277"/>
      <c r="W1259" s="1277"/>
      <c r="X1259" s="1277"/>
    </row>
    <row r="1260" spans="6:24">
      <c r="F1260" s="972"/>
      <c r="H1260" s="972"/>
      <c r="J1260" s="972"/>
      <c r="M1260" s="919"/>
      <c r="N1260" s="919"/>
      <c r="O1260" s="919"/>
      <c r="P1260" s="1277"/>
      <c r="Q1260" s="1277"/>
      <c r="R1260" s="1277"/>
      <c r="S1260" s="1277"/>
      <c r="T1260" s="1277"/>
      <c r="U1260" s="1277"/>
      <c r="V1260" s="1277"/>
      <c r="W1260" s="1277"/>
      <c r="X1260" s="1277"/>
    </row>
    <row r="1261" spans="6:24">
      <c r="F1261" s="972"/>
      <c r="H1261" s="972"/>
      <c r="J1261" s="972"/>
      <c r="M1261" s="919"/>
      <c r="N1261" s="919"/>
      <c r="O1261" s="919"/>
      <c r="P1261" s="1277"/>
      <c r="Q1261" s="1277"/>
      <c r="R1261" s="1277"/>
      <c r="S1261" s="1277"/>
      <c r="T1261" s="1277"/>
      <c r="U1261" s="1277"/>
      <c r="V1261" s="1277"/>
      <c r="W1261" s="1277"/>
      <c r="X1261" s="1277"/>
    </row>
    <row r="1262" spans="6:24">
      <c r="F1262" s="972"/>
      <c r="H1262" s="972"/>
      <c r="J1262" s="972"/>
      <c r="M1262" s="919"/>
      <c r="N1262" s="919"/>
      <c r="O1262" s="919"/>
      <c r="P1262" s="1277"/>
      <c r="Q1262" s="1277"/>
      <c r="R1262" s="1277"/>
      <c r="S1262" s="1277"/>
      <c r="T1262" s="1277"/>
      <c r="U1262" s="1277"/>
      <c r="V1262" s="1277"/>
      <c r="W1262" s="1277"/>
      <c r="X1262" s="1277"/>
    </row>
    <row r="1263" spans="6:24">
      <c r="F1263" s="972"/>
      <c r="H1263" s="972"/>
      <c r="J1263" s="972"/>
      <c r="M1263" s="919"/>
      <c r="N1263" s="919"/>
      <c r="O1263" s="919"/>
      <c r="P1263" s="1277"/>
      <c r="Q1263" s="1277"/>
      <c r="R1263" s="1277"/>
      <c r="S1263" s="1277"/>
      <c r="T1263" s="1277"/>
      <c r="U1263" s="1277"/>
      <c r="V1263" s="1277"/>
      <c r="W1263" s="1277"/>
      <c r="X1263" s="1277"/>
    </row>
    <row r="1264" spans="6:24">
      <c r="F1264" s="972"/>
      <c r="H1264" s="972"/>
      <c r="J1264" s="972"/>
      <c r="M1264" s="919"/>
      <c r="N1264" s="919"/>
      <c r="O1264" s="919"/>
      <c r="P1264" s="1277"/>
      <c r="Q1264" s="1277"/>
      <c r="R1264" s="1277"/>
      <c r="S1264" s="1277"/>
      <c r="T1264" s="1277"/>
      <c r="U1264" s="1277"/>
      <c r="V1264" s="1277"/>
      <c r="W1264" s="1277"/>
      <c r="X1264" s="1277"/>
    </row>
    <row r="1265" spans="6:24">
      <c r="F1265" s="972"/>
      <c r="H1265" s="972"/>
      <c r="J1265" s="972"/>
      <c r="M1265" s="919"/>
      <c r="N1265" s="919"/>
      <c r="O1265" s="919"/>
      <c r="P1265" s="1277"/>
      <c r="Q1265" s="1277"/>
      <c r="R1265" s="1277"/>
      <c r="S1265" s="1277"/>
      <c r="T1265" s="1277"/>
      <c r="U1265" s="1277"/>
      <c r="V1265" s="1277"/>
      <c r="W1265" s="1277"/>
      <c r="X1265" s="1277"/>
    </row>
    <row r="1266" spans="6:24">
      <c r="F1266" s="972"/>
      <c r="H1266" s="972"/>
      <c r="J1266" s="972"/>
      <c r="M1266" s="919"/>
      <c r="N1266" s="919"/>
      <c r="O1266" s="919"/>
      <c r="P1266" s="1277"/>
      <c r="Q1266" s="1277"/>
      <c r="R1266" s="1277"/>
      <c r="S1266" s="1277"/>
      <c r="T1266" s="1277"/>
      <c r="U1266" s="1277"/>
      <c r="V1266" s="1277"/>
      <c r="W1266" s="1277"/>
      <c r="X1266" s="1277"/>
    </row>
    <row r="1267" spans="6:24">
      <c r="F1267" s="972"/>
      <c r="H1267" s="972"/>
      <c r="J1267" s="972"/>
      <c r="M1267" s="919"/>
      <c r="N1267" s="919"/>
      <c r="O1267" s="919"/>
      <c r="P1267" s="1277"/>
      <c r="Q1267" s="1277"/>
      <c r="R1267" s="1277"/>
      <c r="S1267" s="1277"/>
      <c r="T1267" s="1277"/>
      <c r="U1267" s="1277"/>
      <c r="V1267" s="1277"/>
      <c r="W1267" s="1277"/>
      <c r="X1267" s="1277"/>
    </row>
    <row r="1268" spans="6:24">
      <c r="F1268" s="972"/>
      <c r="H1268" s="972"/>
      <c r="J1268" s="972"/>
      <c r="M1268" s="919"/>
      <c r="N1268" s="919"/>
      <c r="O1268" s="919"/>
      <c r="P1268" s="1277"/>
      <c r="Q1268" s="1277"/>
      <c r="R1268" s="1277"/>
      <c r="S1268" s="1277"/>
      <c r="T1268" s="1277"/>
      <c r="U1268" s="1277"/>
      <c r="V1268" s="1277"/>
      <c r="W1268" s="1277"/>
      <c r="X1268" s="1277"/>
    </row>
    <row r="1269" spans="6:24">
      <c r="F1269" s="972"/>
      <c r="H1269" s="972"/>
      <c r="J1269" s="972"/>
      <c r="M1269" s="919"/>
      <c r="N1269" s="919"/>
      <c r="O1269" s="919"/>
      <c r="P1269" s="1277"/>
      <c r="Q1269" s="1277"/>
      <c r="R1269" s="1277"/>
      <c r="S1269" s="1277"/>
      <c r="T1269" s="1277"/>
      <c r="U1269" s="1277"/>
      <c r="V1269" s="1277"/>
      <c r="W1269" s="1277"/>
      <c r="X1269" s="1277"/>
    </row>
    <row r="1270" spans="6:24">
      <c r="F1270" s="972"/>
      <c r="H1270" s="972"/>
      <c r="J1270" s="972"/>
      <c r="M1270" s="919"/>
      <c r="N1270" s="919"/>
      <c r="O1270" s="919"/>
      <c r="P1270" s="1277"/>
      <c r="Q1270" s="1277"/>
      <c r="R1270" s="1277"/>
      <c r="S1270" s="1277"/>
      <c r="T1270" s="1277"/>
      <c r="U1270" s="1277"/>
      <c r="V1270" s="1277"/>
      <c r="W1270" s="1277"/>
      <c r="X1270" s="1277"/>
    </row>
    <row r="1271" spans="6:24">
      <c r="F1271" s="972"/>
      <c r="H1271" s="972"/>
      <c r="J1271" s="972"/>
      <c r="M1271" s="919"/>
      <c r="N1271" s="919"/>
      <c r="O1271" s="919"/>
      <c r="P1271" s="1277"/>
      <c r="Q1271" s="1277"/>
      <c r="R1271" s="1277"/>
      <c r="S1271" s="1277"/>
      <c r="T1271" s="1277"/>
      <c r="U1271" s="1277"/>
      <c r="V1271" s="1277"/>
      <c r="W1271" s="1277"/>
      <c r="X1271" s="1277"/>
    </row>
    <row r="1272" spans="6:24">
      <c r="F1272" s="972"/>
      <c r="H1272" s="972"/>
      <c r="J1272" s="972"/>
      <c r="M1272" s="919"/>
      <c r="N1272" s="919"/>
      <c r="O1272" s="919"/>
      <c r="P1272" s="1277"/>
      <c r="Q1272" s="1277"/>
      <c r="R1272" s="1277"/>
      <c r="S1272" s="1277"/>
      <c r="T1272" s="1277"/>
      <c r="U1272" s="1277"/>
      <c r="V1272" s="1277"/>
      <c r="W1272" s="1277"/>
      <c r="X1272" s="1277"/>
    </row>
    <row r="1273" spans="6:24">
      <c r="F1273" s="972"/>
      <c r="H1273" s="972"/>
      <c r="J1273" s="972"/>
      <c r="M1273" s="919"/>
      <c r="N1273" s="919"/>
      <c r="O1273" s="919"/>
      <c r="P1273" s="1277"/>
      <c r="Q1273" s="1277"/>
      <c r="R1273" s="1277"/>
      <c r="S1273" s="1277"/>
      <c r="T1273" s="1277"/>
      <c r="U1273" s="1277"/>
      <c r="V1273" s="1277"/>
      <c r="W1273" s="1277"/>
      <c r="X1273" s="1277"/>
    </row>
    <row r="1274" spans="6:24">
      <c r="F1274" s="972"/>
      <c r="H1274" s="972"/>
      <c r="J1274" s="972"/>
      <c r="M1274" s="919"/>
      <c r="N1274" s="919"/>
      <c r="O1274" s="919"/>
      <c r="P1274" s="1277"/>
      <c r="Q1274" s="1277"/>
      <c r="R1274" s="1277"/>
      <c r="S1274" s="1277"/>
      <c r="T1274" s="1277"/>
      <c r="U1274" s="1277"/>
      <c r="V1274" s="1277"/>
      <c r="W1274" s="1277"/>
      <c r="X1274" s="1277"/>
    </row>
    <row r="1275" spans="6:24">
      <c r="F1275" s="972"/>
      <c r="H1275" s="972"/>
      <c r="J1275" s="972"/>
      <c r="M1275" s="919"/>
      <c r="N1275" s="919"/>
      <c r="O1275" s="919"/>
      <c r="P1275" s="1277"/>
      <c r="Q1275" s="1277"/>
      <c r="R1275" s="1277"/>
      <c r="S1275" s="1277"/>
      <c r="T1275" s="1277"/>
      <c r="U1275" s="1277"/>
      <c r="V1275" s="1277"/>
      <c r="W1275" s="1277"/>
      <c r="X1275" s="1277"/>
    </row>
    <row r="1276" spans="6:24">
      <c r="F1276" s="972"/>
      <c r="H1276" s="972"/>
      <c r="J1276" s="972"/>
      <c r="M1276" s="919"/>
      <c r="N1276" s="919"/>
      <c r="O1276" s="919"/>
      <c r="P1276" s="1277"/>
      <c r="Q1276" s="1277"/>
      <c r="R1276" s="1277"/>
      <c r="S1276" s="1277"/>
      <c r="T1276" s="1277"/>
      <c r="U1276" s="1277"/>
      <c r="V1276" s="1277"/>
      <c r="W1276" s="1277"/>
      <c r="X1276" s="1277"/>
    </row>
    <row r="1277" spans="6:24">
      <c r="F1277" s="972"/>
      <c r="H1277" s="972"/>
      <c r="J1277" s="972"/>
      <c r="M1277" s="919"/>
      <c r="N1277" s="919"/>
      <c r="O1277" s="919"/>
      <c r="P1277" s="1277"/>
      <c r="Q1277" s="1277"/>
      <c r="R1277" s="1277"/>
      <c r="S1277" s="1277"/>
      <c r="T1277" s="1277"/>
      <c r="U1277" s="1277"/>
      <c r="V1277" s="1277"/>
      <c r="W1277" s="1277"/>
      <c r="X1277" s="1277"/>
    </row>
    <row r="1278" spans="6:24">
      <c r="F1278" s="972"/>
      <c r="H1278" s="972"/>
      <c r="J1278" s="972"/>
      <c r="M1278" s="919"/>
      <c r="N1278" s="919"/>
      <c r="O1278" s="919"/>
      <c r="P1278" s="1277"/>
      <c r="Q1278" s="1277"/>
      <c r="R1278" s="1277"/>
      <c r="S1278" s="1277"/>
      <c r="T1278" s="1277"/>
      <c r="U1278" s="1277"/>
      <c r="V1278" s="1277"/>
      <c r="W1278" s="1277"/>
      <c r="X1278" s="1277"/>
    </row>
    <row r="1279" spans="6:24">
      <c r="F1279" s="972"/>
      <c r="H1279" s="972"/>
      <c r="J1279" s="972"/>
      <c r="M1279" s="919"/>
      <c r="N1279" s="919"/>
      <c r="O1279" s="919"/>
      <c r="P1279" s="1277"/>
      <c r="Q1279" s="1277"/>
      <c r="R1279" s="1277"/>
      <c r="S1279" s="1277"/>
      <c r="T1279" s="1277"/>
      <c r="U1279" s="1277"/>
      <c r="V1279" s="1277"/>
      <c r="W1279" s="1277"/>
      <c r="X1279" s="1277"/>
    </row>
    <row r="1280" spans="6:24">
      <c r="F1280" s="972"/>
      <c r="H1280" s="972"/>
      <c r="J1280" s="972"/>
      <c r="M1280" s="919"/>
      <c r="N1280" s="919"/>
      <c r="O1280" s="919"/>
      <c r="P1280" s="1277"/>
      <c r="Q1280" s="1277"/>
      <c r="R1280" s="1277"/>
      <c r="S1280" s="1277"/>
      <c r="T1280" s="1277"/>
      <c r="U1280" s="1277"/>
      <c r="V1280" s="1277"/>
      <c r="W1280" s="1277"/>
      <c r="X1280" s="1277"/>
    </row>
    <row r="1281" spans="6:24">
      <c r="F1281" s="972"/>
      <c r="H1281" s="972"/>
      <c r="J1281" s="972"/>
      <c r="M1281" s="919"/>
      <c r="N1281" s="919"/>
      <c r="O1281" s="919"/>
      <c r="P1281" s="1277"/>
      <c r="Q1281" s="1277"/>
      <c r="R1281" s="1277"/>
      <c r="S1281" s="1277"/>
      <c r="T1281" s="1277"/>
      <c r="U1281" s="1277"/>
      <c r="V1281" s="1277"/>
      <c r="W1281" s="1277"/>
      <c r="X1281" s="1277"/>
    </row>
    <row r="1282" spans="6:24">
      <c r="F1282" s="972"/>
      <c r="H1282" s="972"/>
      <c r="J1282" s="972"/>
      <c r="M1282" s="919"/>
      <c r="N1282" s="919"/>
      <c r="O1282" s="919"/>
      <c r="P1282" s="1277"/>
      <c r="Q1282" s="1277"/>
      <c r="R1282" s="1277"/>
      <c r="S1282" s="1277"/>
      <c r="T1282" s="1277"/>
      <c r="U1282" s="1277"/>
      <c r="V1282" s="1277"/>
      <c r="W1282" s="1277"/>
      <c r="X1282" s="1277"/>
    </row>
    <row r="1283" spans="6:24">
      <c r="F1283" s="972"/>
      <c r="H1283" s="972"/>
      <c r="J1283" s="972"/>
      <c r="M1283" s="919"/>
      <c r="N1283" s="919"/>
      <c r="O1283" s="919"/>
      <c r="P1283" s="1277"/>
      <c r="Q1283" s="1277"/>
      <c r="R1283" s="1277"/>
      <c r="S1283" s="1277"/>
      <c r="T1283" s="1277"/>
      <c r="U1283" s="1277"/>
      <c r="V1283" s="1277"/>
      <c r="W1283" s="1277"/>
      <c r="X1283" s="1277"/>
    </row>
    <row r="1284" spans="6:24">
      <c r="F1284" s="972"/>
      <c r="H1284" s="972"/>
      <c r="J1284" s="972"/>
      <c r="M1284" s="919"/>
      <c r="N1284" s="919"/>
      <c r="O1284" s="919"/>
      <c r="P1284" s="1277"/>
      <c r="Q1284" s="1277"/>
      <c r="R1284" s="1277"/>
      <c r="S1284" s="1277"/>
      <c r="T1284" s="1277"/>
      <c r="U1284" s="1277"/>
      <c r="V1284" s="1277"/>
      <c r="W1284" s="1277"/>
      <c r="X1284" s="1277"/>
    </row>
    <row r="1285" spans="6:24">
      <c r="F1285" s="972"/>
      <c r="H1285" s="972"/>
      <c r="J1285" s="972"/>
      <c r="M1285" s="919"/>
      <c r="N1285" s="919"/>
      <c r="O1285" s="919"/>
      <c r="P1285" s="1277"/>
      <c r="Q1285" s="1277"/>
      <c r="R1285" s="1277"/>
      <c r="S1285" s="1277"/>
      <c r="T1285" s="1277"/>
      <c r="U1285" s="1277"/>
      <c r="V1285" s="1277"/>
      <c r="W1285" s="1277"/>
      <c r="X1285" s="1277"/>
    </row>
    <row r="1286" spans="6:24">
      <c r="F1286" s="972"/>
      <c r="H1286" s="972"/>
      <c r="J1286" s="972"/>
      <c r="M1286" s="919"/>
      <c r="N1286" s="919"/>
      <c r="O1286" s="919"/>
      <c r="P1286" s="1277"/>
      <c r="Q1286" s="1277"/>
      <c r="R1286" s="1277"/>
      <c r="S1286" s="1277"/>
      <c r="T1286" s="1277"/>
      <c r="U1286" s="1277"/>
      <c r="V1286" s="1277"/>
      <c r="W1286" s="1277"/>
      <c r="X1286" s="1277"/>
    </row>
    <row r="1287" spans="6:24">
      <c r="F1287" s="972"/>
      <c r="H1287" s="972"/>
      <c r="J1287" s="972"/>
      <c r="M1287" s="919"/>
      <c r="N1287" s="919"/>
      <c r="O1287" s="919"/>
      <c r="P1287" s="1277"/>
      <c r="Q1287" s="1277"/>
      <c r="R1287" s="1277"/>
      <c r="S1287" s="1277"/>
      <c r="T1287" s="1277"/>
      <c r="U1287" s="1277"/>
      <c r="V1287" s="1277"/>
      <c r="W1287" s="1277"/>
      <c r="X1287" s="1277"/>
    </row>
    <row r="1288" spans="6:24">
      <c r="F1288" s="972"/>
      <c r="H1288" s="972"/>
      <c r="J1288" s="972"/>
      <c r="M1288" s="919"/>
      <c r="N1288" s="919"/>
      <c r="O1288" s="919"/>
      <c r="P1288" s="1277"/>
      <c r="Q1288" s="1277"/>
      <c r="R1288" s="1277"/>
      <c r="S1288" s="1277"/>
      <c r="T1288" s="1277"/>
      <c r="U1288" s="1277"/>
      <c r="V1288" s="1277"/>
      <c r="W1288" s="1277"/>
      <c r="X1288" s="1277"/>
    </row>
    <row r="1289" spans="6:24">
      <c r="F1289" s="972"/>
      <c r="H1289" s="972"/>
      <c r="J1289" s="972"/>
      <c r="M1289" s="919"/>
      <c r="N1289" s="919"/>
      <c r="O1289" s="919"/>
      <c r="P1289" s="1277"/>
      <c r="Q1289" s="1277"/>
      <c r="R1289" s="1277"/>
      <c r="S1289" s="1277"/>
      <c r="T1289" s="1277"/>
      <c r="U1289" s="1277"/>
      <c r="V1289" s="1277"/>
      <c r="W1289" s="1277"/>
      <c r="X1289" s="1277"/>
    </row>
    <row r="1290" spans="6:24">
      <c r="F1290" s="972"/>
      <c r="H1290" s="972"/>
      <c r="J1290" s="972"/>
      <c r="M1290" s="919"/>
      <c r="N1290" s="919"/>
      <c r="O1290" s="919"/>
      <c r="P1290" s="1277"/>
      <c r="Q1290" s="1277"/>
      <c r="R1290" s="1277"/>
      <c r="S1290" s="1277"/>
      <c r="T1290" s="1277"/>
      <c r="U1290" s="1277"/>
      <c r="V1290" s="1277"/>
      <c r="W1290" s="1277"/>
      <c r="X1290" s="1277"/>
    </row>
    <row r="1291" spans="6:24">
      <c r="F1291" s="972"/>
      <c r="H1291" s="972"/>
      <c r="J1291" s="972"/>
      <c r="M1291" s="919"/>
      <c r="N1291" s="919"/>
      <c r="O1291" s="919"/>
      <c r="P1291" s="1277"/>
      <c r="Q1291" s="1277"/>
      <c r="R1291" s="1277"/>
      <c r="S1291" s="1277"/>
      <c r="T1291" s="1277"/>
      <c r="U1291" s="1277"/>
      <c r="V1291" s="1277"/>
      <c r="W1291" s="1277"/>
      <c r="X1291" s="1277"/>
    </row>
    <row r="1292" spans="6:24">
      <c r="F1292" s="972"/>
      <c r="H1292" s="972"/>
      <c r="J1292" s="972"/>
      <c r="M1292" s="919"/>
      <c r="N1292" s="919"/>
      <c r="O1292" s="919"/>
      <c r="P1292" s="1277"/>
      <c r="Q1292" s="1277"/>
      <c r="R1292" s="1277"/>
      <c r="S1292" s="1277"/>
      <c r="T1292" s="1277"/>
      <c r="U1292" s="1277"/>
      <c r="V1292" s="1277"/>
      <c r="W1292" s="1277"/>
      <c r="X1292" s="1277"/>
    </row>
    <row r="1293" spans="6:24">
      <c r="F1293" s="972"/>
      <c r="H1293" s="972"/>
      <c r="J1293" s="972"/>
      <c r="M1293" s="919"/>
      <c r="N1293" s="919"/>
      <c r="O1293" s="919"/>
      <c r="P1293" s="1277"/>
      <c r="Q1293" s="1277"/>
      <c r="R1293" s="1277"/>
      <c r="S1293" s="1277"/>
      <c r="T1293" s="1277"/>
      <c r="U1293" s="1277"/>
      <c r="V1293" s="1277"/>
      <c r="W1293" s="1277"/>
      <c r="X1293" s="1277"/>
    </row>
    <row r="1294" spans="6:24">
      <c r="F1294" s="972"/>
      <c r="H1294" s="972"/>
      <c r="J1294" s="972"/>
      <c r="M1294" s="919"/>
      <c r="N1294" s="919"/>
      <c r="O1294" s="919"/>
      <c r="P1294" s="1277"/>
      <c r="Q1294" s="1277"/>
      <c r="R1294" s="1277"/>
      <c r="S1294" s="1277"/>
      <c r="T1294" s="1277"/>
      <c r="U1294" s="1277"/>
      <c r="V1294" s="1277"/>
      <c r="W1294" s="1277"/>
      <c r="X1294" s="1277"/>
    </row>
    <row r="1295" spans="6:24">
      <c r="F1295" s="972"/>
      <c r="H1295" s="972"/>
      <c r="J1295" s="972"/>
      <c r="M1295" s="919"/>
      <c r="N1295" s="919"/>
      <c r="O1295" s="919"/>
      <c r="P1295" s="1277"/>
      <c r="Q1295" s="1277"/>
      <c r="R1295" s="1277"/>
      <c r="S1295" s="1277"/>
      <c r="T1295" s="1277"/>
      <c r="U1295" s="1277"/>
      <c r="V1295" s="1277"/>
      <c r="W1295" s="1277"/>
      <c r="X1295" s="1277"/>
    </row>
    <row r="1296" spans="6:24">
      <c r="F1296" s="972"/>
      <c r="H1296" s="972"/>
      <c r="J1296" s="972"/>
      <c r="M1296" s="919"/>
      <c r="N1296" s="919"/>
      <c r="O1296" s="919"/>
      <c r="P1296" s="1277"/>
      <c r="Q1296" s="1277"/>
      <c r="R1296" s="1277"/>
      <c r="S1296" s="1277"/>
      <c r="T1296" s="1277"/>
      <c r="U1296" s="1277"/>
      <c r="V1296" s="1277"/>
      <c r="W1296" s="1277"/>
      <c r="X1296" s="1277"/>
    </row>
    <row r="1297" spans="6:24">
      <c r="F1297" s="972"/>
      <c r="H1297" s="972"/>
      <c r="J1297" s="972"/>
      <c r="M1297" s="919"/>
      <c r="N1297" s="919"/>
      <c r="O1297" s="919"/>
      <c r="P1297" s="1277"/>
      <c r="Q1297" s="1277"/>
      <c r="R1297" s="1277"/>
      <c r="S1297" s="1277"/>
      <c r="T1297" s="1277"/>
      <c r="U1297" s="1277"/>
      <c r="V1297" s="1277"/>
      <c r="W1297" s="1277"/>
      <c r="X1297" s="1277"/>
    </row>
    <row r="1298" spans="6:24">
      <c r="F1298" s="972"/>
      <c r="H1298" s="972"/>
      <c r="J1298" s="972"/>
      <c r="M1298" s="919"/>
      <c r="N1298" s="919"/>
      <c r="O1298" s="919"/>
      <c r="P1298" s="1277"/>
      <c r="Q1298" s="1277"/>
      <c r="R1298" s="1277"/>
      <c r="S1298" s="1277"/>
      <c r="T1298" s="1277"/>
      <c r="U1298" s="1277"/>
      <c r="V1298" s="1277"/>
      <c r="W1298" s="1277"/>
      <c r="X1298" s="1277"/>
    </row>
    <row r="1299" spans="6:24">
      <c r="F1299" s="972"/>
      <c r="H1299" s="972"/>
      <c r="J1299" s="972"/>
      <c r="M1299" s="919"/>
      <c r="N1299" s="919"/>
      <c r="O1299" s="919"/>
      <c r="P1299" s="1277"/>
      <c r="Q1299" s="1277"/>
      <c r="R1299" s="1277"/>
      <c r="S1299" s="1277"/>
      <c r="T1299" s="1277"/>
      <c r="U1299" s="1277"/>
      <c r="V1299" s="1277"/>
      <c r="W1299" s="1277"/>
      <c r="X1299" s="1277"/>
    </row>
    <row r="1300" spans="6:24">
      <c r="F1300" s="972"/>
      <c r="H1300" s="972"/>
      <c r="J1300" s="972"/>
      <c r="M1300" s="919"/>
      <c r="N1300" s="919"/>
      <c r="O1300" s="919"/>
      <c r="P1300" s="1277"/>
      <c r="Q1300" s="1277"/>
      <c r="R1300" s="1277"/>
      <c r="S1300" s="1277"/>
      <c r="T1300" s="1277"/>
      <c r="U1300" s="1277"/>
      <c r="V1300" s="1277"/>
      <c r="W1300" s="1277"/>
      <c r="X1300" s="1277"/>
    </row>
    <row r="1301" spans="6:24">
      <c r="F1301" s="972"/>
      <c r="H1301" s="972"/>
      <c r="J1301" s="972"/>
      <c r="M1301" s="919"/>
      <c r="N1301" s="919"/>
      <c r="O1301" s="919"/>
      <c r="P1301" s="1277"/>
      <c r="Q1301" s="1277"/>
      <c r="R1301" s="1277"/>
      <c r="S1301" s="1277"/>
      <c r="T1301" s="1277"/>
      <c r="U1301" s="1277"/>
      <c r="V1301" s="1277"/>
      <c r="W1301" s="1277"/>
      <c r="X1301" s="1277"/>
    </row>
    <row r="1302" spans="6:24">
      <c r="F1302" s="972"/>
      <c r="H1302" s="972"/>
      <c r="J1302" s="972"/>
      <c r="M1302" s="919"/>
      <c r="N1302" s="919"/>
      <c r="O1302" s="919"/>
      <c r="P1302" s="1277"/>
      <c r="Q1302" s="1277"/>
      <c r="R1302" s="1277"/>
      <c r="S1302" s="1277"/>
      <c r="T1302" s="1277"/>
      <c r="U1302" s="1277"/>
      <c r="V1302" s="1277"/>
      <c r="W1302" s="1277"/>
      <c r="X1302" s="1277"/>
    </row>
    <row r="1303" spans="6:24">
      <c r="O1303" s="919"/>
      <c r="P1303" s="1277"/>
      <c r="Q1303" s="1277"/>
      <c r="R1303" s="1277"/>
      <c r="S1303" s="1277"/>
      <c r="T1303" s="1277"/>
      <c r="U1303" s="1277"/>
    </row>
  </sheetData>
  <sheetProtection sheet="1" objects="1" scenarios="1"/>
  <customSheetViews>
    <customSheetView guid="{D1431318-1DB8-4C45-813B-5A8065DFC797}" zeroValues="0" fitToPage="1">
      <selection activeCell="H39" sqref="H39"/>
      <pageMargins left="0.4" right="0.4" top="0.4" bottom="0.4" header="0.4" footer="0.5"/>
      <pageSetup scale="72" orientation="portrait" blackAndWhite="1" r:id="rId1"/>
      <headerFooter alignWithMargins="0"/>
    </customSheetView>
  </customSheetViews>
  <mergeCells count="59">
    <mergeCell ref="S1:U1"/>
    <mergeCell ref="K9:M9"/>
    <mergeCell ref="R9:U9"/>
    <mergeCell ref="J30:L30"/>
    <mergeCell ref="S34:U34"/>
    <mergeCell ref="R17:T17"/>
    <mergeCell ref="B29:L29"/>
    <mergeCell ref="B31:L31"/>
    <mergeCell ref="K26:M26"/>
    <mergeCell ref="S3:U3"/>
    <mergeCell ref="P5:R5"/>
    <mergeCell ref="S5:U5"/>
    <mergeCell ref="E5:N5"/>
    <mergeCell ref="B3:F3"/>
    <mergeCell ref="G3:P3"/>
    <mergeCell ref="K20:U20"/>
    <mergeCell ref="K22:U22"/>
    <mergeCell ref="R45:U45"/>
    <mergeCell ref="G46:H46"/>
    <mergeCell ref="S36:U36"/>
    <mergeCell ref="B35:L35"/>
    <mergeCell ref="I38:K38"/>
    <mergeCell ref="R46:S46"/>
    <mergeCell ref="S40:U40"/>
    <mergeCell ref="S38:U38"/>
    <mergeCell ref="J46:L46"/>
    <mergeCell ref="B42:L42"/>
    <mergeCell ref="J43:L43"/>
    <mergeCell ref="J45:L45"/>
    <mergeCell ref="G43:H43"/>
    <mergeCell ref="G45:H45"/>
    <mergeCell ref="B44:F44"/>
    <mergeCell ref="Q3:R3"/>
    <mergeCell ref="B15:E15"/>
    <mergeCell ref="F15:L15"/>
    <mergeCell ref="Q15:T15"/>
    <mergeCell ref="L17:N17"/>
    <mergeCell ref="B4:L4"/>
    <mergeCell ref="B14:L14"/>
    <mergeCell ref="B12:L12"/>
    <mergeCell ref="B7:L7"/>
    <mergeCell ref="B13:L13"/>
    <mergeCell ref="E17:G17"/>
    <mergeCell ref="H56:U56"/>
    <mergeCell ref="Q26:U26"/>
    <mergeCell ref="E24:U24"/>
    <mergeCell ref="A30:I30"/>
    <mergeCell ref="E32:U32"/>
    <mergeCell ref="B28:L28"/>
    <mergeCell ref="G47:H47"/>
    <mergeCell ref="K52:U52"/>
    <mergeCell ref="H50:U50"/>
    <mergeCell ref="K54:U54"/>
    <mergeCell ref="R47:S47"/>
    <mergeCell ref="J47:L47"/>
    <mergeCell ref="G48:I48"/>
    <mergeCell ref="S48:U48"/>
    <mergeCell ref="G44:H44"/>
    <mergeCell ref="J44:L44"/>
  </mergeCells>
  <dataValidations count="9">
    <dataValidation type="list" allowBlank="1" showInputMessage="1" sqref="J30 S48 S38 S40 S34 S36 K26">
      <formula1>YN</formula1>
    </dataValidation>
    <dataValidation type="list" allowBlank="1" showInputMessage="1" sqref="E17:G17">
      <formula1>Slope</formula1>
    </dataValidation>
    <dataValidation type="list" allowBlank="1" showInputMessage="1" sqref="L17">
      <formula1>SlopeShape</formula1>
    </dataValidation>
    <dataValidation type="list" allowBlank="1" showInputMessage="1" sqref="Q15">
      <formula1>LandscapePosition</formula1>
    </dataValidation>
    <dataValidation allowBlank="1" showInputMessage="1" showErrorMessage="1" prompt="Location of Benchmark" sqref="N49:U49"/>
    <dataValidation allowBlank="1" showErrorMessage="1" sqref="G50:H50"/>
    <dataValidation type="list" errorStyle="information" allowBlank="1" showInputMessage="1" sqref="R47:S47">
      <formula1>SHLR</formula1>
    </dataValidation>
    <dataValidation type="whole" operator="lessThanOrEqual" allowBlank="1" showInputMessage="1" showErrorMessage="1" prompt="Value must be less than or equal to 84 inches for treatment to occur within 7 feet from grade." sqref="G44:H44">
      <formula1>84</formula1>
    </dataValidation>
    <dataValidation type="list" errorStyle="information" allowBlank="1" sqref="R45:U45">
      <formula1>SoilTexture7080</formula1>
    </dataValidation>
  </dataValidations>
  <pageMargins left="0.4" right="0.4" top="1" bottom="0.2" header="0.4" footer="0.1"/>
  <pageSetup fitToWidth="0" fitToHeight="0" orientation="portrait" blackAndWhite="1" r:id="rId2"/>
  <headerFooter>
    <oddHeader>&amp;L&amp;G&amp;C&amp;"Trebuchet MS,Regular"&amp;14 Field
Evaluation Worksheet&amp;R&amp;G</oddHeader>
    <firstHeader>&amp;L&amp;G&amp;C&amp;"Trebuchet MS,Regular"&amp;16OSTP Field
Evaluation Worksheet&amp;R&amp;G</firstHeader>
  </headerFooter>
  <drawing r:id="rId3"/>
  <legacyDrawing r:id="rId4"/>
  <legacyDrawingHF r:id="rId5"/>
  <mc:AlternateContent xmlns:mc="http://schemas.openxmlformats.org/markup-compatibility/2006">
    <mc:Choice Requires="x14">
      <controls>
        <mc:AlternateContent xmlns:mc="http://schemas.openxmlformats.org/markup-compatibility/2006">
          <mc:Choice Requires="x14">
            <control shapeId="2544279" r:id="rId6" name="Check Box 2711">
              <controlPr defaultSize="0" autoFill="0" autoLine="0" autoPict="0">
                <anchor moveWithCells="1" sizeWithCells="1">
                  <from>
                    <xdr:col>5</xdr:col>
                    <xdr:colOff>220980</xdr:colOff>
                    <xdr:row>8</xdr:row>
                    <xdr:rowOff>0</xdr:rowOff>
                  </from>
                  <to>
                    <xdr:col>9</xdr:col>
                    <xdr:colOff>304800</xdr:colOff>
                    <xdr:row>9</xdr:row>
                    <xdr:rowOff>7620</xdr:rowOff>
                  </to>
                </anchor>
              </controlPr>
            </control>
          </mc:Choice>
        </mc:AlternateContent>
        <mc:AlternateContent xmlns:mc="http://schemas.openxmlformats.org/markup-compatibility/2006">
          <mc:Choice Requires="x14">
            <control shapeId="2544280" r:id="rId7" name="Check Box 2712">
              <controlPr defaultSize="0" autoFill="0" autoLine="0" autoPict="0">
                <anchor moveWithCells="1" sizeWithCells="1">
                  <from>
                    <xdr:col>13</xdr:col>
                    <xdr:colOff>152400</xdr:colOff>
                    <xdr:row>8</xdr:row>
                    <xdr:rowOff>7620</xdr:rowOff>
                  </from>
                  <to>
                    <xdr:col>16</xdr:col>
                    <xdr:colOff>304800</xdr:colOff>
                    <xdr:row>9</xdr:row>
                    <xdr:rowOff>0</xdr:rowOff>
                  </to>
                </anchor>
              </controlPr>
            </control>
          </mc:Choice>
        </mc:AlternateContent>
        <mc:AlternateContent xmlns:mc="http://schemas.openxmlformats.org/markup-compatibility/2006">
          <mc:Choice Requires="x14">
            <control shapeId="2544285" r:id="rId8" name="Check Box 2717">
              <controlPr defaultSize="0" autoFill="0" autoLine="0" autoPict="0">
                <anchor moveWithCells="1" sizeWithCells="1">
                  <from>
                    <xdr:col>9</xdr:col>
                    <xdr:colOff>68580</xdr:colOff>
                    <xdr:row>10</xdr:row>
                    <xdr:rowOff>30480</xdr:rowOff>
                  </from>
                  <to>
                    <xdr:col>12</xdr:col>
                    <xdr:colOff>68580</xdr:colOff>
                    <xdr:row>10</xdr:row>
                    <xdr:rowOff>220980</xdr:rowOff>
                  </to>
                </anchor>
              </controlPr>
            </control>
          </mc:Choice>
        </mc:AlternateContent>
        <mc:AlternateContent xmlns:mc="http://schemas.openxmlformats.org/markup-compatibility/2006">
          <mc:Choice Requires="x14">
            <control shapeId="2544286" r:id="rId9" name="Check Box 2718">
              <controlPr defaultSize="0" autoFill="0" autoLine="0" autoPict="0">
                <anchor moveWithCells="1" sizeWithCells="1">
                  <from>
                    <xdr:col>12</xdr:col>
                    <xdr:colOff>220980</xdr:colOff>
                    <xdr:row>10</xdr:row>
                    <xdr:rowOff>30480</xdr:rowOff>
                  </from>
                  <to>
                    <xdr:col>15</xdr:col>
                    <xdr:colOff>76200</xdr:colOff>
                    <xdr:row>10</xdr:row>
                    <xdr:rowOff>220980</xdr:rowOff>
                  </to>
                </anchor>
              </controlPr>
            </control>
          </mc:Choice>
        </mc:AlternateContent>
        <mc:AlternateContent xmlns:mc="http://schemas.openxmlformats.org/markup-compatibility/2006">
          <mc:Choice Requires="x14">
            <control shapeId="2544287" r:id="rId10" name="Check Box 2719">
              <controlPr defaultSize="0" autoFill="0" autoLine="0" autoPict="0">
                <anchor moveWithCells="1" sizeWithCells="1">
                  <from>
                    <xdr:col>16</xdr:col>
                    <xdr:colOff>38100</xdr:colOff>
                    <xdr:row>10</xdr:row>
                    <xdr:rowOff>30480</xdr:rowOff>
                  </from>
                  <to>
                    <xdr:col>17</xdr:col>
                    <xdr:colOff>304800</xdr:colOff>
                    <xdr:row>10</xdr:row>
                    <xdr:rowOff>220980</xdr:rowOff>
                  </to>
                </anchor>
              </controlPr>
            </control>
          </mc:Choice>
        </mc:AlternateContent>
        <mc:AlternateContent xmlns:mc="http://schemas.openxmlformats.org/markup-compatibility/2006">
          <mc:Choice Requires="x14">
            <control shapeId="2544288" r:id="rId11" name="Check Box 2720">
              <controlPr defaultSize="0" autoFill="0" autoLine="0" autoPict="0">
                <anchor moveWithCells="1" sizeWithCells="1">
                  <from>
                    <xdr:col>19</xdr:col>
                    <xdr:colOff>30480</xdr:colOff>
                    <xdr:row>10</xdr:row>
                    <xdr:rowOff>7620</xdr:rowOff>
                  </from>
                  <to>
                    <xdr:col>20</xdr:col>
                    <xdr:colOff>297180</xdr:colOff>
                    <xdr:row>11</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x14:formula1>
            <xm:f>'Drop-Down Lists'!$G$32:$G$41</xm:f>
          </x14:formula1>
          <xm:sqref>I38</xm:sqref>
        </x14:dataValidation>
        <x14:dataValidation type="list" allowBlank="1" showInputMessage="1">
          <x14:formula1>
            <xm:f>'Drop-Down Lists'!$C$51</xm:f>
          </x14:formula1>
          <xm:sqref>K16</xm:sqref>
        </x14:dataValidation>
        <x14:dataValidation type="list" allowBlank="1" showInputMessage="1">
          <x14:formula1>
            <xm:f>'Drop-Down Lists'!$D$63:$D$68</xm:f>
          </x14:formula1>
          <xm:sqref>F15</xm:sqref>
        </x14:dataValidation>
        <x14:dataValidation type="list" allowBlank="1" showInputMessage="1">
          <x14:formula1>
            <xm:f>'Drop-Down Lists'!$I$11:$I$18</xm:f>
          </x14:formula1>
          <xm:sqref>R17</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FFFF00"/>
    <pageSetUpPr fitToPage="1"/>
  </sheetPr>
  <dimension ref="A1:T62"/>
  <sheetViews>
    <sheetView showGridLines="0" view="pageBreakPreview" zoomScaleNormal="100" zoomScaleSheetLayoutView="100" workbookViewId="0">
      <selection activeCell="E4" sqref="E4:J4"/>
    </sheetView>
  </sheetViews>
  <sheetFormatPr defaultColWidth="9.109375" defaultRowHeight="14.4"/>
  <cols>
    <col min="1" max="1" width="4" style="1059" customWidth="1"/>
    <col min="2" max="2" width="9" style="1059" customWidth="1"/>
    <col min="3" max="7" width="7.44140625" style="1059" customWidth="1"/>
    <col min="8" max="8" width="9" style="1059" customWidth="1"/>
    <col min="9" max="10" width="7.44140625" style="1059" customWidth="1"/>
    <col min="11" max="11" width="4.88671875" style="1059" customWidth="1"/>
    <col min="12" max="20" width="7.44140625" style="1059" customWidth="1"/>
    <col min="21" max="16384" width="9.109375" style="1059"/>
  </cols>
  <sheetData>
    <row r="1" spans="1:20" ht="54.9" customHeight="1" thickBot="1">
      <c r="A1" s="1058"/>
      <c r="B1" s="1058"/>
      <c r="C1" s="1058"/>
      <c r="D1" s="1058"/>
      <c r="E1" s="4099" t="s">
        <v>1767</v>
      </c>
      <c r="F1" s="4099"/>
      <c r="G1" s="4099"/>
      <c r="H1" s="4099"/>
      <c r="I1" s="4099"/>
      <c r="J1" s="4099"/>
      <c r="K1" s="4099"/>
      <c r="L1" s="4099"/>
      <c r="M1" s="4099"/>
      <c r="N1" s="4099"/>
      <c r="O1" s="4099"/>
      <c r="P1" s="1058"/>
      <c r="Q1" s="1058"/>
      <c r="R1" s="1058"/>
      <c r="S1" s="1058"/>
      <c r="T1" s="1058"/>
    </row>
    <row r="2" spans="1:20" ht="16.2">
      <c r="A2" s="2230" t="s">
        <v>960</v>
      </c>
      <c r="B2" s="2235"/>
      <c r="C2" s="2235"/>
      <c r="D2" s="2235"/>
      <c r="E2" s="2235"/>
      <c r="F2" s="2235"/>
      <c r="G2" s="2235"/>
      <c r="H2" s="3614" t="s">
        <v>1016</v>
      </c>
      <c r="I2" s="3614"/>
      <c r="J2" s="3608" t="str">
        <f>IF(ISBLANK(Summary!S3)," ",Summary!S3)</f>
        <v xml:space="preserve"> </v>
      </c>
      <c r="K2" s="3608"/>
      <c r="L2" s="2057"/>
      <c r="M2" s="2057"/>
      <c r="N2" s="2057"/>
      <c r="O2" s="2057"/>
      <c r="P2" s="2108"/>
      <c r="Q2" s="2108"/>
      <c r="R2" s="2108"/>
      <c r="S2" s="4107" t="str">
        <f>'Drop-Down Lists'!J40</f>
        <v>v 04.01.2021</v>
      </c>
      <c r="T2" s="4108"/>
    </row>
    <row r="3" spans="1:20" ht="6" customHeight="1">
      <c r="A3" s="1060"/>
      <c r="B3" s="1061"/>
      <c r="C3" s="1061"/>
      <c r="D3" s="1061"/>
      <c r="E3" s="1061"/>
      <c r="F3" s="1061"/>
      <c r="G3" s="1061"/>
      <c r="H3" s="1061"/>
      <c r="I3" s="1061"/>
      <c r="J3" s="1061"/>
      <c r="K3" s="1061"/>
      <c r="L3" s="1061"/>
      <c r="M3" s="1061"/>
      <c r="N3" s="1061"/>
      <c r="O3" s="1061"/>
      <c r="P3" s="1061"/>
      <c r="Q3" s="1061"/>
      <c r="R3" s="1061"/>
      <c r="S3" s="1061"/>
      <c r="T3" s="1062"/>
    </row>
    <row r="4" spans="1:20" ht="21.9" customHeight="1">
      <c r="A4" s="775" t="s">
        <v>147</v>
      </c>
      <c r="B4" s="776" t="s">
        <v>961</v>
      </c>
      <c r="C4" s="776"/>
      <c r="D4" s="776"/>
      <c r="E4" s="4100"/>
      <c r="F4" s="4101"/>
      <c r="G4" s="4101"/>
      <c r="H4" s="4101"/>
      <c r="I4" s="4101"/>
      <c r="J4" s="4102"/>
      <c r="K4" s="776"/>
      <c r="L4" s="776" t="s">
        <v>962</v>
      </c>
      <c r="M4" s="776"/>
      <c r="N4" s="4100"/>
      <c r="O4" s="4101"/>
      <c r="P4" s="4101"/>
      <c r="Q4" s="4101"/>
      <c r="R4" s="4101"/>
      <c r="S4" s="4102"/>
      <c r="T4" s="778"/>
    </row>
    <row r="5" spans="1:20" ht="6" customHeight="1">
      <c r="A5" s="779"/>
      <c r="B5" s="777"/>
      <c r="C5" s="777"/>
      <c r="D5" s="777"/>
      <c r="E5" s="777"/>
      <c r="F5" s="777"/>
      <c r="G5" s="777"/>
      <c r="H5" s="777"/>
      <c r="I5" s="777"/>
      <c r="J5" s="777"/>
      <c r="K5" s="777"/>
      <c r="L5" s="777"/>
      <c r="M5" s="777"/>
      <c r="N5" s="777"/>
      <c r="O5" s="777"/>
      <c r="P5" s="777"/>
      <c r="Q5" s="777"/>
      <c r="R5" s="777"/>
      <c r="S5" s="777"/>
      <c r="T5" s="778"/>
    </row>
    <row r="6" spans="1:20" ht="21.9" customHeight="1">
      <c r="A6" s="779" t="s">
        <v>631</v>
      </c>
      <c r="B6" s="777" t="s">
        <v>963</v>
      </c>
      <c r="C6" s="777"/>
      <c r="D6" s="777"/>
      <c r="E6" s="777"/>
      <c r="F6" s="777"/>
      <c r="G6" s="777"/>
      <c r="H6" s="777"/>
      <c r="I6" s="777"/>
      <c r="J6" s="777"/>
      <c r="K6" s="777"/>
      <c r="L6" s="516" t="s">
        <v>1790</v>
      </c>
      <c r="M6" s="1897"/>
      <c r="N6" s="3704"/>
      <c r="O6" s="3705"/>
      <c r="P6" s="3705"/>
      <c r="Q6" s="3705"/>
      <c r="R6" s="3706"/>
      <c r="S6" s="777"/>
      <c r="T6" s="778"/>
    </row>
    <row r="7" spans="1:20" ht="6" customHeight="1">
      <c r="A7" s="779"/>
      <c r="B7" s="777"/>
      <c r="C7" s="777"/>
      <c r="D7" s="777"/>
      <c r="E7" s="777"/>
      <c r="F7" s="777"/>
      <c r="G7" s="777"/>
      <c r="H7" s="777"/>
      <c r="I7" s="777"/>
      <c r="J7" s="777"/>
      <c r="K7" s="777"/>
      <c r="L7" s="777"/>
      <c r="M7" s="777"/>
      <c r="N7" s="777"/>
      <c r="O7" s="777"/>
      <c r="P7" s="777"/>
      <c r="Q7" s="777"/>
      <c r="R7" s="777"/>
      <c r="S7" s="777"/>
      <c r="T7" s="778"/>
    </row>
    <row r="8" spans="1:20" ht="24" customHeight="1">
      <c r="A8" s="779"/>
      <c r="B8" s="777" t="s">
        <v>964</v>
      </c>
      <c r="C8" s="1214"/>
      <c r="D8" s="777" t="s">
        <v>94</v>
      </c>
      <c r="E8" s="777" t="s">
        <v>965</v>
      </c>
      <c r="F8" s="1214"/>
      <c r="G8" s="777" t="s">
        <v>94</v>
      </c>
      <c r="H8" s="777" t="s">
        <v>966</v>
      </c>
      <c r="I8" s="1214"/>
      <c r="J8" s="777" t="s">
        <v>94</v>
      </c>
      <c r="K8" s="4103" t="s">
        <v>967</v>
      </c>
      <c r="L8" s="4103"/>
      <c r="M8" s="4104"/>
      <c r="N8" s="1214"/>
      <c r="O8" s="777" t="s">
        <v>94</v>
      </c>
      <c r="P8" s="1063"/>
      <c r="Q8" s="1063"/>
      <c r="R8" s="1063"/>
      <c r="S8" s="1063"/>
      <c r="T8" s="778"/>
    </row>
    <row r="9" spans="1:20" ht="6" customHeight="1">
      <c r="A9" s="779"/>
      <c r="B9" s="777"/>
      <c r="C9" s="777"/>
      <c r="D9" s="777"/>
      <c r="E9" s="777"/>
      <c r="F9" s="777"/>
      <c r="G9" s="777"/>
      <c r="H9" s="777"/>
      <c r="I9" s="777"/>
      <c r="J9" s="777"/>
      <c r="K9" s="780"/>
      <c r="L9" s="780"/>
      <c r="M9" s="780"/>
      <c r="N9" s="777"/>
      <c r="O9" s="777"/>
      <c r="P9" s="777"/>
      <c r="Q9" s="777"/>
      <c r="R9" s="777"/>
      <c r="S9" s="777"/>
      <c r="T9" s="778"/>
    </row>
    <row r="10" spans="1:20" ht="24" customHeight="1">
      <c r="A10" s="779"/>
      <c r="B10" s="777" t="s">
        <v>964</v>
      </c>
      <c r="C10" s="781" t="str">
        <f>IF(ISBLANK(C8),"",C8/12)</f>
        <v/>
      </c>
      <c r="D10" s="782" t="s">
        <v>92</v>
      </c>
      <c r="E10" s="777" t="s">
        <v>965</v>
      </c>
      <c r="F10" s="781" t="str">
        <f>IF(ISBLANK(C8),"",F8/12)</f>
        <v/>
      </c>
      <c r="G10" s="782" t="s">
        <v>92</v>
      </c>
      <c r="H10" s="777" t="s">
        <v>966</v>
      </c>
      <c r="I10" s="781" t="str">
        <f>IF(ISBLANK(I8),"",I8/12)</f>
        <v/>
      </c>
      <c r="J10" s="782" t="s">
        <v>92</v>
      </c>
      <c r="K10" s="4105" t="s">
        <v>968</v>
      </c>
      <c r="L10" s="4105"/>
      <c r="M10" s="4106"/>
      <c r="N10" s="783" t="str">
        <f>IF(ISBLANK(N8),"",N8/2)</f>
        <v/>
      </c>
      <c r="O10" s="777" t="s">
        <v>94</v>
      </c>
      <c r="P10" s="1063"/>
      <c r="Q10" s="1063"/>
      <c r="R10" s="784"/>
      <c r="S10" s="782"/>
      <c r="T10" s="778"/>
    </row>
    <row r="11" spans="1:20" ht="6" customHeight="1">
      <c r="A11" s="779"/>
      <c r="B11" s="777"/>
      <c r="C11" s="777"/>
      <c r="D11" s="777"/>
      <c r="E11" s="777"/>
      <c r="F11" s="777"/>
      <c r="G11" s="777"/>
      <c r="H11" s="777"/>
      <c r="I11" s="777"/>
      <c r="J11" s="777"/>
      <c r="K11" s="777"/>
      <c r="L11" s="777"/>
      <c r="M11" s="777"/>
      <c r="N11" s="777"/>
      <c r="O11" s="777"/>
      <c r="P11" s="777"/>
      <c r="Q11" s="777"/>
      <c r="R11" s="777"/>
      <c r="S11" s="777"/>
      <c r="T11" s="778"/>
    </row>
    <row r="12" spans="1:20" ht="16.2">
      <c r="A12" s="4087" t="s">
        <v>969</v>
      </c>
      <c r="B12" s="4088"/>
      <c r="C12" s="4088"/>
      <c r="D12" s="4088"/>
      <c r="E12" s="4088"/>
      <c r="F12" s="4088"/>
      <c r="G12" s="4088"/>
      <c r="H12" s="4088"/>
      <c r="I12" s="4088"/>
      <c r="J12" s="4088"/>
      <c r="K12" s="4088"/>
      <c r="L12" s="4088"/>
      <c r="M12" s="4088"/>
      <c r="N12" s="4088"/>
      <c r="O12" s="4088"/>
      <c r="P12" s="4088"/>
      <c r="Q12" s="4088"/>
      <c r="R12" s="4088"/>
      <c r="S12" s="4088"/>
      <c r="T12" s="4089"/>
    </row>
    <row r="13" spans="1:20" ht="16.2">
      <c r="A13" s="4090" t="s">
        <v>970</v>
      </c>
      <c r="B13" s="4091"/>
      <c r="C13" s="4091"/>
      <c r="D13" s="4091"/>
      <c r="E13" s="4091"/>
      <c r="F13" s="4091"/>
      <c r="G13" s="4091"/>
      <c r="H13" s="4091"/>
      <c r="I13" s="4091"/>
      <c r="J13" s="4092"/>
      <c r="K13" s="4093" t="s">
        <v>971</v>
      </c>
      <c r="L13" s="4091"/>
      <c r="M13" s="4091"/>
      <c r="N13" s="4091"/>
      <c r="O13" s="4091"/>
      <c r="P13" s="4091"/>
      <c r="Q13" s="4091"/>
      <c r="R13" s="4091"/>
      <c r="S13" s="4091"/>
      <c r="T13" s="4094"/>
    </row>
    <row r="14" spans="1:20" ht="6" customHeight="1">
      <c r="A14" s="1060"/>
      <c r="B14" s="1061"/>
      <c r="C14" s="1061"/>
      <c r="D14" s="1061"/>
      <c r="E14" s="1061"/>
      <c r="F14" s="1061"/>
      <c r="G14" s="1061"/>
      <c r="H14" s="1061"/>
      <c r="I14" s="1061"/>
      <c r="J14" s="1064"/>
      <c r="K14" s="1065"/>
      <c r="L14" s="1061"/>
      <c r="M14" s="1061"/>
      <c r="N14" s="1061"/>
      <c r="O14" s="1061"/>
      <c r="P14" s="1061"/>
      <c r="Q14" s="1061"/>
      <c r="R14" s="1061"/>
      <c r="S14" s="1061"/>
      <c r="T14" s="1062"/>
    </row>
    <row r="15" spans="1:20" ht="24.6" customHeight="1">
      <c r="A15" s="779" t="s">
        <v>147</v>
      </c>
      <c r="B15" s="777" t="s">
        <v>972</v>
      </c>
      <c r="C15" s="777"/>
      <c r="D15" s="777"/>
      <c r="E15" s="777"/>
      <c r="F15" s="777"/>
      <c r="G15" s="777"/>
      <c r="H15" s="777"/>
      <c r="I15" s="777"/>
      <c r="J15" s="1066"/>
      <c r="K15" s="989" t="s">
        <v>147</v>
      </c>
      <c r="L15" s="777" t="s">
        <v>973</v>
      </c>
      <c r="M15" s="777"/>
      <c r="N15" s="777"/>
      <c r="O15" s="777"/>
      <c r="P15" s="777"/>
      <c r="Q15" s="777"/>
      <c r="R15" s="777"/>
      <c r="S15" s="777"/>
      <c r="T15" s="778"/>
    </row>
    <row r="16" spans="1:20" ht="6" customHeight="1">
      <c r="A16" s="779"/>
      <c r="B16" s="777"/>
      <c r="C16" s="777"/>
      <c r="D16" s="777"/>
      <c r="E16" s="777"/>
      <c r="F16" s="777"/>
      <c r="G16" s="777"/>
      <c r="H16" s="777"/>
      <c r="I16" s="777"/>
      <c r="J16" s="1066"/>
      <c r="K16" s="1067"/>
      <c r="L16" s="787"/>
      <c r="M16" s="777"/>
      <c r="N16" s="777"/>
      <c r="O16" s="777"/>
      <c r="P16" s="777"/>
      <c r="Q16" s="777"/>
      <c r="R16" s="777"/>
      <c r="S16" s="777"/>
      <c r="T16" s="778"/>
    </row>
    <row r="17" spans="1:20" ht="24" customHeight="1">
      <c r="A17" s="779"/>
      <c r="B17" s="4095" t="str">
        <f>C10</f>
        <v/>
      </c>
      <c r="C17" s="4092"/>
      <c r="D17" s="776" t="s">
        <v>123</v>
      </c>
      <c r="E17" s="4095" t="str">
        <f>F10</f>
        <v/>
      </c>
      <c r="F17" s="4092"/>
      <c r="G17" s="776" t="s">
        <v>120</v>
      </c>
      <c r="H17" s="4095" t="str">
        <f>IF(ISBLANK(C8),"",B17*E17)</f>
        <v/>
      </c>
      <c r="I17" s="4096"/>
      <c r="J17" s="1066" t="s">
        <v>974</v>
      </c>
      <c r="K17" s="1067"/>
      <c r="L17" s="4097" t="s">
        <v>2144</v>
      </c>
      <c r="M17" s="4098"/>
      <c r="N17" s="4095" t="str">
        <f>IF(ISBLANK(N8),"",N10/12)</f>
        <v/>
      </c>
      <c r="O17" s="4096"/>
      <c r="P17" s="1164" t="s">
        <v>2143</v>
      </c>
      <c r="Q17" s="4095" t="str">
        <f>IF(ISBLANK(N8),"",3.14*N17^2)</f>
        <v/>
      </c>
      <c r="R17" s="4096"/>
      <c r="S17" s="777" t="s">
        <v>974</v>
      </c>
      <c r="T17" s="1068"/>
    </row>
    <row r="18" spans="1:20" ht="6" customHeight="1">
      <c r="A18" s="779"/>
      <c r="B18" s="777"/>
      <c r="C18" s="777"/>
      <c r="D18" s="777"/>
      <c r="E18" s="777"/>
      <c r="F18" s="777"/>
      <c r="G18" s="777"/>
      <c r="H18" s="777"/>
      <c r="I18" s="777"/>
      <c r="J18" s="1066"/>
      <c r="K18" s="1067"/>
      <c r="L18" s="787"/>
      <c r="M18" s="777"/>
      <c r="N18" s="1063"/>
      <c r="O18" s="1063"/>
      <c r="P18" s="1063"/>
      <c r="Q18" s="777"/>
      <c r="R18" s="1063"/>
      <c r="S18" s="1063"/>
      <c r="T18" s="778"/>
    </row>
    <row r="19" spans="1:20" ht="15" customHeight="1">
      <c r="A19" s="779" t="s">
        <v>631</v>
      </c>
      <c r="B19" s="777" t="s">
        <v>975</v>
      </c>
      <c r="C19" s="777"/>
      <c r="D19" s="777"/>
      <c r="E19" s="777"/>
      <c r="F19" s="777"/>
      <c r="G19" s="777"/>
      <c r="H19" s="777"/>
      <c r="I19" s="777"/>
      <c r="J19" s="1066"/>
      <c r="K19" s="989" t="s">
        <v>631</v>
      </c>
      <c r="L19" s="777" t="s">
        <v>976</v>
      </c>
      <c r="M19" s="777"/>
      <c r="N19" s="777"/>
      <c r="O19" s="777"/>
      <c r="P19" s="777"/>
      <c r="Q19" s="777"/>
      <c r="R19" s="777"/>
      <c r="S19" s="777"/>
      <c r="T19" s="778"/>
    </row>
    <row r="20" spans="1:20" ht="6" customHeight="1">
      <c r="A20" s="779"/>
      <c r="B20" s="777"/>
      <c r="C20" s="777"/>
      <c r="D20" s="777"/>
      <c r="E20" s="777"/>
      <c r="F20" s="777"/>
      <c r="G20" s="777"/>
      <c r="H20" s="777"/>
      <c r="I20" s="777"/>
      <c r="J20" s="1066"/>
      <c r="K20" s="1067"/>
      <c r="L20" s="777"/>
      <c r="M20" s="777"/>
      <c r="N20" s="777"/>
      <c r="O20" s="777"/>
      <c r="P20" s="777"/>
      <c r="Q20" s="777"/>
      <c r="R20" s="777"/>
      <c r="S20" s="777"/>
      <c r="T20" s="778"/>
    </row>
    <row r="21" spans="1:20" ht="24" customHeight="1">
      <c r="A21" s="779"/>
      <c r="B21" s="4095" t="str">
        <f>H17</f>
        <v/>
      </c>
      <c r="C21" s="4096"/>
      <c r="D21" s="776" t="s">
        <v>123</v>
      </c>
      <c r="E21" s="4095" t="str">
        <f>IF(ISBLANK(C8),"",I10)</f>
        <v/>
      </c>
      <c r="F21" s="4092"/>
      <c r="G21" s="776" t="s">
        <v>120</v>
      </c>
      <c r="H21" s="4095" t="str">
        <f>IF(ISBLANK(C8),"",B21*E21)</f>
        <v/>
      </c>
      <c r="I21" s="4096"/>
      <c r="J21" s="1066" t="s">
        <v>977</v>
      </c>
      <c r="K21" s="1067"/>
      <c r="L21" s="4095" t="str">
        <f>Q17</f>
        <v/>
      </c>
      <c r="M21" s="4092"/>
      <c r="N21" s="776" t="s">
        <v>978</v>
      </c>
      <c r="O21" s="4095" t="str">
        <f>IF(ISBLANK(N8),"",I10)</f>
        <v/>
      </c>
      <c r="P21" s="4092"/>
      <c r="Q21" s="776" t="s">
        <v>121</v>
      </c>
      <c r="R21" s="4116" t="str">
        <f>IF(ISBLANK(N8),"",L21*O21)</f>
        <v/>
      </c>
      <c r="S21" s="4133"/>
      <c r="T21" s="778" t="s">
        <v>977</v>
      </c>
    </row>
    <row r="22" spans="1:20" ht="6" customHeight="1">
      <c r="A22" s="1069"/>
      <c r="B22" s="1070"/>
      <c r="C22" s="1070"/>
      <c r="D22" s="1070"/>
      <c r="E22" s="1070"/>
      <c r="F22" s="1070"/>
      <c r="G22" s="1070"/>
      <c r="H22" s="1070"/>
      <c r="I22" s="1070"/>
      <c r="J22" s="1071"/>
      <c r="K22" s="1072"/>
      <c r="L22" s="1070"/>
      <c r="M22" s="1070"/>
      <c r="N22" s="1070"/>
      <c r="O22" s="1070"/>
      <c r="P22" s="1070"/>
      <c r="Q22" s="1070"/>
      <c r="R22" s="1070"/>
      <c r="S22" s="1070"/>
      <c r="T22" s="1073"/>
    </row>
    <row r="23" spans="1:20" s="1075" customFormat="1" ht="18.600000000000001">
      <c r="A23" s="4087" t="s">
        <v>979</v>
      </c>
      <c r="B23" s="4088"/>
      <c r="C23" s="4088"/>
      <c r="D23" s="4088"/>
      <c r="E23" s="4088"/>
      <c r="F23" s="4088"/>
      <c r="G23" s="4088"/>
      <c r="H23" s="4088"/>
      <c r="I23" s="4088"/>
      <c r="J23" s="4088"/>
      <c r="K23" s="786"/>
      <c r="L23" s="786"/>
      <c r="M23" s="786"/>
      <c r="N23" s="786"/>
      <c r="O23" s="786"/>
      <c r="P23" s="786"/>
      <c r="Q23" s="786"/>
      <c r="R23" s="786"/>
      <c r="S23" s="786"/>
      <c r="T23" s="1074"/>
    </row>
    <row r="24" spans="1:20" ht="6" customHeight="1">
      <c r="A24" s="779"/>
      <c r="B24" s="777"/>
      <c r="C24" s="777"/>
      <c r="D24" s="777"/>
      <c r="E24" s="777"/>
      <c r="F24" s="777"/>
      <c r="G24" s="777"/>
      <c r="H24" s="777"/>
      <c r="I24" s="777"/>
      <c r="J24" s="777"/>
      <c r="K24" s="777"/>
      <c r="L24" s="777"/>
      <c r="M24" s="777"/>
      <c r="N24" s="777"/>
      <c r="O24" s="777"/>
      <c r="P24" s="777"/>
      <c r="Q24" s="777"/>
      <c r="R24" s="777"/>
      <c r="S24" s="777"/>
      <c r="T24" s="778"/>
    </row>
    <row r="25" spans="1:20" ht="24" customHeight="1">
      <c r="A25" s="779"/>
      <c r="B25" s="777" t="s">
        <v>1001</v>
      </c>
      <c r="C25" s="777"/>
      <c r="D25" s="777"/>
      <c r="E25" s="777"/>
      <c r="F25" s="777"/>
      <c r="G25" s="1063"/>
      <c r="H25" s="4127"/>
      <c r="I25" s="4128"/>
      <c r="J25" s="777" t="s">
        <v>980</v>
      </c>
      <c r="K25" s="1063"/>
      <c r="L25" s="777"/>
      <c r="M25" s="1063"/>
      <c r="N25" s="777"/>
      <c r="O25" s="777"/>
      <c r="P25" s="777"/>
      <c r="Q25" s="777"/>
      <c r="R25" s="777"/>
      <c r="S25" s="777"/>
      <c r="T25" s="778"/>
    </row>
    <row r="26" spans="1:20" ht="6" customHeight="1">
      <c r="A26" s="779"/>
      <c r="B26" s="777"/>
      <c r="C26" s="777"/>
      <c r="D26" s="777"/>
      <c r="E26" s="777"/>
      <c r="F26" s="777"/>
      <c r="G26" s="777"/>
      <c r="H26" s="777"/>
      <c r="I26" s="777"/>
      <c r="J26" s="777"/>
      <c r="K26" s="777"/>
      <c r="L26" s="777"/>
      <c r="M26" s="777"/>
      <c r="N26" s="777"/>
      <c r="O26" s="777"/>
      <c r="P26" s="777"/>
      <c r="Q26" s="777"/>
      <c r="R26" s="777"/>
      <c r="S26" s="777"/>
      <c r="T26" s="778"/>
    </row>
    <row r="27" spans="1:20" s="1075" customFormat="1" ht="18.600000000000001">
      <c r="A27" s="785" t="s">
        <v>981</v>
      </c>
      <c r="B27" s="786"/>
      <c r="C27" s="786"/>
      <c r="D27" s="786"/>
      <c r="E27" s="786"/>
      <c r="F27" s="786"/>
      <c r="G27" s="786"/>
      <c r="H27" s="786"/>
      <c r="I27" s="786"/>
      <c r="J27" s="786"/>
      <c r="K27" s="786"/>
      <c r="L27" s="786"/>
      <c r="M27" s="786"/>
      <c r="N27" s="786"/>
      <c r="O27" s="786"/>
      <c r="P27" s="786"/>
      <c r="Q27" s="786"/>
      <c r="R27" s="786"/>
      <c r="S27" s="786"/>
      <c r="T27" s="1074"/>
    </row>
    <row r="28" spans="1:20" ht="6" customHeight="1">
      <c r="A28" s="779"/>
      <c r="B28" s="777"/>
      <c r="C28" s="777"/>
      <c r="D28" s="777"/>
      <c r="E28" s="777"/>
      <c r="F28" s="777"/>
      <c r="G28" s="777"/>
      <c r="H28" s="777"/>
      <c r="I28" s="777"/>
      <c r="J28" s="777"/>
      <c r="K28" s="777"/>
      <c r="L28" s="4113" t="s">
        <v>982</v>
      </c>
      <c r="M28" s="4113"/>
      <c r="N28" s="4112" t="s">
        <v>983</v>
      </c>
      <c r="O28" s="4112"/>
      <c r="P28" s="4112"/>
      <c r="Q28" s="777"/>
      <c r="R28" s="777"/>
      <c r="S28" s="777"/>
      <c r="T28" s="778"/>
    </row>
    <row r="29" spans="1:20" ht="6" customHeight="1">
      <c r="A29" s="779"/>
      <c r="B29" s="777"/>
      <c r="C29" s="777"/>
      <c r="D29" s="777"/>
      <c r="E29" s="777"/>
      <c r="F29" s="777"/>
      <c r="G29" s="777"/>
      <c r="H29" s="777"/>
      <c r="I29" s="777"/>
      <c r="J29" s="777"/>
      <c r="K29" s="777"/>
      <c r="L29" s="4113"/>
      <c r="M29" s="4113"/>
      <c r="N29" s="4112"/>
      <c r="O29" s="4112"/>
      <c r="P29" s="4112"/>
      <c r="Q29" s="777"/>
      <c r="R29" s="777"/>
      <c r="S29" s="777"/>
      <c r="T29" s="778"/>
    </row>
    <row r="30" spans="1:20" ht="24" customHeight="1">
      <c r="A30" s="779" t="s">
        <v>147</v>
      </c>
      <c r="B30" s="777" t="s">
        <v>984</v>
      </c>
      <c r="C30" s="777"/>
      <c r="D30" s="777"/>
      <c r="E30" s="1063"/>
      <c r="F30" s="1214"/>
      <c r="G30" s="777" t="s">
        <v>94</v>
      </c>
      <c r="H30" s="781" t="str">
        <f>IF(ISBLANK(F30),"",F30/12)</f>
        <v/>
      </c>
      <c r="I30" s="777" t="s">
        <v>92</v>
      </c>
      <c r="J30" s="1063"/>
      <c r="K30" s="777"/>
      <c r="L30" s="4113"/>
      <c r="M30" s="4113"/>
      <c r="N30" s="4112"/>
      <c r="O30" s="4112"/>
      <c r="P30" s="4112"/>
      <c r="Q30" s="777"/>
      <c r="R30" s="777"/>
      <c r="S30" s="777"/>
      <c r="T30" s="778"/>
    </row>
    <row r="31" spans="1:20" ht="6" customHeight="1">
      <c r="A31" s="779"/>
      <c r="B31" s="777"/>
      <c r="C31" s="777"/>
      <c r="D31" s="777"/>
      <c r="E31" s="777"/>
      <c r="F31" s="777"/>
      <c r="G31" s="777"/>
      <c r="H31" s="777"/>
      <c r="I31" s="777"/>
      <c r="J31" s="777"/>
      <c r="K31" s="777"/>
      <c r="L31" s="4113"/>
      <c r="M31" s="4113"/>
      <c r="N31" s="4112"/>
      <c r="O31" s="4112"/>
      <c r="P31" s="4112"/>
      <c r="Q31" s="777"/>
      <c r="R31" s="777"/>
      <c r="S31" s="777"/>
      <c r="T31" s="778"/>
    </row>
    <row r="32" spans="1:20" ht="24" customHeight="1">
      <c r="A32" s="779" t="s">
        <v>631</v>
      </c>
      <c r="B32" s="777" t="s">
        <v>985</v>
      </c>
      <c r="C32" s="777"/>
      <c r="D32" s="777"/>
      <c r="E32" s="777"/>
      <c r="H32" s="1214"/>
      <c r="I32" s="782" t="s">
        <v>980</v>
      </c>
      <c r="J32" s="777"/>
      <c r="K32" s="777"/>
      <c r="L32" s="4114" t="s">
        <v>986</v>
      </c>
      <c r="M32" s="4114"/>
      <c r="N32" s="4114">
        <v>120</v>
      </c>
      <c r="O32" s="4114"/>
      <c r="P32" s="4114"/>
      <c r="Q32" s="777"/>
      <c r="R32" s="777"/>
      <c r="S32" s="777"/>
      <c r="T32" s="778"/>
    </row>
    <row r="33" spans="1:20" ht="6" customHeight="1">
      <c r="A33" s="779"/>
      <c r="B33" s="777"/>
      <c r="C33" s="777"/>
      <c r="D33" s="777"/>
      <c r="E33" s="777"/>
      <c r="F33" s="777"/>
      <c r="G33" s="777"/>
      <c r="H33" s="777"/>
      <c r="I33" s="777"/>
      <c r="J33" s="777"/>
      <c r="K33" s="777"/>
      <c r="L33" s="4126"/>
      <c r="M33" s="4126"/>
      <c r="N33" s="4114"/>
      <c r="O33" s="4114"/>
      <c r="P33" s="4114"/>
      <c r="Q33" s="777"/>
      <c r="R33" s="777"/>
      <c r="S33" s="777"/>
      <c r="T33" s="778"/>
    </row>
    <row r="34" spans="1:20" ht="15" customHeight="1">
      <c r="A34" s="779" t="s">
        <v>149</v>
      </c>
      <c r="B34" s="777" t="s">
        <v>987</v>
      </c>
      <c r="C34" s="777"/>
      <c r="D34" s="777"/>
      <c r="E34" s="777"/>
      <c r="F34" s="777"/>
      <c r="G34" s="777"/>
      <c r="H34" s="777"/>
      <c r="I34" s="777"/>
      <c r="J34" s="777"/>
      <c r="K34" s="777"/>
      <c r="L34" s="4115" t="s">
        <v>988</v>
      </c>
      <c r="M34" s="4115"/>
      <c r="N34" s="4115">
        <v>100</v>
      </c>
      <c r="O34" s="4115"/>
      <c r="P34" s="4115"/>
      <c r="Q34" s="777"/>
      <c r="R34" s="777"/>
      <c r="S34" s="777"/>
      <c r="T34" s="778"/>
    </row>
    <row r="35" spans="1:20" ht="6" customHeight="1">
      <c r="A35" s="779"/>
      <c r="B35" s="777"/>
      <c r="C35" s="777"/>
      <c r="D35" s="777"/>
      <c r="E35" s="777"/>
      <c r="F35" s="777"/>
      <c r="G35" s="777"/>
      <c r="H35" s="777"/>
      <c r="I35" s="777"/>
      <c r="J35" s="777"/>
      <c r="K35" s="777"/>
      <c r="L35" s="4115"/>
      <c r="M35" s="4115"/>
      <c r="N35" s="4115"/>
      <c r="O35" s="4115"/>
      <c r="P35" s="4115"/>
      <c r="Q35" s="777"/>
      <c r="R35" s="777"/>
      <c r="S35" s="777"/>
      <c r="T35" s="778"/>
    </row>
    <row r="36" spans="1:20" ht="24" customHeight="1">
      <c r="A36" s="779"/>
      <c r="B36" s="781" t="str">
        <f>H30</f>
        <v/>
      </c>
      <c r="C36" s="776" t="s">
        <v>123</v>
      </c>
      <c r="D36" s="4095" t="str">
        <f>IF(ISBLANK(F30),"",MAX(H17,Q17))</f>
        <v/>
      </c>
      <c r="E36" s="4096"/>
      <c r="F36" s="787" t="s">
        <v>989</v>
      </c>
      <c r="G36" s="4095" t="str">
        <f>IF(ISBLANK(F30),"",B36*D36)</f>
        <v/>
      </c>
      <c r="H36" s="4096"/>
      <c r="I36" s="777" t="s">
        <v>977</v>
      </c>
      <c r="J36" s="777"/>
      <c r="K36" s="777"/>
      <c r="L36" s="4114" t="s">
        <v>681</v>
      </c>
      <c r="M36" s="4114"/>
      <c r="N36" s="4114">
        <v>90</v>
      </c>
      <c r="O36" s="4114"/>
      <c r="P36" s="4114"/>
      <c r="Q36" s="777"/>
      <c r="R36" s="777"/>
      <c r="S36" s="777"/>
      <c r="T36" s="778"/>
    </row>
    <row r="37" spans="1:20" ht="6" customHeight="1">
      <c r="A37" s="779"/>
      <c r="B37" s="777"/>
      <c r="C37" s="777"/>
      <c r="D37" s="777"/>
      <c r="E37" s="777"/>
      <c r="F37" s="777"/>
      <c r="G37" s="777"/>
      <c r="H37" s="777"/>
      <c r="I37" s="777"/>
      <c r="J37" s="777"/>
      <c r="K37" s="777"/>
      <c r="L37" s="4114"/>
      <c r="M37" s="4114"/>
      <c r="N37" s="4114"/>
      <c r="O37" s="4114"/>
      <c r="P37" s="4114"/>
      <c r="Q37" s="777"/>
      <c r="R37" s="777"/>
      <c r="S37" s="777"/>
      <c r="T37" s="778"/>
    </row>
    <row r="38" spans="1:20" ht="18.75" customHeight="1">
      <c r="A38" s="788" t="s">
        <v>588</v>
      </c>
      <c r="B38" s="4121" t="s">
        <v>1427</v>
      </c>
      <c r="C38" s="4122"/>
      <c r="D38" s="4122"/>
      <c r="E38" s="4122"/>
      <c r="F38" s="4122"/>
      <c r="G38" s="4122"/>
      <c r="H38" s="4122"/>
      <c r="I38" s="4122"/>
      <c r="J38" s="4122"/>
      <c r="K38" s="4122"/>
      <c r="L38" s="4122"/>
      <c r="M38" s="4122"/>
      <c r="N38" s="4122"/>
      <c r="O38" s="4122"/>
      <c r="P38" s="4122"/>
      <c r="Q38" s="4122"/>
      <c r="R38" s="4122"/>
      <c r="S38" s="4122"/>
      <c r="T38" s="4123"/>
    </row>
    <row r="39" spans="1:20" ht="6" customHeight="1">
      <c r="A39" s="779"/>
      <c r="B39" s="777"/>
      <c r="C39" s="777"/>
      <c r="D39" s="777"/>
      <c r="E39" s="777"/>
      <c r="F39" s="777"/>
      <c r="G39" s="777"/>
      <c r="H39" s="777"/>
      <c r="I39" s="777"/>
      <c r="J39" s="777"/>
      <c r="K39" s="777"/>
      <c r="L39" s="777"/>
      <c r="M39" s="777"/>
      <c r="N39" s="777"/>
      <c r="O39" s="777"/>
      <c r="P39" s="777"/>
      <c r="Q39" s="777"/>
      <c r="R39" s="777"/>
      <c r="S39" s="777"/>
      <c r="T39" s="778"/>
    </row>
    <row r="40" spans="1:20" ht="24" customHeight="1">
      <c r="A40" s="779"/>
      <c r="B40" s="781" t="str">
        <f>G36</f>
        <v/>
      </c>
      <c r="C40" s="1164" t="s">
        <v>1830</v>
      </c>
      <c r="D40" s="783" t="str">
        <f>IF(ISBLANK(F30),"",H32)</f>
        <v/>
      </c>
      <c r="E40" s="1076" t="s">
        <v>1333</v>
      </c>
      <c r="F40" s="4118" t="str">
        <f>IF(ISBLANK(F30),"",B40*D40)</f>
        <v/>
      </c>
      <c r="G40" s="4120"/>
      <c r="H40" s="777" t="s">
        <v>990</v>
      </c>
      <c r="I40" s="1077" t="s">
        <v>1428</v>
      </c>
      <c r="M40" s="1063"/>
      <c r="N40" s="1063"/>
      <c r="O40" s="777"/>
      <c r="P40" s="777"/>
      <c r="Q40" s="777"/>
      <c r="R40" s="777"/>
      <c r="S40" s="777"/>
      <c r="T40" s="778"/>
    </row>
    <row r="41" spans="1:20" ht="6" customHeight="1">
      <c r="A41" s="790"/>
      <c r="B41" s="784"/>
      <c r="C41" s="2234"/>
      <c r="D41" s="2199"/>
      <c r="E41" s="2233"/>
      <c r="F41" s="2231"/>
      <c r="G41" s="2231"/>
      <c r="H41" s="782"/>
      <c r="I41" s="1077"/>
      <c r="M41" s="1063"/>
      <c r="N41" s="1063"/>
      <c r="O41" s="777"/>
      <c r="P41" s="777"/>
      <c r="Q41" s="777"/>
      <c r="R41" s="777"/>
      <c r="S41" s="777"/>
      <c r="T41" s="778"/>
    </row>
    <row r="42" spans="1:20" ht="6" customHeight="1">
      <c r="A42" s="779"/>
      <c r="B42" s="777"/>
      <c r="C42" s="777"/>
      <c r="D42" s="777"/>
      <c r="E42" s="777"/>
      <c r="F42" s="777"/>
      <c r="G42" s="777"/>
      <c r="H42" s="777"/>
      <c r="I42" s="777"/>
      <c r="J42" s="777"/>
      <c r="K42" s="777"/>
      <c r="L42" s="777"/>
      <c r="M42" s="777"/>
      <c r="N42" s="777"/>
      <c r="O42" s="777"/>
      <c r="P42" s="777"/>
      <c r="Q42" s="777"/>
      <c r="R42" s="777"/>
      <c r="S42" s="777"/>
      <c r="T42" s="778"/>
    </row>
    <row r="43" spans="1:20" s="1075" customFormat="1" ht="18.600000000000001">
      <c r="A43" s="785" t="s">
        <v>991</v>
      </c>
      <c r="B43" s="786"/>
      <c r="C43" s="786"/>
      <c r="D43" s="786"/>
      <c r="E43" s="786"/>
      <c r="F43" s="786"/>
      <c r="G43" s="786"/>
      <c r="H43" s="786"/>
      <c r="I43" s="786"/>
      <c r="J43" s="786"/>
      <c r="K43" s="786"/>
      <c r="L43" s="786"/>
      <c r="M43" s="786"/>
      <c r="N43" s="786"/>
      <c r="O43" s="786"/>
      <c r="P43" s="786"/>
      <c r="Q43" s="786"/>
      <c r="R43" s="786"/>
      <c r="S43" s="786"/>
      <c r="T43" s="1074"/>
    </row>
    <row r="44" spans="1:20" ht="6" customHeight="1">
      <c r="A44" s="779"/>
      <c r="B44" s="777"/>
      <c r="C44" s="777"/>
      <c r="D44" s="777"/>
      <c r="E44" s="777"/>
      <c r="F44" s="777"/>
      <c r="G44" s="777"/>
      <c r="H44" s="777"/>
      <c r="I44" s="777"/>
      <c r="J44" s="777"/>
      <c r="K44" s="777"/>
      <c r="L44" s="777"/>
      <c r="M44" s="777"/>
      <c r="N44" s="777"/>
      <c r="O44" s="777"/>
      <c r="P44" s="777"/>
      <c r="Q44" s="777"/>
      <c r="R44" s="777"/>
      <c r="S44" s="777"/>
      <c r="T44" s="778"/>
    </row>
    <row r="45" spans="1:20" ht="20.25" customHeight="1">
      <c r="A45" s="775"/>
      <c r="B45" s="1164" t="s">
        <v>1426</v>
      </c>
      <c r="C45" s="777"/>
      <c r="D45" s="777"/>
      <c r="E45" s="777"/>
      <c r="F45" s="777"/>
      <c r="G45" s="777"/>
      <c r="H45" s="777"/>
      <c r="I45" s="777"/>
      <c r="J45" s="777"/>
      <c r="K45" s="777"/>
      <c r="L45" s="777"/>
      <c r="M45" s="782"/>
      <c r="N45" s="782"/>
      <c r="O45" s="782"/>
      <c r="P45" s="782"/>
      <c r="Q45" s="782"/>
      <c r="R45" s="782"/>
      <c r="S45" s="782"/>
      <c r="T45" s="1078"/>
    </row>
    <row r="46" spans="1:20" ht="6" customHeight="1">
      <c r="A46" s="779"/>
      <c r="B46" s="777"/>
      <c r="C46" s="777"/>
      <c r="D46" s="777"/>
      <c r="E46" s="777"/>
      <c r="F46" s="777"/>
      <c r="G46" s="777"/>
      <c r="H46" s="777"/>
      <c r="I46" s="777"/>
      <c r="J46" s="777"/>
      <c r="K46" s="777"/>
      <c r="L46" s="777"/>
      <c r="M46" s="782"/>
      <c r="N46" s="782"/>
      <c r="O46" s="782"/>
      <c r="P46" s="782"/>
      <c r="Q46" s="782"/>
      <c r="R46" s="782"/>
      <c r="S46" s="782"/>
      <c r="T46" s="1078"/>
    </row>
    <row r="47" spans="1:20" ht="24" customHeight="1">
      <c r="A47" s="775"/>
      <c r="B47" s="4116" t="str">
        <f>IF(ISBLANK(F30),"",MAX(H21,R21))</f>
        <v/>
      </c>
      <c r="C47" s="4092"/>
      <c r="D47" s="4124" t="s">
        <v>992</v>
      </c>
      <c r="E47" s="4098"/>
      <c r="F47" s="4098"/>
      <c r="G47" s="4125"/>
      <c r="H47" s="4118" t="str">
        <f>IF(ISBLANK(I8),"",B47*62.4*1.2)</f>
        <v/>
      </c>
      <c r="I47" s="4120"/>
      <c r="J47" s="777" t="s">
        <v>990</v>
      </c>
      <c r="K47" s="777"/>
      <c r="L47" s="1079"/>
      <c r="M47" s="805"/>
      <c r="N47" s="782"/>
      <c r="O47" s="804"/>
      <c r="P47" s="4131"/>
      <c r="Q47" s="4131"/>
      <c r="R47" s="782"/>
      <c r="S47" s="4129"/>
      <c r="T47" s="4130"/>
    </row>
    <row r="48" spans="1:20" ht="6" customHeight="1">
      <c r="A48" s="779"/>
      <c r="B48" s="777"/>
      <c r="C48" s="777"/>
      <c r="D48" s="777"/>
      <c r="E48" s="777"/>
      <c r="F48" s="777"/>
      <c r="G48" s="777"/>
      <c r="H48" s="777"/>
      <c r="I48" s="777"/>
      <c r="J48" s="777"/>
      <c r="K48" s="777"/>
      <c r="L48" s="777"/>
      <c r="M48" s="777"/>
      <c r="N48" s="777"/>
      <c r="O48" s="777"/>
      <c r="P48" s="777"/>
      <c r="Q48" s="777"/>
      <c r="R48" s="777"/>
      <c r="S48" s="777"/>
      <c r="T48" s="778"/>
    </row>
    <row r="49" spans="1:20" s="1075" customFormat="1" ht="16.2">
      <c r="A49" s="785" t="s">
        <v>993</v>
      </c>
      <c r="B49" s="786"/>
      <c r="C49" s="786"/>
      <c r="D49" s="786"/>
      <c r="E49" s="786"/>
      <c r="F49" s="786"/>
      <c r="G49" s="786"/>
      <c r="H49" s="786"/>
      <c r="I49" s="786"/>
      <c r="J49" s="786"/>
      <c r="K49" s="786"/>
      <c r="L49" s="786"/>
      <c r="M49" s="786"/>
      <c r="N49" s="786"/>
      <c r="O49" s="786"/>
      <c r="P49" s="786"/>
      <c r="Q49" s="786"/>
      <c r="R49" s="786"/>
      <c r="S49" s="786"/>
      <c r="T49" s="1074"/>
    </row>
    <row r="50" spans="1:20" ht="6" customHeight="1">
      <c r="A50" s="779"/>
      <c r="B50" s="777"/>
      <c r="C50" s="777"/>
      <c r="D50" s="777"/>
      <c r="E50" s="777"/>
      <c r="F50" s="777"/>
      <c r="G50" s="777"/>
      <c r="H50" s="777"/>
      <c r="I50" s="777"/>
      <c r="J50" s="777"/>
      <c r="K50" s="777"/>
      <c r="L50" s="777"/>
      <c r="M50" s="777"/>
      <c r="N50" s="777"/>
      <c r="O50" s="777"/>
      <c r="P50" s="777"/>
      <c r="Q50" s="777"/>
      <c r="R50" s="777"/>
      <c r="S50" s="777"/>
      <c r="T50" s="778"/>
    </row>
    <row r="51" spans="1:20" ht="19.5" customHeight="1">
      <c r="A51" s="788" t="s">
        <v>147</v>
      </c>
      <c r="B51" s="2236" t="s">
        <v>994</v>
      </c>
      <c r="C51" s="777"/>
      <c r="D51" s="777"/>
      <c r="E51" s="777"/>
      <c r="F51" s="777"/>
      <c r="G51" s="777"/>
      <c r="H51" s="777"/>
      <c r="I51" s="777"/>
      <c r="J51" s="777"/>
      <c r="K51" s="777"/>
      <c r="L51" s="777"/>
      <c r="M51" s="777"/>
      <c r="N51" s="777"/>
      <c r="O51" s="777"/>
      <c r="P51" s="777"/>
      <c r="Q51" s="777"/>
      <c r="R51" s="777"/>
      <c r="S51" s="777"/>
      <c r="T51" s="778"/>
    </row>
    <row r="52" spans="1:20" ht="6" customHeight="1">
      <c r="A52" s="779"/>
      <c r="B52" s="777"/>
      <c r="C52" s="777"/>
      <c r="D52" s="777"/>
      <c r="E52" s="777"/>
      <c r="F52" s="777"/>
      <c r="G52" s="777"/>
      <c r="H52" s="777"/>
      <c r="I52" s="777"/>
      <c r="J52" s="777"/>
      <c r="K52" s="777"/>
      <c r="L52" s="777"/>
      <c r="M52" s="777"/>
      <c r="N52" s="777"/>
      <c r="O52" s="777"/>
      <c r="P52" s="777"/>
      <c r="Q52" s="777"/>
      <c r="R52" s="777"/>
      <c r="S52" s="777"/>
      <c r="T52" s="778"/>
    </row>
    <row r="53" spans="1:20" ht="24" customHeight="1">
      <c r="A53" s="779"/>
      <c r="B53" s="4116" t="str">
        <f>IF(ISBLANK(I8),"",H25)</f>
        <v/>
      </c>
      <c r="C53" s="4117"/>
      <c r="D53" s="789" t="s">
        <v>995</v>
      </c>
      <c r="E53" s="4116" t="str">
        <f>F40</f>
        <v/>
      </c>
      <c r="F53" s="4117"/>
      <c r="G53" s="789" t="s">
        <v>996</v>
      </c>
      <c r="H53" s="4118" t="str">
        <f>IF(ISBLANK(I8),"",B53+E53)</f>
        <v/>
      </c>
      <c r="I53" s="4119"/>
      <c r="J53" s="4132" t="s">
        <v>990</v>
      </c>
      <c r="K53" s="4132"/>
      <c r="L53" s="777"/>
      <c r="M53" s="777"/>
      <c r="N53" s="777"/>
      <c r="O53" s="777"/>
      <c r="P53" s="777"/>
      <c r="Q53" s="777"/>
      <c r="R53" s="777"/>
      <c r="S53" s="777"/>
      <c r="T53" s="778"/>
    </row>
    <row r="54" spans="1:20" ht="6" customHeight="1">
      <c r="A54" s="779"/>
      <c r="B54" s="777"/>
      <c r="C54" s="777"/>
      <c r="D54" s="777"/>
      <c r="E54" s="777"/>
      <c r="F54" s="777"/>
      <c r="G54" s="777"/>
      <c r="H54" s="777"/>
      <c r="I54" s="777"/>
      <c r="J54" s="777"/>
      <c r="K54" s="777"/>
      <c r="L54" s="777"/>
      <c r="M54" s="777"/>
      <c r="N54" s="777"/>
      <c r="O54" s="777"/>
      <c r="P54" s="777"/>
      <c r="Q54" s="777"/>
      <c r="R54" s="777"/>
      <c r="S54" s="777"/>
      <c r="T54" s="778"/>
    </row>
    <row r="55" spans="1:20" ht="15" customHeight="1">
      <c r="A55" s="2232" t="s">
        <v>631</v>
      </c>
      <c r="B55" s="777" t="s">
        <v>997</v>
      </c>
      <c r="C55" s="777"/>
      <c r="D55" s="777"/>
      <c r="E55" s="777"/>
      <c r="F55" s="777"/>
      <c r="G55" s="777"/>
      <c r="H55" s="777"/>
      <c r="I55" s="777"/>
      <c r="J55" s="777"/>
      <c r="K55" s="777"/>
      <c r="L55" s="777"/>
      <c r="M55" s="777"/>
      <c r="N55" s="777"/>
      <c r="O55" s="777"/>
      <c r="P55" s="777"/>
      <c r="Q55" s="777"/>
      <c r="R55" s="777"/>
      <c r="S55" s="777"/>
      <c r="T55" s="778"/>
    </row>
    <row r="56" spans="1:20" ht="6" customHeight="1">
      <c r="A56" s="779"/>
      <c r="B56" s="777"/>
      <c r="C56" s="777"/>
      <c r="D56" s="777"/>
      <c r="E56" s="777"/>
      <c r="F56" s="777"/>
      <c r="G56" s="777"/>
      <c r="H56" s="777"/>
      <c r="I56" s="777"/>
      <c r="J56" s="777"/>
      <c r="K56" s="777"/>
      <c r="L56" s="777"/>
      <c r="M56" s="777"/>
      <c r="N56" s="777"/>
      <c r="O56" s="777"/>
      <c r="P56" s="777"/>
      <c r="Q56" s="777"/>
      <c r="R56" s="777"/>
      <c r="S56" s="777"/>
      <c r="T56" s="778"/>
    </row>
    <row r="57" spans="1:20" ht="24" customHeight="1">
      <c r="A57" s="779"/>
      <c r="B57" s="4116" t="str">
        <f>H53</f>
        <v/>
      </c>
      <c r="C57" s="4092"/>
      <c r="D57" s="776" t="s">
        <v>998</v>
      </c>
      <c r="E57" s="4116" t="str">
        <f>H47</f>
        <v/>
      </c>
      <c r="F57" s="4092"/>
      <c r="G57" s="776" t="s">
        <v>996</v>
      </c>
      <c r="H57" s="4118" t="str">
        <f>IF(ISBLANK(I8),"",B57-E57)</f>
        <v/>
      </c>
      <c r="I57" s="4120"/>
      <c r="J57" s="777" t="s">
        <v>990</v>
      </c>
      <c r="K57" s="777"/>
      <c r="L57" s="777"/>
      <c r="M57" s="777"/>
      <c r="N57" s="777"/>
      <c r="O57" s="777"/>
      <c r="P57" s="777"/>
      <c r="Q57" s="777"/>
      <c r="R57" s="777"/>
      <c r="S57" s="777"/>
      <c r="T57" s="778"/>
    </row>
    <row r="58" spans="1:20" ht="6" customHeight="1">
      <c r="A58" s="779"/>
      <c r="B58" s="777"/>
      <c r="C58" s="777"/>
      <c r="D58" s="777"/>
      <c r="E58" s="777"/>
      <c r="F58" s="777"/>
      <c r="G58" s="777"/>
      <c r="H58" s="777"/>
      <c r="I58" s="777"/>
      <c r="J58" s="777"/>
      <c r="K58" s="777"/>
      <c r="L58" s="777"/>
      <c r="M58" s="777"/>
      <c r="N58" s="777"/>
      <c r="O58" s="777"/>
      <c r="P58" s="777"/>
      <c r="Q58" s="777"/>
      <c r="R58" s="777"/>
      <c r="S58" s="777"/>
      <c r="T58" s="778"/>
    </row>
    <row r="59" spans="1:20" ht="15" customHeight="1">
      <c r="A59" s="790"/>
      <c r="B59" s="4122" t="s">
        <v>999</v>
      </c>
      <c r="C59" s="4122"/>
      <c r="D59" s="4122"/>
      <c r="E59" s="4122"/>
      <c r="F59" s="4122"/>
      <c r="G59" s="4122"/>
      <c r="H59" s="4122"/>
      <c r="I59" s="4122"/>
      <c r="J59" s="4122"/>
      <c r="K59" s="4122"/>
      <c r="L59" s="4122"/>
      <c r="M59" s="4122"/>
      <c r="N59" s="4122"/>
      <c r="O59" s="4122"/>
      <c r="P59" s="4122"/>
      <c r="Q59" s="4122"/>
      <c r="R59" s="4122"/>
      <c r="S59" s="4122"/>
      <c r="T59" s="4123"/>
    </row>
    <row r="60" spans="1:20" ht="84" customHeight="1">
      <c r="A60" s="790"/>
      <c r="B60" s="4109" t="s">
        <v>1000</v>
      </c>
      <c r="C60" s="4110"/>
      <c r="D60" s="4110"/>
      <c r="E60" s="4110"/>
      <c r="F60" s="4110"/>
      <c r="G60" s="4110"/>
      <c r="H60" s="4110"/>
      <c r="I60" s="4110"/>
      <c r="J60" s="4110"/>
      <c r="K60" s="4110"/>
      <c r="L60" s="4110"/>
      <c r="M60" s="4110"/>
      <c r="N60" s="4110"/>
      <c r="O60" s="4110"/>
      <c r="P60" s="4110"/>
      <c r="Q60" s="4110"/>
      <c r="R60" s="4110"/>
      <c r="S60" s="4111"/>
      <c r="T60" s="988"/>
    </row>
    <row r="61" spans="1:20" ht="16.8" thickBot="1">
      <c r="A61" s="1080"/>
      <c r="B61" s="1081"/>
      <c r="C61" s="1081"/>
      <c r="D61" s="1081"/>
      <c r="E61" s="1081"/>
      <c r="F61" s="1081"/>
      <c r="G61" s="1081"/>
      <c r="H61" s="1081"/>
      <c r="I61" s="1081"/>
      <c r="J61" s="1081"/>
      <c r="K61" s="1081"/>
      <c r="L61" s="1081"/>
      <c r="M61" s="1081"/>
      <c r="N61" s="1081"/>
      <c r="O61" s="1081"/>
      <c r="P61" s="1081"/>
      <c r="Q61" s="1081"/>
      <c r="R61" s="1081"/>
      <c r="S61" s="1081"/>
      <c r="T61" s="1082"/>
    </row>
    <row r="62" spans="1:20" ht="16.2">
      <c r="A62" s="777"/>
      <c r="B62" s="777"/>
      <c r="C62" s="777"/>
      <c r="D62" s="777"/>
      <c r="E62" s="777"/>
      <c r="F62" s="777"/>
      <c r="G62" s="777"/>
      <c r="H62" s="777"/>
      <c r="I62" s="777"/>
      <c r="J62" s="777"/>
      <c r="K62" s="777"/>
      <c r="L62" s="777"/>
      <c r="M62" s="777"/>
      <c r="N62" s="777"/>
      <c r="O62" s="777"/>
      <c r="P62" s="777"/>
      <c r="Q62" s="777"/>
      <c r="R62" s="777"/>
      <c r="S62" s="777"/>
      <c r="T62" s="777"/>
    </row>
  </sheetData>
  <sheetProtection sheet="1" objects="1" scenarios="1"/>
  <customSheetViews>
    <customSheetView guid="{D1431318-1DB8-4C45-813B-5A8065DFC797}" scale="90" showPageBreaks="1" fitToPage="1" printArea="1" view="pageBreakPreview">
      <selection activeCell="L46" sqref="L46"/>
      <pageMargins left="0.25" right="0.2" top="0.3" bottom="0.75" header="0.3" footer="0.3"/>
      <printOptions horizontalCentered="1"/>
      <pageSetup scale="69" orientation="portrait" blackAndWhite="1" r:id="rId1"/>
    </customSheetView>
  </customSheetViews>
  <mergeCells count="52">
    <mergeCell ref="A23:J23"/>
    <mergeCell ref="F40:G40"/>
    <mergeCell ref="N17:O17"/>
    <mergeCell ref="Q17:R17"/>
    <mergeCell ref="H21:I21"/>
    <mergeCell ref="L21:M21"/>
    <mergeCell ref="O21:P21"/>
    <mergeCell ref="R21:S21"/>
    <mergeCell ref="B21:C21"/>
    <mergeCell ref="E21:F21"/>
    <mergeCell ref="B59:T59"/>
    <mergeCell ref="H25:I25"/>
    <mergeCell ref="S47:T47"/>
    <mergeCell ref="L34:M35"/>
    <mergeCell ref="D36:E36"/>
    <mergeCell ref="G36:H36"/>
    <mergeCell ref="L36:M37"/>
    <mergeCell ref="P47:Q47"/>
    <mergeCell ref="J53:K53"/>
    <mergeCell ref="B47:C47"/>
    <mergeCell ref="B60:S60"/>
    <mergeCell ref="N28:P31"/>
    <mergeCell ref="L28:M31"/>
    <mergeCell ref="N36:P37"/>
    <mergeCell ref="N34:P35"/>
    <mergeCell ref="N32:P33"/>
    <mergeCell ref="B53:C53"/>
    <mergeCell ref="E53:F53"/>
    <mergeCell ref="H53:I53"/>
    <mergeCell ref="B57:C57"/>
    <mergeCell ref="E57:F57"/>
    <mergeCell ref="H57:I57"/>
    <mergeCell ref="B38:T38"/>
    <mergeCell ref="D47:G47"/>
    <mergeCell ref="H47:I47"/>
    <mergeCell ref="L32:M33"/>
    <mergeCell ref="E1:O1"/>
    <mergeCell ref="E4:J4"/>
    <mergeCell ref="N4:S4"/>
    <mergeCell ref="K8:M8"/>
    <mergeCell ref="K10:M10"/>
    <mergeCell ref="H2:I2"/>
    <mergeCell ref="J2:K2"/>
    <mergeCell ref="S2:T2"/>
    <mergeCell ref="N6:R6"/>
    <mergeCell ref="A12:T12"/>
    <mergeCell ref="A13:J13"/>
    <mergeCell ref="K13:T13"/>
    <mergeCell ref="B17:C17"/>
    <mergeCell ref="E17:F17"/>
    <mergeCell ref="H17:I17"/>
    <mergeCell ref="L17:M17"/>
  </mergeCells>
  <printOptions horizontalCentered="1"/>
  <pageMargins left="0.25" right="0.2" top="0.3" bottom="0.75" header="0.3" footer="0.3"/>
  <pageSetup scale="72" orientation="portrait" blackAndWhite="1" r:id="rId2"/>
  <drawing r:id="rId3"/>
  <extLst>
    <ext xmlns:x14="http://schemas.microsoft.com/office/spreadsheetml/2009/9/main" uri="{CCE6A557-97BC-4b89-ADB6-D9C93CAAB3DF}">
      <x14:dataValidations xmlns:xm="http://schemas.microsoft.com/office/excel/2006/main" disablePrompts="1" count="1">
        <x14:dataValidation type="list" errorStyle="information" allowBlank="1" showInputMessage="1" showErrorMessage="1" prompt="Tank Useage">
          <x14:formula1>
            <xm:f>'Drop-Down Lists'!$F$78:$F$83</xm:f>
          </x14:formula1>
          <xm:sqref>N6:R6</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FF00"/>
    <pageSetUpPr fitToPage="1"/>
  </sheetPr>
  <dimension ref="A1:T61"/>
  <sheetViews>
    <sheetView showGridLines="0" view="pageBreakPreview" zoomScaleNormal="100" zoomScaleSheetLayoutView="100" workbookViewId="0">
      <selection activeCell="E4" sqref="E4:J4"/>
    </sheetView>
  </sheetViews>
  <sheetFormatPr defaultColWidth="9.109375" defaultRowHeight="14.4"/>
  <cols>
    <col min="1" max="1" width="4" style="1059" customWidth="1"/>
    <col min="2" max="2" width="9" style="1059" customWidth="1"/>
    <col min="3" max="7" width="7.44140625" style="1059" customWidth="1"/>
    <col min="8" max="8" width="9" style="1059" customWidth="1"/>
    <col min="9" max="10" width="7.44140625" style="1059" customWidth="1"/>
    <col min="11" max="11" width="4.88671875" style="1059" customWidth="1"/>
    <col min="12" max="20" width="7.44140625" style="1059" customWidth="1"/>
    <col min="21" max="16384" width="9.109375" style="1059"/>
  </cols>
  <sheetData>
    <row r="1" spans="1:20" ht="54.9" customHeight="1" thickBot="1">
      <c r="A1" s="1058"/>
      <c r="B1" s="1058"/>
      <c r="C1" s="1058"/>
      <c r="D1" s="1058"/>
      <c r="E1" s="4099" t="s">
        <v>1767</v>
      </c>
      <c r="F1" s="4099"/>
      <c r="G1" s="4099"/>
      <c r="H1" s="4099"/>
      <c r="I1" s="4099"/>
      <c r="J1" s="4099"/>
      <c r="K1" s="4099"/>
      <c r="L1" s="4099"/>
      <c r="M1" s="4099"/>
      <c r="N1" s="4099"/>
      <c r="O1" s="4099"/>
      <c r="P1" s="1058"/>
      <c r="Q1" s="1058"/>
      <c r="R1" s="1058"/>
      <c r="S1" s="1058"/>
      <c r="T1" s="1058"/>
    </row>
    <row r="2" spans="1:20" ht="16.2">
      <c r="A2" s="2230" t="s">
        <v>960</v>
      </c>
      <c r="B2" s="2235"/>
      <c r="C2" s="2235"/>
      <c r="D2" s="2235"/>
      <c r="E2" s="2235"/>
      <c r="F2" s="2235"/>
      <c r="G2" s="2235"/>
      <c r="H2" s="3614" t="s">
        <v>1016</v>
      </c>
      <c r="I2" s="3614"/>
      <c r="J2" s="3608" t="str">
        <f>IF(ISBLANK(Summary!S3)," ",Summary!S3)</f>
        <v xml:space="preserve"> </v>
      </c>
      <c r="K2" s="3608"/>
      <c r="L2" s="2057"/>
      <c r="M2" s="2057"/>
      <c r="N2" s="2057"/>
      <c r="O2" s="2057"/>
      <c r="P2" s="2108"/>
      <c r="Q2" s="2108"/>
      <c r="R2" s="2108"/>
      <c r="S2" s="4107" t="str">
        <f>'Drop-Down Lists'!J40</f>
        <v>v 04.01.2021</v>
      </c>
      <c r="T2" s="4108"/>
    </row>
    <row r="3" spans="1:20" ht="6" customHeight="1">
      <c r="A3" s="1060"/>
      <c r="B3" s="1061"/>
      <c r="C3" s="1061"/>
      <c r="D3" s="1061"/>
      <c r="E3" s="1061"/>
      <c r="F3" s="1061"/>
      <c r="G3" s="1061"/>
      <c r="H3" s="1061"/>
      <c r="I3" s="1061"/>
      <c r="J3" s="1061"/>
      <c r="K3" s="1061"/>
      <c r="L3" s="1061"/>
      <c r="M3" s="1061"/>
      <c r="N3" s="1061"/>
      <c r="O3" s="1061"/>
      <c r="P3" s="1061"/>
      <c r="Q3" s="1061"/>
      <c r="R3" s="1061"/>
      <c r="S3" s="1061"/>
      <c r="T3" s="1062"/>
    </row>
    <row r="4" spans="1:20" ht="21.9" customHeight="1">
      <c r="A4" s="775" t="s">
        <v>147</v>
      </c>
      <c r="B4" s="2022" t="s">
        <v>961</v>
      </c>
      <c r="C4" s="2022"/>
      <c r="D4" s="2022"/>
      <c r="E4" s="4100"/>
      <c r="F4" s="4101"/>
      <c r="G4" s="4101"/>
      <c r="H4" s="4101"/>
      <c r="I4" s="4101"/>
      <c r="J4" s="4102"/>
      <c r="K4" s="2022"/>
      <c r="L4" s="2022" t="s">
        <v>962</v>
      </c>
      <c r="M4" s="2022"/>
      <c r="N4" s="4100"/>
      <c r="O4" s="4101"/>
      <c r="P4" s="4101"/>
      <c r="Q4" s="4101"/>
      <c r="R4" s="4101"/>
      <c r="S4" s="4102"/>
      <c r="T4" s="778"/>
    </row>
    <row r="5" spans="1:20" ht="6" customHeight="1">
      <c r="A5" s="779"/>
      <c r="B5" s="777"/>
      <c r="C5" s="777"/>
      <c r="D5" s="777"/>
      <c r="E5" s="777"/>
      <c r="F5" s="777"/>
      <c r="G5" s="777"/>
      <c r="H5" s="777"/>
      <c r="I5" s="777"/>
      <c r="J5" s="777"/>
      <c r="K5" s="777"/>
      <c r="L5" s="777"/>
      <c r="M5" s="777"/>
      <c r="N5" s="777"/>
      <c r="O5" s="777"/>
      <c r="P5" s="777"/>
      <c r="Q5" s="777"/>
      <c r="R5" s="777"/>
      <c r="S5" s="777"/>
      <c r="T5" s="778"/>
    </row>
    <row r="6" spans="1:20" ht="21.9" customHeight="1">
      <c r="A6" s="779" t="s">
        <v>631</v>
      </c>
      <c r="B6" s="777" t="s">
        <v>963</v>
      </c>
      <c r="C6" s="777"/>
      <c r="D6" s="777"/>
      <c r="E6" s="777"/>
      <c r="F6" s="777"/>
      <c r="G6" s="777"/>
      <c r="H6" s="777"/>
      <c r="I6" s="777"/>
      <c r="J6" s="777"/>
      <c r="K6" s="777"/>
      <c r="L6" s="516" t="s">
        <v>1790</v>
      </c>
      <c r="M6" s="2011"/>
      <c r="N6" s="3704"/>
      <c r="O6" s="3705"/>
      <c r="P6" s="3705"/>
      <c r="Q6" s="3705"/>
      <c r="R6" s="3706"/>
      <c r="S6" s="777"/>
      <c r="T6" s="778"/>
    </row>
    <row r="7" spans="1:20" ht="6" customHeight="1">
      <c r="A7" s="779"/>
      <c r="B7" s="777"/>
      <c r="C7" s="777"/>
      <c r="D7" s="777"/>
      <c r="E7" s="777"/>
      <c r="F7" s="777"/>
      <c r="G7" s="777"/>
      <c r="H7" s="777"/>
      <c r="I7" s="777"/>
      <c r="J7" s="777"/>
      <c r="K7" s="777"/>
      <c r="L7" s="777"/>
      <c r="M7" s="777"/>
      <c r="N7" s="777"/>
      <c r="O7" s="777"/>
      <c r="P7" s="777"/>
      <c r="Q7" s="777"/>
      <c r="R7" s="777"/>
      <c r="S7" s="777"/>
      <c r="T7" s="778"/>
    </row>
    <row r="8" spans="1:20" ht="24" customHeight="1">
      <c r="A8" s="779"/>
      <c r="B8" s="777" t="s">
        <v>964</v>
      </c>
      <c r="C8" s="1214"/>
      <c r="D8" s="777" t="s">
        <v>94</v>
      </c>
      <c r="E8" s="777" t="s">
        <v>965</v>
      </c>
      <c r="F8" s="1214"/>
      <c r="G8" s="777" t="s">
        <v>94</v>
      </c>
      <c r="H8" s="777" t="s">
        <v>966</v>
      </c>
      <c r="I8" s="1214"/>
      <c r="J8" s="777" t="s">
        <v>94</v>
      </c>
      <c r="K8" s="4103" t="s">
        <v>967</v>
      </c>
      <c r="L8" s="4103"/>
      <c r="M8" s="4104"/>
      <c r="N8" s="1214"/>
      <c r="O8" s="777" t="s">
        <v>94</v>
      </c>
      <c r="P8" s="1063"/>
      <c r="Q8" s="1063"/>
      <c r="R8" s="1063"/>
      <c r="S8" s="1063"/>
      <c r="T8" s="778"/>
    </row>
    <row r="9" spans="1:20" ht="6" customHeight="1">
      <c r="A9" s="779"/>
      <c r="B9" s="777"/>
      <c r="C9" s="777"/>
      <c r="D9" s="777"/>
      <c r="E9" s="777"/>
      <c r="F9" s="777"/>
      <c r="G9" s="777"/>
      <c r="H9" s="777"/>
      <c r="I9" s="777"/>
      <c r="J9" s="777"/>
      <c r="K9" s="2017"/>
      <c r="L9" s="2017"/>
      <c r="M9" s="2017"/>
      <c r="N9" s="777"/>
      <c r="O9" s="777"/>
      <c r="P9" s="777"/>
      <c r="Q9" s="777"/>
      <c r="R9" s="777"/>
      <c r="S9" s="777"/>
      <c r="T9" s="778"/>
    </row>
    <row r="10" spans="1:20" ht="24" customHeight="1">
      <c r="A10" s="779"/>
      <c r="B10" s="777" t="s">
        <v>964</v>
      </c>
      <c r="C10" s="781" t="str">
        <f>IF(ISBLANK(C8),"",C8/12)</f>
        <v/>
      </c>
      <c r="D10" s="782" t="s">
        <v>92</v>
      </c>
      <c r="E10" s="777" t="s">
        <v>965</v>
      </c>
      <c r="F10" s="781" t="str">
        <f>IF(ISBLANK(C8),"",F8/12)</f>
        <v/>
      </c>
      <c r="G10" s="782" t="s">
        <v>92</v>
      </c>
      <c r="H10" s="777" t="s">
        <v>966</v>
      </c>
      <c r="I10" s="781" t="str">
        <f>IF(ISBLANK(I8),"",I8/12)</f>
        <v/>
      </c>
      <c r="J10" s="782" t="s">
        <v>92</v>
      </c>
      <c r="K10" s="4105" t="s">
        <v>968</v>
      </c>
      <c r="L10" s="4105"/>
      <c r="M10" s="4106"/>
      <c r="N10" s="2019" t="str">
        <f>IF(ISBLANK(N8),"",N8/2)</f>
        <v/>
      </c>
      <c r="O10" s="777" t="s">
        <v>94</v>
      </c>
      <c r="P10" s="1063"/>
      <c r="Q10" s="1063"/>
      <c r="R10" s="784"/>
      <c r="S10" s="782"/>
      <c r="T10" s="778"/>
    </row>
    <row r="11" spans="1:20" ht="6" customHeight="1">
      <c r="A11" s="779"/>
      <c r="B11" s="777"/>
      <c r="C11" s="777"/>
      <c r="D11" s="777"/>
      <c r="E11" s="777"/>
      <c r="F11" s="777"/>
      <c r="G11" s="777"/>
      <c r="H11" s="777"/>
      <c r="I11" s="777"/>
      <c r="J11" s="777"/>
      <c r="K11" s="777"/>
      <c r="L11" s="777"/>
      <c r="M11" s="777"/>
      <c r="N11" s="777"/>
      <c r="O11" s="777"/>
      <c r="P11" s="777"/>
      <c r="Q11" s="777"/>
      <c r="R11" s="777"/>
      <c r="S11" s="777"/>
      <c r="T11" s="778"/>
    </row>
    <row r="12" spans="1:20" ht="16.2">
      <c r="A12" s="4087" t="s">
        <v>969</v>
      </c>
      <c r="B12" s="4088"/>
      <c r="C12" s="4088"/>
      <c r="D12" s="4088"/>
      <c r="E12" s="4088"/>
      <c r="F12" s="4088"/>
      <c r="G12" s="4088"/>
      <c r="H12" s="4088"/>
      <c r="I12" s="4088"/>
      <c r="J12" s="4088"/>
      <c r="K12" s="4088"/>
      <c r="L12" s="4088"/>
      <c r="M12" s="4088"/>
      <c r="N12" s="4088"/>
      <c r="O12" s="4088"/>
      <c r="P12" s="4088"/>
      <c r="Q12" s="4088"/>
      <c r="R12" s="4088"/>
      <c r="S12" s="4088"/>
      <c r="T12" s="4089"/>
    </row>
    <row r="13" spans="1:20" ht="16.2">
      <c r="A13" s="4090" t="s">
        <v>970</v>
      </c>
      <c r="B13" s="4091"/>
      <c r="C13" s="4091"/>
      <c r="D13" s="4091"/>
      <c r="E13" s="4091"/>
      <c r="F13" s="4091"/>
      <c r="G13" s="4091"/>
      <c r="H13" s="4091"/>
      <c r="I13" s="4091"/>
      <c r="J13" s="4092"/>
      <c r="K13" s="4093" t="s">
        <v>971</v>
      </c>
      <c r="L13" s="4091"/>
      <c r="M13" s="4091"/>
      <c r="N13" s="4091"/>
      <c r="O13" s="4091"/>
      <c r="P13" s="4091"/>
      <c r="Q13" s="4091"/>
      <c r="R13" s="4091"/>
      <c r="S13" s="4091"/>
      <c r="T13" s="4094"/>
    </row>
    <row r="14" spans="1:20" ht="6" customHeight="1">
      <c r="A14" s="1060"/>
      <c r="B14" s="1061"/>
      <c r="C14" s="1061"/>
      <c r="D14" s="1061"/>
      <c r="E14" s="1061"/>
      <c r="F14" s="1061"/>
      <c r="G14" s="1061"/>
      <c r="H14" s="1061"/>
      <c r="I14" s="1061"/>
      <c r="J14" s="1064"/>
      <c r="K14" s="1065"/>
      <c r="L14" s="1061"/>
      <c r="M14" s="1061"/>
      <c r="N14" s="1061"/>
      <c r="O14" s="1061"/>
      <c r="P14" s="1061"/>
      <c r="Q14" s="1061"/>
      <c r="R14" s="1061"/>
      <c r="S14" s="1061"/>
      <c r="T14" s="1062"/>
    </row>
    <row r="15" spans="1:20" ht="24.6" customHeight="1">
      <c r="A15" s="779" t="s">
        <v>147</v>
      </c>
      <c r="B15" s="777" t="s">
        <v>972</v>
      </c>
      <c r="C15" s="777"/>
      <c r="D15" s="777"/>
      <c r="E15" s="777"/>
      <c r="F15" s="777"/>
      <c r="G15" s="777"/>
      <c r="H15" s="777"/>
      <c r="I15" s="777"/>
      <c r="J15" s="1066"/>
      <c r="K15" s="2021" t="s">
        <v>147</v>
      </c>
      <c r="L15" s="777" t="s">
        <v>973</v>
      </c>
      <c r="M15" s="777"/>
      <c r="N15" s="777"/>
      <c r="O15" s="777"/>
      <c r="P15" s="777"/>
      <c r="Q15" s="777"/>
      <c r="R15" s="777"/>
      <c r="S15" s="777"/>
      <c r="T15" s="778"/>
    </row>
    <row r="16" spans="1:20" ht="6" customHeight="1">
      <c r="A16" s="779"/>
      <c r="B16" s="777"/>
      <c r="C16" s="777"/>
      <c r="D16" s="777"/>
      <c r="E16" s="777"/>
      <c r="F16" s="777"/>
      <c r="G16" s="777"/>
      <c r="H16" s="777"/>
      <c r="I16" s="777"/>
      <c r="J16" s="1066"/>
      <c r="K16" s="1067"/>
      <c r="L16" s="2018"/>
      <c r="M16" s="777"/>
      <c r="N16" s="777"/>
      <c r="O16" s="777"/>
      <c r="P16" s="777"/>
      <c r="Q16" s="777"/>
      <c r="R16" s="777"/>
      <c r="S16" s="777"/>
      <c r="T16" s="778"/>
    </row>
    <row r="17" spans="1:20" ht="24" customHeight="1">
      <c r="A17" s="779"/>
      <c r="B17" s="4095" t="str">
        <f>C10</f>
        <v/>
      </c>
      <c r="C17" s="4092"/>
      <c r="D17" s="2022" t="s">
        <v>123</v>
      </c>
      <c r="E17" s="4095" t="str">
        <f>F10</f>
        <v/>
      </c>
      <c r="F17" s="4092"/>
      <c r="G17" s="2022" t="s">
        <v>120</v>
      </c>
      <c r="H17" s="4095" t="str">
        <f>IF(ISBLANK(C8),"",B17*E17)</f>
        <v/>
      </c>
      <c r="I17" s="4096"/>
      <c r="J17" s="1066" t="s">
        <v>974</v>
      </c>
      <c r="K17" s="1067"/>
      <c r="L17" s="4097" t="s">
        <v>2144</v>
      </c>
      <c r="M17" s="4098"/>
      <c r="N17" s="4095" t="str">
        <f>IF(ISBLANK(N8),"",N10/12)</f>
        <v/>
      </c>
      <c r="O17" s="4096"/>
      <c r="P17" s="1164" t="s">
        <v>2143</v>
      </c>
      <c r="Q17" s="4095" t="str">
        <f>IF(ISBLANK(N8),"",3.14*N17^2)</f>
        <v/>
      </c>
      <c r="R17" s="4096"/>
      <c r="S17" s="777" t="s">
        <v>974</v>
      </c>
      <c r="T17" s="1068"/>
    </row>
    <row r="18" spans="1:20" ht="6" customHeight="1">
      <c r="A18" s="779"/>
      <c r="B18" s="777"/>
      <c r="C18" s="777"/>
      <c r="D18" s="777"/>
      <c r="E18" s="777"/>
      <c r="F18" s="777"/>
      <c r="G18" s="777"/>
      <c r="H18" s="777"/>
      <c r="I18" s="777"/>
      <c r="J18" s="1066"/>
      <c r="K18" s="1067"/>
      <c r="L18" s="2018"/>
      <c r="M18" s="777"/>
      <c r="N18" s="1063"/>
      <c r="O18" s="1063"/>
      <c r="P18" s="1063"/>
      <c r="Q18" s="777"/>
      <c r="R18" s="1063"/>
      <c r="S18" s="1063"/>
      <c r="T18" s="778"/>
    </row>
    <row r="19" spans="1:20" ht="15" customHeight="1">
      <c r="A19" s="779" t="s">
        <v>631</v>
      </c>
      <c r="B19" s="777" t="s">
        <v>975</v>
      </c>
      <c r="C19" s="777"/>
      <c r="D19" s="777"/>
      <c r="E19" s="777"/>
      <c r="F19" s="777"/>
      <c r="G19" s="777"/>
      <c r="H19" s="777"/>
      <c r="I19" s="777"/>
      <c r="J19" s="1066"/>
      <c r="K19" s="2021" t="s">
        <v>631</v>
      </c>
      <c r="L19" s="777" t="s">
        <v>976</v>
      </c>
      <c r="M19" s="777"/>
      <c r="N19" s="777"/>
      <c r="O19" s="777"/>
      <c r="P19" s="777"/>
      <c r="Q19" s="777"/>
      <c r="R19" s="777"/>
      <c r="S19" s="777"/>
      <c r="T19" s="778"/>
    </row>
    <row r="20" spans="1:20" ht="6" customHeight="1">
      <c r="A20" s="779"/>
      <c r="B20" s="777"/>
      <c r="C20" s="777"/>
      <c r="D20" s="777"/>
      <c r="E20" s="777"/>
      <c r="F20" s="777"/>
      <c r="G20" s="777"/>
      <c r="H20" s="777"/>
      <c r="I20" s="777"/>
      <c r="J20" s="1066"/>
      <c r="K20" s="1067"/>
      <c r="L20" s="777"/>
      <c r="M20" s="777"/>
      <c r="N20" s="777"/>
      <c r="O20" s="777"/>
      <c r="P20" s="777"/>
      <c r="Q20" s="777"/>
      <c r="R20" s="777"/>
      <c r="S20" s="777"/>
      <c r="T20" s="778"/>
    </row>
    <row r="21" spans="1:20" ht="24" customHeight="1">
      <c r="A21" s="779"/>
      <c r="B21" s="4095" t="str">
        <f>H17</f>
        <v/>
      </c>
      <c r="C21" s="4096"/>
      <c r="D21" s="2022" t="s">
        <v>123</v>
      </c>
      <c r="E21" s="4095" t="str">
        <f>IF(ISBLANK(C8),"",I10)</f>
        <v/>
      </c>
      <c r="F21" s="4092"/>
      <c r="G21" s="2022" t="s">
        <v>120</v>
      </c>
      <c r="H21" s="4095" t="str">
        <f>IF(ISBLANK(C8),"",B21*E21)</f>
        <v/>
      </c>
      <c r="I21" s="4096"/>
      <c r="J21" s="1066" t="s">
        <v>977</v>
      </c>
      <c r="K21" s="1067"/>
      <c r="L21" s="4095" t="str">
        <f>Q17</f>
        <v/>
      </c>
      <c r="M21" s="4092"/>
      <c r="N21" s="2022" t="s">
        <v>978</v>
      </c>
      <c r="O21" s="4095" t="str">
        <f>IF(ISBLANK(N8),"",I10)</f>
        <v/>
      </c>
      <c r="P21" s="4092"/>
      <c r="Q21" s="2022" t="s">
        <v>121</v>
      </c>
      <c r="R21" s="4116" t="str">
        <f>IF(ISBLANK(N8),"",L21*O21)</f>
        <v/>
      </c>
      <c r="S21" s="4133"/>
      <c r="T21" s="778" t="s">
        <v>977</v>
      </c>
    </row>
    <row r="22" spans="1:20" ht="6" customHeight="1">
      <c r="A22" s="1069"/>
      <c r="B22" s="1070"/>
      <c r="C22" s="1070"/>
      <c r="D22" s="1070"/>
      <c r="E22" s="1070"/>
      <c r="F22" s="1070"/>
      <c r="G22" s="1070"/>
      <c r="H22" s="1070"/>
      <c r="I22" s="1070"/>
      <c r="J22" s="1071"/>
      <c r="K22" s="1072"/>
      <c r="L22" s="1070"/>
      <c r="M22" s="1070"/>
      <c r="N22" s="1070"/>
      <c r="O22" s="1070"/>
      <c r="P22" s="1070"/>
      <c r="Q22" s="1070"/>
      <c r="R22" s="1070"/>
      <c r="S22" s="1070"/>
      <c r="T22" s="1073"/>
    </row>
    <row r="23" spans="1:20" s="1075" customFormat="1" ht="18.600000000000001">
      <c r="A23" s="4087" t="s">
        <v>979</v>
      </c>
      <c r="B23" s="4088"/>
      <c r="C23" s="4088"/>
      <c r="D23" s="4088"/>
      <c r="E23" s="4088"/>
      <c r="F23" s="4088"/>
      <c r="G23" s="4088"/>
      <c r="H23" s="4088"/>
      <c r="I23" s="4088"/>
      <c r="J23" s="4088"/>
      <c r="K23" s="786"/>
      <c r="L23" s="786"/>
      <c r="M23" s="786"/>
      <c r="N23" s="786"/>
      <c r="O23" s="786"/>
      <c r="P23" s="786"/>
      <c r="Q23" s="786"/>
      <c r="R23" s="786"/>
      <c r="S23" s="786"/>
      <c r="T23" s="1074"/>
    </row>
    <row r="24" spans="1:20" ht="6" customHeight="1">
      <c r="A24" s="779"/>
      <c r="B24" s="777"/>
      <c r="C24" s="777"/>
      <c r="D24" s="777"/>
      <c r="E24" s="777"/>
      <c r="F24" s="777"/>
      <c r="G24" s="777"/>
      <c r="H24" s="777"/>
      <c r="I24" s="777"/>
      <c r="J24" s="777"/>
      <c r="K24" s="777"/>
      <c r="L24" s="777"/>
      <c r="M24" s="777"/>
      <c r="N24" s="777"/>
      <c r="O24" s="777"/>
      <c r="P24" s="777"/>
      <c r="Q24" s="777"/>
      <c r="R24" s="777"/>
      <c r="S24" s="777"/>
      <c r="T24" s="778"/>
    </row>
    <row r="25" spans="1:20" ht="24" customHeight="1">
      <c r="A25" s="779"/>
      <c r="B25" s="777" t="s">
        <v>1001</v>
      </c>
      <c r="C25" s="777"/>
      <c r="D25" s="777"/>
      <c r="E25" s="777"/>
      <c r="F25" s="777"/>
      <c r="G25" s="1063"/>
      <c r="H25" s="4127"/>
      <c r="I25" s="4128"/>
      <c r="J25" s="777" t="s">
        <v>980</v>
      </c>
      <c r="K25" s="1063"/>
      <c r="L25" s="777"/>
      <c r="M25" s="1063"/>
      <c r="N25" s="777"/>
      <c r="O25" s="777"/>
      <c r="P25" s="777"/>
      <c r="Q25" s="777"/>
      <c r="R25" s="777"/>
      <c r="S25" s="777"/>
      <c r="T25" s="778"/>
    </row>
    <row r="26" spans="1:20" ht="6" customHeight="1">
      <c r="A26" s="779"/>
      <c r="B26" s="777"/>
      <c r="C26" s="777"/>
      <c r="D26" s="777"/>
      <c r="E26" s="777"/>
      <c r="F26" s="777"/>
      <c r="G26" s="777"/>
      <c r="H26" s="777"/>
      <c r="I26" s="777"/>
      <c r="J26" s="777"/>
      <c r="K26" s="777"/>
      <c r="L26" s="777"/>
      <c r="M26" s="777"/>
      <c r="N26" s="777"/>
      <c r="O26" s="777"/>
      <c r="P26" s="777"/>
      <c r="Q26" s="777"/>
      <c r="R26" s="777"/>
      <c r="S26" s="777"/>
      <c r="T26" s="778"/>
    </row>
    <row r="27" spans="1:20" s="1075" customFormat="1" ht="18.600000000000001">
      <c r="A27" s="785" t="s">
        <v>981</v>
      </c>
      <c r="B27" s="786"/>
      <c r="C27" s="786"/>
      <c r="D27" s="786"/>
      <c r="E27" s="786"/>
      <c r="F27" s="786"/>
      <c r="G27" s="786"/>
      <c r="H27" s="786"/>
      <c r="I27" s="786"/>
      <c r="J27" s="786"/>
      <c r="K27" s="786"/>
      <c r="L27" s="786"/>
      <c r="M27" s="786"/>
      <c r="N27" s="786"/>
      <c r="O27" s="786"/>
      <c r="P27" s="786"/>
      <c r="Q27" s="786"/>
      <c r="R27" s="786"/>
      <c r="S27" s="786"/>
      <c r="T27" s="1074"/>
    </row>
    <row r="28" spans="1:20" ht="6" customHeight="1">
      <c r="A28" s="779"/>
      <c r="B28" s="777"/>
      <c r="C28" s="777"/>
      <c r="D28" s="777"/>
      <c r="E28" s="777"/>
      <c r="F28" s="777"/>
      <c r="G28" s="777"/>
      <c r="H28" s="777"/>
      <c r="I28" s="777"/>
      <c r="J28" s="777"/>
      <c r="K28" s="777"/>
      <c r="L28" s="4113" t="s">
        <v>982</v>
      </c>
      <c r="M28" s="4113"/>
      <c r="N28" s="4112" t="s">
        <v>983</v>
      </c>
      <c r="O28" s="4112"/>
      <c r="P28" s="4112"/>
      <c r="Q28" s="777"/>
      <c r="R28" s="777"/>
      <c r="S28" s="777"/>
      <c r="T28" s="778"/>
    </row>
    <row r="29" spans="1:20" ht="6" customHeight="1">
      <c r="A29" s="779"/>
      <c r="B29" s="777"/>
      <c r="C29" s="777"/>
      <c r="D29" s="777"/>
      <c r="E29" s="777"/>
      <c r="F29" s="777"/>
      <c r="G29" s="777"/>
      <c r="H29" s="777"/>
      <c r="I29" s="777"/>
      <c r="J29" s="777"/>
      <c r="K29" s="777"/>
      <c r="L29" s="4113"/>
      <c r="M29" s="4113"/>
      <c r="N29" s="4112"/>
      <c r="O29" s="4112"/>
      <c r="P29" s="4112"/>
      <c r="Q29" s="777"/>
      <c r="R29" s="777"/>
      <c r="S29" s="777"/>
      <c r="T29" s="778"/>
    </row>
    <row r="30" spans="1:20" ht="24" customHeight="1">
      <c r="A30" s="779" t="s">
        <v>147</v>
      </c>
      <c r="B30" s="777" t="s">
        <v>984</v>
      </c>
      <c r="C30" s="777"/>
      <c r="D30" s="777"/>
      <c r="E30" s="1063"/>
      <c r="F30" s="1214"/>
      <c r="G30" s="777" t="s">
        <v>94</v>
      </c>
      <c r="H30" s="781" t="str">
        <f>IF(ISBLANK(F30),"",F30/12)</f>
        <v/>
      </c>
      <c r="I30" s="777" t="s">
        <v>92</v>
      </c>
      <c r="J30" s="1063"/>
      <c r="K30" s="777"/>
      <c r="L30" s="4113"/>
      <c r="M30" s="4113"/>
      <c r="N30" s="4112"/>
      <c r="O30" s="4112"/>
      <c r="P30" s="4112"/>
      <c r="Q30" s="777"/>
      <c r="R30" s="777"/>
      <c r="S30" s="777"/>
      <c r="T30" s="778"/>
    </row>
    <row r="31" spans="1:20" ht="6" customHeight="1">
      <c r="A31" s="779"/>
      <c r="B31" s="777"/>
      <c r="C31" s="777"/>
      <c r="D31" s="777"/>
      <c r="E31" s="777"/>
      <c r="F31" s="777"/>
      <c r="G31" s="777"/>
      <c r="H31" s="777"/>
      <c r="I31" s="777"/>
      <c r="J31" s="777"/>
      <c r="K31" s="777"/>
      <c r="L31" s="4113"/>
      <c r="M31" s="4113"/>
      <c r="N31" s="4112"/>
      <c r="O31" s="4112"/>
      <c r="P31" s="4112"/>
      <c r="Q31" s="777"/>
      <c r="R31" s="777"/>
      <c r="S31" s="777"/>
      <c r="T31" s="778"/>
    </row>
    <row r="32" spans="1:20" ht="24" customHeight="1">
      <c r="A32" s="779" t="s">
        <v>631</v>
      </c>
      <c r="B32" s="777" t="s">
        <v>985</v>
      </c>
      <c r="C32" s="777"/>
      <c r="D32" s="777"/>
      <c r="E32" s="777"/>
      <c r="F32" s="1063"/>
      <c r="G32" s="1063"/>
      <c r="H32" s="1214"/>
      <c r="I32" s="782" t="s">
        <v>980</v>
      </c>
      <c r="J32" s="777"/>
      <c r="K32" s="777"/>
      <c r="L32" s="4114" t="s">
        <v>986</v>
      </c>
      <c r="M32" s="4114"/>
      <c r="N32" s="4114">
        <v>120</v>
      </c>
      <c r="O32" s="4114"/>
      <c r="P32" s="4114"/>
      <c r="Q32" s="777"/>
      <c r="R32" s="777"/>
      <c r="S32" s="777"/>
      <c r="T32" s="778"/>
    </row>
    <row r="33" spans="1:20" ht="6" customHeight="1">
      <c r="A33" s="779"/>
      <c r="B33" s="777"/>
      <c r="C33" s="777"/>
      <c r="D33" s="777"/>
      <c r="E33" s="777"/>
      <c r="F33" s="777"/>
      <c r="G33" s="777"/>
      <c r="H33" s="777"/>
      <c r="I33" s="777"/>
      <c r="J33" s="777"/>
      <c r="K33" s="777"/>
      <c r="L33" s="4126"/>
      <c r="M33" s="4126"/>
      <c r="N33" s="4114"/>
      <c r="O33" s="4114"/>
      <c r="P33" s="4114"/>
      <c r="Q33" s="777"/>
      <c r="R33" s="777"/>
      <c r="S33" s="777"/>
      <c r="T33" s="778"/>
    </row>
    <row r="34" spans="1:20" ht="15" customHeight="1">
      <c r="A34" s="779" t="s">
        <v>149</v>
      </c>
      <c r="B34" s="777" t="s">
        <v>987</v>
      </c>
      <c r="C34" s="777"/>
      <c r="D34" s="777"/>
      <c r="E34" s="777"/>
      <c r="F34" s="777"/>
      <c r="G34" s="777"/>
      <c r="H34" s="777"/>
      <c r="I34" s="777"/>
      <c r="J34" s="777"/>
      <c r="K34" s="777"/>
      <c r="L34" s="4115" t="s">
        <v>988</v>
      </c>
      <c r="M34" s="4115"/>
      <c r="N34" s="4115">
        <v>100</v>
      </c>
      <c r="O34" s="4115"/>
      <c r="P34" s="4115"/>
      <c r="Q34" s="777"/>
      <c r="R34" s="777"/>
      <c r="S34" s="777"/>
      <c r="T34" s="778"/>
    </row>
    <row r="35" spans="1:20" ht="6" customHeight="1">
      <c r="A35" s="779"/>
      <c r="B35" s="777"/>
      <c r="C35" s="777"/>
      <c r="D35" s="777"/>
      <c r="E35" s="777"/>
      <c r="F35" s="777"/>
      <c r="G35" s="777"/>
      <c r="H35" s="777"/>
      <c r="I35" s="777"/>
      <c r="J35" s="777"/>
      <c r="K35" s="777"/>
      <c r="L35" s="4115"/>
      <c r="M35" s="4115"/>
      <c r="N35" s="4115"/>
      <c r="O35" s="4115"/>
      <c r="P35" s="4115"/>
      <c r="Q35" s="777"/>
      <c r="R35" s="777"/>
      <c r="S35" s="777"/>
      <c r="T35" s="778"/>
    </row>
    <row r="36" spans="1:20" ht="24" customHeight="1">
      <c r="A36" s="779"/>
      <c r="B36" s="781" t="str">
        <f>H30</f>
        <v/>
      </c>
      <c r="C36" s="2022" t="s">
        <v>123</v>
      </c>
      <c r="D36" s="4095" t="str">
        <f>IF(ISBLANK(F30),"",MAX(H17,Q17))</f>
        <v/>
      </c>
      <c r="E36" s="4096"/>
      <c r="F36" s="2018" t="s">
        <v>989</v>
      </c>
      <c r="G36" s="4095" t="str">
        <f>IF(ISBLANK(F30),"",B36*D36)</f>
        <v/>
      </c>
      <c r="H36" s="4096"/>
      <c r="I36" s="777" t="s">
        <v>977</v>
      </c>
      <c r="J36" s="777"/>
      <c r="K36" s="777"/>
      <c r="L36" s="4114" t="s">
        <v>681</v>
      </c>
      <c r="M36" s="4114"/>
      <c r="N36" s="4114">
        <v>90</v>
      </c>
      <c r="O36" s="4114"/>
      <c r="P36" s="4114"/>
      <c r="Q36" s="777"/>
      <c r="R36" s="777"/>
      <c r="S36" s="777"/>
      <c r="T36" s="778"/>
    </row>
    <row r="37" spans="1:20" ht="6" customHeight="1">
      <c r="A37" s="779"/>
      <c r="B37" s="777"/>
      <c r="C37" s="777"/>
      <c r="D37" s="777"/>
      <c r="E37" s="777"/>
      <c r="F37" s="777"/>
      <c r="G37" s="777"/>
      <c r="H37" s="777"/>
      <c r="I37" s="777"/>
      <c r="J37" s="777"/>
      <c r="K37" s="777"/>
      <c r="L37" s="4114"/>
      <c r="M37" s="4114"/>
      <c r="N37" s="4114"/>
      <c r="O37" s="4114"/>
      <c r="P37" s="4114"/>
      <c r="Q37" s="777"/>
      <c r="R37" s="777"/>
      <c r="S37" s="777"/>
      <c r="T37" s="778"/>
    </row>
    <row r="38" spans="1:20" ht="18.75" customHeight="1">
      <c r="A38" s="788" t="s">
        <v>588</v>
      </c>
      <c r="B38" s="4121" t="s">
        <v>1427</v>
      </c>
      <c r="C38" s="4122"/>
      <c r="D38" s="4122"/>
      <c r="E38" s="4122"/>
      <c r="F38" s="4122"/>
      <c r="G38" s="4122"/>
      <c r="H38" s="4122"/>
      <c r="I38" s="4122"/>
      <c r="J38" s="4122"/>
      <c r="K38" s="4122"/>
      <c r="L38" s="4122"/>
      <c r="M38" s="4122"/>
      <c r="N38" s="4122"/>
      <c r="O38" s="4122"/>
      <c r="P38" s="4122"/>
      <c r="Q38" s="4122"/>
      <c r="R38" s="4122"/>
      <c r="S38" s="4122"/>
      <c r="T38" s="4123"/>
    </row>
    <row r="39" spans="1:20" ht="6" customHeight="1">
      <c r="A39" s="779"/>
      <c r="B39" s="777"/>
      <c r="C39" s="777"/>
      <c r="D39" s="777"/>
      <c r="E39" s="777"/>
      <c r="F39" s="777"/>
      <c r="G39" s="777"/>
      <c r="H39" s="777"/>
      <c r="I39" s="777"/>
      <c r="J39" s="777"/>
      <c r="K39" s="777"/>
      <c r="L39" s="777"/>
      <c r="M39" s="777"/>
      <c r="N39" s="777"/>
      <c r="O39" s="777"/>
      <c r="P39" s="777"/>
      <c r="Q39" s="777"/>
      <c r="R39" s="777"/>
      <c r="S39" s="777"/>
      <c r="T39" s="778"/>
    </row>
    <row r="40" spans="1:20" ht="24" customHeight="1">
      <c r="A40" s="779"/>
      <c r="B40" s="781" t="str">
        <f>G36</f>
        <v/>
      </c>
      <c r="C40" s="1164" t="s">
        <v>1830</v>
      </c>
      <c r="D40" s="2019" t="str">
        <f>IF(ISBLANK(F30),"",H32)</f>
        <v/>
      </c>
      <c r="E40" s="1076" t="s">
        <v>1333</v>
      </c>
      <c r="F40" s="4118" t="str">
        <f>IF(ISBLANK(F30),"",B40*D40)</f>
        <v/>
      </c>
      <c r="G40" s="4120"/>
      <c r="H40" s="777" t="s">
        <v>990</v>
      </c>
      <c r="I40" s="1077" t="s">
        <v>1428</v>
      </c>
      <c r="J40" s="1063"/>
      <c r="K40" s="1063"/>
      <c r="L40" s="1063"/>
      <c r="M40" s="1063"/>
      <c r="N40" s="1063"/>
      <c r="O40" s="777"/>
      <c r="P40" s="777"/>
      <c r="Q40" s="777"/>
      <c r="R40" s="777"/>
      <c r="S40" s="777"/>
      <c r="T40" s="778"/>
    </row>
    <row r="41" spans="1:20" ht="6" customHeight="1">
      <c r="A41" s="779"/>
      <c r="B41" s="777"/>
      <c r="C41" s="777"/>
      <c r="D41" s="777"/>
      <c r="E41" s="777"/>
      <c r="F41" s="777"/>
      <c r="G41" s="777"/>
      <c r="H41" s="777"/>
      <c r="I41" s="777"/>
      <c r="J41" s="777"/>
      <c r="K41" s="777"/>
      <c r="L41" s="777"/>
      <c r="M41" s="777"/>
      <c r="N41" s="777"/>
      <c r="O41" s="777"/>
      <c r="P41" s="777"/>
      <c r="Q41" s="777"/>
      <c r="R41" s="777"/>
      <c r="S41" s="777"/>
      <c r="T41" s="778"/>
    </row>
    <row r="42" spans="1:20" s="1075" customFormat="1" ht="18.600000000000001">
      <c r="A42" s="785" t="s">
        <v>991</v>
      </c>
      <c r="B42" s="786"/>
      <c r="C42" s="786"/>
      <c r="D42" s="786"/>
      <c r="E42" s="786"/>
      <c r="F42" s="786"/>
      <c r="G42" s="786"/>
      <c r="H42" s="786"/>
      <c r="I42" s="786"/>
      <c r="J42" s="786"/>
      <c r="K42" s="786"/>
      <c r="L42" s="786"/>
      <c r="M42" s="786"/>
      <c r="N42" s="786"/>
      <c r="O42" s="786"/>
      <c r="P42" s="786"/>
      <c r="Q42" s="786"/>
      <c r="R42" s="786"/>
      <c r="S42" s="786"/>
      <c r="T42" s="1074"/>
    </row>
    <row r="43" spans="1:20" ht="6" customHeight="1">
      <c r="A43" s="779"/>
      <c r="B43" s="777"/>
      <c r="C43" s="777"/>
      <c r="D43" s="777"/>
      <c r="E43" s="777"/>
      <c r="F43" s="777"/>
      <c r="G43" s="777"/>
      <c r="H43" s="777"/>
      <c r="I43" s="777"/>
      <c r="J43" s="777"/>
      <c r="K43" s="777"/>
      <c r="L43" s="777"/>
      <c r="M43" s="777"/>
      <c r="N43" s="777"/>
      <c r="O43" s="777"/>
      <c r="P43" s="777"/>
      <c r="Q43" s="777"/>
      <c r="R43" s="777"/>
      <c r="S43" s="777"/>
      <c r="T43" s="778"/>
    </row>
    <row r="44" spans="1:20" ht="20.25" customHeight="1">
      <c r="A44" s="775"/>
      <c r="B44" s="1164" t="s">
        <v>1426</v>
      </c>
      <c r="C44" s="777"/>
      <c r="D44" s="777"/>
      <c r="E44" s="777"/>
      <c r="F44" s="777"/>
      <c r="G44" s="777"/>
      <c r="H44" s="777"/>
      <c r="I44" s="777"/>
      <c r="J44" s="777"/>
      <c r="K44" s="777"/>
      <c r="L44" s="777"/>
      <c r="M44" s="782"/>
      <c r="N44" s="782"/>
      <c r="O44" s="782"/>
      <c r="P44" s="782"/>
      <c r="Q44" s="782"/>
      <c r="R44" s="782"/>
      <c r="S44" s="782"/>
      <c r="T44" s="1078"/>
    </row>
    <row r="45" spans="1:20" ht="6" customHeight="1">
      <c r="A45" s="779"/>
      <c r="B45" s="777"/>
      <c r="C45" s="777"/>
      <c r="D45" s="777"/>
      <c r="E45" s="777"/>
      <c r="F45" s="777"/>
      <c r="G45" s="777"/>
      <c r="H45" s="777"/>
      <c r="I45" s="777"/>
      <c r="J45" s="777"/>
      <c r="K45" s="777"/>
      <c r="L45" s="777"/>
      <c r="M45" s="782"/>
      <c r="N45" s="782"/>
      <c r="O45" s="782"/>
      <c r="P45" s="782"/>
      <c r="Q45" s="782"/>
      <c r="R45" s="782"/>
      <c r="S45" s="782"/>
      <c r="T45" s="1078"/>
    </row>
    <row r="46" spans="1:20" ht="24" customHeight="1">
      <c r="A46" s="775"/>
      <c r="B46" s="4116" t="str">
        <f>IF(ISBLANK(F30),"",MAX(H21,R21))</f>
        <v/>
      </c>
      <c r="C46" s="4092"/>
      <c r="D46" s="4124" t="s">
        <v>992</v>
      </c>
      <c r="E46" s="4098"/>
      <c r="F46" s="4098"/>
      <c r="G46" s="4125"/>
      <c r="H46" s="4118" t="str">
        <f>IF(ISBLANK(I8),"",B46*62.4*1.2)</f>
        <v/>
      </c>
      <c r="I46" s="4120"/>
      <c r="J46" s="777" t="s">
        <v>990</v>
      </c>
      <c r="K46" s="777"/>
      <c r="L46" s="1079"/>
      <c r="M46" s="805"/>
      <c r="N46" s="782"/>
      <c r="O46" s="2023"/>
      <c r="P46" s="4131"/>
      <c r="Q46" s="4131"/>
      <c r="R46" s="782"/>
      <c r="S46" s="4129"/>
      <c r="T46" s="4130"/>
    </row>
    <row r="47" spans="1:20" ht="6" customHeight="1">
      <c r="A47" s="779"/>
      <c r="B47" s="777"/>
      <c r="C47" s="777"/>
      <c r="D47" s="777"/>
      <c r="E47" s="777"/>
      <c r="F47" s="777"/>
      <c r="G47" s="777"/>
      <c r="H47" s="777"/>
      <c r="I47" s="777"/>
      <c r="J47" s="777"/>
      <c r="K47" s="777"/>
      <c r="L47" s="777"/>
      <c r="M47" s="777"/>
      <c r="N47" s="777"/>
      <c r="O47" s="777"/>
      <c r="P47" s="777"/>
      <c r="Q47" s="777"/>
      <c r="R47" s="777"/>
      <c r="S47" s="777"/>
      <c r="T47" s="778"/>
    </row>
    <row r="48" spans="1:20" s="1075" customFormat="1" ht="16.2">
      <c r="A48" s="785" t="s">
        <v>993</v>
      </c>
      <c r="B48" s="786"/>
      <c r="C48" s="786"/>
      <c r="D48" s="786"/>
      <c r="E48" s="786"/>
      <c r="F48" s="786"/>
      <c r="G48" s="786"/>
      <c r="H48" s="786"/>
      <c r="I48" s="786"/>
      <c r="J48" s="786"/>
      <c r="K48" s="786"/>
      <c r="L48" s="786"/>
      <c r="M48" s="786"/>
      <c r="N48" s="786"/>
      <c r="O48" s="786"/>
      <c r="P48" s="786"/>
      <c r="Q48" s="786"/>
      <c r="R48" s="786"/>
      <c r="S48" s="786"/>
      <c r="T48" s="1074"/>
    </row>
    <row r="49" spans="1:20" ht="6" customHeight="1">
      <c r="A49" s="779"/>
      <c r="B49" s="777"/>
      <c r="C49" s="777"/>
      <c r="D49" s="777"/>
      <c r="E49" s="777"/>
      <c r="F49" s="777"/>
      <c r="G49" s="777"/>
      <c r="H49" s="777"/>
      <c r="I49" s="777"/>
      <c r="J49" s="777"/>
      <c r="K49" s="777"/>
      <c r="L49" s="777"/>
      <c r="M49" s="777"/>
      <c r="N49" s="777"/>
      <c r="O49" s="777"/>
      <c r="P49" s="777"/>
      <c r="Q49" s="777"/>
      <c r="R49" s="777"/>
      <c r="S49" s="777"/>
      <c r="T49" s="778"/>
    </row>
    <row r="50" spans="1:20" ht="20.100000000000001" customHeight="1">
      <c r="A50" s="788" t="s">
        <v>147</v>
      </c>
      <c r="B50" s="777" t="s">
        <v>994</v>
      </c>
      <c r="C50" s="777"/>
      <c r="D50" s="777"/>
      <c r="E50" s="777"/>
      <c r="F50" s="777"/>
      <c r="G50" s="777"/>
      <c r="H50" s="777"/>
      <c r="I50" s="777"/>
      <c r="J50" s="777"/>
      <c r="K50" s="777"/>
      <c r="L50" s="777"/>
      <c r="M50" s="777"/>
      <c r="N50" s="777"/>
      <c r="O50" s="777"/>
      <c r="P50" s="777"/>
      <c r="Q50" s="777"/>
      <c r="R50" s="777"/>
      <c r="S50" s="777"/>
      <c r="T50" s="778"/>
    </row>
    <row r="51" spans="1:20" ht="6" customHeight="1">
      <c r="A51" s="779"/>
      <c r="B51" s="777"/>
      <c r="C51" s="777"/>
      <c r="D51" s="777"/>
      <c r="E51" s="777"/>
      <c r="F51" s="777"/>
      <c r="G51" s="777"/>
      <c r="H51" s="777"/>
      <c r="I51" s="777"/>
      <c r="J51" s="777"/>
      <c r="K51" s="777"/>
      <c r="L51" s="777"/>
      <c r="M51" s="777"/>
      <c r="N51" s="777"/>
      <c r="O51" s="777"/>
      <c r="P51" s="777"/>
      <c r="Q51" s="777"/>
      <c r="R51" s="777"/>
      <c r="S51" s="777"/>
      <c r="T51" s="778"/>
    </row>
    <row r="52" spans="1:20" ht="24" customHeight="1">
      <c r="A52" s="779"/>
      <c r="B52" s="4116" t="str">
        <f>IF(ISBLANK(I8),"",H25)</f>
        <v/>
      </c>
      <c r="C52" s="4117"/>
      <c r="D52" s="789" t="s">
        <v>995</v>
      </c>
      <c r="E52" s="4116" t="str">
        <f>F40</f>
        <v/>
      </c>
      <c r="F52" s="4117"/>
      <c r="G52" s="789" t="s">
        <v>996</v>
      </c>
      <c r="H52" s="4118" t="str">
        <f>IF(ISBLANK(I8),"",B52+E52)</f>
        <v/>
      </c>
      <c r="I52" s="4119"/>
      <c r="J52" s="4132" t="s">
        <v>990</v>
      </c>
      <c r="K52" s="4132"/>
      <c r="L52" s="777"/>
      <c r="M52" s="777"/>
      <c r="N52" s="777"/>
      <c r="O52" s="777"/>
      <c r="P52" s="777"/>
      <c r="Q52" s="777"/>
      <c r="R52" s="777"/>
      <c r="S52" s="777"/>
      <c r="T52" s="778"/>
    </row>
    <row r="53" spans="1:20" ht="6" customHeight="1">
      <c r="A53" s="779"/>
      <c r="B53" s="777"/>
      <c r="C53" s="777"/>
      <c r="D53" s="777"/>
      <c r="E53" s="777"/>
      <c r="F53" s="777"/>
      <c r="G53" s="777"/>
      <c r="H53" s="777"/>
      <c r="I53" s="777"/>
      <c r="J53" s="777"/>
      <c r="K53" s="777"/>
      <c r="L53" s="777"/>
      <c r="M53" s="777"/>
      <c r="N53" s="777"/>
      <c r="O53" s="777"/>
      <c r="P53" s="777"/>
      <c r="Q53" s="777"/>
      <c r="R53" s="777"/>
      <c r="S53" s="777"/>
      <c r="T53" s="778"/>
    </row>
    <row r="54" spans="1:20" ht="15" customHeight="1">
      <c r="A54" s="788" t="s">
        <v>631</v>
      </c>
      <c r="B54" s="777" t="s">
        <v>997</v>
      </c>
      <c r="C54" s="777"/>
      <c r="D54" s="777"/>
      <c r="E54" s="777"/>
      <c r="F54" s="777"/>
      <c r="G54" s="777"/>
      <c r="H54" s="777"/>
      <c r="I54" s="777"/>
      <c r="J54" s="777"/>
      <c r="K54" s="777"/>
      <c r="L54" s="777"/>
      <c r="M54" s="777"/>
      <c r="N54" s="777"/>
      <c r="O54" s="777"/>
      <c r="P54" s="777"/>
      <c r="Q54" s="777"/>
      <c r="R54" s="777"/>
      <c r="S54" s="777"/>
      <c r="T54" s="778"/>
    </row>
    <row r="55" spans="1:20" ht="6" customHeight="1">
      <c r="A55" s="779"/>
      <c r="B55" s="777"/>
      <c r="C55" s="777"/>
      <c r="D55" s="777"/>
      <c r="E55" s="777"/>
      <c r="F55" s="777"/>
      <c r="G55" s="777"/>
      <c r="H55" s="777"/>
      <c r="I55" s="777"/>
      <c r="J55" s="777"/>
      <c r="K55" s="777"/>
      <c r="L55" s="777"/>
      <c r="M55" s="777"/>
      <c r="N55" s="777"/>
      <c r="O55" s="777"/>
      <c r="P55" s="777"/>
      <c r="Q55" s="777"/>
      <c r="R55" s="777"/>
      <c r="S55" s="777"/>
      <c r="T55" s="778"/>
    </row>
    <row r="56" spans="1:20" ht="24" customHeight="1">
      <c r="A56" s="779"/>
      <c r="B56" s="4116" t="str">
        <f>H52</f>
        <v/>
      </c>
      <c r="C56" s="4092"/>
      <c r="D56" s="2022" t="s">
        <v>998</v>
      </c>
      <c r="E56" s="4116" t="str">
        <f>H46</f>
        <v/>
      </c>
      <c r="F56" s="4092"/>
      <c r="G56" s="2022" t="s">
        <v>996</v>
      </c>
      <c r="H56" s="4118" t="str">
        <f>IF(ISBLANK(I8),"",B56-E56)</f>
        <v/>
      </c>
      <c r="I56" s="4120"/>
      <c r="J56" s="777" t="s">
        <v>990</v>
      </c>
      <c r="K56" s="777"/>
      <c r="L56" s="777"/>
      <c r="M56" s="777"/>
      <c r="N56" s="777"/>
      <c r="O56" s="777"/>
      <c r="P56" s="777"/>
      <c r="Q56" s="777"/>
      <c r="R56" s="777"/>
      <c r="S56" s="777"/>
      <c r="T56" s="778"/>
    </row>
    <row r="57" spans="1:20" ht="6" customHeight="1">
      <c r="A57" s="779"/>
      <c r="B57" s="777"/>
      <c r="C57" s="777"/>
      <c r="D57" s="777"/>
      <c r="E57" s="777"/>
      <c r="F57" s="777"/>
      <c r="G57" s="777"/>
      <c r="H57" s="777"/>
      <c r="I57" s="777"/>
      <c r="J57" s="777"/>
      <c r="K57" s="777"/>
      <c r="L57" s="777"/>
      <c r="M57" s="777"/>
      <c r="N57" s="777"/>
      <c r="O57" s="777"/>
      <c r="P57" s="777"/>
      <c r="Q57" s="777"/>
      <c r="R57" s="777"/>
      <c r="S57" s="777"/>
      <c r="T57" s="778"/>
    </row>
    <row r="58" spans="1:20" ht="15" customHeight="1">
      <c r="A58" s="790"/>
      <c r="B58" s="4122" t="s">
        <v>999</v>
      </c>
      <c r="C58" s="4122"/>
      <c r="D58" s="4122"/>
      <c r="E58" s="4122"/>
      <c r="F58" s="4122"/>
      <c r="G58" s="4122"/>
      <c r="H58" s="4122"/>
      <c r="I58" s="4122"/>
      <c r="J58" s="4122"/>
      <c r="K58" s="4122"/>
      <c r="L58" s="4122"/>
      <c r="M58" s="4122"/>
      <c r="N58" s="4122"/>
      <c r="O58" s="4122"/>
      <c r="P58" s="4122"/>
      <c r="Q58" s="4122"/>
      <c r="R58" s="4122"/>
      <c r="S58" s="4122"/>
      <c r="T58" s="4123"/>
    </row>
    <row r="59" spans="1:20" ht="84" customHeight="1">
      <c r="A59" s="790"/>
      <c r="B59" s="4109" t="s">
        <v>1000</v>
      </c>
      <c r="C59" s="4110"/>
      <c r="D59" s="4110"/>
      <c r="E59" s="4110"/>
      <c r="F59" s="4110"/>
      <c r="G59" s="4110"/>
      <c r="H59" s="4110"/>
      <c r="I59" s="4110"/>
      <c r="J59" s="4110"/>
      <c r="K59" s="4110"/>
      <c r="L59" s="4110"/>
      <c r="M59" s="4110"/>
      <c r="N59" s="4110"/>
      <c r="O59" s="4110"/>
      <c r="P59" s="4110"/>
      <c r="Q59" s="4110"/>
      <c r="R59" s="4110"/>
      <c r="S59" s="4111"/>
      <c r="T59" s="2020"/>
    </row>
    <row r="60" spans="1:20" ht="16.8" thickBot="1">
      <c r="A60" s="1080"/>
      <c r="B60" s="1081"/>
      <c r="C60" s="1081"/>
      <c r="D60" s="1081"/>
      <c r="E60" s="1081"/>
      <c r="F60" s="1081"/>
      <c r="G60" s="1081"/>
      <c r="H60" s="1081"/>
      <c r="I60" s="1081"/>
      <c r="J60" s="1081"/>
      <c r="K60" s="1081"/>
      <c r="L60" s="1081"/>
      <c r="M60" s="1081"/>
      <c r="N60" s="1081"/>
      <c r="O60" s="1081"/>
      <c r="P60" s="1081"/>
      <c r="Q60" s="1081"/>
      <c r="R60" s="1081"/>
      <c r="S60" s="1081"/>
      <c r="T60" s="1082"/>
    </row>
    <row r="61" spans="1:20" ht="16.2">
      <c r="A61" s="777"/>
      <c r="B61" s="777"/>
      <c r="C61" s="777"/>
      <c r="D61" s="777"/>
      <c r="E61" s="777"/>
      <c r="F61" s="777"/>
      <c r="G61" s="777"/>
      <c r="H61" s="777"/>
      <c r="I61" s="777"/>
      <c r="J61" s="777"/>
      <c r="K61" s="777"/>
      <c r="L61" s="777"/>
      <c r="M61" s="777"/>
      <c r="N61" s="777"/>
      <c r="O61" s="777"/>
      <c r="P61" s="777"/>
      <c r="Q61" s="777"/>
      <c r="R61" s="777"/>
      <c r="S61" s="777"/>
      <c r="T61" s="777"/>
    </row>
  </sheetData>
  <sheetProtection sheet="1" objects="1" scenarios="1"/>
  <mergeCells count="52">
    <mergeCell ref="K8:M8"/>
    <mergeCell ref="E1:O1"/>
    <mergeCell ref="E4:J4"/>
    <mergeCell ref="N4:S4"/>
    <mergeCell ref="N6:R6"/>
    <mergeCell ref="H2:I2"/>
    <mergeCell ref="J2:K2"/>
    <mergeCell ref="S2:T2"/>
    <mergeCell ref="R21:S21"/>
    <mergeCell ref="K10:M10"/>
    <mergeCell ref="A12:T12"/>
    <mergeCell ref="A13:J13"/>
    <mergeCell ref="K13:T13"/>
    <mergeCell ref="B17:C17"/>
    <mergeCell ref="E17:F17"/>
    <mergeCell ref="H17:I17"/>
    <mergeCell ref="L17:M17"/>
    <mergeCell ref="N17:O17"/>
    <mergeCell ref="Q17:R17"/>
    <mergeCell ref="B21:C21"/>
    <mergeCell ref="E21:F21"/>
    <mergeCell ref="H21:I21"/>
    <mergeCell ref="L21:M21"/>
    <mergeCell ref="O21:P21"/>
    <mergeCell ref="A23:J23"/>
    <mergeCell ref="H25:I25"/>
    <mergeCell ref="L28:M31"/>
    <mergeCell ref="N28:P31"/>
    <mergeCell ref="L32:M33"/>
    <mergeCell ref="N32:P33"/>
    <mergeCell ref="L34:M35"/>
    <mergeCell ref="N34:P35"/>
    <mergeCell ref="D36:E36"/>
    <mergeCell ref="G36:H36"/>
    <mergeCell ref="L36:M37"/>
    <mergeCell ref="N36:P37"/>
    <mergeCell ref="B38:T38"/>
    <mergeCell ref="F40:G40"/>
    <mergeCell ref="B46:C46"/>
    <mergeCell ref="D46:G46"/>
    <mergeCell ref="H46:I46"/>
    <mergeCell ref="P46:Q46"/>
    <mergeCell ref="S46:T46"/>
    <mergeCell ref="B58:T58"/>
    <mergeCell ref="B59:S59"/>
    <mergeCell ref="B52:C52"/>
    <mergeCell ref="E52:F52"/>
    <mergeCell ref="H52:I52"/>
    <mergeCell ref="J52:K52"/>
    <mergeCell ref="B56:C56"/>
    <mergeCell ref="E56:F56"/>
    <mergeCell ref="H56:I56"/>
  </mergeCells>
  <printOptions horizontalCentered="1"/>
  <pageMargins left="0.25" right="0.2" top="0.3" bottom="0.75" header="0.3" footer="0.3"/>
  <pageSetup scale="72" orientation="portrait" blackAndWhite="1" r:id="rId1"/>
  <drawing r:id="rId2"/>
  <extLst>
    <ext xmlns:x14="http://schemas.microsoft.com/office/spreadsheetml/2009/9/main" uri="{CCE6A557-97BC-4b89-ADB6-D9C93CAAB3DF}">
      <x14:dataValidations xmlns:xm="http://schemas.microsoft.com/office/excel/2006/main" count="1">
        <x14:dataValidation type="list" errorStyle="information" allowBlank="1" showInputMessage="1" showErrorMessage="1" prompt="Tank Useage">
          <x14:formula1>
            <xm:f>'Drop-Down Lists'!$F$78:$F$82</xm:f>
          </x14:formula1>
          <xm:sqref>N6:R6</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indexed="43"/>
  </sheetPr>
  <dimension ref="A1:V330"/>
  <sheetViews>
    <sheetView showGridLines="0" view="pageBreakPreview" topLeftCell="A10" zoomScale="90" zoomScaleNormal="100" zoomScaleSheetLayoutView="90" workbookViewId="0">
      <selection activeCell="A11" sqref="A11"/>
    </sheetView>
  </sheetViews>
  <sheetFormatPr defaultColWidth="8.88671875" defaultRowHeight="13.2"/>
  <cols>
    <col min="1" max="1" width="35.109375" customWidth="1"/>
    <col min="2" max="2" width="36" customWidth="1"/>
    <col min="3" max="3" width="25.44140625" customWidth="1"/>
  </cols>
  <sheetData>
    <row r="1" spans="1:22" ht="14.4">
      <c r="A1" s="4134" t="s">
        <v>1645</v>
      </c>
      <c r="B1" s="4134"/>
      <c r="C1" s="4134"/>
      <c r="D1" s="354"/>
      <c r="E1" s="354"/>
      <c r="F1" s="354"/>
      <c r="G1" s="354"/>
      <c r="H1" s="354"/>
      <c r="I1" s="354"/>
      <c r="J1" s="354"/>
      <c r="K1" s="354"/>
      <c r="L1" s="354"/>
      <c r="M1" s="354"/>
      <c r="N1" s="354"/>
      <c r="O1" s="354"/>
      <c r="P1" s="354"/>
      <c r="Q1" s="354"/>
      <c r="R1" s="354"/>
      <c r="S1" s="354"/>
      <c r="T1" s="354"/>
      <c r="U1" s="354"/>
      <c r="V1" s="354"/>
    </row>
    <row r="2" spans="1:22" ht="28.5" customHeight="1">
      <c r="A2" s="4134"/>
      <c r="B2" s="4134"/>
      <c r="C2" s="4134"/>
      <c r="D2" s="354"/>
      <c r="E2" s="354"/>
      <c r="F2" s="354"/>
      <c r="G2" s="354"/>
      <c r="H2" s="354"/>
      <c r="I2" s="354"/>
      <c r="J2" s="354"/>
      <c r="K2" s="354"/>
      <c r="L2" s="354"/>
      <c r="M2" s="354"/>
      <c r="N2" s="354"/>
      <c r="O2" s="354"/>
      <c r="P2" s="354"/>
      <c r="Q2" s="354"/>
      <c r="R2" s="354"/>
      <c r="S2" s="354"/>
      <c r="T2" s="354"/>
      <c r="U2" s="354"/>
      <c r="V2" s="354"/>
    </row>
    <row r="3" spans="1:22" ht="51" customHeight="1">
      <c r="A3" s="490" t="s">
        <v>455</v>
      </c>
      <c r="B3" s="491" t="s">
        <v>1020</v>
      </c>
      <c r="C3" s="491" t="s">
        <v>1021</v>
      </c>
      <c r="D3" s="354"/>
      <c r="E3" s="354"/>
      <c r="F3" s="354"/>
      <c r="G3" s="354"/>
      <c r="H3" s="354"/>
      <c r="I3" s="354"/>
      <c r="J3" s="354"/>
      <c r="K3" s="354"/>
      <c r="L3" s="354"/>
      <c r="M3" s="354"/>
      <c r="N3" s="354"/>
      <c r="O3" s="354"/>
      <c r="P3" s="354"/>
      <c r="Q3" s="354"/>
      <c r="R3" s="354"/>
      <c r="S3" s="354"/>
      <c r="T3" s="354"/>
      <c r="U3" s="354"/>
      <c r="V3" s="354"/>
    </row>
    <row r="4" spans="1:22" ht="14.4">
      <c r="A4" s="355" t="s">
        <v>482</v>
      </c>
      <c r="B4" s="356"/>
      <c r="C4" s="357"/>
      <c r="D4" s="354"/>
      <c r="E4" s="354"/>
      <c r="F4" s="354"/>
      <c r="G4" s="354"/>
      <c r="H4" s="354"/>
      <c r="I4" s="354"/>
      <c r="J4" s="354"/>
      <c r="K4" s="354"/>
      <c r="L4" s="354"/>
      <c r="M4" s="354"/>
      <c r="N4" s="354"/>
      <c r="O4" s="354"/>
      <c r="P4" s="354"/>
      <c r="Q4" s="354"/>
      <c r="R4" s="354"/>
      <c r="S4" s="354"/>
      <c r="T4" s="354"/>
      <c r="U4" s="354"/>
      <c r="V4" s="354"/>
    </row>
    <row r="5" spans="1:22" ht="15">
      <c r="A5" s="488" t="s">
        <v>483</v>
      </c>
      <c r="B5" s="358" t="s">
        <v>351</v>
      </c>
      <c r="C5" s="359" t="s">
        <v>743</v>
      </c>
      <c r="D5" s="354"/>
      <c r="E5" s="354"/>
      <c r="F5" s="354"/>
      <c r="G5" s="354"/>
      <c r="H5" s="354"/>
      <c r="I5" s="354"/>
      <c r="J5" s="354"/>
      <c r="K5" s="354"/>
      <c r="L5" s="354"/>
      <c r="M5" s="354"/>
      <c r="N5" s="354"/>
      <c r="O5" s="354"/>
      <c r="P5" s="354"/>
      <c r="Q5" s="354"/>
      <c r="R5" s="354"/>
      <c r="S5" s="354"/>
      <c r="T5" s="354"/>
      <c r="U5" s="354"/>
      <c r="V5" s="354"/>
    </row>
    <row r="6" spans="1:22" ht="14.4">
      <c r="A6" s="360" t="s">
        <v>484</v>
      </c>
      <c r="B6" s="358" t="s">
        <v>351</v>
      </c>
      <c r="C6" s="359" t="s">
        <v>744</v>
      </c>
      <c r="D6" s="354"/>
      <c r="E6" s="354"/>
      <c r="F6" s="354"/>
      <c r="G6" s="354"/>
      <c r="H6" s="354"/>
      <c r="I6" s="354"/>
      <c r="J6" s="354"/>
      <c r="K6" s="354"/>
      <c r="L6" s="354"/>
      <c r="M6" s="354"/>
      <c r="N6" s="354"/>
      <c r="O6" s="354"/>
      <c r="P6" s="354"/>
      <c r="Q6" s="354"/>
      <c r="R6" s="354"/>
      <c r="S6" s="354"/>
      <c r="T6" s="354"/>
      <c r="U6" s="354"/>
      <c r="V6" s="354"/>
    </row>
    <row r="7" spans="1:22" ht="14.4">
      <c r="A7" s="371" t="s">
        <v>492</v>
      </c>
      <c r="B7" s="361" t="s">
        <v>327</v>
      </c>
      <c r="C7" s="489" t="s">
        <v>498</v>
      </c>
      <c r="D7" s="354"/>
      <c r="E7" s="354"/>
      <c r="F7" s="354"/>
      <c r="G7" s="354"/>
      <c r="H7" s="354"/>
      <c r="I7" s="354"/>
      <c r="J7" s="354"/>
      <c r="K7" s="354"/>
      <c r="L7" s="354"/>
      <c r="M7" s="354"/>
      <c r="N7" s="354"/>
      <c r="O7" s="354"/>
      <c r="P7" s="354"/>
      <c r="Q7" s="354"/>
      <c r="R7" s="354"/>
      <c r="S7" s="354"/>
      <c r="T7" s="354"/>
      <c r="U7" s="354"/>
      <c r="V7" s="354"/>
    </row>
    <row r="8" spans="1:22" ht="14.4">
      <c r="A8" s="362" t="s">
        <v>456</v>
      </c>
      <c r="B8" s="363" t="s">
        <v>327</v>
      </c>
      <c r="C8" s="364" t="s">
        <v>499</v>
      </c>
      <c r="D8" s="354"/>
      <c r="E8" s="354"/>
      <c r="F8" s="354"/>
      <c r="G8" s="354"/>
      <c r="H8" s="354"/>
      <c r="I8" s="354"/>
      <c r="J8" s="354"/>
      <c r="K8" s="354"/>
      <c r="L8" s="354"/>
      <c r="M8" s="354"/>
      <c r="N8" s="354"/>
      <c r="O8" s="354"/>
      <c r="P8" s="354"/>
      <c r="Q8" s="354"/>
      <c r="R8" s="354"/>
      <c r="S8" s="354"/>
      <c r="T8" s="354"/>
      <c r="U8" s="354"/>
      <c r="V8" s="354"/>
    </row>
    <row r="9" spans="1:22" ht="14.4">
      <c r="A9" s="365" t="s">
        <v>475</v>
      </c>
      <c r="B9" s="361" t="s">
        <v>327</v>
      </c>
      <c r="C9" s="366" t="s">
        <v>1022</v>
      </c>
      <c r="D9" s="354"/>
      <c r="E9" s="354"/>
      <c r="F9" s="354"/>
      <c r="G9" s="354"/>
      <c r="H9" s="354"/>
      <c r="I9" s="354"/>
      <c r="J9" s="354"/>
      <c r="K9" s="354"/>
      <c r="L9" s="354"/>
      <c r="M9" s="354"/>
      <c r="N9" s="354"/>
      <c r="O9" s="354"/>
      <c r="P9" s="354"/>
      <c r="Q9" s="354"/>
      <c r="R9" s="354"/>
      <c r="S9" s="354"/>
      <c r="T9" s="354"/>
      <c r="U9" s="354"/>
      <c r="V9" s="354"/>
    </row>
    <row r="10" spans="1:22" ht="14.4">
      <c r="A10" s="367" t="s">
        <v>457</v>
      </c>
      <c r="B10" s="368" t="s">
        <v>327</v>
      </c>
      <c r="C10" s="369" t="s">
        <v>500</v>
      </c>
      <c r="D10" s="354"/>
      <c r="E10" s="354"/>
      <c r="F10" s="354"/>
      <c r="G10" s="354"/>
      <c r="H10" s="354"/>
      <c r="I10" s="354"/>
      <c r="J10" s="354"/>
      <c r="K10" s="354"/>
      <c r="L10" s="354"/>
      <c r="M10" s="354"/>
      <c r="N10" s="354"/>
      <c r="O10" s="354"/>
      <c r="P10" s="354"/>
      <c r="Q10" s="354"/>
      <c r="R10" s="354"/>
      <c r="S10" s="354"/>
      <c r="T10" s="354"/>
      <c r="U10" s="354"/>
      <c r="V10" s="354"/>
    </row>
    <row r="11" spans="1:22" ht="14.4">
      <c r="A11" s="365" t="s">
        <v>485</v>
      </c>
      <c r="B11" s="361"/>
      <c r="C11" s="366"/>
      <c r="D11" s="354"/>
      <c r="E11" s="354"/>
      <c r="F11" s="354"/>
      <c r="G11" s="354"/>
      <c r="H11" s="354"/>
      <c r="I11" s="354"/>
      <c r="J11" s="354"/>
      <c r="K11" s="354"/>
      <c r="L11" s="354"/>
      <c r="M11" s="354"/>
      <c r="N11" s="354"/>
      <c r="O11" s="354"/>
      <c r="P11" s="354"/>
      <c r="Q11" s="354"/>
      <c r="R11" s="354"/>
      <c r="S11" s="354"/>
      <c r="T11" s="354"/>
      <c r="U11" s="354"/>
      <c r="V11" s="354"/>
    </row>
    <row r="12" spans="1:22" ht="14.4">
      <c r="A12" s="361" t="s">
        <v>1023</v>
      </c>
      <c r="B12" s="361" t="s">
        <v>351</v>
      </c>
      <c r="C12" s="370" t="s">
        <v>501</v>
      </c>
      <c r="D12" s="354"/>
      <c r="E12" s="354"/>
      <c r="F12" s="354"/>
      <c r="G12" s="354"/>
      <c r="H12" s="354"/>
      <c r="I12" s="354"/>
      <c r="J12" s="354"/>
      <c r="K12" s="354"/>
      <c r="L12" s="354"/>
      <c r="M12" s="354"/>
      <c r="N12" s="354"/>
      <c r="O12" s="354"/>
      <c r="P12" s="354"/>
      <c r="Q12" s="354"/>
      <c r="R12" s="354"/>
      <c r="S12" s="354"/>
      <c r="T12" s="354"/>
      <c r="U12" s="354"/>
      <c r="V12" s="354"/>
    </row>
    <row r="13" spans="1:22" ht="14.4">
      <c r="A13" s="361" t="s">
        <v>1024</v>
      </c>
      <c r="B13" s="361" t="s">
        <v>351</v>
      </c>
      <c r="C13" s="370" t="s">
        <v>502</v>
      </c>
      <c r="D13" s="354"/>
      <c r="E13" s="354"/>
      <c r="F13" s="354"/>
      <c r="G13" s="354"/>
      <c r="H13" s="354"/>
      <c r="I13" s="354"/>
      <c r="J13" s="354"/>
      <c r="K13" s="354"/>
      <c r="L13" s="354"/>
      <c r="M13" s="354"/>
      <c r="N13" s="354"/>
      <c r="O13" s="354"/>
      <c r="P13" s="354"/>
      <c r="Q13" s="354"/>
      <c r="R13" s="354"/>
      <c r="S13" s="354"/>
      <c r="T13" s="354"/>
      <c r="U13" s="354"/>
      <c r="V13" s="354"/>
    </row>
    <row r="14" spans="1:22" ht="14.4">
      <c r="A14" s="361" t="s">
        <v>493</v>
      </c>
      <c r="B14" s="361" t="s">
        <v>327</v>
      </c>
      <c r="C14" s="370" t="s">
        <v>324</v>
      </c>
      <c r="D14" s="354"/>
      <c r="E14" s="354"/>
      <c r="F14" s="354"/>
      <c r="G14" s="354"/>
      <c r="H14" s="354"/>
      <c r="I14" s="354"/>
      <c r="J14" s="354"/>
      <c r="K14" s="354"/>
      <c r="L14" s="354"/>
      <c r="M14" s="354"/>
      <c r="N14" s="354"/>
      <c r="O14" s="354"/>
      <c r="P14" s="354"/>
      <c r="Q14" s="354"/>
      <c r="R14" s="354"/>
      <c r="S14" s="354"/>
      <c r="T14" s="354"/>
      <c r="U14" s="354"/>
      <c r="V14" s="354"/>
    </row>
    <row r="15" spans="1:22" ht="14.4">
      <c r="A15" s="361" t="s">
        <v>486</v>
      </c>
      <c r="B15" s="361" t="s">
        <v>351</v>
      </c>
      <c r="C15" s="370" t="s">
        <v>325</v>
      </c>
      <c r="D15" s="354"/>
      <c r="E15" s="354"/>
      <c r="F15" s="354"/>
      <c r="G15" s="354"/>
      <c r="H15" s="354"/>
      <c r="I15" s="354"/>
      <c r="J15" s="354"/>
      <c r="K15" s="354"/>
      <c r="L15" s="354"/>
      <c r="M15" s="354"/>
      <c r="N15" s="354"/>
      <c r="O15" s="354"/>
      <c r="P15" s="354"/>
      <c r="Q15" s="354"/>
      <c r="R15" s="354"/>
      <c r="S15" s="354"/>
      <c r="T15" s="354"/>
      <c r="U15" s="354"/>
      <c r="V15" s="354"/>
    </row>
    <row r="16" spans="1:22" ht="14.4">
      <c r="A16" s="361" t="s">
        <v>487</v>
      </c>
      <c r="B16" s="361" t="s">
        <v>351</v>
      </c>
      <c r="C16" s="370" t="s">
        <v>326</v>
      </c>
      <c r="D16" s="354"/>
      <c r="E16" s="354"/>
      <c r="F16" s="354"/>
      <c r="G16" s="354"/>
      <c r="H16" s="354"/>
      <c r="I16" s="354"/>
      <c r="J16" s="354"/>
      <c r="K16" s="354"/>
      <c r="L16" s="354"/>
      <c r="M16" s="354"/>
      <c r="N16" s="354"/>
      <c r="O16" s="354"/>
      <c r="P16" s="354"/>
      <c r="Q16" s="354"/>
      <c r="R16" s="354"/>
      <c r="S16" s="354"/>
      <c r="T16" s="354"/>
      <c r="U16" s="354"/>
      <c r="V16" s="354"/>
    </row>
    <row r="17" spans="1:22" ht="14.4">
      <c r="A17" s="367" t="s">
        <v>458</v>
      </c>
      <c r="B17" s="368" t="s">
        <v>327</v>
      </c>
      <c r="C17" s="369" t="s">
        <v>1025</v>
      </c>
      <c r="D17" s="354"/>
      <c r="E17" s="354"/>
      <c r="F17" s="354"/>
      <c r="G17" s="354"/>
      <c r="H17" s="354"/>
      <c r="I17" s="354"/>
      <c r="J17" s="354"/>
      <c r="K17" s="354"/>
      <c r="L17" s="354"/>
      <c r="M17" s="354"/>
      <c r="N17" s="354"/>
      <c r="O17" s="354"/>
      <c r="P17" s="354"/>
      <c r="Q17" s="354"/>
      <c r="R17" s="354"/>
      <c r="S17" s="354"/>
      <c r="T17" s="354"/>
      <c r="U17" s="354"/>
      <c r="V17" s="354"/>
    </row>
    <row r="18" spans="1:22" ht="14.4">
      <c r="A18" s="365" t="s">
        <v>412</v>
      </c>
      <c r="B18" s="361" t="s">
        <v>335</v>
      </c>
      <c r="C18" s="366" t="s">
        <v>1026</v>
      </c>
      <c r="D18" s="354"/>
      <c r="E18" s="354"/>
      <c r="F18" s="354"/>
      <c r="G18" s="354"/>
      <c r="H18" s="354"/>
      <c r="I18" s="354"/>
      <c r="J18" s="354"/>
      <c r="K18" s="354"/>
      <c r="L18" s="354"/>
      <c r="M18" s="354"/>
      <c r="N18" s="354"/>
      <c r="O18" s="354"/>
      <c r="P18" s="354"/>
      <c r="Q18" s="354"/>
      <c r="R18" s="354"/>
      <c r="S18" s="354"/>
      <c r="T18" s="354"/>
      <c r="U18" s="354"/>
      <c r="V18" s="354"/>
    </row>
    <row r="19" spans="1:22" ht="14.4">
      <c r="A19" s="365" t="s">
        <v>459</v>
      </c>
      <c r="B19" s="361" t="s">
        <v>327</v>
      </c>
      <c r="C19" s="366" t="s">
        <v>329</v>
      </c>
      <c r="D19" s="354"/>
      <c r="E19" s="354"/>
      <c r="F19" s="354"/>
      <c r="G19" s="354"/>
      <c r="H19" s="354"/>
      <c r="I19" s="354"/>
      <c r="J19" s="354"/>
      <c r="K19" s="354"/>
      <c r="L19" s="354"/>
      <c r="M19" s="354"/>
      <c r="N19" s="354"/>
      <c r="O19" s="354"/>
      <c r="P19" s="354"/>
      <c r="Q19" s="354"/>
      <c r="R19" s="354"/>
      <c r="S19" s="354"/>
      <c r="T19" s="354"/>
      <c r="U19" s="354"/>
      <c r="V19" s="354"/>
    </row>
    <row r="20" spans="1:22" ht="14.4">
      <c r="A20" s="367" t="s">
        <v>472</v>
      </c>
      <c r="B20" s="368" t="s">
        <v>327</v>
      </c>
      <c r="C20" s="369" t="s">
        <v>1027</v>
      </c>
      <c r="D20" s="354"/>
      <c r="E20" s="354"/>
      <c r="F20" s="354"/>
      <c r="G20" s="354"/>
      <c r="H20" s="354"/>
      <c r="I20" s="354"/>
      <c r="J20" s="354"/>
      <c r="K20" s="354"/>
      <c r="L20" s="354"/>
      <c r="M20" s="354"/>
      <c r="N20" s="354"/>
      <c r="O20" s="354"/>
      <c r="P20" s="354"/>
      <c r="Q20" s="354"/>
      <c r="R20" s="354"/>
      <c r="S20" s="354"/>
      <c r="T20" s="354"/>
      <c r="U20" s="354"/>
      <c r="V20" s="354"/>
    </row>
    <row r="21" spans="1:22" ht="14.4">
      <c r="A21" s="368" t="s">
        <v>473</v>
      </c>
      <c r="B21" s="368" t="s">
        <v>327</v>
      </c>
      <c r="C21" s="369" t="s">
        <v>1028</v>
      </c>
      <c r="D21" s="354"/>
      <c r="E21" s="354"/>
      <c r="F21" s="354"/>
      <c r="G21" s="354"/>
      <c r="H21" s="354"/>
      <c r="I21" s="354"/>
      <c r="J21" s="354"/>
      <c r="K21" s="354"/>
      <c r="L21" s="354"/>
      <c r="M21" s="354"/>
      <c r="N21" s="354"/>
      <c r="O21" s="354"/>
      <c r="P21" s="354"/>
      <c r="Q21" s="354"/>
      <c r="R21" s="354"/>
      <c r="S21" s="354"/>
      <c r="T21" s="354"/>
      <c r="U21" s="354"/>
      <c r="V21" s="354"/>
    </row>
    <row r="22" spans="1:22" ht="14.4">
      <c r="A22" s="368" t="s">
        <v>474</v>
      </c>
      <c r="B22" s="368" t="s">
        <v>352</v>
      </c>
      <c r="C22" s="369" t="s">
        <v>1029</v>
      </c>
      <c r="D22" s="354"/>
      <c r="E22" s="354"/>
      <c r="F22" s="354"/>
      <c r="G22" s="354"/>
      <c r="H22" s="354"/>
      <c r="I22" s="354"/>
      <c r="J22" s="354"/>
      <c r="K22" s="354"/>
      <c r="L22" s="354"/>
      <c r="M22" s="354"/>
      <c r="N22" s="354"/>
      <c r="O22" s="354"/>
      <c r="P22" s="354"/>
      <c r="Q22" s="354"/>
      <c r="R22" s="354"/>
      <c r="S22" s="354"/>
      <c r="T22" s="354"/>
      <c r="U22" s="354"/>
      <c r="V22" s="354"/>
    </row>
    <row r="23" spans="1:22" ht="14.4">
      <c r="A23" s="367" t="s">
        <v>343</v>
      </c>
      <c r="B23" s="368"/>
      <c r="C23" s="369"/>
      <c r="D23" s="354"/>
      <c r="E23" s="354"/>
      <c r="F23" s="354"/>
      <c r="G23" s="354"/>
      <c r="H23" s="354"/>
      <c r="I23" s="354"/>
      <c r="J23" s="354"/>
      <c r="K23" s="354"/>
      <c r="L23" s="354"/>
      <c r="M23" s="354"/>
      <c r="N23" s="354"/>
      <c r="O23" s="354"/>
      <c r="P23" s="354"/>
      <c r="Q23" s="354"/>
      <c r="R23" s="354"/>
      <c r="S23" s="354"/>
      <c r="T23" s="354"/>
      <c r="U23" s="354"/>
      <c r="V23" s="354"/>
    </row>
    <row r="24" spans="1:22" ht="14.4">
      <c r="A24" s="368" t="s">
        <v>344</v>
      </c>
      <c r="B24" s="368" t="s">
        <v>327</v>
      </c>
      <c r="C24" s="369" t="s">
        <v>1030</v>
      </c>
      <c r="D24" s="354"/>
      <c r="E24" s="354"/>
      <c r="F24" s="354"/>
      <c r="G24" s="354"/>
      <c r="H24" s="354"/>
      <c r="I24" s="354"/>
      <c r="J24" s="354"/>
      <c r="K24" s="354"/>
      <c r="L24" s="354"/>
      <c r="M24" s="354"/>
      <c r="N24" s="354"/>
      <c r="O24" s="354"/>
      <c r="P24" s="354"/>
      <c r="Q24" s="354"/>
      <c r="R24" s="354"/>
      <c r="S24" s="354"/>
      <c r="T24" s="354"/>
      <c r="U24" s="354"/>
      <c r="V24" s="354"/>
    </row>
    <row r="25" spans="1:22" ht="14.4">
      <c r="A25" s="368" t="s">
        <v>345</v>
      </c>
      <c r="B25" s="368" t="s">
        <v>327</v>
      </c>
      <c r="C25" s="369" t="s">
        <v>1031</v>
      </c>
      <c r="D25" s="354"/>
      <c r="E25" s="354"/>
      <c r="F25" s="354"/>
      <c r="G25" s="354"/>
      <c r="H25" s="354"/>
      <c r="I25" s="354"/>
      <c r="J25" s="354"/>
      <c r="K25" s="354"/>
      <c r="L25" s="354"/>
      <c r="M25" s="354"/>
      <c r="N25" s="354"/>
      <c r="O25" s="354"/>
      <c r="P25" s="354"/>
      <c r="Q25" s="354"/>
      <c r="R25" s="354"/>
      <c r="S25" s="354"/>
      <c r="T25" s="354"/>
      <c r="U25" s="354"/>
      <c r="V25" s="354"/>
    </row>
    <row r="26" spans="1:22" ht="14.4">
      <c r="A26" s="371" t="s">
        <v>497</v>
      </c>
      <c r="B26" s="361"/>
      <c r="C26" s="366"/>
      <c r="D26" s="354"/>
      <c r="E26" s="354"/>
      <c r="F26" s="354"/>
      <c r="G26" s="354"/>
      <c r="H26" s="354"/>
      <c r="I26" s="354"/>
      <c r="J26" s="354"/>
      <c r="K26" s="354"/>
      <c r="L26" s="354"/>
      <c r="M26" s="354"/>
      <c r="N26" s="354"/>
      <c r="O26" s="354"/>
      <c r="P26" s="354"/>
      <c r="Q26" s="354"/>
      <c r="R26" s="354"/>
      <c r="S26" s="354"/>
      <c r="T26" s="354"/>
      <c r="U26" s="354"/>
      <c r="V26" s="354"/>
    </row>
    <row r="27" spans="1:22" ht="14.4">
      <c r="A27" s="361" t="s">
        <v>460</v>
      </c>
      <c r="B27" s="361" t="s">
        <v>330</v>
      </c>
      <c r="C27" s="366" t="s">
        <v>331</v>
      </c>
      <c r="D27" s="354"/>
      <c r="E27" s="354"/>
      <c r="F27" s="354"/>
      <c r="G27" s="354"/>
      <c r="H27" s="354"/>
      <c r="I27" s="354"/>
      <c r="J27" s="354"/>
      <c r="K27" s="354"/>
      <c r="L27" s="354"/>
      <c r="M27" s="354"/>
      <c r="N27" s="354"/>
      <c r="O27" s="354"/>
      <c r="P27" s="354"/>
      <c r="Q27" s="354"/>
      <c r="R27" s="354"/>
      <c r="S27" s="354"/>
      <c r="T27" s="354"/>
      <c r="U27" s="354"/>
      <c r="V27" s="354"/>
    </row>
    <row r="28" spans="1:22" ht="14.4">
      <c r="A28" s="361" t="s">
        <v>461</v>
      </c>
      <c r="B28" s="361" t="s">
        <v>330</v>
      </c>
      <c r="C28" s="366" t="s">
        <v>332</v>
      </c>
      <c r="D28" s="354"/>
      <c r="E28" s="354"/>
      <c r="F28" s="354"/>
      <c r="G28" s="354"/>
      <c r="H28" s="354"/>
      <c r="I28" s="354"/>
      <c r="J28" s="354"/>
      <c r="K28" s="354"/>
      <c r="L28" s="354"/>
      <c r="M28" s="354"/>
      <c r="N28" s="354"/>
      <c r="O28" s="354"/>
      <c r="P28" s="354"/>
      <c r="Q28" s="354"/>
      <c r="R28" s="354"/>
      <c r="S28" s="354"/>
      <c r="T28" s="354"/>
      <c r="U28" s="354"/>
      <c r="V28" s="354"/>
    </row>
    <row r="29" spans="1:22" ht="14.4">
      <c r="A29" s="361" t="s">
        <v>462</v>
      </c>
      <c r="B29" s="361" t="s">
        <v>330</v>
      </c>
      <c r="C29" s="366" t="s">
        <v>333</v>
      </c>
      <c r="D29" s="354"/>
      <c r="E29" s="354"/>
      <c r="F29" s="354"/>
      <c r="G29" s="354"/>
      <c r="H29" s="354"/>
      <c r="I29" s="354"/>
      <c r="J29" s="354"/>
      <c r="K29" s="354"/>
      <c r="L29" s="354"/>
      <c r="M29" s="354"/>
      <c r="N29" s="354"/>
      <c r="O29" s="354"/>
      <c r="P29" s="354"/>
      <c r="Q29" s="354"/>
      <c r="R29" s="354"/>
      <c r="S29" s="354"/>
      <c r="T29" s="354"/>
      <c r="U29" s="354"/>
      <c r="V29" s="354"/>
    </row>
    <row r="30" spans="1:22" ht="14.4">
      <c r="A30" s="361" t="s">
        <v>463</v>
      </c>
      <c r="B30" s="361" t="s">
        <v>335</v>
      </c>
      <c r="C30" s="366" t="s">
        <v>334</v>
      </c>
      <c r="D30" s="354"/>
      <c r="E30" s="354"/>
      <c r="F30" s="354"/>
      <c r="G30" s="354"/>
      <c r="H30" s="354"/>
      <c r="I30" s="354"/>
      <c r="J30" s="354"/>
      <c r="K30" s="354"/>
      <c r="L30" s="354"/>
      <c r="M30" s="354"/>
      <c r="N30" s="354"/>
      <c r="O30" s="354"/>
      <c r="P30" s="354"/>
      <c r="Q30" s="354"/>
      <c r="R30" s="354"/>
      <c r="S30" s="354"/>
      <c r="T30" s="354"/>
      <c r="U30" s="354"/>
      <c r="V30" s="354"/>
    </row>
    <row r="31" spans="1:22" ht="14.4">
      <c r="A31" s="361" t="s">
        <v>464</v>
      </c>
      <c r="B31" s="361" t="s">
        <v>336</v>
      </c>
      <c r="C31" s="366" t="s">
        <v>337</v>
      </c>
      <c r="D31" s="354"/>
      <c r="E31" s="354"/>
      <c r="F31" s="354"/>
      <c r="G31" s="354"/>
      <c r="H31" s="354"/>
      <c r="I31" s="354"/>
      <c r="J31" s="354"/>
      <c r="K31" s="354"/>
      <c r="L31" s="354"/>
      <c r="M31" s="354"/>
      <c r="N31" s="354"/>
      <c r="O31" s="354"/>
      <c r="P31" s="354"/>
      <c r="Q31" s="354"/>
      <c r="R31" s="354"/>
      <c r="S31" s="354"/>
      <c r="T31" s="354"/>
      <c r="U31" s="354"/>
      <c r="V31" s="354"/>
    </row>
    <row r="32" spans="1:22" ht="14.4">
      <c r="A32" s="361" t="s">
        <v>465</v>
      </c>
      <c r="B32" s="361" t="s">
        <v>346</v>
      </c>
      <c r="C32" s="366" t="s">
        <v>329</v>
      </c>
      <c r="D32" s="354"/>
      <c r="E32" s="354"/>
      <c r="F32" s="354"/>
      <c r="G32" s="354"/>
      <c r="H32" s="354"/>
      <c r="I32" s="354"/>
      <c r="J32" s="354"/>
      <c r="K32" s="354"/>
      <c r="L32" s="354"/>
      <c r="M32" s="354"/>
      <c r="N32" s="354"/>
      <c r="O32" s="354"/>
      <c r="P32" s="354"/>
      <c r="Q32" s="354"/>
      <c r="R32" s="354"/>
      <c r="S32" s="354"/>
      <c r="T32" s="354"/>
      <c r="U32" s="354"/>
      <c r="V32" s="354"/>
    </row>
    <row r="33" spans="1:22" ht="14.4">
      <c r="A33" s="361" t="s">
        <v>466</v>
      </c>
      <c r="B33" s="361" t="s">
        <v>347</v>
      </c>
      <c r="C33" s="366" t="s">
        <v>338</v>
      </c>
      <c r="D33" s="354"/>
      <c r="E33" s="354"/>
      <c r="F33" s="354"/>
      <c r="G33" s="354"/>
      <c r="H33" s="354"/>
      <c r="I33" s="354"/>
      <c r="J33" s="354"/>
      <c r="K33" s="354"/>
      <c r="L33" s="354"/>
      <c r="M33" s="354"/>
      <c r="N33" s="354"/>
      <c r="O33" s="354"/>
      <c r="P33" s="354"/>
      <c r="Q33" s="354"/>
      <c r="R33" s="354"/>
      <c r="S33" s="354"/>
      <c r="T33" s="354"/>
      <c r="U33" s="354"/>
      <c r="V33" s="354"/>
    </row>
    <row r="34" spans="1:22" ht="14.4">
      <c r="A34" s="361" t="s">
        <v>1032</v>
      </c>
      <c r="B34" s="361" t="s">
        <v>330</v>
      </c>
      <c r="C34" s="366" t="s">
        <v>1033</v>
      </c>
      <c r="D34" s="354"/>
      <c r="E34" s="354"/>
      <c r="F34" s="354"/>
      <c r="G34" s="354"/>
      <c r="H34" s="354"/>
      <c r="I34" s="354"/>
      <c r="J34" s="354"/>
      <c r="K34" s="354"/>
      <c r="L34" s="354"/>
      <c r="M34" s="354"/>
      <c r="N34" s="354"/>
      <c r="O34" s="354"/>
      <c r="P34" s="354"/>
      <c r="Q34" s="354"/>
      <c r="R34" s="354"/>
      <c r="S34" s="354"/>
      <c r="T34" s="354"/>
      <c r="U34" s="354"/>
      <c r="V34" s="354"/>
    </row>
    <row r="35" spans="1:22" ht="14.4">
      <c r="A35" s="361" t="s">
        <v>1034</v>
      </c>
      <c r="B35" s="361" t="s">
        <v>330</v>
      </c>
      <c r="C35" s="366" t="s">
        <v>1035</v>
      </c>
      <c r="D35" s="354"/>
      <c r="E35" s="354"/>
      <c r="F35" s="354"/>
      <c r="G35" s="354"/>
      <c r="H35" s="354"/>
      <c r="I35" s="354"/>
      <c r="J35" s="354"/>
      <c r="K35" s="354"/>
      <c r="L35" s="354"/>
      <c r="M35" s="354"/>
      <c r="N35" s="354"/>
      <c r="O35" s="354"/>
      <c r="P35" s="354"/>
      <c r="Q35" s="354"/>
      <c r="R35" s="354"/>
      <c r="S35" s="354"/>
      <c r="T35" s="354"/>
      <c r="U35" s="354"/>
      <c r="V35" s="354"/>
    </row>
    <row r="36" spans="1:22" ht="14.4">
      <c r="A36" s="361" t="s">
        <v>1036</v>
      </c>
      <c r="B36" s="361" t="s">
        <v>330</v>
      </c>
      <c r="C36" s="366" t="s">
        <v>1037</v>
      </c>
      <c r="D36" s="354"/>
      <c r="E36" s="354"/>
      <c r="F36" s="354"/>
      <c r="G36" s="354"/>
      <c r="H36" s="354"/>
      <c r="I36" s="354"/>
      <c r="J36" s="354"/>
      <c r="K36" s="354"/>
      <c r="L36" s="354"/>
      <c r="M36" s="354"/>
      <c r="N36" s="354"/>
      <c r="O36" s="354"/>
      <c r="P36" s="354"/>
      <c r="Q36" s="354"/>
      <c r="R36" s="354"/>
      <c r="S36" s="354"/>
      <c r="T36" s="354"/>
      <c r="U36" s="354"/>
      <c r="V36" s="354"/>
    </row>
    <row r="37" spans="1:22" ht="14.4">
      <c r="A37" s="372" t="s">
        <v>1038</v>
      </c>
      <c r="B37" s="368" t="s">
        <v>328</v>
      </c>
      <c r="C37" s="369" t="s">
        <v>1039</v>
      </c>
      <c r="D37" s="354"/>
      <c r="E37" s="354"/>
      <c r="F37" s="354"/>
      <c r="G37" s="354"/>
      <c r="H37" s="354"/>
      <c r="I37" s="354"/>
      <c r="J37" s="354"/>
      <c r="K37" s="354"/>
      <c r="L37" s="354"/>
      <c r="M37" s="354"/>
      <c r="N37" s="354"/>
      <c r="O37" s="354"/>
      <c r="P37" s="354"/>
      <c r="Q37" s="354"/>
      <c r="R37" s="354"/>
      <c r="S37" s="354"/>
      <c r="T37" s="354"/>
      <c r="U37" s="354"/>
      <c r="V37" s="354"/>
    </row>
    <row r="38" spans="1:22" ht="14.4">
      <c r="A38" s="365" t="s">
        <v>390</v>
      </c>
      <c r="B38" s="361" t="s">
        <v>336</v>
      </c>
      <c r="C38" s="366" t="s">
        <v>479</v>
      </c>
      <c r="D38" s="354"/>
      <c r="E38" s="354"/>
      <c r="F38" s="354"/>
      <c r="G38" s="354"/>
      <c r="H38" s="354"/>
      <c r="I38" s="354"/>
      <c r="J38" s="354"/>
      <c r="K38" s="354"/>
      <c r="L38" s="354"/>
      <c r="M38" s="354"/>
      <c r="N38" s="354"/>
      <c r="O38" s="354"/>
      <c r="P38" s="354"/>
      <c r="Q38" s="354"/>
      <c r="R38" s="354"/>
      <c r="S38" s="354"/>
      <c r="T38" s="354"/>
      <c r="U38" s="354"/>
      <c r="V38" s="354"/>
    </row>
    <row r="39" spans="1:22" ht="14.4">
      <c r="A39" s="367" t="s">
        <v>467</v>
      </c>
      <c r="B39" s="368" t="s">
        <v>327</v>
      </c>
      <c r="C39" s="369" t="s">
        <v>339</v>
      </c>
      <c r="D39" s="354"/>
      <c r="E39" s="354"/>
      <c r="F39" s="354"/>
      <c r="G39" s="354"/>
      <c r="H39" s="354"/>
      <c r="I39" s="354"/>
      <c r="J39" s="354"/>
      <c r="K39" s="354"/>
      <c r="L39" s="354"/>
      <c r="M39" s="354"/>
      <c r="N39" s="354"/>
      <c r="O39" s="354"/>
      <c r="P39" s="354"/>
      <c r="Q39" s="354"/>
      <c r="R39" s="354"/>
      <c r="S39" s="354"/>
      <c r="T39" s="354"/>
      <c r="U39" s="354"/>
      <c r="V39" s="354"/>
    </row>
    <row r="40" spans="1:22" ht="14.4">
      <c r="A40" s="367" t="s">
        <v>467</v>
      </c>
      <c r="B40" s="368" t="s">
        <v>327</v>
      </c>
      <c r="C40" s="369" t="s">
        <v>1040</v>
      </c>
      <c r="D40" s="354"/>
      <c r="E40" s="354"/>
      <c r="F40" s="354"/>
      <c r="G40" s="354"/>
      <c r="H40" s="354"/>
      <c r="I40" s="354"/>
      <c r="J40" s="354"/>
      <c r="K40" s="354"/>
      <c r="L40" s="354"/>
      <c r="M40" s="354"/>
      <c r="N40" s="354"/>
      <c r="O40" s="354"/>
      <c r="P40" s="354"/>
      <c r="Q40" s="354"/>
      <c r="R40" s="354"/>
      <c r="S40" s="354"/>
      <c r="T40" s="354"/>
      <c r="U40" s="354"/>
      <c r="V40" s="354"/>
    </row>
    <row r="41" spans="1:22" ht="14.4">
      <c r="A41" s="365" t="s">
        <v>468</v>
      </c>
      <c r="B41" s="361" t="s">
        <v>327</v>
      </c>
      <c r="C41" s="366" t="s">
        <v>1041</v>
      </c>
      <c r="D41" s="354"/>
      <c r="E41" s="354"/>
      <c r="F41" s="354"/>
      <c r="G41" s="354"/>
      <c r="H41" s="354"/>
      <c r="I41" s="354"/>
      <c r="J41" s="354"/>
      <c r="K41" s="354"/>
      <c r="L41" s="354"/>
      <c r="M41" s="354"/>
      <c r="N41" s="354"/>
      <c r="O41" s="354"/>
      <c r="P41" s="354"/>
      <c r="Q41" s="354"/>
      <c r="R41" s="354"/>
      <c r="S41" s="354"/>
      <c r="T41" s="354"/>
      <c r="U41" s="354"/>
      <c r="V41" s="354"/>
    </row>
    <row r="42" spans="1:22" ht="14.4">
      <c r="A42" s="365" t="s">
        <v>468</v>
      </c>
      <c r="B42" s="361" t="s">
        <v>327</v>
      </c>
      <c r="C42" s="366" t="s">
        <v>1042</v>
      </c>
      <c r="D42" s="354"/>
      <c r="E42" s="354"/>
      <c r="F42" s="354"/>
      <c r="G42" s="354"/>
      <c r="H42" s="354"/>
      <c r="I42" s="354"/>
      <c r="J42" s="354"/>
      <c r="K42" s="354"/>
      <c r="L42" s="354"/>
      <c r="M42" s="354"/>
      <c r="N42" s="354"/>
      <c r="O42" s="354"/>
      <c r="P42" s="354"/>
      <c r="Q42" s="354"/>
      <c r="R42" s="354"/>
      <c r="S42" s="354"/>
      <c r="T42" s="354"/>
      <c r="U42" s="354"/>
      <c r="V42" s="354"/>
    </row>
    <row r="43" spans="1:22" ht="28.8">
      <c r="A43" s="372" t="s">
        <v>1043</v>
      </c>
      <c r="B43" s="368" t="s">
        <v>328</v>
      </c>
      <c r="C43" s="369" t="s">
        <v>1044</v>
      </c>
      <c r="D43" s="354"/>
      <c r="E43" s="354"/>
      <c r="F43" s="354"/>
      <c r="G43" s="354"/>
      <c r="H43" s="354"/>
      <c r="I43" s="354"/>
      <c r="J43" s="354"/>
      <c r="K43" s="354"/>
      <c r="L43" s="354"/>
      <c r="M43" s="354"/>
      <c r="N43" s="354"/>
      <c r="O43" s="354"/>
      <c r="P43" s="354"/>
      <c r="Q43" s="354"/>
      <c r="R43" s="354"/>
      <c r="S43" s="354"/>
      <c r="T43" s="354"/>
      <c r="U43" s="354"/>
      <c r="V43" s="354"/>
    </row>
    <row r="44" spans="1:22" ht="14.4">
      <c r="A44" s="371" t="s">
        <v>1045</v>
      </c>
      <c r="B44" s="361" t="s">
        <v>327</v>
      </c>
      <c r="C44" s="366" t="s">
        <v>1046</v>
      </c>
      <c r="D44" s="354"/>
      <c r="E44" s="354"/>
      <c r="F44" s="354"/>
      <c r="G44" s="354"/>
      <c r="H44" s="354"/>
      <c r="I44" s="354"/>
      <c r="J44" s="354"/>
      <c r="K44" s="354"/>
      <c r="L44" s="354"/>
      <c r="M44" s="354"/>
      <c r="N44" s="354"/>
      <c r="O44" s="354"/>
      <c r="P44" s="354"/>
      <c r="Q44" s="354"/>
      <c r="R44" s="354"/>
      <c r="S44" s="354"/>
      <c r="T44" s="354"/>
      <c r="U44" s="354"/>
      <c r="V44" s="354"/>
    </row>
    <row r="45" spans="1:22" ht="14.4">
      <c r="A45" s="371" t="s">
        <v>1047</v>
      </c>
      <c r="B45" s="361" t="s">
        <v>328</v>
      </c>
      <c r="C45" s="366" t="s">
        <v>1048</v>
      </c>
      <c r="D45" s="354"/>
      <c r="E45" s="354"/>
      <c r="F45" s="354"/>
      <c r="G45" s="354"/>
      <c r="H45" s="354"/>
      <c r="I45" s="354"/>
      <c r="J45" s="354"/>
      <c r="K45" s="354"/>
      <c r="L45" s="354"/>
      <c r="M45" s="354"/>
      <c r="N45" s="354"/>
      <c r="O45" s="354"/>
      <c r="P45" s="354"/>
      <c r="Q45" s="354"/>
      <c r="R45" s="354"/>
      <c r="S45" s="354"/>
      <c r="T45" s="354"/>
      <c r="U45" s="354"/>
      <c r="V45" s="354"/>
    </row>
    <row r="46" spans="1:22" ht="14.4">
      <c r="A46" s="371" t="s">
        <v>1049</v>
      </c>
      <c r="B46" s="361" t="s">
        <v>327</v>
      </c>
      <c r="C46" s="366" t="s">
        <v>1050</v>
      </c>
      <c r="D46" s="354"/>
      <c r="E46" s="354"/>
      <c r="F46" s="354"/>
      <c r="G46" s="354"/>
      <c r="H46" s="354"/>
      <c r="I46" s="354"/>
      <c r="J46" s="354"/>
      <c r="K46" s="354"/>
      <c r="L46" s="354"/>
      <c r="M46" s="354"/>
      <c r="N46" s="354"/>
      <c r="O46" s="354"/>
      <c r="P46" s="354"/>
      <c r="Q46" s="354"/>
      <c r="R46" s="354"/>
      <c r="S46" s="354"/>
      <c r="T46" s="354"/>
      <c r="U46" s="354"/>
      <c r="V46" s="354"/>
    </row>
    <row r="47" spans="1:22" ht="14.4">
      <c r="A47" s="367" t="s">
        <v>469</v>
      </c>
      <c r="B47" s="368" t="s">
        <v>327</v>
      </c>
      <c r="C47" s="369" t="s">
        <v>340</v>
      </c>
      <c r="D47" s="354"/>
      <c r="E47" s="354"/>
      <c r="F47" s="354"/>
      <c r="G47" s="354"/>
      <c r="H47" s="354"/>
      <c r="I47" s="354"/>
      <c r="J47" s="354"/>
      <c r="K47" s="354"/>
      <c r="L47" s="354"/>
      <c r="M47" s="354"/>
      <c r="N47" s="354"/>
      <c r="O47" s="354"/>
      <c r="P47" s="354"/>
      <c r="Q47" s="354"/>
      <c r="R47" s="354"/>
      <c r="S47" s="354"/>
      <c r="T47" s="354"/>
      <c r="U47" s="354"/>
      <c r="V47" s="354"/>
    </row>
    <row r="48" spans="1:22" ht="14.4">
      <c r="A48" s="368" t="s">
        <v>470</v>
      </c>
      <c r="B48" s="361" t="s">
        <v>336</v>
      </c>
      <c r="C48" s="369" t="s">
        <v>479</v>
      </c>
      <c r="D48" s="354"/>
      <c r="E48" s="354"/>
      <c r="F48" s="354"/>
      <c r="G48" s="354"/>
      <c r="H48" s="354"/>
      <c r="I48" s="354"/>
      <c r="J48" s="354"/>
      <c r="K48" s="354"/>
      <c r="L48" s="354"/>
      <c r="M48" s="354"/>
      <c r="N48" s="354"/>
      <c r="O48" s="354"/>
      <c r="P48" s="354"/>
      <c r="Q48" s="354"/>
      <c r="R48" s="354"/>
      <c r="S48" s="354"/>
      <c r="T48" s="354"/>
      <c r="U48" s="354"/>
      <c r="V48" s="354"/>
    </row>
    <row r="49" spans="1:22" ht="14.4">
      <c r="A49" s="365" t="s">
        <v>471</v>
      </c>
      <c r="B49" s="361" t="s">
        <v>327</v>
      </c>
      <c r="C49" s="373" t="s">
        <v>341</v>
      </c>
      <c r="D49" s="354"/>
      <c r="E49" s="354"/>
      <c r="F49" s="354"/>
      <c r="G49" s="354"/>
      <c r="H49" s="354"/>
      <c r="I49" s="354"/>
      <c r="J49" s="354"/>
      <c r="K49" s="354"/>
      <c r="L49" s="354"/>
      <c r="M49" s="354"/>
      <c r="N49" s="354"/>
      <c r="O49" s="354"/>
      <c r="P49" s="354"/>
      <c r="Q49" s="354"/>
      <c r="R49" s="354"/>
      <c r="S49" s="354"/>
      <c r="T49" s="354"/>
      <c r="U49" s="354"/>
      <c r="V49" s="354"/>
    </row>
    <row r="50" spans="1:22" ht="14.4">
      <c r="A50" s="365" t="s">
        <v>471</v>
      </c>
      <c r="B50" s="361" t="s">
        <v>327</v>
      </c>
      <c r="C50" s="373" t="s">
        <v>1051</v>
      </c>
      <c r="D50" s="354"/>
      <c r="E50" s="354"/>
      <c r="F50" s="354"/>
      <c r="G50" s="354"/>
      <c r="H50" s="354"/>
      <c r="I50" s="354"/>
      <c r="J50" s="354"/>
      <c r="K50" s="354"/>
      <c r="L50" s="354"/>
      <c r="M50" s="354"/>
      <c r="N50" s="354"/>
      <c r="O50" s="354"/>
      <c r="P50" s="354"/>
      <c r="Q50" s="354"/>
      <c r="R50" s="354"/>
      <c r="S50" s="354"/>
      <c r="T50" s="354"/>
      <c r="U50" s="354"/>
      <c r="V50" s="354"/>
    </row>
    <row r="51" spans="1:22" ht="28.8">
      <c r="A51" s="371" t="s">
        <v>1052</v>
      </c>
      <c r="B51" s="361" t="s">
        <v>328</v>
      </c>
      <c r="C51" s="366" t="s">
        <v>342</v>
      </c>
      <c r="D51" s="354"/>
      <c r="E51" s="354"/>
      <c r="F51" s="354"/>
      <c r="G51" s="354"/>
      <c r="H51" s="354"/>
      <c r="I51" s="354"/>
      <c r="J51" s="354"/>
      <c r="K51" s="354"/>
      <c r="L51" s="354"/>
      <c r="M51" s="354"/>
      <c r="N51" s="354"/>
      <c r="O51" s="354"/>
      <c r="P51" s="354"/>
      <c r="Q51" s="354"/>
      <c r="R51" s="354"/>
      <c r="S51" s="354"/>
      <c r="T51" s="354"/>
      <c r="U51" s="354"/>
      <c r="V51" s="354"/>
    </row>
    <row r="52" spans="1:22" ht="28.8">
      <c r="A52" s="371" t="s">
        <v>1052</v>
      </c>
      <c r="B52" s="361" t="s">
        <v>328</v>
      </c>
      <c r="C52" s="366" t="s">
        <v>1053</v>
      </c>
      <c r="D52" s="354"/>
      <c r="E52" s="354"/>
      <c r="F52" s="354"/>
      <c r="G52" s="354"/>
      <c r="H52" s="354"/>
      <c r="I52" s="354"/>
      <c r="J52" s="354"/>
      <c r="K52" s="354"/>
      <c r="L52" s="354"/>
      <c r="M52" s="354"/>
      <c r="N52" s="354"/>
      <c r="O52" s="354"/>
      <c r="P52" s="354"/>
      <c r="Q52" s="354"/>
      <c r="R52" s="354"/>
      <c r="S52" s="354"/>
      <c r="T52" s="354"/>
      <c r="U52" s="354"/>
      <c r="V52" s="354"/>
    </row>
    <row r="53" spans="1:22" ht="14.4">
      <c r="A53" s="371" t="s">
        <v>1054</v>
      </c>
      <c r="B53" s="361" t="s">
        <v>328</v>
      </c>
      <c r="C53" s="366" t="s">
        <v>1055</v>
      </c>
      <c r="D53" s="354"/>
      <c r="E53" s="354"/>
      <c r="F53" s="354"/>
      <c r="G53" s="354"/>
      <c r="H53" s="354"/>
      <c r="I53" s="354"/>
      <c r="J53" s="354"/>
      <c r="K53" s="354"/>
      <c r="L53" s="354"/>
      <c r="M53" s="354"/>
      <c r="N53" s="354"/>
      <c r="O53" s="354"/>
      <c r="P53" s="354"/>
      <c r="Q53" s="354"/>
      <c r="R53" s="354"/>
      <c r="S53" s="354"/>
      <c r="T53" s="354"/>
      <c r="U53" s="354"/>
      <c r="V53" s="354"/>
    </row>
    <row r="54" spans="1:22" ht="14.4">
      <c r="A54" s="367" t="s">
        <v>488</v>
      </c>
      <c r="B54" s="368" t="s">
        <v>353</v>
      </c>
      <c r="C54" s="374" t="s">
        <v>1050</v>
      </c>
      <c r="D54" s="354"/>
      <c r="E54" s="354"/>
      <c r="F54" s="354"/>
      <c r="G54" s="354"/>
      <c r="H54" s="354"/>
      <c r="I54" s="354"/>
      <c r="J54" s="354"/>
      <c r="K54" s="354"/>
      <c r="L54" s="354"/>
      <c r="M54" s="354"/>
      <c r="N54" s="354"/>
      <c r="O54" s="354"/>
      <c r="P54" s="354"/>
      <c r="Q54" s="354"/>
      <c r="R54" s="354"/>
      <c r="S54" s="354"/>
      <c r="T54" s="354"/>
      <c r="U54" s="354"/>
      <c r="V54" s="354"/>
    </row>
    <row r="55" spans="1:22" ht="14.4">
      <c r="A55" s="372" t="s">
        <v>489</v>
      </c>
      <c r="B55" s="368"/>
      <c r="C55" s="369"/>
      <c r="D55" s="354"/>
      <c r="E55" s="354"/>
      <c r="F55" s="354"/>
      <c r="G55" s="354"/>
      <c r="H55" s="354"/>
      <c r="I55" s="354"/>
      <c r="J55" s="354"/>
      <c r="K55" s="354"/>
      <c r="L55" s="354"/>
      <c r="M55" s="354"/>
      <c r="N55" s="354"/>
      <c r="O55" s="354"/>
      <c r="P55" s="354"/>
      <c r="Q55" s="354"/>
      <c r="R55" s="354"/>
      <c r="S55" s="354"/>
      <c r="T55" s="354"/>
      <c r="U55" s="354"/>
      <c r="V55" s="354"/>
    </row>
    <row r="56" spans="1:22" ht="14.4">
      <c r="A56" s="360" t="s">
        <v>490</v>
      </c>
      <c r="B56" s="368" t="s">
        <v>351</v>
      </c>
      <c r="C56" s="369" t="s">
        <v>348</v>
      </c>
      <c r="D56" s="354"/>
      <c r="E56" s="354"/>
      <c r="F56" s="354"/>
      <c r="G56" s="354"/>
      <c r="H56" s="354"/>
      <c r="I56" s="354"/>
      <c r="J56" s="354"/>
      <c r="K56" s="354"/>
      <c r="L56" s="354"/>
      <c r="M56" s="354"/>
      <c r="N56" s="354"/>
      <c r="O56" s="354"/>
      <c r="P56" s="354"/>
      <c r="Q56" s="354"/>
      <c r="R56" s="354"/>
      <c r="S56" s="354"/>
      <c r="T56" s="354"/>
      <c r="U56" s="354"/>
      <c r="V56" s="354"/>
    </row>
    <row r="57" spans="1:22" ht="14.4">
      <c r="A57" s="360" t="s">
        <v>491</v>
      </c>
      <c r="B57" s="375" t="s">
        <v>327</v>
      </c>
      <c r="C57" s="369" t="s">
        <v>349</v>
      </c>
      <c r="D57" s="354"/>
      <c r="E57" s="354"/>
      <c r="F57" s="354"/>
      <c r="G57" s="354"/>
      <c r="H57" s="354"/>
      <c r="I57" s="354"/>
      <c r="J57" s="354"/>
      <c r="K57" s="354"/>
      <c r="L57" s="354"/>
      <c r="M57" s="354"/>
      <c r="N57" s="354"/>
      <c r="O57" s="354"/>
      <c r="P57" s="354"/>
      <c r="Q57" s="354"/>
      <c r="R57" s="354"/>
      <c r="S57" s="354"/>
      <c r="T57" s="354"/>
      <c r="U57" s="354"/>
      <c r="V57" s="354"/>
    </row>
    <row r="58" spans="1:22" ht="14.4">
      <c r="A58" s="365" t="s">
        <v>478</v>
      </c>
      <c r="B58" s="361"/>
      <c r="C58" s="366"/>
      <c r="D58" s="354"/>
      <c r="E58" s="354"/>
      <c r="F58" s="354"/>
      <c r="G58" s="354"/>
      <c r="H58" s="354"/>
      <c r="I58" s="354"/>
      <c r="J58" s="354"/>
      <c r="K58" s="354"/>
      <c r="L58" s="354"/>
      <c r="M58" s="354"/>
      <c r="N58" s="354"/>
      <c r="O58" s="354"/>
      <c r="P58" s="354"/>
      <c r="Q58" s="354"/>
      <c r="R58" s="354"/>
      <c r="S58" s="354"/>
      <c r="T58" s="354"/>
      <c r="U58" s="354"/>
      <c r="V58" s="354"/>
    </row>
    <row r="59" spans="1:22" ht="14.4">
      <c r="A59" s="361" t="s">
        <v>476</v>
      </c>
      <c r="B59" s="361" t="s">
        <v>335</v>
      </c>
      <c r="C59" s="366" t="s">
        <v>350</v>
      </c>
      <c r="D59" s="354"/>
      <c r="E59" s="354"/>
      <c r="F59" s="354"/>
      <c r="G59" s="354"/>
      <c r="H59" s="354"/>
      <c r="I59" s="354"/>
      <c r="J59" s="354"/>
      <c r="K59" s="354"/>
      <c r="L59" s="354"/>
      <c r="M59" s="354"/>
      <c r="N59" s="354"/>
      <c r="O59" s="354"/>
      <c r="P59" s="354"/>
      <c r="Q59" s="354"/>
      <c r="R59" s="354"/>
      <c r="S59" s="354"/>
      <c r="T59" s="354"/>
      <c r="U59" s="354"/>
      <c r="V59" s="354"/>
    </row>
    <row r="60" spans="1:22" ht="14.4">
      <c r="A60" s="361" t="s">
        <v>477</v>
      </c>
      <c r="B60" s="361" t="s">
        <v>335</v>
      </c>
      <c r="C60" s="366" t="s">
        <v>1056</v>
      </c>
      <c r="D60" s="354"/>
      <c r="E60" s="354"/>
      <c r="F60" s="354"/>
      <c r="G60" s="354"/>
      <c r="H60" s="354"/>
      <c r="I60" s="354"/>
      <c r="J60" s="354"/>
      <c r="K60" s="354"/>
      <c r="L60" s="354"/>
      <c r="M60" s="354"/>
      <c r="N60" s="354"/>
      <c r="O60" s="354"/>
      <c r="P60" s="354"/>
      <c r="Q60" s="354"/>
      <c r="R60" s="354"/>
      <c r="S60" s="354"/>
      <c r="T60" s="354"/>
      <c r="U60" s="354"/>
      <c r="V60" s="354"/>
    </row>
    <row r="61" spans="1:22" ht="14.4">
      <c r="A61" s="376"/>
      <c r="B61" s="354"/>
      <c r="C61" s="354"/>
      <c r="D61" s="354"/>
      <c r="E61" s="354"/>
      <c r="F61" s="354"/>
      <c r="G61" s="354"/>
      <c r="H61" s="354"/>
      <c r="I61" s="354"/>
      <c r="J61" s="354"/>
      <c r="K61" s="354"/>
      <c r="L61" s="354"/>
      <c r="M61" s="354"/>
      <c r="N61" s="354"/>
      <c r="O61" s="354"/>
      <c r="P61" s="354"/>
      <c r="Q61" s="354"/>
      <c r="R61" s="354"/>
      <c r="S61" s="354"/>
      <c r="T61" s="354"/>
      <c r="U61" s="354"/>
      <c r="V61" s="354"/>
    </row>
    <row r="62" spans="1:22" ht="14.4">
      <c r="A62" s="376"/>
      <c r="B62" s="354"/>
      <c r="C62" s="354"/>
      <c r="D62" s="354"/>
      <c r="E62" s="354"/>
      <c r="F62" s="354"/>
      <c r="G62" s="354"/>
      <c r="H62" s="354"/>
      <c r="I62" s="354"/>
      <c r="J62" s="354"/>
      <c r="K62" s="354"/>
      <c r="L62" s="354"/>
      <c r="M62" s="354"/>
      <c r="N62" s="354"/>
      <c r="O62" s="354"/>
      <c r="P62" s="354"/>
      <c r="Q62" s="354"/>
      <c r="R62" s="354"/>
      <c r="S62" s="354"/>
      <c r="T62" s="354"/>
      <c r="U62" s="354"/>
      <c r="V62" s="354"/>
    </row>
    <row r="63" spans="1:22" ht="14.4">
      <c r="A63" s="376"/>
      <c r="B63" s="354"/>
      <c r="C63" s="354"/>
      <c r="D63" s="354"/>
      <c r="E63" s="354"/>
      <c r="F63" s="354"/>
      <c r="G63" s="354"/>
      <c r="H63" s="354"/>
      <c r="I63" s="354"/>
      <c r="J63" s="354"/>
      <c r="K63" s="354"/>
      <c r="L63" s="354"/>
      <c r="M63" s="354"/>
      <c r="N63" s="354"/>
      <c r="O63" s="354"/>
      <c r="P63" s="354"/>
      <c r="Q63" s="354"/>
      <c r="R63" s="354"/>
      <c r="S63" s="354"/>
      <c r="T63" s="354"/>
      <c r="U63" s="354"/>
      <c r="V63" s="354"/>
    </row>
    <row r="64" spans="1:22" ht="14.4">
      <c r="A64" s="376"/>
      <c r="B64" s="354"/>
      <c r="C64" s="354"/>
      <c r="D64" s="354"/>
      <c r="E64" s="354"/>
      <c r="F64" s="354"/>
      <c r="G64" s="354"/>
      <c r="H64" s="354"/>
      <c r="I64" s="354"/>
      <c r="J64" s="354"/>
      <c r="K64" s="354"/>
      <c r="L64" s="354"/>
      <c r="M64" s="354"/>
      <c r="N64" s="354"/>
      <c r="O64" s="354"/>
      <c r="P64" s="354"/>
      <c r="Q64" s="354"/>
      <c r="R64" s="354"/>
      <c r="S64" s="354"/>
      <c r="T64" s="354"/>
      <c r="U64" s="354"/>
      <c r="V64" s="354"/>
    </row>
    <row r="65" spans="1:22" ht="14.4">
      <c r="A65" s="376"/>
      <c r="B65" s="354"/>
      <c r="C65" s="354"/>
      <c r="D65" s="354"/>
      <c r="E65" s="354"/>
      <c r="F65" s="354"/>
      <c r="G65" s="354"/>
      <c r="H65" s="354"/>
      <c r="I65" s="354"/>
      <c r="J65" s="354"/>
      <c r="K65" s="354"/>
      <c r="L65" s="354"/>
      <c r="M65" s="354"/>
      <c r="N65" s="354"/>
      <c r="O65" s="354"/>
      <c r="P65" s="354"/>
      <c r="Q65" s="354"/>
      <c r="R65" s="354"/>
      <c r="S65" s="354"/>
      <c r="T65" s="354"/>
      <c r="U65" s="354"/>
      <c r="V65" s="354"/>
    </row>
    <row r="66" spans="1:22" ht="14.4">
      <c r="A66" s="376"/>
      <c r="B66" s="354"/>
      <c r="C66" s="354"/>
      <c r="D66" s="354"/>
      <c r="E66" s="354"/>
      <c r="F66" s="354"/>
      <c r="G66" s="354"/>
      <c r="H66" s="354"/>
      <c r="I66" s="354"/>
      <c r="J66" s="354"/>
      <c r="K66" s="354"/>
      <c r="L66" s="354"/>
      <c r="M66" s="354"/>
      <c r="N66" s="354"/>
      <c r="O66" s="354"/>
      <c r="P66" s="354"/>
      <c r="Q66" s="354"/>
      <c r="R66" s="354"/>
      <c r="S66" s="354"/>
      <c r="T66" s="354"/>
      <c r="U66" s="354"/>
      <c r="V66" s="354"/>
    </row>
    <row r="67" spans="1:22" ht="14.4">
      <c r="A67" s="376"/>
      <c r="B67" s="354"/>
      <c r="C67" s="354"/>
      <c r="D67" s="354"/>
      <c r="E67" s="354"/>
      <c r="F67" s="354"/>
      <c r="G67" s="354"/>
      <c r="H67" s="354"/>
      <c r="I67" s="354"/>
      <c r="J67" s="354"/>
      <c r="K67" s="354"/>
      <c r="L67" s="354"/>
      <c r="M67" s="354"/>
      <c r="N67" s="354"/>
      <c r="O67" s="354"/>
      <c r="P67" s="354"/>
      <c r="Q67" s="354"/>
      <c r="R67" s="354"/>
      <c r="S67" s="354"/>
      <c r="T67" s="354"/>
      <c r="U67" s="354"/>
      <c r="V67" s="354"/>
    </row>
    <row r="68" spans="1:22" ht="14.4">
      <c r="A68" s="376"/>
      <c r="B68" s="354"/>
      <c r="C68" s="354"/>
      <c r="D68" s="354"/>
      <c r="E68" s="354"/>
      <c r="F68" s="354"/>
      <c r="G68" s="354"/>
      <c r="H68" s="354"/>
      <c r="I68" s="354"/>
      <c r="J68" s="354"/>
      <c r="K68" s="354"/>
      <c r="L68" s="354"/>
      <c r="M68" s="354"/>
      <c r="N68" s="354"/>
      <c r="O68" s="354"/>
      <c r="P68" s="354"/>
      <c r="Q68" s="354"/>
      <c r="R68" s="354"/>
      <c r="S68" s="354"/>
      <c r="T68" s="354"/>
      <c r="U68" s="354"/>
      <c r="V68" s="354"/>
    </row>
    <row r="69" spans="1:22" ht="14.4">
      <c r="A69" s="376"/>
      <c r="B69" s="354"/>
      <c r="C69" s="354"/>
      <c r="D69" s="354"/>
      <c r="E69" s="354"/>
      <c r="F69" s="354"/>
      <c r="G69" s="354"/>
      <c r="H69" s="354"/>
      <c r="I69" s="354"/>
      <c r="J69" s="354"/>
      <c r="K69" s="354"/>
      <c r="L69" s="354"/>
      <c r="M69" s="354"/>
      <c r="N69" s="354"/>
      <c r="O69" s="354"/>
      <c r="P69" s="354"/>
      <c r="Q69" s="354"/>
      <c r="R69" s="354"/>
      <c r="S69" s="354"/>
      <c r="T69" s="354"/>
      <c r="U69" s="354"/>
      <c r="V69" s="354"/>
    </row>
    <row r="70" spans="1:22" ht="14.4">
      <c r="A70" s="376"/>
      <c r="B70" s="354"/>
      <c r="C70" s="354"/>
      <c r="D70" s="354"/>
      <c r="E70" s="354"/>
      <c r="F70" s="354"/>
      <c r="G70" s="354"/>
      <c r="H70" s="354"/>
      <c r="I70" s="354"/>
      <c r="J70" s="354"/>
      <c r="K70" s="354"/>
      <c r="L70" s="354"/>
      <c r="M70" s="354"/>
      <c r="N70" s="354"/>
      <c r="O70" s="354"/>
      <c r="P70" s="354"/>
      <c r="Q70" s="354"/>
      <c r="R70" s="354"/>
      <c r="S70" s="354"/>
      <c r="T70" s="354"/>
      <c r="U70" s="354"/>
      <c r="V70" s="354"/>
    </row>
    <row r="71" spans="1:22" ht="14.4">
      <c r="A71" s="376"/>
      <c r="B71" s="354"/>
      <c r="C71" s="354"/>
      <c r="D71" s="354"/>
      <c r="E71" s="354"/>
      <c r="F71" s="354"/>
      <c r="G71" s="354"/>
      <c r="H71" s="354"/>
      <c r="I71" s="354"/>
      <c r="J71" s="354"/>
      <c r="K71" s="354"/>
      <c r="L71" s="354"/>
      <c r="M71" s="354"/>
      <c r="N71" s="354"/>
      <c r="O71" s="354"/>
      <c r="P71" s="354"/>
      <c r="Q71" s="354"/>
      <c r="R71" s="354"/>
      <c r="S71" s="354"/>
      <c r="T71" s="354"/>
      <c r="U71" s="354"/>
      <c r="V71" s="354"/>
    </row>
    <row r="72" spans="1:22" ht="14.4">
      <c r="A72" s="376"/>
      <c r="B72" s="354"/>
      <c r="C72" s="354"/>
      <c r="D72" s="354"/>
      <c r="E72" s="354"/>
      <c r="F72" s="354"/>
      <c r="G72" s="354"/>
      <c r="H72" s="354"/>
      <c r="I72" s="354"/>
      <c r="J72" s="354"/>
      <c r="K72" s="354"/>
      <c r="L72" s="354"/>
      <c r="M72" s="354"/>
      <c r="N72" s="354"/>
      <c r="O72" s="354"/>
      <c r="P72" s="354"/>
      <c r="Q72" s="354"/>
      <c r="R72" s="354"/>
      <c r="S72" s="354"/>
      <c r="T72" s="354"/>
      <c r="U72" s="354"/>
      <c r="V72" s="354"/>
    </row>
    <row r="73" spans="1:22" ht="14.4">
      <c r="A73" s="376"/>
      <c r="B73" s="354"/>
      <c r="C73" s="354"/>
      <c r="D73" s="354"/>
      <c r="E73" s="354"/>
      <c r="F73" s="354"/>
      <c r="G73" s="354"/>
      <c r="H73" s="354"/>
      <c r="I73" s="354"/>
      <c r="J73" s="354"/>
      <c r="K73" s="354"/>
      <c r="L73" s="354"/>
      <c r="M73" s="354"/>
      <c r="N73" s="354"/>
      <c r="O73" s="354"/>
      <c r="P73" s="354"/>
      <c r="Q73" s="354"/>
      <c r="R73" s="354"/>
      <c r="S73" s="354"/>
      <c r="T73" s="354"/>
      <c r="U73" s="354"/>
      <c r="V73" s="354"/>
    </row>
    <row r="74" spans="1:22" ht="14.4">
      <c r="A74" s="376"/>
      <c r="B74" s="354"/>
      <c r="C74" s="354"/>
      <c r="D74" s="354"/>
      <c r="E74" s="354"/>
      <c r="F74" s="354"/>
      <c r="G74" s="354"/>
      <c r="H74" s="354"/>
      <c r="I74" s="354"/>
      <c r="J74" s="354"/>
      <c r="K74" s="354"/>
      <c r="L74" s="354"/>
      <c r="M74" s="354"/>
      <c r="N74" s="354"/>
      <c r="O74" s="354"/>
      <c r="P74" s="354"/>
      <c r="Q74" s="354"/>
      <c r="R74" s="354"/>
      <c r="S74" s="354"/>
      <c r="T74" s="354"/>
      <c r="U74" s="354"/>
      <c r="V74" s="354"/>
    </row>
    <row r="75" spans="1:22" ht="14.4">
      <c r="A75" s="376"/>
      <c r="B75" s="354"/>
      <c r="C75" s="354"/>
      <c r="D75" s="354"/>
      <c r="E75" s="354"/>
      <c r="F75" s="354"/>
      <c r="G75" s="354"/>
      <c r="H75" s="354"/>
      <c r="I75" s="354"/>
      <c r="J75" s="354"/>
      <c r="K75" s="354"/>
      <c r="L75" s="354"/>
      <c r="M75" s="354"/>
      <c r="N75" s="354"/>
      <c r="O75" s="354"/>
      <c r="P75" s="354"/>
      <c r="Q75" s="354"/>
      <c r="R75" s="354"/>
      <c r="S75" s="354"/>
      <c r="T75" s="354"/>
      <c r="U75" s="354"/>
      <c r="V75" s="354"/>
    </row>
    <row r="76" spans="1:22" ht="14.4">
      <c r="A76" s="376"/>
      <c r="B76" s="354"/>
      <c r="C76" s="354"/>
      <c r="D76" s="354"/>
      <c r="E76" s="354"/>
      <c r="F76" s="354"/>
      <c r="G76" s="354"/>
      <c r="H76" s="354"/>
      <c r="I76" s="354"/>
      <c r="J76" s="354"/>
      <c r="K76" s="354"/>
      <c r="L76" s="354"/>
      <c r="M76" s="354"/>
      <c r="N76" s="354"/>
      <c r="O76" s="354"/>
      <c r="P76" s="354"/>
      <c r="Q76" s="354"/>
      <c r="R76" s="354"/>
      <c r="S76" s="354"/>
      <c r="T76" s="354"/>
      <c r="U76" s="354"/>
      <c r="V76" s="354"/>
    </row>
    <row r="77" spans="1:22" ht="14.4">
      <c r="A77" s="376"/>
      <c r="B77" s="354"/>
      <c r="C77" s="354"/>
      <c r="D77" s="354"/>
      <c r="E77" s="354"/>
      <c r="F77" s="354"/>
      <c r="G77" s="354"/>
      <c r="H77" s="354"/>
      <c r="I77" s="354"/>
      <c r="J77" s="354"/>
      <c r="K77" s="354"/>
      <c r="L77" s="354"/>
      <c r="M77" s="354"/>
      <c r="N77" s="354"/>
      <c r="O77" s="354"/>
      <c r="P77" s="354"/>
      <c r="Q77" s="354"/>
      <c r="R77" s="354"/>
      <c r="S77" s="354"/>
      <c r="T77" s="354"/>
      <c r="U77" s="354"/>
      <c r="V77" s="354"/>
    </row>
    <row r="78" spans="1:22" ht="14.4">
      <c r="A78" s="376"/>
      <c r="B78" s="354"/>
      <c r="C78" s="354"/>
      <c r="D78" s="354"/>
      <c r="E78" s="354"/>
      <c r="F78" s="354"/>
      <c r="G78" s="354"/>
      <c r="H78" s="354"/>
      <c r="I78" s="354"/>
      <c r="J78" s="354"/>
      <c r="K78" s="354"/>
      <c r="L78" s="354"/>
      <c r="M78" s="354"/>
      <c r="N78" s="354"/>
      <c r="O78" s="354"/>
      <c r="P78" s="354"/>
      <c r="Q78" s="354"/>
      <c r="R78" s="354"/>
      <c r="S78" s="354"/>
      <c r="T78" s="354"/>
      <c r="U78" s="354"/>
      <c r="V78" s="354"/>
    </row>
    <row r="79" spans="1:22" ht="14.4">
      <c r="A79" s="376"/>
      <c r="B79" s="354"/>
      <c r="C79" s="354"/>
      <c r="D79" s="354"/>
      <c r="E79" s="354"/>
      <c r="F79" s="354"/>
      <c r="G79" s="354"/>
      <c r="H79" s="354"/>
      <c r="I79" s="354"/>
      <c r="J79" s="354"/>
      <c r="K79" s="354"/>
      <c r="L79" s="354"/>
      <c r="M79" s="354"/>
      <c r="N79" s="354"/>
      <c r="O79" s="354"/>
      <c r="P79" s="354"/>
      <c r="Q79" s="354"/>
      <c r="R79" s="354"/>
      <c r="S79" s="354"/>
      <c r="T79" s="354"/>
      <c r="U79" s="354"/>
      <c r="V79" s="354"/>
    </row>
    <row r="80" spans="1:22" ht="14.4">
      <c r="A80" s="376"/>
      <c r="B80" s="354"/>
      <c r="C80" s="354"/>
      <c r="D80" s="354"/>
      <c r="E80" s="354"/>
      <c r="F80" s="354"/>
      <c r="G80" s="354"/>
      <c r="H80" s="354"/>
      <c r="I80" s="354"/>
      <c r="J80" s="354"/>
      <c r="K80" s="354"/>
      <c r="L80" s="354"/>
      <c r="M80" s="354"/>
      <c r="N80" s="354"/>
      <c r="O80" s="354"/>
      <c r="P80" s="354"/>
      <c r="Q80" s="354"/>
      <c r="R80" s="354"/>
      <c r="S80" s="354"/>
      <c r="T80" s="354"/>
      <c r="U80" s="354"/>
      <c r="V80" s="354"/>
    </row>
    <row r="81" spans="1:22" ht="14.4">
      <c r="A81" s="376"/>
      <c r="B81" s="354"/>
      <c r="C81" s="354"/>
      <c r="D81" s="354"/>
      <c r="E81" s="354"/>
      <c r="F81" s="354"/>
      <c r="G81" s="354"/>
      <c r="H81" s="354"/>
      <c r="I81" s="354"/>
      <c r="J81" s="354"/>
      <c r="K81" s="354"/>
      <c r="L81" s="354"/>
      <c r="M81" s="354"/>
      <c r="N81" s="354"/>
      <c r="O81" s="354"/>
      <c r="P81" s="354"/>
      <c r="Q81" s="354"/>
      <c r="R81" s="354"/>
      <c r="S81" s="354"/>
      <c r="T81" s="354"/>
      <c r="U81" s="354"/>
      <c r="V81" s="354"/>
    </row>
    <row r="82" spans="1:22" ht="14.4">
      <c r="A82" s="376"/>
      <c r="B82" s="354"/>
      <c r="C82" s="354"/>
      <c r="D82" s="354"/>
      <c r="E82" s="354"/>
      <c r="F82" s="354"/>
      <c r="G82" s="354"/>
      <c r="H82" s="354"/>
      <c r="I82" s="354"/>
      <c r="J82" s="354"/>
      <c r="K82" s="354"/>
      <c r="L82" s="354"/>
      <c r="M82" s="354"/>
      <c r="N82" s="354"/>
      <c r="O82" s="354"/>
      <c r="P82" s="354"/>
      <c r="Q82" s="354"/>
      <c r="R82" s="354"/>
      <c r="S82" s="354"/>
      <c r="T82" s="354"/>
      <c r="U82" s="354"/>
      <c r="V82" s="354"/>
    </row>
    <row r="83" spans="1:22" ht="14.4">
      <c r="A83" s="376"/>
      <c r="B83" s="354"/>
      <c r="C83" s="354"/>
      <c r="D83" s="354"/>
      <c r="E83" s="354"/>
      <c r="F83" s="354"/>
      <c r="G83" s="354"/>
      <c r="H83" s="354"/>
      <c r="I83" s="354"/>
      <c r="J83" s="354"/>
      <c r="K83" s="354"/>
      <c r="L83" s="354"/>
      <c r="M83" s="354"/>
      <c r="N83" s="354"/>
      <c r="O83" s="354"/>
      <c r="P83" s="354"/>
      <c r="Q83" s="354"/>
      <c r="R83" s="354"/>
      <c r="S83" s="354"/>
      <c r="T83" s="354"/>
      <c r="U83" s="354"/>
      <c r="V83" s="354"/>
    </row>
    <row r="84" spans="1:22" ht="14.4">
      <c r="A84" s="376"/>
      <c r="B84" s="354"/>
      <c r="C84" s="354"/>
      <c r="D84" s="354"/>
      <c r="E84" s="354"/>
      <c r="F84" s="354"/>
      <c r="G84" s="354"/>
      <c r="H84" s="354"/>
      <c r="I84" s="354"/>
      <c r="J84" s="354"/>
      <c r="K84" s="354"/>
      <c r="L84" s="354"/>
      <c r="M84" s="354"/>
      <c r="N84" s="354"/>
      <c r="O84" s="354"/>
      <c r="P84" s="354"/>
      <c r="Q84" s="354"/>
      <c r="R84" s="354"/>
      <c r="S84" s="354"/>
      <c r="T84" s="354"/>
      <c r="U84" s="354"/>
      <c r="V84" s="354"/>
    </row>
    <row r="85" spans="1:22" ht="14.4">
      <c r="A85" s="376"/>
      <c r="B85" s="354"/>
      <c r="C85" s="354"/>
      <c r="D85" s="354"/>
      <c r="E85" s="354"/>
      <c r="F85" s="354"/>
      <c r="G85" s="354"/>
      <c r="H85" s="354"/>
      <c r="I85" s="354"/>
      <c r="J85" s="354"/>
      <c r="K85" s="354"/>
      <c r="L85" s="354"/>
      <c r="M85" s="354"/>
      <c r="N85" s="354"/>
      <c r="O85" s="354"/>
      <c r="P85" s="354"/>
      <c r="Q85" s="354"/>
      <c r="R85" s="354"/>
      <c r="S85" s="354"/>
      <c r="T85" s="354"/>
      <c r="U85" s="354"/>
      <c r="V85" s="354"/>
    </row>
    <row r="86" spans="1:22" ht="14.4">
      <c r="A86" s="376"/>
      <c r="B86" s="354"/>
      <c r="C86" s="354"/>
      <c r="D86" s="354"/>
      <c r="E86" s="354"/>
      <c r="F86" s="354"/>
      <c r="G86" s="354"/>
      <c r="H86" s="354"/>
      <c r="I86" s="354"/>
      <c r="J86" s="354"/>
      <c r="K86" s="354"/>
      <c r="L86" s="354"/>
      <c r="M86" s="354"/>
      <c r="N86" s="354"/>
      <c r="O86" s="354"/>
      <c r="P86" s="354"/>
      <c r="Q86" s="354"/>
      <c r="R86" s="354"/>
      <c r="S86" s="354"/>
      <c r="T86" s="354"/>
      <c r="U86" s="354"/>
      <c r="V86" s="354"/>
    </row>
    <row r="87" spans="1:22" ht="14.4">
      <c r="A87" s="376"/>
      <c r="B87" s="354"/>
      <c r="C87" s="354"/>
      <c r="D87" s="354"/>
      <c r="E87" s="354"/>
      <c r="F87" s="354"/>
      <c r="G87" s="354"/>
      <c r="H87" s="354"/>
      <c r="I87" s="354"/>
      <c r="J87" s="354"/>
      <c r="K87" s="354"/>
      <c r="L87" s="354"/>
      <c r="M87" s="354"/>
      <c r="N87" s="354"/>
      <c r="O87" s="354"/>
      <c r="P87" s="354"/>
      <c r="Q87" s="354"/>
      <c r="R87" s="354"/>
      <c r="S87" s="354"/>
      <c r="T87" s="354"/>
      <c r="U87" s="354"/>
      <c r="V87" s="354"/>
    </row>
    <row r="88" spans="1:22" ht="14.4">
      <c r="A88" s="376"/>
      <c r="B88" s="354"/>
      <c r="C88" s="354"/>
      <c r="D88" s="354"/>
      <c r="E88" s="354"/>
      <c r="F88" s="354"/>
      <c r="G88" s="354"/>
      <c r="H88" s="354"/>
      <c r="I88" s="354"/>
      <c r="J88" s="354"/>
      <c r="K88" s="354"/>
      <c r="L88" s="354"/>
      <c r="M88" s="354"/>
      <c r="N88" s="354"/>
      <c r="O88" s="354"/>
      <c r="P88" s="354"/>
      <c r="Q88" s="354"/>
      <c r="R88" s="354"/>
      <c r="S88" s="354"/>
      <c r="T88" s="354"/>
      <c r="U88" s="354"/>
      <c r="V88" s="354"/>
    </row>
    <row r="89" spans="1:22" ht="14.4">
      <c r="A89" s="376"/>
      <c r="B89" s="354"/>
      <c r="C89" s="354"/>
      <c r="D89" s="354"/>
      <c r="E89" s="354"/>
      <c r="F89" s="354"/>
      <c r="G89" s="354"/>
      <c r="H89" s="354"/>
      <c r="I89" s="354"/>
      <c r="J89" s="354"/>
      <c r="K89" s="354"/>
      <c r="L89" s="354"/>
      <c r="M89" s="354"/>
      <c r="N89" s="354"/>
      <c r="O89" s="354"/>
      <c r="P89" s="354"/>
      <c r="Q89" s="354"/>
      <c r="R89" s="354"/>
      <c r="S89" s="354"/>
      <c r="T89" s="354"/>
      <c r="U89" s="354"/>
      <c r="V89" s="354"/>
    </row>
    <row r="90" spans="1:22" ht="14.4">
      <c r="A90" s="376"/>
      <c r="B90" s="354"/>
      <c r="C90" s="354"/>
      <c r="D90" s="354"/>
      <c r="E90" s="354"/>
      <c r="F90" s="354"/>
      <c r="G90" s="354"/>
      <c r="H90" s="354"/>
      <c r="I90" s="354"/>
      <c r="J90" s="354"/>
      <c r="K90" s="354"/>
      <c r="L90" s="354"/>
      <c r="M90" s="354"/>
      <c r="N90" s="354"/>
      <c r="O90" s="354"/>
      <c r="P90" s="354"/>
      <c r="Q90" s="354"/>
      <c r="R90" s="354"/>
      <c r="S90" s="354"/>
      <c r="T90" s="354"/>
      <c r="U90" s="354"/>
      <c r="V90" s="354"/>
    </row>
    <row r="91" spans="1:22" ht="14.4">
      <c r="A91" s="376"/>
      <c r="B91" s="354"/>
      <c r="C91" s="354"/>
      <c r="D91" s="354"/>
      <c r="E91" s="354"/>
      <c r="F91" s="354"/>
      <c r="G91" s="354"/>
      <c r="H91" s="354"/>
      <c r="I91" s="354"/>
      <c r="J91" s="354"/>
      <c r="K91" s="354"/>
      <c r="L91" s="354"/>
      <c r="M91" s="354"/>
      <c r="N91" s="354"/>
      <c r="O91" s="354"/>
      <c r="P91" s="354"/>
      <c r="Q91" s="354"/>
      <c r="R91" s="354"/>
      <c r="S91" s="354"/>
      <c r="T91" s="354"/>
      <c r="U91" s="354"/>
      <c r="V91" s="354"/>
    </row>
    <row r="92" spans="1:22" ht="14.4">
      <c r="A92" s="376"/>
      <c r="B92" s="354"/>
      <c r="C92" s="354"/>
      <c r="D92" s="354"/>
      <c r="E92" s="354"/>
      <c r="F92" s="354"/>
      <c r="G92" s="354"/>
      <c r="H92" s="354"/>
      <c r="I92" s="354"/>
      <c r="J92" s="354"/>
      <c r="K92" s="354"/>
      <c r="L92" s="354"/>
      <c r="M92" s="354"/>
      <c r="N92" s="354"/>
      <c r="O92" s="354"/>
      <c r="P92" s="354"/>
      <c r="Q92" s="354"/>
      <c r="R92" s="354"/>
      <c r="S92" s="354"/>
      <c r="T92" s="354"/>
      <c r="U92" s="354"/>
      <c r="V92" s="354"/>
    </row>
    <row r="93" spans="1:22" ht="14.4">
      <c r="A93" s="376"/>
      <c r="B93" s="354"/>
      <c r="C93" s="354"/>
      <c r="D93" s="354"/>
      <c r="E93" s="354"/>
      <c r="F93" s="354"/>
      <c r="G93" s="354"/>
      <c r="H93" s="354"/>
      <c r="I93" s="354"/>
      <c r="J93" s="354"/>
      <c r="K93" s="354"/>
      <c r="L93" s="354"/>
      <c r="M93" s="354"/>
      <c r="N93" s="354"/>
      <c r="O93" s="354"/>
      <c r="P93" s="354"/>
      <c r="Q93" s="354"/>
      <c r="R93" s="354"/>
      <c r="S93" s="354"/>
      <c r="T93" s="354"/>
      <c r="U93" s="354"/>
      <c r="V93" s="354"/>
    </row>
    <row r="94" spans="1:22" ht="14.4">
      <c r="A94" s="376"/>
      <c r="B94" s="354"/>
      <c r="C94" s="354"/>
      <c r="D94" s="354"/>
      <c r="E94" s="354"/>
      <c r="F94" s="354"/>
      <c r="G94" s="354"/>
      <c r="H94" s="354"/>
      <c r="I94" s="354"/>
      <c r="J94" s="354"/>
      <c r="K94" s="354"/>
      <c r="L94" s="354"/>
      <c r="M94" s="354"/>
      <c r="N94" s="354"/>
      <c r="O94" s="354"/>
      <c r="P94" s="354"/>
      <c r="Q94" s="354"/>
      <c r="R94" s="354"/>
      <c r="S94" s="354"/>
      <c r="T94" s="354"/>
      <c r="U94" s="354"/>
      <c r="V94" s="354"/>
    </row>
    <row r="95" spans="1:22" ht="14.4">
      <c r="A95" s="376"/>
      <c r="B95" s="354"/>
      <c r="C95" s="354"/>
      <c r="D95" s="354"/>
      <c r="E95" s="354"/>
      <c r="F95" s="354"/>
      <c r="G95" s="354"/>
      <c r="H95" s="354"/>
      <c r="I95" s="354"/>
      <c r="J95" s="354"/>
      <c r="K95" s="354"/>
      <c r="L95" s="354"/>
      <c r="M95" s="354"/>
      <c r="N95" s="354"/>
      <c r="O95" s="354"/>
      <c r="P95" s="354"/>
      <c r="Q95" s="354"/>
      <c r="R95" s="354"/>
      <c r="S95" s="354"/>
      <c r="T95" s="354"/>
      <c r="U95" s="354"/>
      <c r="V95" s="354"/>
    </row>
    <row r="96" spans="1:22" ht="14.4">
      <c r="A96" s="376"/>
      <c r="B96" s="354"/>
      <c r="C96" s="354"/>
      <c r="D96" s="354"/>
      <c r="E96" s="354"/>
      <c r="F96" s="354"/>
      <c r="G96" s="354"/>
      <c r="H96" s="354"/>
      <c r="I96" s="354"/>
      <c r="J96" s="354"/>
      <c r="K96" s="354"/>
      <c r="L96" s="354"/>
      <c r="M96" s="354"/>
      <c r="N96" s="354"/>
      <c r="O96" s="354"/>
      <c r="P96" s="354"/>
      <c r="Q96" s="354"/>
      <c r="R96" s="354"/>
      <c r="S96" s="354"/>
      <c r="T96" s="354"/>
      <c r="U96" s="354"/>
      <c r="V96" s="354"/>
    </row>
    <row r="97" spans="1:22" ht="14.4">
      <c r="A97" s="376"/>
      <c r="B97" s="354"/>
      <c r="C97" s="354"/>
      <c r="D97" s="354"/>
      <c r="E97" s="354"/>
      <c r="F97" s="354"/>
      <c r="G97" s="354"/>
      <c r="H97" s="354"/>
      <c r="I97" s="354"/>
      <c r="J97" s="354"/>
      <c r="K97" s="354"/>
      <c r="L97" s="354"/>
      <c r="M97" s="354"/>
      <c r="N97" s="354"/>
      <c r="O97" s="354"/>
      <c r="P97" s="354"/>
      <c r="Q97" s="354"/>
      <c r="R97" s="354"/>
      <c r="S97" s="354"/>
      <c r="T97" s="354"/>
      <c r="U97" s="354"/>
      <c r="V97" s="354"/>
    </row>
    <row r="98" spans="1:22" ht="14.4">
      <c r="A98" s="376"/>
      <c r="B98" s="354"/>
      <c r="C98" s="354"/>
      <c r="D98" s="354"/>
      <c r="E98" s="354"/>
      <c r="F98" s="354"/>
      <c r="G98" s="354"/>
      <c r="H98" s="354"/>
      <c r="I98" s="354"/>
      <c r="J98" s="354"/>
      <c r="K98" s="354"/>
      <c r="L98" s="354"/>
      <c r="M98" s="354"/>
      <c r="N98" s="354"/>
      <c r="O98" s="354"/>
      <c r="P98" s="354"/>
      <c r="Q98" s="354"/>
      <c r="R98" s="354"/>
      <c r="S98" s="354"/>
      <c r="T98" s="354"/>
      <c r="U98" s="354"/>
      <c r="V98" s="354"/>
    </row>
    <row r="99" spans="1:22" ht="14.4">
      <c r="A99" s="376"/>
      <c r="B99" s="354"/>
      <c r="C99" s="354"/>
      <c r="D99" s="354"/>
      <c r="E99" s="354"/>
      <c r="F99" s="354"/>
      <c r="G99" s="354"/>
      <c r="H99" s="354"/>
      <c r="I99" s="354"/>
      <c r="J99" s="354"/>
      <c r="K99" s="354"/>
      <c r="L99" s="354"/>
      <c r="M99" s="354"/>
      <c r="N99" s="354"/>
      <c r="O99" s="354"/>
      <c r="P99" s="354"/>
      <c r="Q99" s="354"/>
      <c r="R99" s="354"/>
      <c r="S99" s="354"/>
      <c r="T99" s="354"/>
      <c r="U99" s="354"/>
      <c r="V99" s="354"/>
    </row>
    <row r="100" spans="1:22" ht="14.4">
      <c r="A100" s="376"/>
      <c r="B100" s="354"/>
      <c r="C100" s="354"/>
      <c r="D100" s="354"/>
      <c r="E100" s="354"/>
      <c r="F100" s="354"/>
      <c r="G100" s="354"/>
      <c r="H100" s="354"/>
      <c r="I100" s="354"/>
      <c r="J100" s="354"/>
      <c r="K100" s="354"/>
      <c r="L100" s="354"/>
      <c r="M100" s="354"/>
      <c r="N100" s="354"/>
      <c r="O100" s="354"/>
      <c r="P100" s="354"/>
      <c r="Q100" s="354"/>
      <c r="R100" s="354"/>
      <c r="S100" s="354"/>
      <c r="T100" s="354"/>
      <c r="U100" s="354"/>
      <c r="V100" s="354"/>
    </row>
    <row r="101" spans="1:22" ht="14.4">
      <c r="A101" s="376"/>
      <c r="B101" s="354"/>
      <c r="C101" s="354"/>
      <c r="D101" s="354"/>
      <c r="E101" s="354"/>
      <c r="F101" s="354"/>
      <c r="G101" s="354"/>
      <c r="H101" s="354"/>
      <c r="I101" s="354"/>
      <c r="J101" s="354"/>
      <c r="K101" s="354"/>
      <c r="L101" s="354"/>
      <c r="M101" s="354"/>
      <c r="N101" s="354"/>
      <c r="O101" s="354"/>
      <c r="P101" s="354"/>
      <c r="Q101" s="354"/>
      <c r="R101" s="354"/>
      <c r="S101" s="354"/>
      <c r="T101" s="354"/>
      <c r="U101" s="354"/>
      <c r="V101" s="354"/>
    </row>
    <row r="102" spans="1:22" ht="14.4">
      <c r="A102" s="376"/>
      <c r="B102" s="354"/>
      <c r="C102" s="354"/>
      <c r="D102" s="354"/>
      <c r="E102" s="354"/>
      <c r="F102" s="354"/>
      <c r="G102" s="354"/>
      <c r="H102" s="354"/>
      <c r="I102" s="354"/>
      <c r="J102" s="354"/>
      <c r="K102" s="354"/>
      <c r="L102" s="354"/>
      <c r="M102" s="354"/>
      <c r="N102" s="354"/>
      <c r="O102" s="354"/>
      <c r="P102" s="354"/>
      <c r="Q102" s="354"/>
      <c r="R102" s="354"/>
      <c r="S102" s="354"/>
      <c r="T102" s="354"/>
      <c r="U102" s="354"/>
      <c r="V102" s="354"/>
    </row>
    <row r="103" spans="1:22" ht="14.4">
      <c r="A103" s="376"/>
      <c r="B103" s="354"/>
      <c r="C103" s="354"/>
      <c r="D103" s="354"/>
      <c r="E103" s="354"/>
      <c r="F103" s="354"/>
      <c r="G103" s="354"/>
      <c r="H103" s="354"/>
      <c r="I103" s="354"/>
      <c r="J103" s="354"/>
      <c r="K103" s="354"/>
      <c r="L103" s="354"/>
      <c r="M103" s="354"/>
      <c r="N103" s="354"/>
      <c r="O103" s="354"/>
      <c r="P103" s="354"/>
      <c r="Q103" s="354"/>
      <c r="R103" s="354"/>
      <c r="S103" s="354"/>
      <c r="T103" s="354"/>
      <c r="U103" s="354"/>
      <c r="V103" s="354"/>
    </row>
    <row r="104" spans="1:22" ht="14.4">
      <c r="A104" s="376"/>
      <c r="B104" s="354"/>
      <c r="C104" s="354"/>
      <c r="D104" s="354"/>
      <c r="E104" s="354"/>
      <c r="F104" s="354"/>
      <c r="G104" s="354"/>
      <c r="H104" s="354"/>
      <c r="I104" s="354"/>
      <c r="J104" s="354"/>
      <c r="K104" s="354"/>
      <c r="L104" s="354"/>
      <c r="M104" s="354"/>
      <c r="N104" s="354"/>
      <c r="O104" s="354"/>
      <c r="P104" s="354"/>
      <c r="Q104" s="354"/>
      <c r="R104" s="354"/>
      <c r="S104" s="354"/>
      <c r="T104" s="354"/>
      <c r="U104" s="354"/>
      <c r="V104" s="354"/>
    </row>
    <row r="105" spans="1:22" ht="14.4">
      <c r="A105" s="376"/>
      <c r="B105" s="354"/>
      <c r="C105" s="354"/>
      <c r="D105" s="354"/>
      <c r="E105" s="354"/>
      <c r="F105" s="354"/>
      <c r="G105" s="354"/>
      <c r="H105" s="354"/>
      <c r="I105" s="354"/>
      <c r="J105" s="354"/>
      <c r="K105" s="354"/>
      <c r="L105" s="354"/>
      <c r="M105" s="354"/>
      <c r="N105" s="354"/>
      <c r="O105" s="354"/>
      <c r="P105" s="354"/>
      <c r="Q105" s="354"/>
      <c r="R105" s="354"/>
      <c r="S105" s="354"/>
      <c r="T105" s="354"/>
      <c r="U105" s="354"/>
      <c r="V105" s="354"/>
    </row>
    <row r="106" spans="1:22" ht="14.4">
      <c r="A106" s="376"/>
      <c r="B106" s="354"/>
      <c r="C106" s="354"/>
      <c r="D106" s="354"/>
      <c r="E106" s="354"/>
      <c r="F106" s="354"/>
      <c r="G106" s="354"/>
      <c r="H106" s="354"/>
      <c r="I106" s="354"/>
      <c r="J106" s="354"/>
      <c r="K106" s="354"/>
      <c r="L106" s="354"/>
      <c r="M106" s="354"/>
      <c r="N106" s="354"/>
      <c r="O106" s="354"/>
      <c r="P106" s="354"/>
      <c r="Q106" s="354"/>
      <c r="R106" s="354"/>
      <c r="S106" s="354"/>
      <c r="T106" s="354"/>
      <c r="U106" s="354"/>
      <c r="V106" s="354"/>
    </row>
    <row r="107" spans="1:22" ht="14.4">
      <c r="A107" s="376"/>
      <c r="B107" s="354"/>
      <c r="C107" s="354"/>
      <c r="D107" s="354"/>
      <c r="E107" s="354"/>
      <c r="F107" s="354"/>
      <c r="G107" s="354"/>
      <c r="H107" s="354"/>
      <c r="I107" s="354"/>
      <c r="J107" s="354"/>
      <c r="K107" s="354"/>
      <c r="L107" s="354"/>
      <c r="M107" s="354"/>
      <c r="N107" s="354"/>
      <c r="O107" s="354"/>
      <c r="P107" s="354"/>
      <c r="Q107" s="354"/>
      <c r="R107" s="354"/>
      <c r="S107" s="354"/>
      <c r="T107" s="354"/>
      <c r="U107" s="354"/>
      <c r="V107" s="354"/>
    </row>
    <row r="108" spans="1:22" ht="14.4">
      <c r="A108" s="376"/>
      <c r="B108" s="354"/>
      <c r="C108" s="354"/>
      <c r="D108" s="354"/>
      <c r="E108" s="354"/>
      <c r="F108" s="354"/>
      <c r="G108" s="354"/>
      <c r="H108" s="354"/>
      <c r="I108" s="354"/>
      <c r="J108" s="354"/>
      <c r="K108" s="354"/>
      <c r="L108" s="354"/>
      <c r="M108" s="354"/>
      <c r="N108" s="354"/>
      <c r="O108" s="354"/>
      <c r="P108" s="354"/>
      <c r="Q108" s="354"/>
      <c r="R108" s="354"/>
      <c r="S108" s="354"/>
      <c r="T108" s="354"/>
      <c r="U108" s="354"/>
      <c r="V108" s="354"/>
    </row>
    <row r="109" spans="1:22" ht="14.4">
      <c r="A109" s="376"/>
      <c r="B109" s="354"/>
      <c r="C109" s="354"/>
      <c r="D109" s="354"/>
      <c r="E109" s="354"/>
      <c r="F109" s="354"/>
      <c r="G109" s="354"/>
      <c r="H109" s="354"/>
      <c r="I109" s="354"/>
      <c r="J109" s="354"/>
      <c r="K109" s="354"/>
      <c r="L109" s="354"/>
      <c r="M109" s="354"/>
      <c r="N109" s="354"/>
      <c r="O109" s="354"/>
      <c r="P109" s="354"/>
      <c r="Q109" s="354"/>
      <c r="R109" s="354"/>
      <c r="S109" s="354"/>
      <c r="T109" s="354"/>
      <c r="U109" s="354"/>
      <c r="V109" s="354"/>
    </row>
    <row r="110" spans="1:22" ht="14.4">
      <c r="A110" s="376"/>
      <c r="B110" s="354"/>
      <c r="C110" s="354"/>
      <c r="D110" s="354"/>
      <c r="E110" s="354"/>
      <c r="F110" s="354"/>
      <c r="G110" s="354"/>
      <c r="H110" s="354"/>
      <c r="I110" s="354"/>
      <c r="J110" s="354"/>
      <c r="K110" s="354"/>
      <c r="L110" s="354"/>
      <c r="M110" s="354"/>
      <c r="N110" s="354"/>
      <c r="O110" s="354"/>
      <c r="P110" s="354"/>
      <c r="Q110" s="354"/>
      <c r="R110" s="354"/>
      <c r="S110" s="354"/>
      <c r="T110" s="354"/>
      <c r="U110" s="354"/>
      <c r="V110" s="354"/>
    </row>
    <row r="111" spans="1:22" ht="14.4">
      <c r="A111" s="376"/>
      <c r="B111" s="354"/>
      <c r="C111" s="354"/>
      <c r="D111" s="354"/>
      <c r="E111" s="354"/>
      <c r="F111" s="354"/>
      <c r="G111" s="354"/>
      <c r="H111" s="354"/>
      <c r="I111" s="354"/>
      <c r="J111" s="354"/>
      <c r="K111" s="354"/>
      <c r="L111" s="354"/>
      <c r="M111" s="354"/>
      <c r="N111" s="354"/>
      <c r="O111" s="354"/>
      <c r="P111" s="354"/>
      <c r="Q111" s="354"/>
      <c r="R111" s="354"/>
      <c r="S111" s="354"/>
      <c r="T111" s="354"/>
      <c r="U111" s="354"/>
      <c r="V111" s="354"/>
    </row>
    <row r="112" spans="1:22" ht="14.4">
      <c r="A112" s="376"/>
      <c r="B112" s="354"/>
      <c r="C112" s="354"/>
      <c r="D112" s="354"/>
      <c r="E112" s="354"/>
      <c r="F112" s="354"/>
      <c r="G112" s="354"/>
      <c r="H112" s="354"/>
      <c r="I112" s="354"/>
      <c r="J112" s="354"/>
      <c r="K112" s="354"/>
      <c r="L112" s="354"/>
      <c r="M112" s="354"/>
      <c r="N112" s="354"/>
      <c r="O112" s="354"/>
      <c r="P112" s="354"/>
      <c r="Q112" s="354"/>
      <c r="R112" s="354"/>
      <c r="S112" s="354"/>
      <c r="T112" s="354"/>
      <c r="U112" s="354"/>
      <c r="V112" s="354"/>
    </row>
    <row r="113" spans="1:22" ht="14.4">
      <c r="A113" s="376"/>
      <c r="B113" s="354"/>
      <c r="C113" s="354"/>
      <c r="D113" s="354"/>
      <c r="E113" s="354"/>
      <c r="F113" s="354"/>
      <c r="G113" s="354"/>
      <c r="H113" s="354"/>
      <c r="I113" s="354"/>
      <c r="J113" s="354"/>
      <c r="K113" s="354"/>
      <c r="L113" s="354"/>
      <c r="M113" s="354"/>
      <c r="N113" s="354"/>
      <c r="O113" s="354"/>
      <c r="P113" s="354"/>
      <c r="Q113" s="354"/>
      <c r="R113" s="354"/>
      <c r="S113" s="354"/>
      <c r="T113" s="354"/>
      <c r="U113" s="354"/>
      <c r="V113" s="354"/>
    </row>
    <row r="114" spans="1:22" ht="14.4">
      <c r="A114" s="376"/>
      <c r="B114" s="354"/>
      <c r="C114" s="354"/>
      <c r="D114" s="354"/>
      <c r="E114" s="354"/>
      <c r="F114" s="354"/>
      <c r="G114" s="354"/>
      <c r="H114" s="354"/>
      <c r="I114" s="354"/>
      <c r="J114" s="354"/>
      <c r="K114" s="354"/>
      <c r="L114" s="354"/>
      <c r="M114" s="354"/>
      <c r="N114" s="354"/>
      <c r="O114" s="354"/>
      <c r="P114" s="354"/>
      <c r="Q114" s="354"/>
      <c r="R114" s="354"/>
      <c r="S114" s="354"/>
      <c r="T114" s="354"/>
      <c r="U114" s="354"/>
      <c r="V114" s="354"/>
    </row>
    <row r="115" spans="1:22" ht="14.4">
      <c r="A115" s="376"/>
      <c r="B115" s="354"/>
      <c r="C115" s="354"/>
      <c r="D115" s="354"/>
      <c r="E115" s="354"/>
      <c r="F115" s="354"/>
      <c r="G115" s="354"/>
      <c r="H115" s="354"/>
      <c r="I115" s="354"/>
      <c r="J115" s="354"/>
      <c r="K115" s="354"/>
      <c r="L115" s="354"/>
      <c r="M115" s="354"/>
      <c r="N115" s="354"/>
      <c r="O115" s="354"/>
      <c r="P115" s="354"/>
      <c r="Q115" s="354"/>
      <c r="R115" s="354"/>
      <c r="S115" s="354"/>
      <c r="T115" s="354"/>
      <c r="U115" s="354"/>
      <c r="V115" s="354"/>
    </row>
    <row r="116" spans="1:22" ht="14.4">
      <c r="A116" s="376"/>
      <c r="B116" s="354"/>
      <c r="C116" s="354"/>
      <c r="D116" s="354"/>
      <c r="E116" s="354"/>
      <c r="F116" s="354"/>
      <c r="G116" s="354"/>
      <c r="H116" s="354"/>
      <c r="I116" s="354"/>
      <c r="J116" s="354"/>
      <c r="K116" s="354"/>
      <c r="L116" s="354"/>
      <c r="M116" s="354"/>
      <c r="N116" s="354"/>
      <c r="O116" s="354"/>
      <c r="P116" s="354"/>
      <c r="Q116" s="354"/>
      <c r="R116" s="354"/>
      <c r="S116" s="354"/>
      <c r="T116" s="354"/>
      <c r="U116" s="354"/>
      <c r="V116" s="354"/>
    </row>
    <row r="117" spans="1:22" ht="14.4">
      <c r="A117" s="376"/>
      <c r="B117" s="354"/>
      <c r="C117" s="354"/>
      <c r="D117" s="354"/>
      <c r="E117" s="354"/>
      <c r="F117" s="354"/>
      <c r="G117" s="354"/>
      <c r="H117" s="354"/>
      <c r="I117" s="354"/>
      <c r="J117" s="354"/>
      <c r="K117" s="354"/>
      <c r="L117" s="354"/>
      <c r="M117" s="354"/>
      <c r="N117" s="354"/>
      <c r="O117" s="354"/>
      <c r="P117" s="354"/>
      <c r="Q117" s="354"/>
      <c r="R117" s="354"/>
      <c r="S117" s="354"/>
      <c r="T117" s="354"/>
      <c r="U117" s="354"/>
      <c r="V117" s="354"/>
    </row>
    <row r="118" spans="1:22" ht="14.4">
      <c r="A118" s="376"/>
      <c r="B118" s="354"/>
      <c r="C118" s="354"/>
      <c r="D118" s="354"/>
      <c r="E118" s="354"/>
      <c r="F118" s="354"/>
      <c r="G118" s="354"/>
      <c r="H118" s="354"/>
      <c r="I118" s="354"/>
      <c r="J118" s="354"/>
      <c r="K118" s="354"/>
      <c r="L118" s="354"/>
      <c r="M118" s="354"/>
      <c r="N118" s="354"/>
      <c r="O118" s="354"/>
      <c r="P118" s="354"/>
      <c r="Q118" s="354"/>
      <c r="R118" s="354"/>
      <c r="S118" s="354"/>
      <c r="T118" s="354"/>
      <c r="U118" s="354"/>
      <c r="V118" s="354"/>
    </row>
    <row r="119" spans="1:22" ht="14.4">
      <c r="A119" s="376"/>
      <c r="B119" s="354"/>
      <c r="C119" s="354"/>
      <c r="D119" s="354"/>
      <c r="E119" s="354"/>
      <c r="F119" s="354"/>
      <c r="G119" s="354"/>
      <c r="H119" s="354"/>
      <c r="I119" s="354"/>
      <c r="J119" s="354"/>
      <c r="K119" s="354"/>
      <c r="L119" s="354"/>
      <c r="M119" s="354"/>
      <c r="N119" s="354"/>
      <c r="O119" s="354"/>
      <c r="P119" s="354"/>
      <c r="Q119" s="354"/>
      <c r="R119" s="354"/>
      <c r="S119" s="354"/>
      <c r="T119" s="354"/>
      <c r="U119" s="354"/>
      <c r="V119" s="354"/>
    </row>
    <row r="120" spans="1:22" ht="14.4">
      <c r="A120" s="376"/>
      <c r="B120" s="354"/>
      <c r="C120" s="354"/>
      <c r="D120" s="354"/>
      <c r="E120" s="354"/>
      <c r="F120" s="354"/>
      <c r="G120" s="354"/>
      <c r="H120" s="354"/>
      <c r="I120" s="354"/>
      <c r="J120" s="354"/>
      <c r="K120" s="354"/>
      <c r="L120" s="354"/>
      <c r="M120" s="354"/>
      <c r="N120" s="354"/>
      <c r="O120" s="354"/>
      <c r="P120" s="354"/>
      <c r="Q120" s="354"/>
      <c r="R120" s="354"/>
      <c r="S120" s="354"/>
      <c r="T120" s="354"/>
      <c r="U120" s="354"/>
      <c r="V120" s="354"/>
    </row>
    <row r="121" spans="1:22" ht="14.4">
      <c r="A121" s="376"/>
      <c r="B121" s="354"/>
      <c r="C121" s="354"/>
      <c r="D121" s="354"/>
      <c r="E121" s="354"/>
      <c r="F121" s="354"/>
      <c r="G121" s="354"/>
      <c r="H121" s="354"/>
      <c r="I121" s="354"/>
      <c r="J121" s="354"/>
      <c r="K121" s="354"/>
      <c r="L121" s="354"/>
      <c r="M121" s="354"/>
      <c r="N121" s="354"/>
      <c r="O121" s="354"/>
      <c r="P121" s="354"/>
      <c r="Q121" s="354"/>
      <c r="R121" s="354"/>
      <c r="S121" s="354"/>
      <c r="T121" s="354"/>
      <c r="U121" s="354"/>
      <c r="V121" s="354"/>
    </row>
    <row r="122" spans="1:22" ht="14.4">
      <c r="A122" s="376"/>
      <c r="B122" s="354"/>
      <c r="C122" s="354"/>
      <c r="D122" s="354"/>
      <c r="E122" s="354"/>
      <c r="F122" s="354"/>
      <c r="G122" s="354"/>
      <c r="H122" s="354"/>
      <c r="I122" s="354"/>
      <c r="J122" s="354"/>
      <c r="K122" s="354"/>
      <c r="L122" s="354"/>
      <c r="M122" s="354"/>
      <c r="N122" s="354"/>
      <c r="O122" s="354"/>
      <c r="P122" s="354"/>
      <c r="Q122" s="354"/>
      <c r="R122" s="354"/>
      <c r="S122" s="354"/>
      <c r="T122" s="354"/>
      <c r="U122" s="354"/>
      <c r="V122" s="354"/>
    </row>
    <row r="123" spans="1:22" ht="14.4">
      <c r="A123" s="376"/>
      <c r="B123" s="354"/>
      <c r="C123" s="354"/>
      <c r="D123" s="354"/>
      <c r="E123" s="354"/>
      <c r="F123" s="354"/>
      <c r="G123" s="354"/>
      <c r="H123" s="354"/>
      <c r="I123" s="354"/>
      <c r="J123" s="354"/>
      <c r="K123" s="354"/>
      <c r="L123" s="354"/>
      <c r="M123" s="354"/>
      <c r="N123" s="354"/>
      <c r="O123" s="354"/>
      <c r="P123" s="354"/>
      <c r="Q123" s="354"/>
      <c r="R123" s="354"/>
      <c r="S123" s="354"/>
      <c r="T123" s="354"/>
      <c r="U123" s="354"/>
      <c r="V123" s="354"/>
    </row>
    <row r="124" spans="1:22" ht="14.4">
      <c r="A124" s="376"/>
      <c r="B124" s="354"/>
      <c r="C124" s="354"/>
      <c r="D124" s="354"/>
      <c r="E124" s="354"/>
      <c r="F124" s="354"/>
      <c r="G124" s="354"/>
      <c r="H124" s="354"/>
      <c r="I124" s="354"/>
      <c r="J124" s="354"/>
      <c r="K124" s="354"/>
      <c r="L124" s="354"/>
      <c r="M124" s="354"/>
      <c r="N124" s="354"/>
      <c r="O124" s="354"/>
      <c r="P124" s="354"/>
      <c r="Q124" s="354"/>
      <c r="R124" s="354"/>
      <c r="S124" s="354"/>
      <c r="T124" s="354"/>
      <c r="U124" s="354"/>
      <c r="V124" s="354"/>
    </row>
    <row r="125" spans="1:22" ht="14.4">
      <c r="A125" s="376"/>
      <c r="B125" s="354"/>
      <c r="C125" s="354"/>
      <c r="D125" s="354"/>
      <c r="E125" s="354"/>
      <c r="F125" s="354"/>
      <c r="G125" s="354"/>
      <c r="H125" s="354"/>
      <c r="I125" s="354"/>
      <c r="J125" s="354"/>
      <c r="K125" s="354"/>
      <c r="L125" s="354"/>
      <c r="M125" s="354"/>
      <c r="N125" s="354"/>
      <c r="O125" s="354"/>
      <c r="P125" s="354"/>
      <c r="Q125" s="354"/>
      <c r="R125" s="354"/>
      <c r="S125" s="354"/>
      <c r="T125" s="354"/>
      <c r="U125" s="354"/>
      <c r="V125" s="354"/>
    </row>
    <row r="126" spans="1:22" ht="14.4">
      <c r="A126" s="376"/>
      <c r="B126" s="354"/>
      <c r="C126" s="354"/>
      <c r="D126" s="354"/>
      <c r="E126" s="354"/>
      <c r="F126" s="354"/>
      <c r="G126" s="354"/>
      <c r="H126" s="354"/>
      <c r="I126" s="354"/>
      <c r="J126" s="354"/>
      <c r="K126" s="354"/>
      <c r="L126" s="354"/>
      <c r="M126" s="354"/>
      <c r="N126" s="354"/>
      <c r="O126" s="354"/>
      <c r="P126" s="354"/>
      <c r="Q126" s="354"/>
      <c r="R126" s="354"/>
      <c r="S126" s="354"/>
      <c r="T126" s="354"/>
      <c r="U126" s="354"/>
      <c r="V126" s="354"/>
    </row>
    <row r="127" spans="1:22" ht="14.4">
      <c r="A127" s="376"/>
      <c r="B127" s="354"/>
      <c r="C127" s="354"/>
      <c r="D127" s="354"/>
      <c r="E127" s="354"/>
      <c r="F127" s="354"/>
      <c r="G127" s="354"/>
      <c r="H127" s="354"/>
      <c r="I127" s="354"/>
      <c r="J127" s="354"/>
      <c r="K127" s="354"/>
      <c r="L127" s="354"/>
      <c r="M127" s="354"/>
      <c r="N127" s="354"/>
      <c r="O127" s="354"/>
      <c r="P127" s="354"/>
      <c r="Q127" s="354"/>
      <c r="R127" s="354"/>
      <c r="S127" s="354"/>
      <c r="T127" s="354"/>
      <c r="U127" s="354"/>
      <c r="V127" s="354"/>
    </row>
    <row r="128" spans="1:22" ht="14.4">
      <c r="A128" s="376"/>
      <c r="B128" s="354"/>
      <c r="C128" s="354"/>
      <c r="D128" s="354"/>
      <c r="E128" s="354"/>
      <c r="F128" s="354"/>
      <c r="G128" s="354"/>
      <c r="H128" s="354"/>
      <c r="I128" s="354"/>
      <c r="J128" s="354"/>
      <c r="K128" s="354"/>
      <c r="L128" s="354"/>
      <c r="M128" s="354"/>
      <c r="N128" s="354"/>
      <c r="O128" s="354"/>
      <c r="P128" s="354"/>
      <c r="Q128" s="354"/>
      <c r="R128" s="354"/>
      <c r="S128" s="354"/>
      <c r="T128" s="354"/>
      <c r="U128" s="354"/>
      <c r="V128" s="354"/>
    </row>
    <row r="129" spans="1:22" ht="14.4">
      <c r="A129" s="376"/>
      <c r="B129" s="354"/>
      <c r="C129" s="354"/>
      <c r="D129" s="354"/>
      <c r="E129" s="354"/>
      <c r="F129" s="354"/>
      <c r="G129" s="354"/>
      <c r="H129" s="354"/>
      <c r="I129" s="354"/>
      <c r="J129" s="354"/>
      <c r="K129" s="354"/>
      <c r="L129" s="354"/>
      <c r="M129" s="354"/>
      <c r="N129" s="354"/>
      <c r="O129" s="354"/>
      <c r="P129" s="354"/>
      <c r="Q129" s="354"/>
      <c r="R129" s="354"/>
      <c r="S129" s="354"/>
      <c r="T129" s="354"/>
      <c r="U129" s="354"/>
      <c r="V129" s="354"/>
    </row>
    <row r="130" spans="1:22" ht="14.4">
      <c r="A130" s="376"/>
      <c r="B130" s="354"/>
      <c r="C130" s="354"/>
      <c r="D130" s="354"/>
      <c r="E130" s="354"/>
      <c r="F130" s="354"/>
      <c r="G130" s="354"/>
      <c r="H130" s="354"/>
      <c r="I130" s="354"/>
      <c r="J130" s="354"/>
      <c r="K130" s="354"/>
      <c r="L130" s="354"/>
      <c r="M130" s="354"/>
      <c r="N130" s="354"/>
      <c r="O130" s="354"/>
      <c r="P130" s="354"/>
      <c r="Q130" s="354"/>
      <c r="R130" s="354"/>
      <c r="S130" s="354"/>
      <c r="T130" s="354"/>
      <c r="U130" s="354"/>
      <c r="V130" s="354"/>
    </row>
    <row r="131" spans="1:22" ht="14.4">
      <c r="A131" s="376"/>
      <c r="B131" s="354"/>
      <c r="C131" s="354"/>
      <c r="D131" s="354"/>
      <c r="E131" s="354"/>
      <c r="F131" s="354"/>
      <c r="G131" s="354"/>
      <c r="H131" s="354"/>
      <c r="I131" s="354"/>
      <c r="J131" s="354"/>
      <c r="K131" s="354"/>
      <c r="L131" s="354"/>
      <c r="M131" s="354"/>
      <c r="N131" s="354"/>
      <c r="O131" s="354"/>
      <c r="P131" s="354"/>
      <c r="Q131" s="354"/>
      <c r="R131" s="354"/>
      <c r="S131" s="354"/>
      <c r="T131" s="354"/>
      <c r="U131" s="354"/>
      <c r="V131" s="354"/>
    </row>
    <row r="132" spans="1:22" ht="14.4">
      <c r="A132" s="376"/>
      <c r="B132" s="354"/>
      <c r="C132" s="354"/>
      <c r="D132" s="354"/>
      <c r="E132" s="354"/>
      <c r="F132" s="354"/>
      <c r="G132" s="354"/>
      <c r="H132" s="354"/>
      <c r="I132" s="354"/>
      <c r="J132" s="354"/>
      <c r="K132" s="354"/>
      <c r="L132" s="354"/>
      <c r="M132" s="354"/>
      <c r="N132" s="354"/>
      <c r="O132" s="354"/>
      <c r="P132" s="354"/>
      <c r="Q132" s="354"/>
      <c r="R132" s="354"/>
      <c r="S132" s="354"/>
      <c r="T132" s="354"/>
      <c r="U132" s="354"/>
      <c r="V132" s="354"/>
    </row>
    <row r="133" spans="1:22" ht="14.4">
      <c r="A133" s="376"/>
      <c r="B133" s="354"/>
      <c r="C133" s="354"/>
      <c r="D133" s="354"/>
      <c r="E133" s="354"/>
      <c r="F133" s="354"/>
      <c r="G133" s="354"/>
      <c r="H133" s="354"/>
      <c r="I133" s="354"/>
      <c r="J133" s="354"/>
      <c r="K133" s="354"/>
      <c r="L133" s="354"/>
      <c r="M133" s="354"/>
      <c r="N133" s="354"/>
      <c r="O133" s="354"/>
      <c r="P133" s="354"/>
      <c r="Q133" s="354"/>
      <c r="R133" s="354"/>
      <c r="S133" s="354"/>
      <c r="T133" s="354"/>
      <c r="U133" s="354"/>
      <c r="V133" s="354"/>
    </row>
    <row r="134" spans="1:22" ht="14.4">
      <c r="A134" s="376"/>
      <c r="B134" s="354"/>
      <c r="C134" s="354"/>
      <c r="D134" s="354"/>
      <c r="E134" s="354"/>
      <c r="F134" s="354"/>
      <c r="G134" s="354"/>
      <c r="H134" s="354"/>
      <c r="I134" s="354"/>
      <c r="J134" s="354"/>
      <c r="K134" s="354"/>
      <c r="L134" s="354"/>
      <c r="M134" s="354"/>
      <c r="N134" s="354"/>
      <c r="O134" s="354"/>
      <c r="P134" s="354"/>
      <c r="Q134" s="354"/>
      <c r="R134" s="354"/>
      <c r="S134" s="354"/>
      <c r="T134" s="354"/>
      <c r="U134" s="354"/>
      <c r="V134" s="354"/>
    </row>
    <row r="135" spans="1:22" ht="14.4">
      <c r="A135" s="376"/>
      <c r="B135" s="354"/>
      <c r="C135" s="354"/>
      <c r="D135" s="354"/>
      <c r="E135" s="354"/>
      <c r="F135" s="354"/>
      <c r="G135" s="354"/>
      <c r="H135" s="354"/>
      <c r="I135" s="354"/>
      <c r="J135" s="354"/>
      <c r="K135" s="354"/>
      <c r="L135" s="354"/>
      <c r="M135" s="354"/>
      <c r="N135" s="354"/>
      <c r="O135" s="354"/>
      <c r="P135" s="354"/>
      <c r="Q135" s="354"/>
      <c r="R135" s="354"/>
      <c r="S135" s="354"/>
      <c r="T135" s="354"/>
      <c r="U135" s="354"/>
      <c r="V135" s="354"/>
    </row>
    <row r="136" spans="1:22" ht="14.4">
      <c r="A136" s="376"/>
      <c r="B136" s="354"/>
      <c r="C136" s="354"/>
      <c r="D136" s="354"/>
      <c r="E136" s="354"/>
      <c r="F136" s="354"/>
      <c r="G136" s="354"/>
      <c r="H136" s="354"/>
      <c r="I136" s="354"/>
      <c r="J136" s="354"/>
      <c r="K136" s="354"/>
      <c r="L136" s="354"/>
      <c r="M136" s="354"/>
      <c r="N136" s="354"/>
      <c r="O136" s="354"/>
      <c r="P136" s="354"/>
      <c r="Q136" s="354"/>
      <c r="R136" s="354"/>
      <c r="S136" s="354"/>
      <c r="T136" s="354"/>
      <c r="U136" s="354"/>
      <c r="V136" s="354"/>
    </row>
    <row r="137" spans="1:22" ht="14.4">
      <c r="A137" s="376"/>
      <c r="B137" s="354"/>
      <c r="C137" s="354"/>
      <c r="D137" s="354"/>
      <c r="E137" s="354"/>
      <c r="F137" s="354"/>
      <c r="G137" s="354"/>
      <c r="H137" s="354"/>
      <c r="I137" s="354"/>
      <c r="J137" s="354"/>
      <c r="K137" s="354"/>
      <c r="L137" s="354"/>
      <c r="M137" s="354"/>
      <c r="N137" s="354"/>
      <c r="O137" s="354"/>
      <c r="P137" s="354"/>
      <c r="Q137" s="354"/>
      <c r="R137" s="354"/>
      <c r="S137" s="354"/>
      <c r="T137" s="354"/>
      <c r="U137" s="354"/>
      <c r="V137" s="354"/>
    </row>
    <row r="138" spans="1:22" ht="14.4">
      <c r="A138" s="376"/>
      <c r="B138" s="354"/>
      <c r="C138" s="354"/>
      <c r="D138" s="354"/>
      <c r="E138" s="354"/>
      <c r="F138" s="354"/>
      <c r="G138" s="354"/>
      <c r="H138" s="354"/>
      <c r="I138" s="354"/>
      <c r="J138" s="354"/>
      <c r="K138" s="354"/>
      <c r="L138" s="354"/>
      <c r="M138" s="354"/>
      <c r="N138" s="354"/>
      <c r="O138" s="354"/>
      <c r="P138" s="354"/>
      <c r="Q138" s="354"/>
      <c r="R138" s="354"/>
      <c r="S138" s="354"/>
      <c r="T138" s="354"/>
      <c r="U138" s="354"/>
      <c r="V138" s="354"/>
    </row>
    <row r="139" spans="1:22" ht="14.4">
      <c r="A139" s="376"/>
      <c r="B139" s="354"/>
      <c r="C139" s="354"/>
      <c r="D139" s="354"/>
      <c r="E139" s="354"/>
      <c r="F139" s="354"/>
      <c r="G139" s="354"/>
      <c r="H139" s="354"/>
      <c r="I139" s="354"/>
      <c r="J139" s="354"/>
      <c r="K139" s="354"/>
      <c r="L139" s="354"/>
      <c r="M139" s="354"/>
      <c r="N139" s="354"/>
      <c r="O139" s="354"/>
      <c r="P139" s="354"/>
      <c r="Q139" s="354"/>
      <c r="R139" s="354"/>
      <c r="S139" s="354"/>
      <c r="T139" s="354"/>
      <c r="U139" s="354"/>
      <c r="V139" s="354"/>
    </row>
    <row r="140" spans="1:22" ht="14.4">
      <c r="A140" s="376"/>
      <c r="B140" s="354"/>
      <c r="C140" s="354"/>
      <c r="D140" s="354"/>
      <c r="E140" s="354"/>
      <c r="F140" s="354"/>
      <c r="G140" s="354"/>
      <c r="H140" s="354"/>
      <c r="I140" s="354"/>
      <c r="J140" s="354"/>
      <c r="K140" s="354"/>
      <c r="L140" s="354"/>
      <c r="M140" s="354"/>
      <c r="N140" s="354"/>
      <c r="O140" s="354"/>
      <c r="P140" s="354"/>
      <c r="Q140" s="354"/>
      <c r="R140" s="354"/>
      <c r="S140" s="354"/>
      <c r="T140" s="354"/>
      <c r="U140" s="354"/>
      <c r="V140" s="354"/>
    </row>
    <row r="141" spans="1:22" ht="14.4">
      <c r="A141" s="376"/>
      <c r="B141" s="354"/>
      <c r="C141" s="354"/>
      <c r="D141" s="354"/>
      <c r="E141" s="354"/>
      <c r="F141" s="354"/>
      <c r="G141" s="354"/>
      <c r="H141" s="354"/>
      <c r="I141" s="354"/>
      <c r="J141" s="354"/>
      <c r="K141" s="354"/>
      <c r="L141" s="354"/>
      <c r="M141" s="354"/>
      <c r="N141" s="354"/>
      <c r="O141" s="354"/>
      <c r="P141" s="354"/>
      <c r="Q141" s="354"/>
      <c r="R141" s="354"/>
      <c r="S141" s="354"/>
      <c r="T141" s="354"/>
      <c r="U141" s="354"/>
      <c r="V141" s="354"/>
    </row>
    <row r="142" spans="1:22" ht="14.4">
      <c r="A142" s="376"/>
      <c r="B142" s="354"/>
      <c r="C142" s="354"/>
      <c r="D142" s="354"/>
      <c r="E142" s="354"/>
      <c r="F142" s="354"/>
      <c r="G142" s="354"/>
      <c r="H142" s="354"/>
      <c r="I142" s="354"/>
      <c r="J142" s="354"/>
      <c r="K142" s="354"/>
      <c r="L142" s="354"/>
      <c r="M142" s="354"/>
      <c r="N142" s="354"/>
      <c r="O142" s="354"/>
      <c r="P142" s="354"/>
      <c r="Q142" s="354"/>
      <c r="R142" s="354"/>
      <c r="S142" s="354"/>
      <c r="T142" s="354"/>
      <c r="U142" s="354"/>
      <c r="V142" s="354"/>
    </row>
    <row r="143" spans="1:22" ht="14.4">
      <c r="A143" s="376"/>
      <c r="B143" s="354"/>
      <c r="C143" s="354"/>
      <c r="D143" s="354"/>
      <c r="E143" s="354"/>
      <c r="F143" s="354"/>
      <c r="G143" s="354"/>
      <c r="H143" s="354"/>
      <c r="I143" s="354"/>
      <c r="J143" s="354"/>
      <c r="K143" s="354"/>
      <c r="L143" s="354"/>
      <c r="M143" s="354"/>
      <c r="N143" s="354"/>
      <c r="O143" s="354"/>
      <c r="P143" s="354"/>
      <c r="Q143" s="354"/>
      <c r="R143" s="354"/>
      <c r="S143" s="354"/>
      <c r="T143" s="354"/>
      <c r="U143" s="354"/>
      <c r="V143" s="354"/>
    </row>
    <row r="144" spans="1:22" ht="14.4">
      <c r="A144" s="376"/>
      <c r="B144" s="354"/>
      <c r="C144" s="354"/>
      <c r="D144" s="354"/>
      <c r="E144" s="354"/>
      <c r="F144" s="354"/>
      <c r="G144" s="354"/>
      <c r="H144" s="354"/>
      <c r="I144" s="354"/>
      <c r="J144" s="354"/>
      <c r="K144" s="354"/>
      <c r="L144" s="354"/>
      <c r="M144" s="354"/>
      <c r="N144" s="354"/>
      <c r="O144" s="354"/>
      <c r="P144" s="354"/>
      <c r="Q144" s="354"/>
      <c r="R144" s="354"/>
      <c r="S144" s="354"/>
      <c r="T144" s="354"/>
      <c r="U144" s="354"/>
      <c r="V144" s="354"/>
    </row>
    <row r="145" spans="1:22" ht="14.4">
      <c r="A145" s="376"/>
      <c r="B145" s="354"/>
      <c r="C145" s="354"/>
      <c r="D145" s="354"/>
      <c r="E145" s="354"/>
      <c r="F145" s="354"/>
      <c r="G145" s="354"/>
      <c r="H145" s="354"/>
      <c r="I145" s="354"/>
      <c r="J145" s="354"/>
      <c r="K145" s="354"/>
      <c r="L145" s="354"/>
      <c r="M145" s="354"/>
      <c r="N145" s="354"/>
      <c r="O145" s="354"/>
      <c r="P145" s="354"/>
      <c r="Q145" s="354"/>
      <c r="R145" s="354"/>
      <c r="S145" s="354"/>
      <c r="T145" s="354"/>
      <c r="U145" s="354"/>
      <c r="V145" s="354"/>
    </row>
    <row r="146" spans="1:22" ht="14.4">
      <c r="A146" s="376"/>
      <c r="B146" s="354"/>
      <c r="C146" s="354"/>
      <c r="D146" s="354"/>
      <c r="E146" s="354"/>
      <c r="F146" s="354"/>
      <c r="G146" s="354"/>
      <c r="H146" s="354"/>
      <c r="I146" s="354"/>
      <c r="J146" s="354"/>
      <c r="K146" s="354"/>
      <c r="L146" s="354"/>
      <c r="M146" s="354"/>
      <c r="N146" s="354"/>
      <c r="O146" s="354"/>
      <c r="P146" s="354"/>
      <c r="Q146" s="354"/>
      <c r="R146" s="354"/>
      <c r="S146" s="354"/>
      <c r="T146" s="354"/>
      <c r="U146" s="354"/>
      <c r="V146" s="354"/>
    </row>
    <row r="147" spans="1:22" ht="14.4">
      <c r="A147" s="376"/>
      <c r="B147" s="354"/>
      <c r="C147" s="354"/>
      <c r="D147" s="354"/>
      <c r="E147" s="354"/>
      <c r="F147" s="354"/>
      <c r="G147" s="354"/>
      <c r="H147" s="354"/>
      <c r="I147" s="354"/>
      <c r="J147" s="354"/>
      <c r="K147" s="354"/>
      <c r="L147" s="354"/>
      <c r="M147" s="354"/>
      <c r="N147" s="354"/>
      <c r="O147" s="354"/>
      <c r="P147" s="354"/>
      <c r="Q147" s="354"/>
      <c r="R147" s="354"/>
      <c r="S147" s="354"/>
      <c r="T147" s="354"/>
      <c r="U147" s="354"/>
      <c r="V147" s="354"/>
    </row>
    <row r="148" spans="1:22" ht="14.4">
      <c r="A148" s="376"/>
      <c r="B148" s="354"/>
      <c r="C148" s="354"/>
      <c r="D148" s="354"/>
      <c r="E148" s="354"/>
      <c r="F148" s="354"/>
      <c r="G148" s="354"/>
      <c r="H148" s="354"/>
      <c r="I148" s="354"/>
      <c r="J148" s="354"/>
      <c r="K148" s="354"/>
      <c r="L148" s="354"/>
      <c r="M148" s="354"/>
      <c r="N148" s="354"/>
      <c r="O148" s="354"/>
      <c r="P148" s="354"/>
      <c r="Q148" s="354"/>
      <c r="R148" s="354"/>
      <c r="S148" s="354"/>
      <c r="T148" s="354"/>
      <c r="U148" s="354"/>
      <c r="V148" s="354"/>
    </row>
    <row r="149" spans="1:22" ht="14.4">
      <c r="A149" s="376"/>
      <c r="B149" s="354"/>
      <c r="C149" s="354"/>
      <c r="D149" s="354"/>
      <c r="E149" s="354"/>
      <c r="F149" s="354"/>
      <c r="G149" s="354"/>
      <c r="H149" s="354"/>
      <c r="I149" s="354"/>
      <c r="J149" s="354"/>
      <c r="K149" s="354"/>
      <c r="L149" s="354"/>
      <c r="M149" s="354"/>
      <c r="N149" s="354"/>
      <c r="O149" s="354"/>
      <c r="P149" s="354"/>
      <c r="Q149" s="354"/>
      <c r="R149" s="354"/>
      <c r="S149" s="354"/>
      <c r="T149" s="354"/>
      <c r="U149" s="354"/>
      <c r="V149" s="354"/>
    </row>
    <row r="150" spans="1:22" ht="14.4">
      <c r="A150" s="376"/>
      <c r="B150" s="354"/>
      <c r="C150" s="354"/>
      <c r="D150" s="354"/>
      <c r="E150" s="354"/>
      <c r="F150" s="354"/>
      <c r="G150" s="354"/>
      <c r="H150" s="354"/>
      <c r="I150" s="354"/>
      <c r="J150" s="354"/>
      <c r="K150" s="354"/>
      <c r="L150" s="354"/>
      <c r="M150" s="354"/>
      <c r="N150" s="354"/>
      <c r="O150" s="354"/>
      <c r="P150" s="354"/>
      <c r="Q150" s="354"/>
      <c r="R150" s="354"/>
      <c r="S150" s="354"/>
      <c r="T150" s="354"/>
      <c r="U150" s="354"/>
      <c r="V150" s="354"/>
    </row>
    <row r="151" spans="1:22" ht="14.4">
      <c r="A151" s="376"/>
      <c r="B151" s="354"/>
      <c r="C151" s="354"/>
      <c r="D151" s="354"/>
      <c r="E151" s="354"/>
      <c r="F151" s="354"/>
      <c r="G151" s="354"/>
      <c r="H151" s="354"/>
      <c r="I151" s="354"/>
      <c r="J151" s="354"/>
      <c r="K151" s="354"/>
      <c r="L151" s="354"/>
      <c r="M151" s="354"/>
      <c r="N151" s="354"/>
      <c r="O151" s="354"/>
      <c r="P151" s="354"/>
      <c r="Q151" s="354"/>
      <c r="R151" s="354"/>
      <c r="S151" s="354"/>
      <c r="T151" s="354"/>
      <c r="U151" s="354"/>
      <c r="V151" s="354"/>
    </row>
    <row r="152" spans="1:22" ht="14.4">
      <c r="A152" s="376"/>
      <c r="B152" s="354"/>
      <c r="C152" s="354"/>
      <c r="D152" s="354"/>
      <c r="E152" s="354"/>
      <c r="F152" s="354"/>
      <c r="G152" s="354"/>
      <c r="H152" s="354"/>
      <c r="I152" s="354"/>
      <c r="J152" s="354"/>
      <c r="K152" s="354"/>
      <c r="L152" s="354"/>
      <c r="M152" s="354"/>
      <c r="N152" s="354"/>
      <c r="O152" s="354"/>
      <c r="P152" s="354"/>
      <c r="Q152" s="354"/>
      <c r="R152" s="354"/>
      <c r="S152" s="354"/>
      <c r="T152" s="354"/>
      <c r="U152" s="354"/>
      <c r="V152" s="354"/>
    </row>
    <row r="153" spans="1:22" ht="14.4">
      <c r="A153" s="376"/>
      <c r="B153" s="354"/>
      <c r="C153" s="354"/>
      <c r="D153" s="354"/>
      <c r="E153" s="354"/>
      <c r="F153" s="354"/>
      <c r="G153" s="354"/>
      <c r="H153" s="354"/>
      <c r="I153" s="354"/>
      <c r="J153" s="354"/>
      <c r="K153" s="354"/>
      <c r="L153" s="354"/>
      <c r="M153" s="354"/>
      <c r="N153" s="354"/>
      <c r="O153" s="354"/>
      <c r="P153" s="354"/>
      <c r="Q153" s="354"/>
      <c r="R153" s="354"/>
      <c r="S153" s="354"/>
      <c r="T153" s="354"/>
      <c r="U153" s="354"/>
      <c r="V153" s="354"/>
    </row>
    <row r="154" spans="1:22" ht="14.4">
      <c r="A154" s="376"/>
      <c r="B154" s="354"/>
      <c r="C154" s="354"/>
      <c r="D154" s="354"/>
      <c r="E154" s="354"/>
      <c r="F154" s="354"/>
      <c r="G154" s="354"/>
      <c r="H154" s="354"/>
      <c r="I154" s="354"/>
      <c r="J154" s="354"/>
      <c r="K154" s="354"/>
      <c r="L154" s="354"/>
      <c r="M154" s="354"/>
      <c r="N154" s="354"/>
      <c r="O154" s="354"/>
      <c r="P154" s="354"/>
      <c r="Q154" s="354"/>
      <c r="R154" s="354"/>
      <c r="S154" s="354"/>
      <c r="T154" s="354"/>
      <c r="U154" s="354"/>
      <c r="V154" s="354"/>
    </row>
    <row r="155" spans="1:22" ht="14.4">
      <c r="A155" s="376"/>
      <c r="B155" s="354"/>
      <c r="C155" s="354"/>
      <c r="D155" s="354"/>
      <c r="E155" s="354"/>
      <c r="F155" s="354"/>
      <c r="G155" s="354"/>
      <c r="H155" s="354"/>
      <c r="I155" s="354"/>
      <c r="J155" s="354"/>
      <c r="K155" s="354"/>
      <c r="L155" s="354"/>
      <c r="M155" s="354"/>
      <c r="N155" s="354"/>
      <c r="O155" s="354"/>
      <c r="P155" s="354"/>
      <c r="Q155" s="354"/>
      <c r="R155" s="354"/>
      <c r="S155" s="354"/>
      <c r="T155" s="354"/>
      <c r="U155" s="354"/>
      <c r="V155" s="354"/>
    </row>
    <row r="156" spans="1:22" ht="14.4">
      <c r="A156" s="376"/>
      <c r="B156" s="354"/>
      <c r="C156" s="354"/>
      <c r="D156" s="354"/>
      <c r="E156" s="354"/>
      <c r="F156" s="354"/>
      <c r="G156" s="354"/>
      <c r="H156" s="354"/>
      <c r="I156" s="354"/>
      <c r="J156" s="354"/>
      <c r="K156" s="354"/>
      <c r="L156" s="354"/>
      <c r="M156" s="354"/>
      <c r="N156" s="354"/>
      <c r="O156" s="354"/>
      <c r="P156" s="354"/>
      <c r="Q156" s="354"/>
      <c r="R156" s="354"/>
      <c r="S156" s="354"/>
      <c r="T156" s="354"/>
      <c r="U156" s="354"/>
      <c r="V156" s="354"/>
    </row>
    <row r="157" spans="1:22" ht="14.4">
      <c r="A157" s="376"/>
      <c r="B157" s="354"/>
      <c r="C157" s="354"/>
      <c r="D157" s="354"/>
      <c r="E157" s="354"/>
      <c r="F157" s="354"/>
      <c r="G157" s="354"/>
      <c r="H157" s="354"/>
      <c r="I157" s="354"/>
      <c r="J157" s="354"/>
      <c r="K157" s="354"/>
      <c r="L157" s="354"/>
      <c r="M157" s="354"/>
      <c r="N157" s="354"/>
      <c r="O157" s="354"/>
      <c r="P157" s="354"/>
      <c r="Q157" s="354"/>
      <c r="R157" s="354"/>
      <c r="S157" s="354"/>
      <c r="T157" s="354"/>
      <c r="U157" s="354"/>
      <c r="V157" s="354"/>
    </row>
    <row r="158" spans="1:22" ht="14.4">
      <c r="A158" s="376"/>
      <c r="B158" s="354"/>
      <c r="C158" s="354"/>
      <c r="D158" s="354"/>
      <c r="E158" s="354"/>
      <c r="F158" s="354"/>
      <c r="G158" s="354"/>
      <c r="H158" s="354"/>
      <c r="I158" s="354"/>
      <c r="J158" s="354"/>
      <c r="K158" s="354"/>
      <c r="L158" s="354"/>
      <c r="M158" s="354"/>
      <c r="N158" s="354"/>
      <c r="O158" s="354"/>
      <c r="P158" s="354"/>
      <c r="Q158" s="354"/>
      <c r="R158" s="354"/>
      <c r="S158" s="354"/>
      <c r="T158" s="354"/>
      <c r="U158" s="354"/>
      <c r="V158" s="354"/>
    </row>
    <row r="159" spans="1:22" ht="14.4">
      <c r="A159" s="376"/>
      <c r="B159" s="354"/>
      <c r="C159" s="354"/>
      <c r="D159" s="354"/>
      <c r="E159" s="354"/>
      <c r="F159" s="354"/>
      <c r="G159" s="354"/>
      <c r="H159" s="354"/>
      <c r="I159" s="354"/>
      <c r="J159" s="354"/>
      <c r="K159" s="354"/>
      <c r="L159" s="354"/>
      <c r="M159" s="354"/>
      <c r="N159" s="354"/>
      <c r="O159" s="354"/>
      <c r="P159" s="354"/>
      <c r="Q159" s="354"/>
      <c r="R159" s="354"/>
      <c r="S159" s="354"/>
      <c r="T159" s="354"/>
      <c r="U159" s="354"/>
      <c r="V159" s="354"/>
    </row>
    <row r="160" spans="1:22" ht="14.4">
      <c r="A160" s="376"/>
      <c r="B160" s="354"/>
      <c r="C160" s="354"/>
      <c r="D160" s="354"/>
      <c r="E160" s="354"/>
      <c r="F160" s="354"/>
      <c r="G160" s="354"/>
      <c r="H160" s="354"/>
      <c r="I160" s="354"/>
      <c r="J160" s="354"/>
      <c r="K160" s="354"/>
      <c r="L160" s="354"/>
      <c r="M160" s="354"/>
      <c r="N160" s="354"/>
      <c r="O160" s="354"/>
      <c r="P160" s="354"/>
      <c r="Q160" s="354"/>
      <c r="R160" s="354"/>
      <c r="S160" s="354"/>
      <c r="T160" s="354"/>
      <c r="U160" s="354"/>
      <c r="V160" s="354"/>
    </row>
    <row r="161" spans="1:22" ht="14.4">
      <c r="A161" s="376"/>
      <c r="B161" s="354"/>
      <c r="C161" s="354"/>
      <c r="D161" s="354"/>
      <c r="E161" s="354"/>
      <c r="F161" s="354"/>
      <c r="G161" s="354"/>
      <c r="H161" s="354"/>
      <c r="I161" s="354"/>
      <c r="J161" s="354"/>
      <c r="K161" s="354"/>
      <c r="L161" s="354"/>
      <c r="M161" s="354"/>
      <c r="N161" s="354"/>
      <c r="O161" s="354"/>
      <c r="P161" s="354"/>
      <c r="Q161" s="354"/>
      <c r="R161" s="354"/>
      <c r="S161" s="354"/>
      <c r="T161" s="354"/>
      <c r="U161" s="354"/>
      <c r="V161" s="354"/>
    </row>
    <row r="162" spans="1:22" ht="14.4">
      <c r="A162" s="376"/>
      <c r="B162" s="354"/>
      <c r="C162" s="354"/>
      <c r="D162" s="354"/>
      <c r="E162" s="354"/>
      <c r="F162" s="354"/>
      <c r="G162" s="354"/>
      <c r="H162" s="354"/>
      <c r="I162" s="354"/>
      <c r="J162" s="354"/>
      <c r="K162" s="354"/>
      <c r="L162" s="354"/>
      <c r="M162" s="354"/>
      <c r="N162" s="354"/>
      <c r="O162" s="354"/>
      <c r="P162" s="354"/>
      <c r="Q162" s="354"/>
      <c r="R162" s="354"/>
      <c r="S162" s="354"/>
      <c r="T162" s="354"/>
      <c r="U162" s="354"/>
      <c r="V162" s="354"/>
    </row>
    <row r="163" spans="1:22" ht="14.4">
      <c r="A163" s="376"/>
      <c r="B163" s="354"/>
      <c r="C163" s="354"/>
      <c r="D163" s="354"/>
      <c r="E163" s="354"/>
      <c r="F163" s="354"/>
      <c r="G163" s="354"/>
      <c r="H163" s="354"/>
      <c r="I163" s="354"/>
      <c r="J163" s="354"/>
      <c r="K163" s="354"/>
      <c r="L163" s="354"/>
      <c r="M163" s="354"/>
      <c r="N163" s="354"/>
      <c r="O163" s="354"/>
      <c r="P163" s="354"/>
      <c r="Q163" s="354"/>
      <c r="R163" s="354"/>
      <c r="S163" s="354"/>
      <c r="T163" s="354"/>
      <c r="U163" s="354"/>
      <c r="V163" s="354"/>
    </row>
    <row r="164" spans="1:22" ht="14.4">
      <c r="A164" s="376"/>
      <c r="B164" s="354"/>
      <c r="C164" s="354"/>
      <c r="D164" s="354"/>
      <c r="E164" s="354"/>
      <c r="F164" s="354"/>
      <c r="G164" s="354"/>
      <c r="H164" s="354"/>
      <c r="I164" s="354"/>
      <c r="J164" s="354"/>
      <c r="K164" s="354"/>
      <c r="L164" s="354"/>
      <c r="M164" s="354"/>
      <c r="N164" s="354"/>
      <c r="O164" s="354"/>
      <c r="P164" s="354"/>
      <c r="Q164" s="354"/>
      <c r="R164" s="354"/>
      <c r="S164" s="354"/>
      <c r="T164" s="354"/>
      <c r="U164" s="354"/>
      <c r="V164" s="354"/>
    </row>
    <row r="165" spans="1:22" ht="14.4">
      <c r="A165" s="376"/>
      <c r="B165" s="354"/>
      <c r="C165" s="354"/>
      <c r="D165" s="354"/>
      <c r="E165" s="354"/>
      <c r="F165" s="354"/>
      <c r="G165" s="354"/>
      <c r="H165" s="354"/>
      <c r="I165" s="354"/>
      <c r="J165" s="354"/>
      <c r="K165" s="354"/>
      <c r="L165" s="354"/>
      <c r="M165" s="354"/>
      <c r="N165" s="354"/>
      <c r="O165" s="354"/>
      <c r="P165" s="354"/>
      <c r="Q165" s="354"/>
      <c r="R165" s="354"/>
      <c r="S165" s="354"/>
      <c r="T165" s="354"/>
      <c r="U165" s="354"/>
      <c r="V165" s="354"/>
    </row>
    <row r="166" spans="1:22" ht="14.4">
      <c r="A166" s="376"/>
      <c r="B166" s="354"/>
      <c r="C166" s="354"/>
      <c r="D166" s="354"/>
      <c r="E166" s="354"/>
      <c r="F166" s="354"/>
      <c r="G166" s="354"/>
      <c r="H166" s="354"/>
      <c r="I166" s="354"/>
      <c r="J166" s="354"/>
      <c r="K166" s="354"/>
      <c r="L166" s="354"/>
      <c r="M166" s="354"/>
      <c r="N166" s="354"/>
      <c r="O166" s="354"/>
      <c r="P166" s="354"/>
      <c r="Q166" s="354"/>
      <c r="R166" s="354"/>
      <c r="S166" s="354"/>
      <c r="T166" s="354"/>
      <c r="U166" s="354"/>
      <c r="V166" s="354"/>
    </row>
    <row r="167" spans="1:22" ht="14.4">
      <c r="A167" s="376"/>
      <c r="B167" s="354"/>
      <c r="C167" s="354"/>
      <c r="D167" s="354"/>
      <c r="E167" s="354"/>
      <c r="F167" s="354"/>
      <c r="G167" s="354"/>
      <c r="H167" s="354"/>
      <c r="I167" s="354"/>
      <c r="J167" s="354"/>
      <c r="K167" s="354"/>
      <c r="L167" s="354"/>
      <c r="M167" s="354"/>
      <c r="N167" s="354"/>
      <c r="O167" s="354"/>
      <c r="P167" s="354"/>
      <c r="Q167" s="354"/>
      <c r="R167" s="354"/>
      <c r="S167" s="354"/>
      <c r="T167" s="354"/>
      <c r="U167" s="354"/>
      <c r="V167" s="354"/>
    </row>
    <row r="168" spans="1:22" ht="14.4">
      <c r="A168" s="376"/>
      <c r="B168" s="354"/>
      <c r="C168" s="354"/>
      <c r="D168" s="354"/>
      <c r="E168" s="354"/>
      <c r="F168" s="354"/>
      <c r="G168" s="354"/>
      <c r="H168" s="354"/>
      <c r="I168" s="354"/>
      <c r="J168" s="354"/>
      <c r="K168" s="354"/>
      <c r="L168" s="354"/>
      <c r="M168" s="354"/>
      <c r="N168" s="354"/>
      <c r="O168" s="354"/>
      <c r="P168" s="354"/>
      <c r="Q168" s="354"/>
      <c r="R168" s="354"/>
      <c r="S168" s="354"/>
      <c r="T168" s="354"/>
      <c r="U168" s="354"/>
      <c r="V168" s="354"/>
    </row>
    <row r="169" spans="1:22" ht="14.4">
      <c r="A169" s="376"/>
      <c r="B169" s="354"/>
      <c r="C169" s="354"/>
      <c r="D169" s="354"/>
      <c r="E169" s="354"/>
      <c r="F169" s="354"/>
      <c r="G169" s="354"/>
      <c r="H169" s="354"/>
      <c r="I169" s="354"/>
      <c r="J169" s="354"/>
      <c r="K169" s="354"/>
      <c r="L169" s="354"/>
      <c r="M169" s="354"/>
      <c r="N169" s="354"/>
      <c r="O169" s="354"/>
      <c r="P169" s="354"/>
      <c r="Q169" s="354"/>
      <c r="R169" s="354"/>
      <c r="S169" s="354"/>
      <c r="T169" s="354"/>
      <c r="U169" s="354"/>
      <c r="V169" s="354"/>
    </row>
    <row r="170" spans="1:22" ht="14.4">
      <c r="A170" s="376"/>
      <c r="B170" s="354"/>
      <c r="C170" s="354"/>
      <c r="D170" s="354"/>
      <c r="E170" s="354"/>
      <c r="F170" s="354"/>
      <c r="G170" s="354"/>
      <c r="H170" s="354"/>
      <c r="I170" s="354"/>
      <c r="J170" s="354"/>
      <c r="K170" s="354"/>
      <c r="L170" s="354"/>
      <c r="M170" s="354"/>
      <c r="N170" s="354"/>
      <c r="O170" s="354"/>
      <c r="P170" s="354"/>
      <c r="Q170" s="354"/>
      <c r="R170" s="354"/>
      <c r="S170" s="354"/>
      <c r="T170" s="354"/>
      <c r="U170" s="354"/>
      <c r="V170" s="354"/>
    </row>
    <row r="171" spans="1:22" ht="14.4">
      <c r="A171" s="376"/>
      <c r="B171" s="354"/>
      <c r="C171" s="354"/>
      <c r="D171" s="354"/>
      <c r="E171" s="354"/>
      <c r="F171" s="354"/>
      <c r="G171" s="354"/>
      <c r="H171" s="354"/>
      <c r="I171" s="354"/>
      <c r="J171" s="354"/>
      <c r="K171" s="354"/>
      <c r="L171" s="354"/>
      <c r="M171" s="354"/>
      <c r="N171" s="354"/>
      <c r="O171" s="354"/>
      <c r="P171" s="354"/>
      <c r="Q171" s="354"/>
      <c r="R171" s="354"/>
      <c r="S171" s="354"/>
      <c r="T171" s="354"/>
      <c r="U171" s="354"/>
      <c r="V171" s="354"/>
    </row>
    <row r="172" spans="1:22" ht="14.4">
      <c r="A172" s="376"/>
      <c r="B172" s="354"/>
      <c r="C172" s="354"/>
      <c r="D172" s="354"/>
      <c r="E172" s="354"/>
      <c r="F172" s="354"/>
      <c r="G172" s="354"/>
      <c r="H172" s="354"/>
      <c r="I172" s="354"/>
      <c r="J172" s="354"/>
      <c r="K172" s="354"/>
      <c r="L172" s="354"/>
      <c r="M172" s="354"/>
      <c r="N172" s="354"/>
      <c r="O172" s="354"/>
      <c r="P172" s="354"/>
      <c r="Q172" s="354"/>
      <c r="R172" s="354"/>
      <c r="S172" s="354"/>
      <c r="T172" s="354"/>
      <c r="U172" s="354"/>
      <c r="V172" s="354"/>
    </row>
    <row r="173" spans="1:22" ht="14.4">
      <c r="A173" s="376"/>
      <c r="B173" s="354"/>
      <c r="C173" s="354"/>
      <c r="D173" s="354"/>
      <c r="E173" s="354"/>
      <c r="F173" s="354"/>
      <c r="G173" s="354"/>
      <c r="H173" s="354"/>
      <c r="I173" s="354"/>
      <c r="J173" s="354"/>
      <c r="K173" s="354"/>
      <c r="L173" s="354"/>
      <c r="M173" s="354"/>
      <c r="N173" s="354"/>
      <c r="O173" s="354"/>
      <c r="P173" s="354"/>
      <c r="Q173" s="354"/>
      <c r="R173" s="354"/>
      <c r="S173" s="354"/>
      <c r="T173" s="354"/>
      <c r="U173" s="354"/>
      <c r="V173" s="354"/>
    </row>
    <row r="174" spans="1:22" ht="14.4">
      <c r="A174" s="376"/>
      <c r="B174" s="354"/>
      <c r="C174" s="354"/>
      <c r="D174" s="354"/>
      <c r="E174" s="354"/>
      <c r="F174" s="354"/>
      <c r="G174" s="354"/>
      <c r="H174" s="354"/>
      <c r="I174" s="354"/>
      <c r="J174" s="354"/>
      <c r="K174" s="354"/>
      <c r="L174" s="354"/>
      <c r="M174" s="354"/>
      <c r="N174" s="354"/>
      <c r="O174" s="354"/>
      <c r="P174" s="354"/>
      <c r="Q174" s="354"/>
      <c r="R174" s="354"/>
      <c r="S174" s="354"/>
      <c r="T174" s="354"/>
      <c r="U174" s="354"/>
      <c r="V174" s="354"/>
    </row>
    <row r="175" spans="1:22" ht="14.4">
      <c r="A175" s="376"/>
      <c r="B175" s="354"/>
      <c r="C175" s="354"/>
      <c r="D175" s="354"/>
      <c r="E175" s="354"/>
      <c r="F175" s="354"/>
      <c r="G175" s="354"/>
      <c r="H175" s="354"/>
      <c r="I175" s="354"/>
      <c r="J175" s="354"/>
      <c r="K175" s="354"/>
      <c r="L175" s="354"/>
      <c r="M175" s="354"/>
      <c r="N175" s="354"/>
      <c r="O175" s="354"/>
      <c r="P175" s="354"/>
      <c r="Q175" s="354"/>
      <c r="R175" s="354"/>
      <c r="S175" s="354"/>
      <c r="T175" s="354"/>
      <c r="U175" s="354"/>
      <c r="V175" s="354"/>
    </row>
    <row r="176" spans="1:22" ht="14.4">
      <c r="A176" s="376"/>
      <c r="B176" s="354"/>
      <c r="C176" s="354"/>
      <c r="D176" s="354"/>
      <c r="E176" s="354"/>
      <c r="F176" s="354"/>
      <c r="G176" s="354"/>
      <c r="H176" s="354"/>
      <c r="I176" s="354"/>
      <c r="J176" s="354"/>
      <c r="K176" s="354"/>
      <c r="L176" s="354"/>
      <c r="M176" s="354"/>
      <c r="N176" s="354"/>
      <c r="O176" s="354"/>
      <c r="P176" s="354"/>
      <c r="Q176" s="354"/>
      <c r="R176" s="354"/>
      <c r="S176" s="354"/>
      <c r="T176" s="354"/>
      <c r="U176" s="354"/>
      <c r="V176" s="354"/>
    </row>
    <row r="177" spans="1:22" ht="14.4">
      <c r="A177" s="376"/>
      <c r="B177" s="354"/>
      <c r="C177" s="354"/>
      <c r="D177" s="354"/>
      <c r="E177" s="354"/>
      <c r="F177" s="354"/>
      <c r="G177" s="354"/>
      <c r="H177" s="354"/>
      <c r="I177" s="354"/>
      <c r="J177" s="354"/>
      <c r="K177" s="354"/>
      <c r="L177" s="354"/>
      <c r="M177" s="354"/>
      <c r="N177" s="354"/>
      <c r="O177" s="354"/>
      <c r="P177" s="354"/>
      <c r="Q177" s="354"/>
      <c r="R177" s="354"/>
      <c r="S177" s="354"/>
      <c r="T177" s="354"/>
      <c r="U177" s="354"/>
      <c r="V177" s="354"/>
    </row>
    <row r="178" spans="1:22" ht="14.4">
      <c r="A178" s="376"/>
      <c r="B178" s="354"/>
      <c r="C178" s="354"/>
      <c r="D178" s="354"/>
      <c r="E178" s="354"/>
      <c r="F178" s="354"/>
      <c r="G178" s="354"/>
      <c r="H178" s="354"/>
      <c r="I178" s="354"/>
      <c r="J178" s="354"/>
      <c r="K178" s="354"/>
      <c r="L178" s="354"/>
      <c r="M178" s="354"/>
      <c r="N178" s="354"/>
      <c r="O178" s="354"/>
      <c r="P178" s="354"/>
      <c r="Q178" s="354"/>
      <c r="R178" s="354"/>
      <c r="S178" s="354"/>
      <c r="T178" s="354"/>
      <c r="U178" s="354"/>
      <c r="V178" s="354"/>
    </row>
    <row r="179" spans="1:22" ht="14.4">
      <c r="A179" s="376"/>
      <c r="B179" s="354"/>
      <c r="C179" s="354"/>
      <c r="D179" s="354"/>
      <c r="E179" s="354"/>
      <c r="F179" s="354"/>
      <c r="G179" s="354"/>
      <c r="H179" s="354"/>
      <c r="I179" s="354"/>
      <c r="J179" s="354"/>
      <c r="K179" s="354"/>
      <c r="L179" s="354"/>
      <c r="M179" s="354"/>
      <c r="N179" s="354"/>
      <c r="O179" s="354"/>
      <c r="P179" s="354"/>
      <c r="Q179" s="354"/>
      <c r="R179" s="354"/>
      <c r="S179" s="354"/>
      <c r="T179" s="354"/>
      <c r="U179" s="354"/>
      <c r="V179" s="354"/>
    </row>
    <row r="180" spans="1:22" ht="14.4">
      <c r="A180" s="376"/>
      <c r="B180" s="354"/>
      <c r="C180" s="354"/>
      <c r="D180" s="354"/>
      <c r="E180" s="354"/>
      <c r="F180" s="354"/>
      <c r="G180" s="354"/>
      <c r="H180" s="354"/>
      <c r="I180" s="354"/>
      <c r="J180" s="354"/>
      <c r="K180" s="354"/>
      <c r="L180" s="354"/>
      <c r="M180" s="354"/>
      <c r="N180" s="354"/>
      <c r="O180" s="354"/>
      <c r="P180" s="354"/>
      <c r="Q180" s="354"/>
      <c r="R180" s="354"/>
      <c r="S180" s="354"/>
      <c r="T180" s="354"/>
      <c r="U180" s="354"/>
      <c r="V180" s="354"/>
    </row>
    <row r="181" spans="1:22" ht="14.4">
      <c r="A181" s="376"/>
      <c r="B181" s="354"/>
      <c r="C181" s="354"/>
      <c r="D181" s="354"/>
      <c r="E181" s="354"/>
      <c r="F181" s="354"/>
      <c r="G181" s="354"/>
      <c r="H181" s="354"/>
      <c r="I181" s="354"/>
      <c r="J181" s="354"/>
      <c r="K181" s="354"/>
      <c r="L181" s="354"/>
      <c r="M181" s="354"/>
      <c r="N181" s="354"/>
      <c r="O181" s="354"/>
      <c r="P181" s="354"/>
      <c r="Q181" s="354"/>
      <c r="R181" s="354"/>
      <c r="S181" s="354"/>
      <c r="T181" s="354"/>
      <c r="U181" s="354"/>
      <c r="V181" s="354"/>
    </row>
    <row r="182" spans="1:22" ht="14.4">
      <c r="A182" s="376"/>
      <c r="B182" s="354"/>
      <c r="C182" s="354"/>
      <c r="D182" s="354"/>
      <c r="E182" s="354"/>
      <c r="F182" s="354"/>
      <c r="G182" s="354"/>
      <c r="H182" s="354"/>
      <c r="I182" s="354"/>
      <c r="J182" s="354"/>
      <c r="K182" s="354"/>
      <c r="L182" s="354"/>
      <c r="M182" s="354"/>
      <c r="N182" s="354"/>
      <c r="O182" s="354"/>
      <c r="P182" s="354"/>
      <c r="Q182" s="354"/>
      <c r="R182" s="354"/>
      <c r="S182" s="354"/>
      <c r="T182" s="354"/>
      <c r="U182" s="354"/>
      <c r="V182" s="354"/>
    </row>
    <row r="183" spans="1:22" ht="14.4">
      <c r="A183" s="376"/>
      <c r="B183" s="354"/>
      <c r="C183" s="354"/>
      <c r="D183" s="354"/>
      <c r="E183" s="354"/>
      <c r="F183" s="354"/>
      <c r="G183" s="354"/>
      <c r="H183" s="354"/>
      <c r="I183" s="354"/>
      <c r="J183" s="354"/>
      <c r="K183" s="354"/>
      <c r="L183" s="354"/>
      <c r="M183" s="354"/>
      <c r="N183" s="354"/>
      <c r="O183" s="354"/>
      <c r="P183" s="354"/>
      <c r="Q183" s="354"/>
      <c r="R183" s="354"/>
      <c r="S183" s="354"/>
      <c r="T183" s="354"/>
      <c r="U183" s="354"/>
      <c r="V183" s="354"/>
    </row>
    <row r="184" spans="1:22" ht="14.4">
      <c r="A184" s="376"/>
      <c r="B184" s="354"/>
      <c r="C184" s="354"/>
      <c r="D184" s="354"/>
      <c r="E184" s="354"/>
      <c r="F184" s="354"/>
      <c r="G184" s="354"/>
      <c r="H184" s="354"/>
      <c r="I184" s="354"/>
      <c r="J184" s="354"/>
      <c r="K184" s="354"/>
      <c r="L184" s="354"/>
      <c r="M184" s="354"/>
      <c r="N184" s="354"/>
      <c r="O184" s="354"/>
      <c r="P184" s="354"/>
      <c r="Q184" s="354"/>
      <c r="R184" s="354"/>
      <c r="S184" s="354"/>
      <c r="T184" s="354"/>
      <c r="U184" s="354"/>
      <c r="V184" s="354"/>
    </row>
    <row r="185" spans="1:22" ht="14.4">
      <c r="A185" s="376"/>
      <c r="B185" s="354"/>
      <c r="C185" s="354"/>
      <c r="D185" s="354"/>
      <c r="E185" s="354"/>
      <c r="F185" s="354"/>
      <c r="G185" s="354"/>
      <c r="H185" s="354"/>
      <c r="I185" s="354"/>
      <c r="J185" s="354"/>
      <c r="K185" s="354"/>
      <c r="L185" s="354"/>
      <c r="M185" s="354"/>
      <c r="N185" s="354"/>
      <c r="O185" s="354"/>
      <c r="P185" s="354"/>
      <c r="Q185" s="354"/>
      <c r="R185" s="354"/>
      <c r="S185" s="354"/>
      <c r="T185" s="354"/>
      <c r="U185" s="354"/>
      <c r="V185" s="354"/>
    </row>
    <row r="186" spans="1:22" ht="14.4">
      <c r="A186" s="376"/>
      <c r="B186" s="354"/>
      <c r="C186" s="354"/>
      <c r="D186" s="354"/>
      <c r="E186" s="354"/>
      <c r="F186" s="354"/>
      <c r="G186" s="354"/>
      <c r="H186" s="354"/>
      <c r="I186" s="354"/>
      <c r="J186" s="354"/>
      <c r="K186" s="354"/>
      <c r="L186" s="354"/>
      <c r="M186" s="354"/>
      <c r="N186" s="354"/>
      <c r="O186" s="354"/>
      <c r="P186" s="354"/>
      <c r="Q186" s="354"/>
      <c r="R186" s="354"/>
      <c r="S186" s="354"/>
      <c r="T186" s="354"/>
      <c r="U186" s="354"/>
      <c r="V186" s="354"/>
    </row>
    <row r="187" spans="1:22" ht="14.4">
      <c r="A187" s="376"/>
      <c r="B187" s="354"/>
      <c r="C187" s="354"/>
      <c r="D187" s="354"/>
      <c r="E187" s="354"/>
      <c r="F187" s="354"/>
      <c r="G187" s="354"/>
      <c r="H187" s="354"/>
      <c r="I187" s="354"/>
      <c r="J187" s="354"/>
      <c r="K187" s="354"/>
      <c r="L187" s="354"/>
      <c r="M187" s="354"/>
      <c r="N187" s="354"/>
      <c r="O187" s="354"/>
      <c r="P187" s="354"/>
      <c r="Q187" s="354"/>
      <c r="R187" s="354"/>
      <c r="S187" s="354"/>
      <c r="T187" s="354"/>
      <c r="U187" s="354"/>
      <c r="V187" s="354"/>
    </row>
    <row r="188" spans="1:22" ht="14.4">
      <c r="A188" s="376"/>
      <c r="B188" s="354"/>
      <c r="C188" s="354"/>
      <c r="D188" s="354"/>
      <c r="E188" s="354"/>
      <c r="F188" s="354"/>
      <c r="G188" s="354"/>
      <c r="H188" s="354"/>
      <c r="I188" s="354"/>
      <c r="J188" s="354"/>
      <c r="K188" s="354"/>
      <c r="L188" s="354"/>
      <c r="M188" s="354"/>
      <c r="N188" s="354"/>
      <c r="O188" s="354"/>
      <c r="P188" s="354"/>
      <c r="Q188" s="354"/>
      <c r="R188" s="354"/>
      <c r="S188" s="354"/>
      <c r="T188" s="354"/>
      <c r="U188" s="354"/>
      <c r="V188" s="354"/>
    </row>
    <row r="189" spans="1:22" ht="14.4">
      <c r="A189" s="376"/>
      <c r="B189" s="354"/>
      <c r="C189" s="354"/>
      <c r="D189" s="354"/>
      <c r="E189" s="354"/>
      <c r="F189" s="354"/>
      <c r="G189" s="354"/>
      <c r="H189" s="354"/>
      <c r="I189" s="354"/>
      <c r="J189" s="354"/>
      <c r="K189" s="354"/>
      <c r="L189" s="354"/>
      <c r="M189" s="354"/>
      <c r="N189" s="354"/>
      <c r="O189" s="354"/>
      <c r="P189" s="354"/>
      <c r="Q189" s="354"/>
      <c r="R189" s="354"/>
      <c r="S189" s="354"/>
      <c r="T189" s="354"/>
      <c r="U189" s="354"/>
      <c r="V189" s="354"/>
    </row>
    <row r="190" spans="1:22" ht="14.4">
      <c r="A190" s="376"/>
      <c r="B190" s="354"/>
      <c r="C190" s="354"/>
      <c r="D190" s="354"/>
      <c r="E190" s="354"/>
      <c r="F190" s="354"/>
      <c r="G190" s="354"/>
      <c r="H190" s="354"/>
      <c r="I190" s="354"/>
      <c r="J190" s="354"/>
      <c r="K190" s="354"/>
      <c r="L190" s="354"/>
      <c r="M190" s="354"/>
      <c r="N190" s="354"/>
      <c r="O190" s="354"/>
      <c r="P190" s="354"/>
      <c r="Q190" s="354"/>
      <c r="R190" s="354"/>
      <c r="S190" s="354"/>
      <c r="T190" s="354"/>
      <c r="U190" s="354"/>
      <c r="V190" s="354"/>
    </row>
    <row r="191" spans="1:22" ht="14.4">
      <c r="A191" s="376"/>
      <c r="B191" s="354"/>
      <c r="C191" s="354"/>
      <c r="D191" s="354"/>
      <c r="E191" s="354"/>
      <c r="F191" s="354"/>
      <c r="G191" s="354"/>
      <c r="H191" s="354"/>
      <c r="I191" s="354"/>
      <c r="J191" s="354"/>
      <c r="K191" s="354"/>
      <c r="L191" s="354"/>
      <c r="M191" s="354"/>
      <c r="N191" s="354"/>
      <c r="O191" s="354"/>
      <c r="P191" s="354"/>
      <c r="Q191" s="354"/>
      <c r="R191" s="354"/>
      <c r="S191" s="354"/>
      <c r="T191" s="354"/>
      <c r="U191" s="354"/>
      <c r="V191" s="354"/>
    </row>
    <row r="192" spans="1:22" ht="14.4">
      <c r="A192" s="376"/>
      <c r="B192" s="354"/>
      <c r="C192" s="354"/>
      <c r="D192" s="354"/>
      <c r="E192" s="354"/>
      <c r="F192" s="354"/>
      <c r="G192" s="354"/>
      <c r="H192" s="354"/>
      <c r="I192" s="354"/>
      <c r="J192" s="354"/>
      <c r="K192" s="354"/>
      <c r="L192" s="354"/>
      <c r="M192" s="354"/>
      <c r="N192" s="354"/>
      <c r="O192" s="354"/>
      <c r="P192" s="354"/>
      <c r="Q192" s="354"/>
      <c r="R192" s="354"/>
      <c r="S192" s="354"/>
      <c r="T192" s="354"/>
      <c r="U192" s="354"/>
      <c r="V192" s="354"/>
    </row>
    <row r="193" spans="1:22" ht="14.4">
      <c r="A193" s="376"/>
      <c r="B193" s="354"/>
      <c r="C193" s="354"/>
      <c r="D193" s="354"/>
      <c r="E193" s="354"/>
      <c r="F193" s="354"/>
      <c r="G193" s="354"/>
      <c r="H193" s="354"/>
      <c r="I193" s="354"/>
      <c r="J193" s="354"/>
      <c r="K193" s="354"/>
      <c r="L193" s="354"/>
      <c r="M193" s="354"/>
      <c r="N193" s="354"/>
      <c r="O193" s="354"/>
      <c r="P193" s="354"/>
      <c r="Q193" s="354"/>
      <c r="R193" s="354"/>
      <c r="S193" s="354"/>
      <c r="T193" s="354"/>
      <c r="U193" s="354"/>
      <c r="V193" s="354"/>
    </row>
    <row r="194" spans="1:22" ht="14.4">
      <c r="A194" s="376"/>
      <c r="B194" s="354"/>
      <c r="C194" s="354"/>
      <c r="D194" s="354"/>
      <c r="E194" s="354"/>
      <c r="F194" s="354"/>
      <c r="G194" s="354"/>
      <c r="H194" s="354"/>
      <c r="I194" s="354"/>
      <c r="J194" s="354"/>
      <c r="K194" s="354"/>
      <c r="L194" s="354"/>
      <c r="M194" s="354"/>
      <c r="N194" s="354"/>
      <c r="O194" s="354"/>
      <c r="P194" s="354"/>
      <c r="Q194" s="354"/>
      <c r="R194" s="354"/>
      <c r="S194" s="354"/>
      <c r="T194" s="354"/>
      <c r="U194" s="354"/>
      <c r="V194" s="354"/>
    </row>
    <row r="195" spans="1:22" ht="14.4">
      <c r="A195" s="376"/>
      <c r="B195" s="354"/>
      <c r="C195" s="354"/>
      <c r="D195" s="354"/>
      <c r="E195" s="354"/>
      <c r="F195" s="354"/>
      <c r="G195" s="354"/>
      <c r="H195" s="354"/>
      <c r="I195" s="354"/>
      <c r="J195" s="354"/>
      <c r="K195" s="354"/>
      <c r="L195" s="354"/>
      <c r="M195" s="354"/>
      <c r="N195" s="354"/>
      <c r="O195" s="354"/>
      <c r="P195" s="354"/>
      <c r="Q195" s="354"/>
      <c r="R195" s="354"/>
      <c r="S195" s="354"/>
      <c r="T195" s="354"/>
      <c r="U195" s="354"/>
      <c r="V195" s="354"/>
    </row>
    <row r="196" spans="1:22" ht="14.4">
      <c r="A196" s="376"/>
      <c r="B196" s="354"/>
      <c r="C196" s="354"/>
      <c r="D196" s="354"/>
      <c r="E196" s="354"/>
      <c r="F196" s="354"/>
      <c r="G196" s="354"/>
      <c r="H196" s="354"/>
      <c r="I196" s="354"/>
      <c r="J196" s="354"/>
      <c r="K196" s="354"/>
      <c r="L196" s="354"/>
      <c r="M196" s="354"/>
      <c r="N196" s="354"/>
      <c r="O196" s="354"/>
      <c r="P196" s="354"/>
      <c r="Q196" s="354"/>
      <c r="R196" s="354"/>
      <c r="S196" s="354"/>
      <c r="T196" s="354"/>
      <c r="U196" s="354"/>
      <c r="V196" s="354"/>
    </row>
    <row r="197" spans="1:22" ht="14.4">
      <c r="A197" s="376"/>
      <c r="B197" s="354"/>
      <c r="C197" s="354"/>
      <c r="D197" s="354"/>
      <c r="E197" s="354"/>
      <c r="F197" s="354"/>
      <c r="G197" s="354"/>
      <c r="H197" s="354"/>
      <c r="I197" s="354"/>
      <c r="J197" s="354"/>
      <c r="K197" s="354"/>
      <c r="L197" s="354"/>
      <c r="M197" s="354"/>
      <c r="N197" s="354"/>
      <c r="O197" s="354"/>
      <c r="P197" s="354"/>
      <c r="Q197" s="354"/>
      <c r="R197" s="354"/>
      <c r="S197" s="354"/>
      <c r="T197" s="354"/>
      <c r="U197" s="354"/>
      <c r="V197" s="354"/>
    </row>
    <row r="198" spans="1:22" ht="14.4">
      <c r="A198" s="376"/>
      <c r="B198" s="354"/>
      <c r="C198" s="354"/>
      <c r="D198" s="354"/>
      <c r="E198" s="354"/>
      <c r="F198" s="354"/>
      <c r="G198" s="354"/>
      <c r="H198" s="354"/>
      <c r="I198" s="354"/>
      <c r="J198" s="354"/>
      <c r="K198" s="354"/>
      <c r="L198" s="354"/>
      <c r="M198" s="354"/>
      <c r="N198" s="354"/>
      <c r="O198" s="354"/>
      <c r="P198" s="354"/>
      <c r="Q198" s="354"/>
      <c r="R198" s="354"/>
      <c r="S198" s="354"/>
      <c r="T198" s="354"/>
      <c r="U198" s="354"/>
      <c r="V198" s="354"/>
    </row>
    <row r="199" spans="1:22" ht="14.4">
      <c r="A199" s="376"/>
      <c r="B199" s="354"/>
      <c r="C199" s="354"/>
      <c r="D199" s="354"/>
      <c r="E199" s="354"/>
      <c r="F199" s="354"/>
      <c r="G199" s="354"/>
      <c r="H199" s="354"/>
      <c r="I199" s="354"/>
      <c r="J199" s="354"/>
      <c r="K199" s="354"/>
      <c r="L199" s="354"/>
      <c r="M199" s="354"/>
      <c r="N199" s="354"/>
      <c r="O199" s="354"/>
      <c r="P199" s="354"/>
      <c r="Q199" s="354"/>
      <c r="R199" s="354"/>
      <c r="S199" s="354"/>
      <c r="T199" s="354"/>
      <c r="U199" s="354"/>
      <c r="V199" s="354"/>
    </row>
    <row r="200" spans="1:22" ht="14.4">
      <c r="A200" s="376"/>
      <c r="B200" s="354"/>
      <c r="C200" s="354"/>
      <c r="D200" s="354"/>
      <c r="E200" s="354"/>
      <c r="F200" s="354"/>
      <c r="G200" s="354"/>
      <c r="H200" s="354"/>
      <c r="I200" s="354"/>
      <c r="J200" s="354"/>
      <c r="K200" s="354"/>
      <c r="L200" s="354"/>
      <c r="M200" s="354"/>
      <c r="N200" s="354"/>
      <c r="O200" s="354"/>
      <c r="P200" s="354"/>
      <c r="Q200" s="354"/>
      <c r="R200" s="354"/>
      <c r="S200" s="354"/>
      <c r="T200" s="354"/>
      <c r="U200" s="354"/>
      <c r="V200" s="354"/>
    </row>
    <row r="201" spans="1:22" ht="14.4">
      <c r="A201" s="376"/>
      <c r="B201" s="354"/>
      <c r="C201" s="354"/>
      <c r="D201" s="354"/>
      <c r="E201" s="354"/>
      <c r="F201" s="354"/>
      <c r="G201" s="354"/>
      <c r="H201" s="354"/>
      <c r="I201" s="354"/>
      <c r="J201" s="354"/>
      <c r="K201" s="354"/>
      <c r="L201" s="354"/>
      <c r="M201" s="354"/>
      <c r="N201" s="354"/>
      <c r="O201" s="354"/>
      <c r="P201" s="354"/>
      <c r="Q201" s="354"/>
      <c r="R201" s="354"/>
      <c r="S201" s="354"/>
      <c r="T201" s="354"/>
      <c r="U201" s="354"/>
      <c r="V201" s="354"/>
    </row>
    <row r="202" spans="1:22" ht="14.4">
      <c r="A202" s="376"/>
      <c r="B202" s="354"/>
      <c r="C202" s="354"/>
      <c r="D202" s="354"/>
      <c r="E202" s="354"/>
      <c r="F202" s="354"/>
      <c r="G202" s="354"/>
      <c r="H202" s="354"/>
      <c r="I202" s="354"/>
      <c r="J202" s="354"/>
      <c r="K202" s="354"/>
      <c r="L202" s="354"/>
      <c r="M202" s="354"/>
      <c r="N202" s="354"/>
      <c r="O202" s="354"/>
      <c r="P202" s="354"/>
      <c r="Q202" s="354"/>
      <c r="R202" s="354"/>
      <c r="S202" s="354"/>
      <c r="T202" s="354"/>
      <c r="U202" s="354"/>
      <c r="V202" s="354"/>
    </row>
    <row r="203" spans="1:22" ht="14.4">
      <c r="A203" s="376"/>
      <c r="B203" s="354"/>
      <c r="C203" s="354"/>
      <c r="D203" s="354"/>
      <c r="E203" s="354"/>
      <c r="F203" s="354"/>
      <c r="G203" s="354"/>
      <c r="H203" s="354"/>
      <c r="I203" s="354"/>
      <c r="J203" s="354"/>
      <c r="K203" s="354"/>
      <c r="L203" s="354"/>
      <c r="M203" s="354"/>
      <c r="N203" s="354"/>
      <c r="O203" s="354"/>
      <c r="P203" s="354"/>
      <c r="Q203" s="354"/>
      <c r="R203" s="354"/>
      <c r="S203" s="354"/>
      <c r="T203" s="354"/>
      <c r="U203" s="354"/>
      <c r="V203" s="354"/>
    </row>
    <row r="204" spans="1:22" ht="14.4">
      <c r="A204" s="376"/>
      <c r="B204" s="354"/>
      <c r="C204" s="354"/>
      <c r="D204" s="354"/>
      <c r="E204" s="354"/>
      <c r="F204" s="354"/>
      <c r="G204" s="354"/>
      <c r="H204" s="354"/>
      <c r="I204" s="354"/>
      <c r="J204" s="354"/>
      <c r="K204" s="354"/>
      <c r="L204" s="354"/>
      <c r="M204" s="354"/>
      <c r="N204" s="354"/>
      <c r="O204" s="354"/>
      <c r="P204" s="354"/>
      <c r="Q204" s="354"/>
      <c r="R204" s="354"/>
      <c r="S204" s="354"/>
      <c r="T204" s="354"/>
      <c r="U204" s="354"/>
      <c r="V204" s="354"/>
    </row>
    <row r="205" spans="1:22" ht="14.4">
      <c r="A205" s="376"/>
      <c r="B205" s="354"/>
      <c r="C205" s="354"/>
      <c r="D205" s="354"/>
      <c r="E205" s="354"/>
      <c r="F205" s="354"/>
      <c r="G205" s="354"/>
      <c r="H205" s="354"/>
      <c r="I205" s="354"/>
      <c r="J205" s="354"/>
      <c r="K205" s="354"/>
      <c r="L205" s="354"/>
      <c r="M205" s="354"/>
      <c r="N205" s="354"/>
      <c r="O205" s="354"/>
      <c r="P205" s="354"/>
      <c r="Q205" s="354"/>
      <c r="R205" s="354"/>
      <c r="S205" s="354"/>
      <c r="T205" s="354"/>
      <c r="U205" s="354"/>
      <c r="V205" s="354"/>
    </row>
    <row r="206" spans="1:22" ht="14.4">
      <c r="A206" s="376"/>
      <c r="B206" s="354"/>
      <c r="C206" s="354"/>
      <c r="D206" s="354"/>
      <c r="E206" s="354"/>
      <c r="F206" s="354"/>
      <c r="G206" s="354"/>
      <c r="H206" s="354"/>
      <c r="I206" s="354"/>
      <c r="J206" s="354"/>
      <c r="K206" s="354"/>
      <c r="L206" s="354"/>
      <c r="M206" s="354"/>
      <c r="N206" s="354"/>
      <c r="O206" s="354"/>
      <c r="P206" s="354"/>
      <c r="Q206" s="354"/>
      <c r="R206" s="354"/>
      <c r="S206" s="354"/>
      <c r="T206" s="354"/>
      <c r="U206" s="354"/>
      <c r="V206" s="354"/>
    </row>
    <row r="207" spans="1:22" ht="14.4">
      <c r="A207" s="376"/>
      <c r="B207" s="354"/>
      <c r="C207" s="354"/>
      <c r="D207" s="354"/>
      <c r="E207" s="354"/>
      <c r="F207" s="354"/>
      <c r="G207" s="354"/>
      <c r="H207" s="354"/>
      <c r="I207" s="354"/>
      <c r="J207" s="354"/>
      <c r="K207" s="354"/>
      <c r="L207" s="354"/>
      <c r="M207" s="354"/>
      <c r="N207" s="354"/>
      <c r="O207" s="354"/>
      <c r="P207" s="354"/>
      <c r="Q207" s="354"/>
      <c r="R207" s="354"/>
      <c r="S207" s="354"/>
      <c r="T207" s="354"/>
      <c r="U207" s="354"/>
      <c r="V207" s="354"/>
    </row>
    <row r="208" spans="1:22" ht="14.4">
      <c r="A208" s="376"/>
      <c r="B208" s="354"/>
      <c r="C208" s="354"/>
      <c r="D208" s="354"/>
      <c r="E208" s="354"/>
      <c r="F208" s="354"/>
      <c r="G208" s="354"/>
      <c r="H208" s="354"/>
      <c r="I208" s="354"/>
      <c r="J208" s="354"/>
      <c r="K208" s="354"/>
      <c r="L208" s="354"/>
      <c r="M208" s="354"/>
      <c r="N208" s="354"/>
      <c r="O208" s="354"/>
      <c r="P208" s="354"/>
      <c r="Q208" s="354"/>
      <c r="R208" s="354"/>
      <c r="S208" s="354"/>
      <c r="T208" s="354"/>
      <c r="U208" s="354"/>
      <c r="V208" s="354"/>
    </row>
    <row r="209" spans="1:22" ht="14.4">
      <c r="A209" s="376"/>
      <c r="B209" s="354"/>
      <c r="C209" s="354"/>
      <c r="D209" s="354"/>
      <c r="E209" s="354"/>
      <c r="F209" s="354"/>
      <c r="G209" s="354"/>
      <c r="H209" s="354"/>
      <c r="I209" s="354"/>
      <c r="J209" s="354"/>
      <c r="K209" s="354"/>
      <c r="L209" s="354"/>
      <c r="M209" s="354"/>
      <c r="N209" s="354"/>
      <c r="O209" s="354"/>
      <c r="P209" s="354"/>
      <c r="Q209" s="354"/>
      <c r="R209" s="354"/>
      <c r="S209" s="354"/>
      <c r="T209" s="354"/>
      <c r="U209" s="354"/>
      <c r="V209" s="354"/>
    </row>
    <row r="210" spans="1:22" ht="14.4">
      <c r="A210" s="376"/>
      <c r="B210" s="354"/>
      <c r="C210" s="354"/>
      <c r="D210" s="354"/>
      <c r="E210" s="354"/>
      <c r="F210" s="354"/>
      <c r="G210" s="354"/>
      <c r="H210" s="354"/>
      <c r="I210" s="354"/>
      <c r="J210" s="354"/>
      <c r="K210" s="354"/>
      <c r="L210" s="354"/>
      <c r="M210" s="354"/>
      <c r="N210" s="354"/>
      <c r="O210" s="354"/>
      <c r="P210" s="354"/>
      <c r="Q210" s="354"/>
      <c r="R210" s="354"/>
      <c r="S210" s="354"/>
      <c r="T210" s="354"/>
      <c r="U210" s="354"/>
      <c r="V210" s="354"/>
    </row>
    <row r="211" spans="1:22" ht="14.4">
      <c r="A211" s="376"/>
      <c r="B211" s="354"/>
      <c r="C211" s="354"/>
      <c r="D211" s="354"/>
      <c r="E211" s="354"/>
      <c r="F211" s="354"/>
      <c r="G211" s="354"/>
      <c r="H211" s="354"/>
      <c r="I211" s="354"/>
      <c r="J211" s="354"/>
      <c r="K211" s="354"/>
      <c r="L211" s="354"/>
      <c r="M211" s="354"/>
      <c r="N211" s="354"/>
      <c r="O211" s="354"/>
      <c r="P211" s="354"/>
      <c r="Q211" s="354"/>
      <c r="R211" s="354"/>
      <c r="S211" s="354"/>
      <c r="T211" s="354"/>
      <c r="U211" s="354"/>
      <c r="V211" s="354"/>
    </row>
    <row r="212" spans="1:22" ht="14.4">
      <c r="A212" s="376"/>
      <c r="B212" s="354"/>
      <c r="C212" s="354"/>
      <c r="D212" s="354"/>
      <c r="E212" s="354"/>
      <c r="F212" s="354"/>
      <c r="G212" s="354"/>
      <c r="H212" s="354"/>
      <c r="I212" s="354"/>
      <c r="J212" s="354"/>
      <c r="K212" s="354"/>
      <c r="L212" s="354"/>
      <c r="M212" s="354"/>
      <c r="N212" s="354"/>
      <c r="O212" s="354"/>
      <c r="P212" s="354"/>
      <c r="Q212" s="354"/>
      <c r="R212" s="354"/>
      <c r="S212" s="354"/>
      <c r="T212" s="354"/>
      <c r="U212" s="354"/>
      <c r="V212" s="354"/>
    </row>
    <row r="213" spans="1:22" ht="14.4">
      <c r="A213" s="376"/>
      <c r="B213" s="354"/>
      <c r="C213" s="354"/>
      <c r="D213" s="354"/>
      <c r="E213" s="354"/>
      <c r="F213" s="354"/>
      <c r="G213" s="354"/>
      <c r="H213" s="354"/>
      <c r="I213" s="354"/>
      <c r="J213" s="354"/>
      <c r="K213" s="354"/>
      <c r="L213" s="354"/>
      <c r="M213" s="354"/>
      <c r="N213" s="354"/>
      <c r="O213" s="354"/>
      <c r="P213" s="354"/>
      <c r="Q213" s="354"/>
      <c r="R213" s="354"/>
      <c r="S213" s="354"/>
      <c r="T213" s="354"/>
      <c r="U213" s="354"/>
      <c r="V213" s="354"/>
    </row>
    <row r="214" spans="1:22" ht="14.4">
      <c r="A214" s="376"/>
      <c r="B214" s="354"/>
      <c r="C214" s="354"/>
      <c r="D214" s="354"/>
      <c r="E214" s="354"/>
      <c r="F214" s="354"/>
      <c r="G214" s="354"/>
      <c r="H214" s="354"/>
      <c r="I214" s="354"/>
      <c r="J214" s="354"/>
      <c r="K214" s="354"/>
      <c r="L214" s="354"/>
      <c r="M214" s="354"/>
      <c r="N214" s="354"/>
      <c r="O214" s="354"/>
      <c r="P214" s="354"/>
      <c r="Q214" s="354"/>
      <c r="R214" s="354"/>
      <c r="S214" s="354"/>
      <c r="T214" s="354"/>
      <c r="U214" s="354"/>
      <c r="V214" s="354"/>
    </row>
    <row r="215" spans="1:22" ht="14.4">
      <c r="A215" s="376"/>
      <c r="B215" s="354"/>
      <c r="C215" s="354"/>
      <c r="D215" s="354"/>
      <c r="E215" s="354"/>
      <c r="F215" s="354"/>
      <c r="G215" s="354"/>
      <c r="H215" s="354"/>
      <c r="I215" s="354"/>
      <c r="J215" s="354"/>
      <c r="K215" s="354"/>
      <c r="L215" s="354"/>
      <c r="M215" s="354"/>
      <c r="N215" s="354"/>
      <c r="O215" s="354"/>
      <c r="P215" s="354"/>
      <c r="Q215" s="354"/>
      <c r="R215" s="354"/>
      <c r="S215" s="354"/>
      <c r="T215" s="354"/>
      <c r="U215" s="354"/>
      <c r="V215" s="354"/>
    </row>
    <row r="216" spans="1:22" ht="14.4">
      <c r="A216" s="376"/>
      <c r="B216" s="354"/>
      <c r="C216" s="354"/>
      <c r="D216" s="354"/>
      <c r="E216" s="354"/>
      <c r="F216" s="354"/>
      <c r="G216" s="354"/>
      <c r="H216" s="354"/>
      <c r="I216" s="354"/>
      <c r="J216" s="354"/>
      <c r="K216" s="354"/>
      <c r="L216" s="354"/>
      <c r="M216" s="354"/>
      <c r="N216" s="354"/>
      <c r="O216" s="354"/>
      <c r="P216" s="354"/>
      <c r="Q216" s="354"/>
      <c r="R216" s="354"/>
      <c r="S216" s="354"/>
      <c r="T216" s="354"/>
      <c r="U216" s="354"/>
      <c r="V216" s="354"/>
    </row>
    <row r="217" spans="1:22" ht="14.4">
      <c r="A217" s="376"/>
      <c r="B217" s="354"/>
      <c r="C217" s="354"/>
      <c r="D217" s="354"/>
      <c r="E217" s="354"/>
      <c r="F217" s="354"/>
      <c r="G217" s="354"/>
      <c r="H217" s="354"/>
      <c r="I217" s="354"/>
      <c r="J217" s="354"/>
      <c r="K217" s="354"/>
      <c r="L217" s="354"/>
      <c r="M217" s="354"/>
      <c r="N217" s="354"/>
      <c r="O217" s="354"/>
      <c r="P217" s="354"/>
      <c r="Q217" s="354"/>
      <c r="R217" s="354"/>
      <c r="S217" s="354"/>
      <c r="T217" s="354"/>
      <c r="U217" s="354"/>
      <c r="V217" s="354"/>
    </row>
    <row r="218" spans="1:22" ht="14.4">
      <c r="A218" s="376"/>
      <c r="B218" s="354"/>
      <c r="C218" s="354"/>
      <c r="D218" s="354"/>
      <c r="E218" s="354"/>
      <c r="F218" s="354"/>
      <c r="G218" s="354"/>
      <c r="H218" s="354"/>
      <c r="I218" s="354"/>
      <c r="J218" s="354"/>
      <c r="K218" s="354"/>
      <c r="L218" s="354"/>
      <c r="M218" s="354"/>
      <c r="N218" s="354"/>
      <c r="O218" s="354"/>
      <c r="P218" s="354"/>
      <c r="Q218" s="354"/>
      <c r="R218" s="354"/>
      <c r="S218" s="354"/>
      <c r="T218" s="354"/>
      <c r="U218" s="354"/>
      <c r="V218" s="354"/>
    </row>
    <row r="219" spans="1:22" ht="14.4">
      <c r="A219" s="376"/>
      <c r="B219" s="354"/>
      <c r="C219" s="354"/>
      <c r="D219" s="354"/>
      <c r="E219" s="354"/>
      <c r="F219" s="354"/>
      <c r="G219" s="354"/>
      <c r="H219" s="354"/>
      <c r="I219" s="354"/>
      <c r="J219" s="354"/>
      <c r="K219" s="354"/>
      <c r="L219" s="354"/>
      <c r="M219" s="354"/>
      <c r="N219" s="354"/>
      <c r="O219" s="354"/>
      <c r="P219" s="354"/>
      <c r="Q219" s="354"/>
      <c r="R219" s="354"/>
      <c r="S219" s="354"/>
      <c r="T219" s="354"/>
      <c r="U219" s="354"/>
      <c r="V219" s="354"/>
    </row>
    <row r="220" spans="1:22" ht="14.4">
      <c r="A220" s="376"/>
      <c r="B220" s="354"/>
      <c r="C220" s="354"/>
      <c r="D220" s="354"/>
      <c r="E220" s="354"/>
      <c r="F220" s="354"/>
      <c r="G220" s="354"/>
      <c r="H220" s="354"/>
      <c r="I220" s="354"/>
      <c r="J220" s="354"/>
      <c r="K220" s="354"/>
      <c r="L220" s="354"/>
      <c r="M220" s="354"/>
      <c r="N220" s="354"/>
      <c r="O220" s="354"/>
      <c r="P220" s="354"/>
      <c r="Q220" s="354"/>
      <c r="R220" s="354"/>
      <c r="S220" s="354"/>
      <c r="T220" s="354"/>
      <c r="U220" s="354"/>
      <c r="V220" s="354"/>
    </row>
    <row r="221" spans="1:22" ht="14.4">
      <c r="A221" s="376"/>
      <c r="B221" s="354"/>
      <c r="C221" s="354"/>
      <c r="D221" s="354"/>
      <c r="E221" s="354"/>
      <c r="F221" s="354"/>
      <c r="G221" s="354"/>
      <c r="H221" s="354"/>
      <c r="I221" s="354"/>
      <c r="J221" s="354"/>
      <c r="K221" s="354"/>
      <c r="L221" s="354"/>
      <c r="M221" s="354"/>
      <c r="N221" s="354"/>
      <c r="O221" s="354"/>
      <c r="P221" s="354"/>
      <c r="Q221" s="354"/>
      <c r="R221" s="354"/>
      <c r="S221" s="354"/>
      <c r="T221" s="354"/>
      <c r="U221" s="354"/>
      <c r="V221" s="354"/>
    </row>
    <row r="222" spans="1:22" ht="14.4">
      <c r="A222" s="376"/>
      <c r="B222" s="354"/>
      <c r="C222" s="354"/>
      <c r="D222" s="354"/>
      <c r="E222" s="354"/>
      <c r="F222" s="354"/>
      <c r="G222" s="354"/>
      <c r="H222" s="354"/>
      <c r="I222" s="354"/>
      <c r="J222" s="354"/>
      <c r="K222" s="354"/>
      <c r="L222" s="354"/>
      <c r="M222" s="354"/>
      <c r="N222" s="354"/>
      <c r="O222" s="354"/>
      <c r="P222" s="354"/>
      <c r="Q222" s="354"/>
      <c r="R222" s="354"/>
      <c r="S222" s="354"/>
      <c r="T222" s="354"/>
      <c r="U222" s="354"/>
      <c r="V222" s="354"/>
    </row>
    <row r="223" spans="1:22" ht="14.4">
      <c r="A223" s="376"/>
      <c r="B223" s="354"/>
      <c r="C223" s="354"/>
      <c r="D223" s="354"/>
      <c r="E223" s="354"/>
      <c r="F223" s="354"/>
      <c r="G223" s="354"/>
      <c r="H223" s="354"/>
      <c r="I223" s="354"/>
      <c r="J223" s="354"/>
      <c r="K223" s="354"/>
      <c r="L223" s="354"/>
      <c r="M223" s="354"/>
      <c r="N223" s="354"/>
      <c r="O223" s="354"/>
      <c r="P223" s="354"/>
      <c r="Q223" s="354"/>
      <c r="R223" s="354"/>
      <c r="S223" s="354"/>
      <c r="T223" s="354"/>
      <c r="U223" s="354"/>
      <c r="V223" s="354"/>
    </row>
    <row r="224" spans="1:22" ht="14.4">
      <c r="A224" s="376"/>
      <c r="B224" s="354"/>
      <c r="C224" s="354"/>
      <c r="D224" s="354"/>
      <c r="E224" s="354"/>
      <c r="F224" s="354"/>
      <c r="G224" s="354"/>
      <c r="H224" s="354"/>
      <c r="I224" s="354"/>
      <c r="J224" s="354"/>
      <c r="K224" s="354"/>
      <c r="L224" s="354"/>
      <c r="M224" s="354"/>
      <c r="N224" s="354"/>
      <c r="O224" s="354"/>
      <c r="P224" s="354"/>
      <c r="Q224" s="354"/>
      <c r="R224" s="354"/>
      <c r="S224" s="354"/>
      <c r="T224" s="354"/>
      <c r="U224" s="354"/>
      <c r="V224" s="354"/>
    </row>
    <row r="225" spans="1:22" ht="14.4">
      <c r="A225" s="376"/>
      <c r="B225" s="354"/>
      <c r="C225" s="354"/>
      <c r="D225" s="354"/>
      <c r="E225" s="354"/>
      <c r="F225" s="354"/>
      <c r="G225" s="354"/>
      <c r="H225" s="354"/>
      <c r="I225" s="354"/>
      <c r="J225" s="354"/>
      <c r="K225" s="354"/>
      <c r="L225" s="354"/>
      <c r="M225" s="354"/>
      <c r="N225" s="354"/>
      <c r="O225" s="354"/>
      <c r="P225" s="354"/>
      <c r="Q225" s="354"/>
      <c r="R225" s="354"/>
      <c r="S225" s="354"/>
      <c r="T225" s="354"/>
      <c r="U225" s="354"/>
      <c r="V225" s="354"/>
    </row>
    <row r="226" spans="1:22" ht="14.4">
      <c r="A226" s="376"/>
      <c r="B226" s="354"/>
      <c r="C226" s="354"/>
      <c r="D226" s="354"/>
      <c r="E226" s="354"/>
      <c r="F226" s="354"/>
      <c r="G226" s="354"/>
      <c r="H226" s="354"/>
      <c r="I226" s="354"/>
      <c r="J226" s="354"/>
      <c r="K226" s="354"/>
      <c r="L226" s="354"/>
      <c r="M226" s="354"/>
      <c r="N226" s="354"/>
      <c r="O226" s="354"/>
      <c r="P226" s="354"/>
      <c r="Q226" s="354"/>
      <c r="R226" s="354"/>
      <c r="S226" s="354"/>
      <c r="T226" s="354"/>
      <c r="U226" s="354"/>
      <c r="V226" s="354"/>
    </row>
    <row r="227" spans="1:22" ht="14.4">
      <c r="A227" s="376"/>
      <c r="B227" s="354"/>
      <c r="C227" s="354"/>
      <c r="D227" s="354"/>
      <c r="E227" s="354"/>
      <c r="F227" s="354"/>
      <c r="G227" s="354"/>
      <c r="H227" s="354"/>
      <c r="I227" s="354"/>
      <c r="J227" s="354"/>
      <c r="K227" s="354"/>
      <c r="L227" s="354"/>
      <c r="M227" s="354"/>
      <c r="N227" s="354"/>
      <c r="O227" s="354"/>
      <c r="P227" s="354"/>
      <c r="Q227" s="354"/>
      <c r="R227" s="354"/>
      <c r="S227" s="354"/>
      <c r="T227" s="354"/>
      <c r="U227" s="354"/>
      <c r="V227" s="354"/>
    </row>
    <row r="228" spans="1:22" ht="14.4">
      <c r="A228" s="376"/>
      <c r="B228" s="354"/>
      <c r="C228" s="354"/>
      <c r="D228" s="354"/>
      <c r="E228" s="354"/>
      <c r="F228" s="354"/>
      <c r="G228" s="354"/>
      <c r="H228" s="354"/>
      <c r="I228" s="354"/>
      <c r="J228" s="354"/>
      <c r="K228" s="354"/>
      <c r="L228" s="354"/>
      <c r="M228" s="354"/>
      <c r="N228" s="354"/>
      <c r="O228" s="354"/>
      <c r="P228" s="354"/>
      <c r="Q228" s="354"/>
      <c r="R228" s="354"/>
      <c r="S228" s="354"/>
      <c r="T228" s="354"/>
      <c r="U228" s="354"/>
      <c r="V228" s="354"/>
    </row>
    <row r="229" spans="1:22" ht="14.4">
      <c r="A229" s="376"/>
      <c r="B229" s="354"/>
      <c r="C229" s="354"/>
      <c r="D229" s="354"/>
      <c r="E229" s="354"/>
      <c r="F229" s="354"/>
      <c r="G229" s="354"/>
      <c r="H229" s="354"/>
      <c r="I229" s="354"/>
      <c r="J229" s="354"/>
      <c r="K229" s="354"/>
      <c r="L229" s="354"/>
      <c r="M229" s="354"/>
      <c r="N229" s="354"/>
      <c r="O229" s="354"/>
      <c r="P229" s="354"/>
      <c r="Q229" s="354"/>
      <c r="R229" s="354"/>
      <c r="S229" s="354"/>
      <c r="T229" s="354"/>
      <c r="U229" s="354"/>
      <c r="V229" s="354"/>
    </row>
    <row r="230" spans="1:22" ht="14.4">
      <c r="A230" s="376"/>
      <c r="B230" s="354"/>
      <c r="C230" s="354"/>
      <c r="D230" s="354"/>
      <c r="E230" s="354"/>
      <c r="F230" s="354"/>
      <c r="G230" s="354"/>
      <c r="H230" s="354"/>
      <c r="I230" s="354"/>
      <c r="J230" s="354"/>
      <c r="K230" s="354"/>
      <c r="L230" s="354"/>
      <c r="M230" s="354"/>
      <c r="N230" s="354"/>
      <c r="O230" s="354"/>
      <c r="P230" s="354"/>
      <c r="Q230" s="354"/>
      <c r="R230" s="354"/>
      <c r="S230" s="354"/>
      <c r="T230" s="354"/>
      <c r="U230" s="354"/>
      <c r="V230" s="354"/>
    </row>
    <row r="231" spans="1:22" ht="14.4">
      <c r="A231" s="376"/>
      <c r="B231" s="354"/>
      <c r="C231" s="354"/>
      <c r="D231" s="354"/>
      <c r="E231" s="354"/>
      <c r="F231" s="354"/>
      <c r="G231" s="354"/>
      <c r="H231" s="354"/>
      <c r="I231" s="354"/>
      <c r="J231" s="354"/>
      <c r="K231" s="354"/>
      <c r="L231" s="354"/>
      <c r="M231" s="354"/>
      <c r="N231" s="354"/>
      <c r="O231" s="354"/>
      <c r="P231" s="354"/>
      <c r="Q231" s="354"/>
      <c r="R231" s="354"/>
      <c r="S231" s="354"/>
      <c r="T231" s="354"/>
      <c r="U231" s="354"/>
      <c r="V231" s="354"/>
    </row>
    <row r="232" spans="1:22" ht="14.4">
      <c r="A232" s="376"/>
      <c r="B232" s="354"/>
      <c r="C232" s="354"/>
      <c r="D232" s="354"/>
      <c r="E232" s="354"/>
      <c r="F232" s="354"/>
      <c r="G232" s="354"/>
      <c r="H232" s="354"/>
      <c r="I232" s="354"/>
      <c r="J232" s="354"/>
      <c r="K232" s="354"/>
      <c r="L232" s="354"/>
      <c r="M232" s="354"/>
      <c r="N232" s="354"/>
      <c r="O232" s="354"/>
      <c r="P232" s="354"/>
      <c r="Q232" s="354"/>
      <c r="R232" s="354"/>
      <c r="S232" s="354"/>
      <c r="T232" s="354"/>
      <c r="U232" s="354"/>
      <c r="V232" s="354"/>
    </row>
    <row r="233" spans="1:22" ht="14.4">
      <c r="A233" s="376"/>
      <c r="B233" s="354"/>
      <c r="C233" s="354"/>
      <c r="D233" s="354"/>
      <c r="E233" s="354"/>
      <c r="F233" s="354"/>
      <c r="G233" s="354"/>
      <c r="H233" s="354"/>
      <c r="I233" s="354"/>
      <c r="J233" s="354"/>
      <c r="K233" s="354"/>
      <c r="L233" s="354"/>
      <c r="M233" s="354"/>
      <c r="N233" s="354"/>
      <c r="O233" s="354"/>
      <c r="P233" s="354"/>
      <c r="Q233" s="354"/>
      <c r="R233" s="354"/>
      <c r="S233" s="354"/>
      <c r="T233" s="354"/>
      <c r="U233" s="354"/>
      <c r="V233" s="354"/>
    </row>
    <row r="234" spans="1:22" ht="14.4">
      <c r="A234" s="376"/>
      <c r="B234" s="354"/>
      <c r="C234" s="354"/>
      <c r="D234" s="354"/>
      <c r="E234" s="354"/>
      <c r="F234" s="354"/>
      <c r="G234" s="354"/>
      <c r="H234" s="354"/>
      <c r="I234" s="354"/>
      <c r="J234" s="354"/>
      <c r="K234" s="354"/>
      <c r="L234" s="354"/>
      <c r="M234" s="354"/>
      <c r="N234" s="354"/>
      <c r="O234" s="354"/>
      <c r="P234" s="354"/>
      <c r="Q234" s="354"/>
      <c r="R234" s="354"/>
      <c r="S234" s="354"/>
      <c r="T234" s="354"/>
      <c r="U234" s="354"/>
      <c r="V234" s="354"/>
    </row>
    <row r="235" spans="1:22" ht="14.4">
      <c r="A235" s="376"/>
      <c r="B235" s="354"/>
      <c r="C235" s="354"/>
      <c r="D235" s="354"/>
      <c r="E235" s="354"/>
      <c r="F235" s="354"/>
      <c r="G235" s="354"/>
      <c r="H235" s="354"/>
      <c r="I235" s="354"/>
      <c r="J235" s="354"/>
      <c r="K235" s="354"/>
      <c r="L235" s="354"/>
      <c r="M235" s="354"/>
      <c r="N235" s="354"/>
      <c r="O235" s="354"/>
      <c r="P235" s="354"/>
      <c r="Q235" s="354"/>
      <c r="R235" s="354"/>
      <c r="S235" s="354"/>
      <c r="T235" s="354"/>
      <c r="U235" s="354"/>
      <c r="V235" s="354"/>
    </row>
    <row r="236" spans="1:22" ht="14.4">
      <c r="A236" s="376"/>
      <c r="B236" s="354"/>
      <c r="C236" s="354"/>
      <c r="D236" s="354"/>
      <c r="E236" s="354"/>
      <c r="F236" s="354"/>
      <c r="G236" s="354"/>
      <c r="H236" s="354"/>
      <c r="I236" s="354"/>
      <c r="J236" s="354"/>
      <c r="K236" s="354"/>
      <c r="L236" s="354"/>
      <c r="M236" s="354"/>
      <c r="N236" s="354"/>
      <c r="O236" s="354"/>
      <c r="P236" s="354"/>
      <c r="Q236" s="354"/>
      <c r="R236" s="354"/>
      <c r="S236" s="354"/>
      <c r="T236" s="354"/>
      <c r="U236" s="354"/>
      <c r="V236" s="354"/>
    </row>
    <row r="237" spans="1:22" ht="14.4">
      <c r="A237" s="376"/>
      <c r="B237" s="354"/>
      <c r="C237" s="354"/>
      <c r="D237" s="354"/>
      <c r="E237" s="354"/>
      <c r="F237" s="354"/>
      <c r="G237" s="354"/>
      <c r="H237" s="354"/>
      <c r="I237" s="354"/>
      <c r="J237" s="354"/>
      <c r="K237" s="354"/>
      <c r="L237" s="354"/>
      <c r="M237" s="354"/>
      <c r="N237" s="354"/>
      <c r="O237" s="354"/>
      <c r="P237" s="354"/>
      <c r="Q237" s="354"/>
      <c r="R237" s="354"/>
      <c r="S237" s="354"/>
      <c r="T237" s="354"/>
      <c r="U237" s="354"/>
      <c r="V237" s="354"/>
    </row>
    <row r="238" spans="1:22" ht="14.4">
      <c r="A238" s="376"/>
      <c r="B238" s="354"/>
      <c r="C238" s="354"/>
      <c r="D238" s="354"/>
      <c r="E238" s="354"/>
      <c r="F238" s="354"/>
      <c r="G238" s="354"/>
      <c r="H238" s="354"/>
      <c r="I238" s="354"/>
      <c r="J238" s="354"/>
      <c r="K238" s="354"/>
      <c r="L238" s="354"/>
      <c r="M238" s="354"/>
      <c r="N238" s="354"/>
      <c r="O238" s="354"/>
      <c r="P238" s="354"/>
      <c r="Q238" s="354"/>
      <c r="R238" s="354"/>
      <c r="S238" s="354"/>
      <c r="T238" s="354"/>
      <c r="U238" s="354"/>
      <c r="V238" s="354"/>
    </row>
    <row r="239" spans="1:22" ht="14.4">
      <c r="A239" s="376"/>
      <c r="B239" s="354"/>
      <c r="C239" s="354"/>
      <c r="D239" s="354"/>
      <c r="E239" s="354"/>
      <c r="F239" s="354"/>
      <c r="G239" s="354"/>
      <c r="H239" s="354"/>
      <c r="I239" s="354"/>
      <c r="J239" s="354"/>
      <c r="K239" s="354"/>
      <c r="L239" s="354"/>
      <c r="M239" s="354"/>
      <c r="N239" s="354"/>
      <c r="O239" s="354"/>
      <c r="P239" s="354"/>
      <c r="Q239" s="354"/>
      <c r="R239" s="354"/>
      <c r="S239" s="354"/>
      <c r="T239" s="354"/>
      <c r="U239" s="354"/>
      <c r="V239" s="354"/>
    </row>
    <row r="240" spans="1:22" ht="14.4">
      <c r="A240" s="376"/>
      <c r="B240" s="354"/>
      <c r="C240" s="354"/>
      <c r="D240" s="354"/>
      <c r="E240" s="354"/>
      <c r="F240" s="354"/>
      <c r="G240" s="354"/>
      <c r="H240" s="354"/>
      <c r="I240" s="354"/>
      <c r="J240" s="354"/>
      <c r="K240" s="354"/>
      <c r="L240" s="354"/>
      <c r="M240" s="354"/>
      <c r="N240" s="354"/>
      <c r="O240" s="354"/>
      <c r="P240" s="354"/>
      <c r="Q240" s="354"/>
      <c r="R240" s="354"/>
      <c r="S240" s="354"/>
      <c r="T240" s="354"/>
      <c r="U240" s="354"/>
      <c r="V240" s="354"/>
    </row>
    <row r="241" spans="1:22" ht="14.4">
      <c r="A241" s="376"/>
      <c r="B241" s="354"/>
      <c r="C241" s="354"/>
      <c r="D241" s="354"/>
      <c r="E241" s="354"/>
      <c r="F241" s="354"/>
      <c r="G241" s="354"/>
      <c r="H241" s="354"/>
      <c r="I241" s="354"/>
      <c r="J241" s="354"/>
      <c r="K241" s="354"/>
      <c r="L241" s="354"/>
      <c r="M241" s="354"/>
      <c r="N241" s="354"/>
      <c r="O241" s="354"/>
      <c r="P241" s="354"/>
      <c r="Q241" s="354"/>
      <c r="R241" s="354"/>
      <c r="S241" s="354"/>
      <c r="T241" s="354"/>
      <c r="U241" s="354"/>
      <c r="V241" s="354"/>
    </row>
    <row r="242" spans="1:22" ht="14.4">
      <c r="A242" s="376"/>
      <c r="B242" s="354"/>
      <c r="C242" s="354"/>
      <c r="D242" s="354"/>
      <c r="E242" s="354"/>
      <c r="F242" s="354"/>
      <c r="G242" s="354"/>
      <c r="H242" s="354"/>
      <c r="I242" s="354"/>
      <c r="J242" s="354"/>
      <c r="K242" s="354"/>
      <c r="L242" s="354"/>
      <c r="M242" s="354"/>
      <c r="N242" s="354"/>
      <c r="O242" s="354"/>
      <c r="P242" s="354"/>
      <c r="Q242" s="354"/>
      <c r="R242" s="354"/>
      <c r="S242" s="354"/>
      <c r="T242" s="354"/>
      <c r="U242" s="354"/>
      <c r="V242" s="354"/>
    </row>
    <row r="243" spans="1:22" ht="14.4">
      <c r="A243" s="376"/>
      <c r="B243" s="354"/>
      <c r="C243" s="354"/>
      <c r="D243" s="354"/>
      <c r="E243" s="354"/>
      <c r="F243" s="354"/>
      <c r="G243" s="354"/>
      <c r="H243" s="354"/>
      <c r="I243" s="354"/>
      <c r="J243" s="354"/>
      <c r="K243" s="354"/>
      <c r="L243" s="354"/>
      <c r="M243" s="354"/>
      <c r="N243" s="354"/>
      <c r="O243" s="354"/>
      <c r="P243" s="354"/>
      <c r="Q243" s="354"/>
      <c r="R243" s="354"/>
      <c r="S243" s="354"/>
      <c r="T243" s="354"/>
      <c r="U243" s="354"/>
      <c r="V243" s="354"/>
    </row>
    <row r="244" spans="1:22" ht="14.4">
      <c r="A244" s="376"/>
      <c r="B244" s="354"/>
      <c r="C244" s="354"/>
      <c r="D244" s="354"/>
      <c r="E244" s="354"/>
      <c r="F244" s="354"/>
      <c r="G244" s="354"/>
      <c r="H244" s="354"/>
      <c r="I244" s="354"/>
      <c r="J244" s="354"/>
      <c r="K244" s="354"/>
      <c r="L244" s="354"/>
      <c r="M244" s="354"/>
      <c r="N244" s="354"/>
      <c r="O244" s="354"/>
      <c r="P244" s="354"/>
      <c r="Q244" s="354"/>
      <c r="R244" s="354"/>
      <c r="S244" s="354"/>
      <c r="T244" s="354"/>
      <c r="U244" s="354"/>
      <c r="V244" s="354"/>
    </row>
    <row r="245" spans="1:22" ht="14.4">
      <c r="A245" s="376"/>
      <c r="B245" s="354"/>
      <c r="C245" s="354"/>
      <c r="D245" s="354"/>
      <c r="E245" s="354"/>
      <c r="F245" s="354"/>
      <c r="G245" s="354"/>
      <c r="H245" s="354"/>
      <c r="I245" s="354"/>
      <c r="J245" s="354"/>
      <c r="K245" s="354"/>
      <c r="L245" s="354"/>
      <c r="M245" s="354"/>
      <c r="N245" s="354"/>
      <c r="O245" s="354"/>
      <c r="P245" s="354"/>
      <c r="Q245" s="354"/>
      <c r="R245" s="354"/>
      <c r="S245" s="354"/>
      <c r="T245" s="354"/>
      <c r="U245" s="354"/>
      <c r="V245" s="354"/>
    </row>
    <row r="246" spans="1:22" ht="14.4">
      <c r="A246" s="376"/>
      <c r="B246" s="354"/>
      <c r="C246" s="354"/>
      <c r="D246" s="354"/>
      <c r="E246" s="354"/>
      <c r="F246" s="354"/>
      <c r="G246" s="354"/>
      <c r="H246" s="354"/>
      <c r="I246" s="354"/>
      <c r="J246" s="354"/>
      <c r="K246" s="354"/>
      <c r="L246" s="354"/>
      <c r="M246" s="354"/>
      <c r="N246" s="354"/>
      <c r="O246" s="354"/>
      <c r="P246" s="354"/>
      <c r="Q246" s="354"/>
      <c r="R246" s="354"/>
      <c r="S246" s="354"/>
      <c r="T246" s="354"/>
      <c r="U246" s="354"/>
      <c r="V246" s="354"/>
    </row>
    <row r="247" spans="1:22" ht="14.4">
      <c r="A247" s="376"/>
      <c r="B247" s="354"/>
      <c r="C247" s="354"/>
      <c r="D247" s="354"/>
      <c r="E247" s="354"/>
      <c r="F247" s="354"/>
      <c r="G247" s="354"/>
      <c r="H247" s="354"/>
      <c r="I247" s="354"/>
      <c r="J247" s="354"/>
      <c r="K247" s="354"/>
      <c r="L247" s="354"/>
      <c r="M247" s="354"/>
      <c r="N247" s="354"/>
      <c r="O247" s="354"/>
      <c r="P247" s="354"/>
      <c r="Q247" s="354"/>
      <c r="R247" s="354"/>
      <c r="S247" s="354"/>
      <c r="T247" s="354"/>
      <c r="U247" s="354"/>
      <c r="V247" s="354"/>
    </row>
    <row r="248" spans="1:22" ht="14.4">
      <c r="A248" s="376"/>
      <c r="B248" s="354"/>
      <c r="C248" s="354"/>
      <c r="D248" s="354"/>
      <c r="E248" s="354"/>
      <c r="F248" s="354"/>
      <c r="G248" s="354"/>
      <c r="H248" s="354"/>
      <c r="I248" s="354"/>
      <c r="J248" s="354"/>
      <c r="K248" s="354"/>
      <c r="L248" s="354"/>
      <c r="M248" s="354"/>
      <c r="N248" s="354"/>
      <c r="O248" s="354"/>
      <c r="P248" s="354"/>
      <c r="Q248" s="354"/>
      <c r="R248" s="354"/>
      <c r="S248" s="354"/>
      <c r="T248" s="354"/>
      <c r="U248" s="354"/>
      <c r="V248" s="354"/>
    </row>
    <row r="249" spans="1:22" ht="14.4">
      <c r="A249" s="376"/>
      <c r="B249" s="354"/>
      <c r="C249" s="354"/>
      <c r="D249" s="354"/>
      <c r="E249" s="354"/>
      <c r="F249" s="354"/>
      <c r="G249" s="354"/>
      <c r="H249" s="354"/>
      <c r="I249" s="354"/>
      <c r="J249" s="354"/>
      <c r="K249" s="354"/>
      <c r="L249" s="354"/>
      <c r="M249" s="354"/>
      <c r="N249" s="354"/>
      <c r="O249" s="354"/>
      <c r="P249" s="354"/>
      <c r="Q249" s="354"/>
      <c r="R249" s="354"/>
      <c r="S249" s="354"/>
      <c r="T249" s="354"/>
      <c r="U249" s="354"/>
      <c r="V249" s="354"/>
    </row>
    <row r="250" spans="1:22" ht="14.4">
      <c r="A250" s="376"/>
      <c r="B250" s="354"/>
      <c r="C250" s="354"/>
      <c r="D250" s="354"/>
      <c r="E250" s="354"/>
      <c r="F250" s="354"/>
      <c r="G250" s="354"/>
      <c r="H250" s="354"/>
      <c r="I250" s="354"/>
      <c r="J250" s="354"/>
      <c r="K250" s="354"/>
      <c r="L250" s="354"/>
      <c r="M250" s="354"/>
      <c r="N250" s="354"/>
      <c r="O250" s="354"/>
      <c r="P250" s="354"/>
      <c r="Q250" s="354"/>
      <c r="R250" s="354"/>
      <c r="S250" s="354"/>
      <c r="T250" s="354"/>
      <c r="U250" s="354"/>
      <c r="V250" s="354"/>
    </row>
    <row r="251" spans="1:22" ht="14.4">
      <c r="A251" s="376"/>
      <c r="B251" s="354"/>
      <c r="C251" s="354"/>
      <c r="D251" s="354"/>
      <c r="E251" s="354"/>
      <c r="F251" s="354"/>
      <c r="G251" s="354"/>
      <c r="H251" s="354"/>
      <c r="I251" s="354"/>
      <c r="J251" s="354"/>
      <c r="K251" s="354"/>
      <c r="L251" s="354"/>
      <c r="M251" s="354"/>
      <c r="N251" s="354"/>
      <c r="O251" s="354"/>
      <c r="P251" s="354"/>
      <c r="Q251" s="354"/>
      <c r="R251" s="354"/>
      <c r="S251" s="354"/>
      <c r="T251" s="354"/>
      <c r="U251" s="354"/>
      <c r="V251" s="354"/>
    </row>
    <row r="252" spans="1:22" ht="14.4">
      <c r="A252" s="376"/>
      <c r="B252" s="354"/>
      <c r="C252" s="354"/>
      <c r="D252" s="354"/>
      <c r="E252" s="354"/>
      <c r="F252" s="354"/>
      <c r="G252" s="354"/>
      <c r="H252" s="354"/>
      <c r="I252" s="354"/>
      <c r="J252" s="354"/>
      <c r="K252" s="354"/>
      <c r="L252" s="354"/>
      <c r="M252" s="354"/>
      <c r="N252" s="354"/>
      <c r="O252" s="354"/>
      <c r="P252" s="354"/>
      <c r="Q252" s="354"/>
      <c r="R252" s="354"/>
      <c r="S252" s="354"/>
      <c r="T252" s="354"/>
      <c r="U252" s="354"/>
      <c r="V252" s="354"/>
    </row>
    <row r="253" spans="1:22" ht="14.4">
      <c r="A253" s="376"/>
      <c r="B253" s="354"/>
      <c r="C253" s="354"/>
      <c r="D253" s="354"/>
      <c r="E253" s="354"/>
      <c r="F253" s="354"/>
      <c r="G253" s="354"/>
      <c r="H253" s="354"/>
      <c r="I253" s="354"/>
      <c r="J253" s="354"/>
      <c r="K253" s="354"/>
      <c r="L253" s="354"/>
      <c r="M253" s="354"/>
      <c r="N253" s="354"/>
      <c r="O253" s="354"/>
      <c r="P253" s="354"/>
      <c r="Q253" s="354"/>
      <c r="R253" s="354"/>
      <c r="S253" s="354"/>
      <c r="T253" s="354"/>
      <c r="U253" s="354"/>
      <c r="V253" s="354"/>
    </row>
    <row r="254" spans="1:22" ht="14.4">
      <c r="A254" s="376"/>
      <c r="B254" s="354"/>
      <c r="C254" s="354"/>
      <c r="D254" s="354"/>
      <c r="E254" s="354"/>
      <c r="F254" s="354"/>
      <c r="G254" s="354"/>
      <c r="H254" s="354"/>
      <c r="I254" s="354"/>
      <c r="J254" s="354"/>
      <c r="K254" s="354"/>
      <c r="L254" s="354"/>
      <c r="M254" s="354"/>
      <c r="N254" s="354"/>
      <c r="O254" s="354"/>
      <c r="P254" s="354"/>
      <c r="Q254" s="354"/>
      <c r="R254" s="354"/>
      <c r="S254" s="354"/>
      <c r="T254" s="354"/>
      <c r="U254" s="354"/>
      <c r="V254" s="354"/>
    </row>
    <row r="255" spans="1:22" ht="14.4">
      <c r="A255" s="376"/>
      <c r="B255" s="354"/>
      <c r="C255" s="354"/>
      <c r="D255" s="354"/>
      <c r="E255" s="354"/>
      <c r="F255" s="354"/>
      <c r="G255" s="354"/>
      <c r="H255" s="354"/>
      <c r="I255" s="354"/>
      <c r="J255" s="354"/>
      <c r="K255" s="354"/>
      <c r="L255" s="354"/>
      <c r="M255" s="354"/>
      <c r="N255" s="354"/>
      <c r="O255" s="354"/>
      <c r="P255" s="354"/>
      <c r="Q255" s="354"/>
      <c r="R255" s="354"/>
      <c r="S255" s="354"/>
      <c r="T255" s="354"/>
      <c r="U255" s="354"/>
      <c r="V255" s="354"/>
    </row>
    <row r="256" spans="1:22" ht="14.4">
      <c r="A256" s="376"/>
      <c r="B256" s="354"/>
      <c r="C256" s="354"/>
      <c r="D256" s="354"/>
      <c r="E256" s="354"/>
      <c r="F256" s="354"/>
      <c r="G256" s="354"/>
      <c r="H256" s="354"/>
      <c r="I256" s="354"/>
      <c r="J256" s="354"/>
      <c r="K256" s="354"/>
      <c r="L256" s="354"/>
      <c r="M256" s="354"/>
      <c r="N256" s="354"/>
      <c r="O256" s="354"/>
      <c r="P256" s="354"/>
      <c r="Q256" s="354"/>
      <c r="R256" s="354"/>
      <c r="S256" s="354"/>
      <c r="T256" s="354"/>
      <c r="U256" s="354"/>
      <c r="V256" s="354"/>
    </row>
    <row r="257" spans="1:22" ht="14.4">
      <c r="A257" s="376"/>
      <c r="B257" s="354"/>
      <c r="C257" s="354"/>
      <c r="D257" s="354"/>
      <c r="E257" s="354"/>
      <c r="F257" s="354"/>
      <c r="G257" s="354"/>
      <c r="H257" s="354"/>
      <c r="I257" s="354"/>
      <c r="J257" s="354"/>
      <c r="K257" s="354"/>
      <c r="L257" s="354"/>
      <c r="M257" s="354"/>
      <c r="N257" s="354"/>
      <c r="O257" s="354"/>
      <c r="P257" s="354"/>
      <c r="Q257" s="354"/>
      <c r="R257" s="354"/>
      <c r="S257" s="354"/>
      <c r="T257" s="354"/>
      <c r="U257" s="354"/>
      <c r="V257" s="354"/>
    </row>
    <row r="258" spans="1:22" ht="14.4">
      <c r="A258" s="376"/>
      <c r="B258" s="354"/>
      <c r="C258" s="354"/>
      <c r="D258" s="354"/>
      <c r="E258" s="354"/>
      <c r="F258" s="354"/>
      <c r="G258" s="354"/>
      <c r="H258" s="354"/>
      <c r="I258" s="354"/>
      <c r="J258" s="354"/>
      <c r="K258" s="354"/>
      <c r="L258" s="354"/>
      <c r="M258" s="354"/>
      <c r="N258" s="354"/>
      <c r="O258" s="354"/>
      <c r="P258" s="354"/>
      <c r="Q258" s="354"/>
      <c r="R258" s="354"/>
      <c r="S258" s="354"/>
      <c r="T258" s="354"/>
      <c r="U258" s="354"/>
      <c r="V258" s="354"/>
    </row>
    <row r="259" spans="1:22" ht="14.4">
      <c r="A259" s="376"/>
      <c r="B259" s="354"/>
      <c r="C259" s="354"/>
      <c r="D259" s="354"/>
      <c r="E259" s="354"/>
      <c r="F259" s="354"/>
      <c r="G259" s="354"/>
      <c r="H259" s="354"/>
      <c r="I259" s="354"/>
      <c r="J259" s="354"/>
      <c r="K259" s="354"/>
      <c r="L259" s="354"/>
      <c r="M259" s="354"/>
      <c r="N259" s="354"/>
      <c r="O259" s="354"/>
      <c r="P259" s="354"/>
      <c r="Q259" s="354"/>
      <c r="R259" s="354"/>
      <c r="S259" s="354"/>
      <c r="T259" s="354"/>
      <c r="U259" s="354"/>
      <c r="V259" s="354"/>
    </row>
    <row r="260" spans="1:22" ht="14.4">
      <c r="A260" s="376"/>
      <c r="B260" s="354"/>
      <c r="C260" s="354"/>
      <c r="D260" s="354"/>
      <c r="E260" s="354"/>
      <c r="F260" s="354"/>
      <c r="G260" s="354"/>
      <c r="H260" s="354"/>
      <c r="I260" s="354"/>
      <c r="J260" s="354"/>
      <c r="K260" s="354"/>
      <c r="L260" s="354"/>
      <c r="M260" s="354"/>
      <c r="N260" s="354"/>
      <c r="O260" s="354"/>
      <c r="P260" s="354"/>
      <c r="Q260" s="354"/>
      <c r="R260" s="354"/>
      <c r="S260" s="354"/>
      <c r="T260" s="354"/>
      <c r="U260" s="354"/>
      <c r="V260" s="354"/>
    </row>
    <row r="261" spans="1:22" ht="14.4">
      <c r="A261" s="376"/>
      <c r="B261" s="354"/>
      <c r="C261" s="354"/>
      <c r="D261" s="354"/>
      <c r="E261" s="354"/>
      <c r="F261" s="354"/>
      <c r="G261" s="354"/>
      <c r="H261" s="354"/>
      <c r="I261" s="354"/>
      <c r="J261" s="354"/>
      <c r="K261" s="354"/>
      <c r="L261" s="354"/>
      <c r="M261" s="354"/>
      <c r="N261" s="354"/>
      <c r="O261" s="354"/>
      <c r="P261" s="354"/>
      <c r="Q261" s="354"/>
      <c r="R261" s="354"/>
      <c r="S261" s="354"/>
      <c r="T261" s="354"/>
      <c r="U261" s="354"/>
      <c r="V261" s="354"/>
    </row>
    <row r="262" spans="1:22" ht="14.4">
      <c r="A262" s="376"/>
      <c r="B262" s="354"/>
      <c r="C262" s="354"/>
      <c r="D262" s="354"/>
      <c r="E262" s="354"/>
      <c r="F262" s="354"/>
      <c r="G262" s="354"/>
      <c r="H262" s="354"/>
      <c r="I262" s="354"/>
      <c r="J262" s="354"/>
      <c r="K262" s="354"/>
      <c r="L262" s="354"/>
      <c r="M262" s="354"/>
      <c r="N262" s="354"/>
      <c r="O262" s="354"/>
      <c r="P262" s="354"/>
      <c r="Q262" s="354"/>
      <c r="R262" s="354"/>
      <c r="S262" s="354"/>
      <c r="T262" s="354"/>
      <c r="U262" s="354"/>
      <c r="V262" s="354"/>
    </row>
    <row r="263" spans="1:22" ht="14.4">
      <c r="A263" s="376"/>
      <c r="B263" s="354"/>
      <c r="C263" s="354"/>
      <c r="D263" s="354"/>
      <c r="E263" s="354"/>
      <c r="F263" s="354"/>
      <c r="G263" s="354"/>
      <c r="H263" s="354"/>
      <c r="I263" s="354"/>
      <c r="J263" s="354"/>
      <c r="K263" s="354"/>
      <c r="L263" s="354"/>
      <c r="M263" s="354"/>
      <c r="N263" s="354"/>
      <c r="O263" s="354"/>
      <c r="P263" s="354"/>
      <c r="Q263" s="354"/>
      <c r="R263" s="354"/>
      <c r="S263" s="354"/>
      <c r="T263" s="354"/>
      <c r="U263" s="354"/>
      <c r="V263" s="354"/>
    </row>
    <row r="264" spans="1:22" ht="14.4">
      <c r="A264" s="376"/>
      <c r="B264" s="354"/>
      <c r="C264" s="354"/>
      <c r="D264" s="354"/>
      <c r="E264" s="354"/>
      <c r="F264" s="354"/>
      <c r="G264" s="354"/>
      <c r="H264" s="354"/>
      <c r="I264" s="354"/>
      <c r="J264" s="354"/>
      <c r="K264" s="354"/>
      <c r="L264" s="354"/>
      <c r="M264" s="354"/>
      <c r="N264" s="354"/>
      <c r="O264" s="354"/>
      <c r="P264" s="354"/>
      <c r="Q264" s="354"/>
      <c r="R264" s="354"/>
      <c r="S264" s="354"/>
      <c r="T264" s="354"/>
      <c r="U264" s="354"/>
      <c r="V264" s="354"/>
    </row>
    <row r="265" spans="1:22" ht="14.4">
      <c r="A265" s="376"/>
      <c r="B265" s="354"/>
      <c r="C265" s="354"/>
      <c r="D265" s="354"/>
      <c r="E265" s="354"/>
      <c r="F265" s="354"/>
      <c r="G265" s="354"/>
      <c r="H265" s="354"/>
      <c r="I265" s="354"/>
      <c r="J265" s="354"/>
      <c r="K265" s="354"/>
      <c r="L265" s="354"/>
      <c r="M265" s="354"/>
      <c r="N265" s="354"/>
      <c r="O265" s="354"/>
      <c r="P265" s="354"/>
      <c r="Q265" s="354"/>
      <c r="R265" s="354"/>
      <c r="S265" s="354"/>
      <c r="T265" s="354"/>
      <c r="U265" s="354"/>
      <c r="V265" s="354"/>
    </row>
    <row r="266" spans="1:22" ht="14.4">
      <c r="A266" s="376"/>
      <c r="B266" s="354"/>
      <c r="C266" s="354"/>
      <c r="D266" s="354"/>
      <c r="E266" s="354"/>
      <c r="F266" s="354"/>
      <c r="G266" s="354"/>
      <c r="H266" s="354"/>
      <c r="I266" s="354"/>
      <c r="J266" s="354"/>
      <c r="K266" s="354"/>
      <c r="L266" s="354"/>
      <c r="M266" s="354"/>
      <c r="N266" s="354"/>
      <c r="O266" s="354"/>
      <c r="P266" s="354"/>
      <c r="Q266" s="354"/>
      <c r="R266" s="354"/>
      <c r="S266" s="354"/>
      <c r="T266" s="354"/>
      <c r="U266" s="354"/>
      <c r="V266" s="354"/>
    </row>
    <row r="267" spans="1:22" ht="14.4">
      <c r="A267" s="376"/>
      <c r="B267" s="354"/>
      <c r="C267" s="354"/>
      <c r="D267" s="354"/>
      <c r="E267" s="354"/>
      <c r="F267" s="354"/>
      <c r="G267" s="354"/>
      <c r="H267" s="354"/>
      <c r="I267" s="354"/>
      <c r="J267" s="354"/>
      <c r="K267" s="354"/>
      <c r="L267" s="354"/>
      <c r="M267" s="354"/>
      <c r="N267" s="354"/>
      <c r="O267" s="354"/>
      <c r="P267" s="354"/>
      <c r="Q267" s="354"/>
      <c r="R267" s="354"/>
      <c r="S267" s="354"/>
      <c r="T267" s="354"/>
      <c r="U267" s="354"/>
      <c r="V267" s="354"/>
    </row>
    <row r="268" spans="1:22" ht="14.4">
      <c r="A268" s="376"/>
      <c r="B268" s="354"/>
      <c r="C268" s="354"/>
      <c r="D268" s="354"/>
      <c r="E268" s="354"/>
      <c r="F268" s="354"/>
      <c r="G268" s="354"/>
      <c r="H268" s="354"/>
      <c r="I268" s="354"/>
      <c r="J268" s="354"/>
      <c r="K268" s="354"/>
      <c r="L268" s="354"/>
      <c r="M268" s="354"/>
      <c r="N268" s="354"/>
      <c r="O268" s="354"/>
      <c r="P268" s="354"/>
      <c r="Q268" s="354"/>
      <c r="R268" s="354"/>
      <c r="S268" s="354"/>
      <c r="T268" s="354"/>
      <c r="U268" s="354"/>
      <c r="V268" s="354"/>
    </row>
    <row r="269" spans="1:22" ht="14.4">
      <c r="A269" s="376"/>
      <c r="B269" s="354"/>
      <c r="C269" s="354"/>
      <c r="D269" s="354"/>
      <c r="E269" s="354"/>
      <c r="F269" s="354"/>
      <c r="G269" s="354"/>
      <c r="H269" s="354"/>
      <c r="I269" s="354"/>
      <c r="J269" s="354"/>
      <c r="K269" s="354"/>
      <c r="L269" s="354"/>
      <c r="M269" s="354"/>
      <c r="N269" s="354"/>
      <c r="O269" s="354"/>
      <c r="P269" s="354"/>
      <c r="Q269" s="354"/>
      <c r="R269" s="354"/>
      <c r="S269" s="354"/>
      <c r="T269" s="354"/>
      <c r="U269" s="354"/>
      <c r="V269" s="354"/>
    </row>
    <row r="270" spans="1:22" ht="14.4">
      <c r="A270" s="376"/>
      <c r="B270" s="354"/>
      <c r="C270" s="354"/>
      <c r="D270" s="354"/>
      <c r="E270" s="354"/>
      <c r="F270" s="354"/>
      <c r="G270" s="354"/>
      <c r="H270" s="354"/>
      <c r="I270" s="354"/>
      <c r="J270" s="354"/>
      <c r="K270" s="354"/>
      <c r="L270" s="354"/>
      <c r="M270" s="354"/>
      <c r="N270" s="354"/>
      <c r="O270" s="354"/>
      <c r="P270" s="354"/>
      <c r="Q270" s="354"/>
      <c r="R270" s="354"/>
      <c r="S270" s="354"/>
      <c r="T270" s="354"/>
      <c r="U270" s="354"/>
      <c r="V270" s="354"/>
    </row>
    <row r="271" spans="1:22" ht="14.4">
      <c r="A271" s="376"/>
      <c r="B271" s="354"/>
      <c r="C271" s="354"/>
      <c r="D271" s="354"/>
      <c r="E271" s="354"/>
      <c r="F271" s="354"/>
      <c r="G271" s="354"/>
      <c r="H271" s="354"/>
      <c r="I271" s="354"/>
      <c r="J271" s="354"/>
      <c r="K271" s="354"/>
      <c r="L271" s="354"/>
      <c r="M271" s="354"/>
      <c r="N271" s="354"/>
      <c r="O271" s="354"/>
      <c r="P271" s="354"/>
      <c r="Q271" s="354"/>
      <c r="R271" s="354"/>
      <c r="S271" s="354"/>
      <c r="T271" s="354"/>
      <c r="U271" s="354"/>
      <c r="V271" s="354"/>
    </row>
    <row r="272" spans="1:22" ht="14.4">
      <c r="A272" s="376"/>
      <c r="B272" s="354"/>
      <c r="C272" s="354"/>
      <c r="D272" s="354"/>
      <c r="E272" s="354"/>
      <c r="F272" s="354"/>
      <c r="G272" s="354"/>
      <c r="H272" s="354"/>
      <c r="I272" s="354"/>
      <c r="J272" s="354"/>
      <c r="K272" s="354"/>
      <c r="L272" s="354"/>
      <c r="M272" s="354"/>
      <c r="N272" s="354"/>
      <c r="O272" s="354"/>
      <c r="P272" s="354"/>
      <c r="Q272" s="354"/>
      <c r="R272" s="354"/>
      <c r="S272" s="354"/>
      <c r="T272" s="354"/>
      <c r="U272" s="354"/>
      <c r="V272" s="354"/>
    </row>
    <row r="273" spans="1:22" ht="14.4">
      <c r="A273" s="376"/>
      <c r="B273" s="354"/>
      <c r="C273" s="354"/>
      <c r="D273" s="354"/>
      <c r="E273" s="354"/>
      <c r="F273" s="354"/>
      <c r="G273" s="354"/>
      <c r="H273" s="354"/>
      <c r="I273" s="354"/>
      <c r="J273" s="354"/>
      <c r="K273" s="354"/>
      <c r="L273" s="354"/>
      <c r="M273" s="354"/>
      <c r="N273" s="354"/>
      <c r="O273" s="354"/>
      <c r="P273" s="354"/>
      <c r="Q273" s="354"/>
      <c r="R273" s="354"/>
      <c r="S273" s="354"/>
      <c r="T273" s="354"/>
      <c r="U273" s="354"/>
      <c r="V273" s="354"/>
    </row>
    <row r="274" spans="1:22" ht="14.4">
      <c r="A274" s="376"/>
      <c r="B274" s="354"/>
      <c r="C274" s="354"/>
      <c r="D274" s="354"/>
      <c r="E274" s="354"/>
      <c r="F274" s="354"/>
      <c r="G274" s="354"/>
      <c r="H274" s="354"/>
      <c r="I274" s="354"/>
      <c r="J274" s="354"/>
      <c r="K274" s="354"/>
      <c r="L274" s="354"/>
      <c r="M274" s="354"/>
      <c r="N274" s="354"/>
      <c r="O274" s="354"/>
      <c r="P274" s="354"/>
      <c r="Q274" s="354"/>
      <c r="R274" s="354"/>
      <c r="S274" s="354"/>
      <c r="T274" s="354"/>
      <c r="U274" s="354"/>
      <c r="V274" s="354"/>
    </row>
    <row r="275" spans="1:22" ht="14.4">
      <c r="A275" s="376"/>
      <c r="B275" s="354"/>
      <c r="C275" s="354"/>
      <c r="D275" s="354"/>
      <c r="E275" s="354"/>
      <c r="F275" s="354"/>
      <c r="G275" s="354"/>
      <c r="H275" s="354"/>
      <c r="I275" s="354"/>
      <c r="J275" s="354"/>
      <c r="K275" s="354"/>
      <c r="L275" s="354"/>
      <c r="M275" s="354"/>
      <c r="N275" s="354"/>
      <c r="O275" s="354"/>
      <c r="P275" s="354"/>
      <c r="Q275" s="354"/>
      <c r="R275" s="354"/>
      <c r="S275" s="354"/>
      <c r="T275" s="354"/>
      <c r="U275" s="354"/>
      <c r="V275" s="354"/>
    </row>
    <row r="276" spans="1:22" ht="14.4">
      <c r="A276" s="376"/>
      <c r="B276" s="354"/>
      <c r="C276" s="354"/>
      <c r="D276" s="354"/>
      <c r="E276" s="354"/>
      <c r="F276" s="354"/>
      <c r="G276" s="354"/>
      <c r="H276" s="354"/>
      <c r="I276" s="354"/>
      <c r="J276" s="354"/>
      <c r="K276" s="354"/>
      <c r="L276" s="354"/>
      <c r="M276" s="354"/>
      <c r="N276" s="354"/>
      <c r="O276" s="354"/>
      <c r="P276" s="354"/>
      <c r="Q276" s="354"/>
      <c r="R276" s="354"/>
      <c r="S276" s="354"/>
      <c r="T276" s="354"/>
      <c r="U276" s="354"/>
      <c r="V276" s="354"/>
    </row>
    <row r="277" spans="1:22" ht="14.4">
      <c r="A277" s="376"/>
      <c r="B277" s="354"/>
      <c r="C277" s="354"/>
      <c r="D277" s="354"/>
      <c r="E277" s="354"/>
      <c r="F277" s="354"/>
      <c r="G277" s="354"/>
      <c r="H277" s="354"/>
      <c r="I277" s="354"/>
      <c r="J277" s="354"/>
      <c r="K277" s="354"/>
      <c r="L277" s="354"/>
      <c r="M277" s="354"/>
      <c r="N277" s="354"/>
      <c r="O277" s="354"/>
      <c r="P277" s="354"/>
      <c r="Q277" s="354"/>
      <c r="R277" s="354"/>
      <c r="S277" s="354"/>
      <c r="T277" s="354"/>
      <c r="U277" s="354"/>
      <c r="V277" s="354"/>
    </row>
    <row r="278" spans="1:22" ht="14.4">
      <c r="A278" s="376"/>
      <c r="B278" s="354"/>
      <c r="C278" s="354"/>
      <c r="D278" s="354"/>
      <c r="E278" s="354"/>
      <c r="F278" s="354"/>
      <c r="G278" s="354"/>
      <c r="H278" s="354"/>
      <c r="I278" s="354"/>
      <c r="J278" s="354"/>
      <c r="K278" s="354"/>
      <c r="L278" s="354"/>
      <c r="M278" s="354"/>
      <c r="N278" s="354"/>
      <c r="O278" s="354"/>
      <c r="P278" s="354"/>
      <c r="Q278" s="354"/>
      <c r="R278" s="354"/>
      <c r="S278" s="354"/>
      <c r="T278" s="354"/>
      <c r="U278" s="354"/>
      <c r="V278" s="354"/>
    </row>
    <row r="279" spans="1:22" ht="14.4">
      <c r="A279" s="376"/>
      <c r="B279" s="354"/>
      <c r="C279" s="354"/>
      <c r="D279" s="354"/>
      <c r="E279" s="354"/>
      <c r="F279" s="354"/>
      <c r="G279" s="354"/>
      <c r="H279" s="354"/>
      <c r="I279" s="354"/>
      <c r="J279" s="354"/>
      <c r="K279" s="354"/>
      <c r="L279" s="354"/>
      <c r="M279" s="354"/>
      <c r="N279" s="354"/>
      <c r="O279" s="354"/>
      <c r="P279" s="354"/>
      <c r="Q279" s="354"/>
      <c r="R279" s="354"/>
      <c r="S279" s="354"/>
      <c r="T279" s="354"/>
      <c r="U279" s="354"/>
      <c r="V279" s="354"/>
    </row>
    <row r="280" spans="1:22" ht="14.4">
      <c r="A280" s="376"/>
      <c r="B280" s="354"/>
      <c r="C280" s="354"/>
      <c r="D280" s="354"/>
      <c r="E280" s="354"/>
      <c r="F280" s="354"/>
      <c r="G280" s="354"/>
      <c r="H280" s="354"/>
      <c r="I280" s="354"/>
      <c r="J280" s="354"/>
      <c r="K280" s="354"/>
      <c r="L280" s="354"/>
      <c r="M280" s="354"/>
      <c r="N280" s="354"/>
      <c r="O280" s="354"/>
      <c r="P280" s="354"/>
      <c r="Q280" s="354"/>
      <c r="R280" s="354"/>
      <c r="S280" s="354"/>
      <c r="T280" s="354"/>
      <c r="U280" s="354"/>
      <c r="V280" s="354"/>
    </row>
    <row r="281" spans="1:22" ht="14.4">
      <c r="A281" s="376"/>
      <c r="B281" s="354"/>
      <c r="C281" s="354"/>
      <c r="D281" s="354"/>
      <c r="E281" s="354"/>
      <c r="F281" s="354"/>
      <c r="G281" s="354"/>
      <c r="H281" s="354"/>
      <c r="I281" s="354"/>
      <c r="J281" s="354"/>
      <c r="K281" s="354"/>
      <c r="L281" s="354"/>
      <c r="M281" s="354"/>
      <c r="N281" s="354"/>
      <c r="O281" s="354"/>
      <c r="P281" s="354"/>
      <c r="Q281" s="354"/>
      <c r="R281" s="354"/>
      <c r="S281" s="354"/>
      <c r="T281" s="354"/>
      <c r="U281" s="354"/>
      <c r="V281" s="354"/>
    </row>
    <row r="282" spans="1:22" ht="14.4">
      <c r="A282" s="376"/>
      <c r="B282" s="354"/>
      <c r="C282" s="354"/>
      <c r="D282" s="354"/>
      <c r="E282" s="354"/>
      <c r="F282" s="354"/>
      <c r="G282" s="354"/>
      <c r="H282" s="354"/>
      <c r="I282" s="354"/>
      <c r="J282" s="354"/>
      <c r="K282" s="354"/>
      <c r="L282" s="354"/>
      <c r="M282" s="354"/>
      <c r="N282" s="354"/>
      <c r="O282" s="354"/>
      <c r="P282" s="354"/>
      <c r="Q282" s="354"/>
      <c r="R282" s="354"/>
      <c r="S282" s="354"/>
      <c r="T282" s="354"/>
      <c r="U282" s="354"/>
      <c r="V282" s="354"/>
    </row>
    <row r="283" spans="1:22" ht="14.4">
      <c r="A283" s="376"/>
      <c r="B283" s="354"/>
      <c r="C283" s="354"/>
      <c r="D283" s="354"/>
      <c r="E283" s="354"/>
      <c r="F283" s="354"/>
      <c r="G283" s="354"/>
      <c r="H283" s="354"/>
      <c r="I283" s="354"/>
      <c r="J283" s="354"/>
      <c r="K283" s="354"/>
      <c r="L283" s="354"/>
      <c r="M283" s="354"/>
      <c r="N283" s="354"/>
      <c r="O283" s="354"/>
      <c r="P283" s="354"/>
      <c r="Q283" s="354"/>
      <c r="R283" s="354"/>
      <c r="S283" s="354"/>
      <c r="T283" s="354"/>
      <c r="U283" s="354"/>
      <c r="V283" s="354"/>
    </row>
    <row r="284" spans="1:22" ht="14.4">
      <c r="A284" s="376"/>
      <c r="B284" s="354"/>
      <c r="C284" s="354"/>
      <c r="D284" s="354"/>
      <c r="E284" s="354"/>
      <c r="F284" s="354"/>
      <c r="G284" s="354"/>
      <c r="H284" s="354"/>
      <c r="I284" s="354"/>
      <c r="J284" s="354"/>
      <c r="K284" s="354"/>
      <c r="L284" s="354"/>
      <c r="M284" s="354"/>
      <c r="N284" s="354"/>
      <c r="O284" s="354"/>
      <c r="P284" s="354"/>
      <c r="Q284" s="354"/>
      <c r="R284" s="354"/>
      <c r="S284" s="354"/>
      <c r="T284" s="354"/>
      <c r="U284" s="354"/>
      <c r="V284" s="354"/>
    </row>
    <row r="285" spans="1:22" ht="14.4">
      <c r="A285" s="376"/>
      <c r="B285" s="354"/>
      <c r="C285" s="354"/>
      <c r="D285" s="354"/>
      <c r="E285" s="354"/>
      <c r="F285" s="354"/>
      <c r="G285" s="354"/>
      <c r="H285" s="354"/>
      <c r="I285" s="354"/>
      <c r="J285" s="354"/>
      <c r="K285" s="354"/>
      <c r="L285" s="354"/>
      <c r="M285" s="354"/>
      <c r="N285" s="354"/>
      <c r="O285" s="354"/>
      <c r="P285" s="354"/>
      <c r="Q285" s="354"/>
      <c r="R285" s="354"/>
      <c r="S285" s="354"/>
      <c r="T285" s="354"/>
      <c r="U285" s="354"/>
      <c r="V285" s="354"/>
    </row>
    <row r="286" spans="1:22" ht="14.4">
      <c r="A286" s="376"/>
      <c r="B286" s="354"/>
      <c r="C286" s="354"/>
      <c r="D286" s="354"/>
      <c r="E286" s="354"/>
      <c r="F286" s="354"/>
      <c r="G286" s="354"/>
      <c r="H286" s="354"/>
      <c r="I286" s="354"/>
      <c r="J286" s="354"/>
      <c r="K286" s="354"/>
      <c r="L286" s="354"/>
      <c r="M286" s="354"/>
      <c r="N286" s="354"/>
      <c r="O286" s="354"/>
      <c r="P286" s="354"/>
      <c r="Q286" s="354"/>
      <c r="R286" s="354"/>
      <c r="S286" s="354"/>
      <c r="T286" s="354"/>
      <c r="U286" s="354"/>
      <c r="V286" s="354"/>
    </row>
    <row r="287" spans="1:22" ht="14.4">
      <c r="A287" s="376"/>
      <c r="B287" s="354"/>
      <c r="C287" s="354"/>
      <c r="D287" s="354"/>
      <c r="E287" s="354"/>
      <c r="F287" s="354"/>
      <c r="G287" s="354"/>
      <c r="H287" s="354"/>
      <c r="I287" s="354"/>
      <c r="J287" s="354"/>
      <c r="K287" s="354"/>
      <c r="L287" s="354"/>
      <c r="M287" s="354"/>
      <c r="N287" s="354"/>
      <c r="O287" s="354"/>
      <c r="P287" s="354"/>
      <c r="Q287" s="354"/>
      <c r="R287" s="354"/>
      <c r="S287" s="354"/>
      <c r="T287" s="354"/>
      <c r="U287" s="354"/>
      <c r="V287" s="354"/>
    </row>
    <row r="288" spans="1:22" ht="14.4">
      <c r="A288" s="376"/>
      <c r="B288" s="354"/>
      <c r="C288" s="354"/>
      <c r="D288" s="354"/>
      <c r="E288" s="354"/>
      <c r="F288" s="354"/>
      <c r="G288" s="354"/>
      <c r="H288" s="354"/>
      <c r="I288" s="354"/>
      <c r="J288" s="354"/>
      <c r="K288" s="354"/>
      <c r="L288" s="354"/>
      <c r="M288" s="354"/>
      <c r="N288" s="354"/>
      <c r="O288" s="354"/>
      <c r="P288" s="354"/>
      <c r="Q288" s="354"/>
      <c r="R288" s="354"/>
      <c r="S288" s="354"/>
      <c r="T288" s="354"/>
      <c r="U288" s="354"/>
      <c r="V288" s="354"/>
    </row>
    <row r="289" spans="1:22" ht="14.4">
      <c r="A289" s="376"/>
      <c r="B289" s="354"/>
      <c r="C289" s="354"/>
      <c r="D289" s="354"/>
      <c r="E289" s="354"/>
      <c r="F289" s="354"/>
      <c r="G289" s="354"/>
      <c r="H289" s="354"/>
      <c r="I289" s="354"/>
      <c r="J289" s="354"/>
      <c r="K289" s="354"/>
      <c r="L289" s="354"/>
      <c r="M289" s="354"/>
      <c r="N289" s="354"/>
      <c r="O289" s="354"/>
      <c r="P289" s="354"/>
      <c r="Q289" s="354"/>
      <c r="R289" s="354"/>
      <c r="S289" s="354"/>
      <c r="T289" s="354"/>
      <c r="U289" s="354"/>
      <c r="V289" s="354"/>
    </row>
    <row r="290" spans="1:22" ht="14.4">
      <c r="A290" s="376"/>
      <c r="B290" s="354"/>
      <c r="C290" s="354"/>
      <c r="D290" s="354"/>
      <c r="E290" s="354"/>
      <c r="F290" s="354"/>
      <c r="G290" s="354"/>
      <c r="H290" s="354"/>
      <c r="I290" s="354"/>
      <c r="J290" s="354"/>
      <c r="K290" s="354"/>
      <c r="L290" s="354"/>
      <c r="M290" s="354"/>
      <c r="N290" s="354"/>
      <c r="O290" s="354"/>
      <c r="P290" s="354"/>
      <c r="Q290" s="354"/>
      <c r="R290" s="354"/>
      <c r="S290" s="354"/>
      <c r="T290" s="354"/>
      <c r="U290" s="354"/>
      <c r="V290" s="354"/>
    </row>
    <row r="291" spans="1:22" ht="14.4">
      <c r="A291" s="376"/>
      <c r="B291" s="354"/>
      <c r="C291" s="354"/>
      <c r="D291" s="354"/>
      <c r="E291" s="354"/>
      <c r="F291" s="354"/>
      <c r="G291" s="354"/>
      <c r="H291" s="354"/>
      <c r="I291" s="354"/>
      <c r="J291" s="354"/>
      <c r="K291" s="354"/>
      <c r="L291" s="354"/>
      <c r="M291" s="354"/>
      <c r="N291" s="354"/>
      <c r="O291" s="354"/>
      <c r="P291" s="354"/>
      <c r="Q291" s="354"/>
      <c r="R291" s="354"/>
      <c r="S291" s="354"/>
      <c r="T291" s="354"/>
      <c r="U291" s="354"/>
      <c r="V291" s="354"/>
    </row>
    <row r="292" spans="1:22" ht="14.4">
      <c r="A292" s="376"/>
      <c r="B292" s="354"/>
      <c r="C292" s="354"/>
      <c r="D292" s="354"/>
      <c r="E292" s="354"/>
      <c r="F292" s="354"/>
      <c r="G292" s="354"/>
      <c r="H292" s="354"/>
      <c r="I292" s="354"/>
      <c r="J292" s="354"/>
      <c r="K292" s="354"/>
      <c r="L292" s="354"/>
      <c r="M292" s="354"/>
      <c r="N292" s="354"/>
      <c r="O292" s="354"/>
      <c r="P292" s="354"/>
      <c r="Q292" s="354"/>
      <c r="R292" s="354"/>
      <c r="S292" s="354"/>
      <c r="T292" s="354"/>
      <c r="U292" s="354"/>
      <c r="V292" s="354"/>
    </row>
    <row r="293" spans="1:22" ht="14.4">
      <c r="A293" s="376"/>
      <c r="B293" s="354"/>
      <c r="C293" s="354"/>
      <c r="D293" s="354"/>
      <c r="E293" s="354"/>
      <c r="F293" s="354"/>
      <c r="G293" s="354"/>
      <c r="H293" s="354"/>
      <c r="I293" s="354"/>
      <c r="J293" s="354"/>
      <c r="K293" s="354"/>
      <c r="L293" s="354"/>
      <c r="M293" s="354"/>
      <c r="N293" s="354"/>
      <c r="O293" s="354"/>
      <c r="P293" s="354"/>
      <c r="Q293" s="354"/>
      <c r="R293" s="354"/>
      <c r="S293" s="354"/>
      <c r="T293" s="354"/>
      <c r="U293" s="354"/>
      <c r="V293" s="354"/>
    </row>
    <row r="294" spans="1:22" ht="14.4">
      <c r="A294" s="376"/>
      <c r="B294" s="354"/>
      <c r="C294" s="354"/>
      <c r="D294" s="354"/>
      <c r="E294" s="354"/>
      <c r="F294" s="354"/>
      <c r="G294" s="354"/>
      <c r="H294" s="354"/>
      <c r="I294" s="354"/>
      <c r="J294" s="354"/>
      <c r="K294" s="354"/>
      <c r="L294" s="354"/>
      <c r="M294" s="354"/>
      <c r="N294" s="354"/>
      <c r="O294" s="354"/>
      <c r="P294" s="354"/>
      <c r="Q294" s="354"/>
      <c r="R294" s="354"/>
      <c r="S294" s="354"/>
      <c r="T294" s="354"/>
      <c r="U294" s="354"/>
      <c r="V294" s="354"/>
    </row>
    <row r="295" spans="1:22" ht="14.4">
      <c r="A295" s="376"/>
      <c r="B295" s="354"/>
      <c r="C295" s="354"/>
      <c r="D295" s="354"/>
      <c r="E295" s="354"/>
      <c r="F295" s="354"/>
      <c r="G295" s="354"/>
      <c r="H295" s="354"/>
      <c r="I295" s="354"/>
      <c r="J295" s="354"/>
      <c r="K295" s="354"/>
      <c r="L295" s="354"/>
      <c r="M295" s="354"/>
      <c r="N295" s="354"/>
      <c r="O295" s="354"/>
      <c r="P295" s="354"/>
      <c r="Q295" s="354"/>
      <c r="R295" s="354"/>
      <c r="S295" s="354"/>
      <c r="T295" s="354"/>
      <c r="U295" s="354"/>
      <c r="V295" s="354"/>
    </row>
    <row r="296" spans="1:22" ht="14.4">
      <c r="A296" s="376"/>
      <c r="B296" s="354"/>
      <c r="C296" s="354"/>
      <c r="D296" s="354"/>
      <c r="E296" s="354"/>
      <c r="F296" s="354"/>
      <c r="G296" s="354"/>
      <c r="H296" s="354"/>
      <c r="I296" s="354"/>
      <c r="J296" s="354"/>
      <c r="K296" s="354"/>
      <c r="L296" s="354"/>
      <c r="M296" s="354"/>
      <c r="N296" s="354"/>
      <c r="O296" s="354"/>
      <c r="P296" s="354"/>
      <c r="Q296" s="354"/>
      <c r="R296" s="354"/>
      <c r="S296" s="354"/>
      <c r="T296" s="354"/>
      <c r="U296" s="354"/>
      <c r="V296" s="354"/>
    </row>
    <row r="297" spans="1:22" ht="14.4">
      <c r="A297" s="376"/>
      <c r="B297" s="354"/>
      <c r="C297" s="354"/>
      <c r="D297" s="354"/>
      <c r="E297" s="354"/>
      <c r="F297" s="354"/>
      <c r="G297" s="354"/>
      <c r="H297" s="354"/>
      <c r="I297" s="354"/>
      <c r="J297" s="354"/>
      <c r="K297" s="354"/>
      <c r="L297" s="354"/>
      <c r="M297" s="354"/>
      <c r="N297" s="354"/>
      <c r="O297" s="354"/>
      <c r="P297" s="354"/>
      <c r="Q297" s="354"/>
      <c r="R297" s="354"/>
      <c r="S297" s="354"/>
      <c r="T297" s="354"/>
      <c r="U297" s="354"/>
      <c r="V297" s="354"/>
    </row>
    <row r="298" spans="1:22" ht="14.4">
      <c r="A298" s="376"/>
      <c r="B298" s="354"/>
      <c r="C298" s="354"/>
      <c r="D298" s="354"/>
      <c r="E298" s="354"/>
      <c r="F298" s="354"/>
      <c r="G298" s="354"/>
      <c r="H298" s="354"/>
      <c r="I298" s="354"/>
      <c r="J298" s="354"/>
      <c r="K298" s="354"/>
      <c r="L298" s="354"/>
      <c r="M298" s="354"/>
      <c r="N298" s="354"/>
      <c r="O298" s="354"/>
      <c r="P298" s="354"/>
      <c r="Q298" s="354"/>
      <c r="R298" s="354"/>
      <c r="S298" s="354"/>
      <c r="T298" s="354"/>
      <c r="U298" s="354"/>
      <c r="V298" s="354"/>
    </row>
    <row r="299" spans="1:22" ht="14.4">
      <c r="A299" s="376"/>
      <c r="B299" s="354"/>
      <c r="C299" s="354"/>
      <c r="D299" s="354"/>
      <c r="E299" s="354"/>
      <c r="F299" s="354"/>
      <c r="G299" s="354"/>
      <c r="H299" s="354"/>
      <c r="I299" s="354"/>
      <c r="J299" s="354"/>
      <c r="K299" s="354"/>
      <c r="L299" s="354"/>
      <c r="M299" s="354"/>
      <c r="N299" s="354"/>
      <c r="O299" s="354"/>
      <c r="P299" s="354"/>
      <c r="Q299" s="354"/>
      <c r="R299" s="354"/>
      <c r="S299" s="354"/>
      <c r="T299" s="354"/>
      <c r="U299" s="354"/>
      <c r="V299" s="354"/>
    </row>
    <row r="300" spans="1:22" ht="14.4">
      <c r="A300" s="376"/>
      <c r="B300" s="354"/>
      <c r="C300" s="354"/>
      <c r="D300" s="354"/>
      <c r="E300" s="354"/>
      <c r="F300" s="354"/>
      <c r="G300" s="354"/>
      <c r="H300" s="354"/>
      <c r="I300" s="354"/>
      <c r="J300" s="354"/>
      <c r="K300" s="354"/>
      <c r="L300" s="354"/>
      <c r="M300" s="354"/>
      <c r="N300" s="354"/>
      <c r="O300" s="354"/>
      <c r="P300" s="354"/>
      <c r="Q300" s="354"/>
      <c r="R300" s="354"/>
      <c r="S300" s="354"/>
      <c r="T300" s="354"/>
      <c r="U300" s="354"/>
      <c r="V300" s="354"/>
    </row>
    <row r="301" spans="1:22" ht="14.4">
      <c r="A301" s="376"/>
      <c r="B301" s="354"/>
      <c r="C301" s="354"/>
      <c r="D301" s="354"/>
      <c r="E301" s="354"/>
      <c r="F301" s="354"/>
      <c r="G301" s="354"/>
      <c r="H301" s="354"/>
      <c r="I301" s="354"/>
      <c r="J301" s="354"/>
      <c r="K301" s="354"/>
      <c r="L301" s="354"/>
      <c r="M301" s="354"/>
      <c r="N301" s="354"/>
      <c r="O301" s="354"/>
      <c r="P301" s="354"/>
      <c r="Q301" s="354"/>
      <c r="R301" s="354"/>
      <c r="S301" s="354"/>
      <c r="T301" s="354"/>
      <c r="U301" s="354"/>
      <c r="V301" s="354"/>
    </row>
    <row r="302" spans="1:22" ht="14.4">
      <c r="A302" s="376"/>
      <c r="B302" s="354"/>
      <c r="C302" s="354"/>
      <c r="D302" s="354"/>
      <c r="E302" s="354"/>
      <c r="F302" s="354"/>
      <c r="G302" s="354"/>
      <c r="H302" s="354"/>
      <c r="I302" s="354"/>
      <c r="J302" s="354"/>
      <c r="K302" s="354"/>
      <c r="L302" s="354"/>
      <c r="M302" s="354"/>
      <c r="N302" s="354"/>
      <c r="O302" s="354"/>
      <c r="P302" s="354"/>
      <c r="Q302" s="354"/>
      <c r="R302" s="354"/>
      <c r="S302" s="354"/>
      <c r="T302" s="354"/>
      <c r="U302" s="354"/>
      <c r="V302" s="354"/>
    </row>
    <row r="303" spans="1:22" ht="14.4">
      <c r="A303" s="376"/>
      <c r="B303" s="354"/>
      <c r="C303" s="354"/>
      <c r="D303" s="354"/>
      <c r="E303" s="354"/>
      <c r="F303" s="354"/>
      <c r="G303" s="354"/>
      <c r="H303" s="354"/>
      <c r="I303" s="354"/>
      <c r="J303" s="354"/>
      <c r="K303" s="354"/>
      <c r="L303" s="354"/>
      <c r="M303" s="354"/>
      <c r="N303" s="354"/>
      <c r="O303" s="354"/>
      <c r="P303" s="354"/>
      <c r="Q303" s="354"/>
      <c r="R303" s="354"/>
      <c r="S303" s="354"/>
      <c r="T303" s="354"/>
      <c r="U303" s="354"/>
      <c r="V303" s="354"/>
    </row>
    <row r="304" spans="1:22" ht="14.4">
      <c r="A304" s="376"/>
      <c r="B304" s="354"/>
      <c r="C304" s="354"/>
      <c r="D304" s="354"/>
      <c r="E304" s="354"/>
      <c r="F304" s="354"/>
      <c r="G304" s="354"/>
      <c r="H304" s="354"/>
      <c r="I304" s="354"/>
      <c r="J304" s="354"/>
      <c r="K304" s="354"/>
      <c r="L304" s="354"/>
      <c r="M304" s="354"/>
      <c r="N304" s="354"/>
      <c r="O304" s="354"/>
      <c r="P304" s="354"/>
      <c r="Q304" s="354"/>
      <c r="R304" s="354"/>
      <c r="S304" s="354"/>
      <c r="T304" s="354"/>
      <c r="U304" s="354"/>
      <c r="V304" s="354"/>
    </row>
    <row r="305" spans="1:22" ht="14.4">
      <c r="A305" s="376"/>
      <c r="B305" s="354"/>
      <c r="C305" s="354"/>
      <c r="D305" s="354"/>
      <c r="E305" s="354"/>
      <c r="F305" s="354"/>
      <c r="G305" s="354"/>
      <c r="H305" s="354"/>
      <c r="I305" s="354"/>
      <c r="J305" s="354"/>
      <c r="K305" s="354"/>
      <c r="L305" s="354"/>
      <c r="M305" s="354"/>
      <c r="N305" s="354"/>
      <c r="O305" s="354"/>
      <c r="P305" s="354"/>
      <c r="Q305" s="354"/>
      <c r="R305" s="354"/>
      <c r="S305" s="354"/>
      <c r="T305" s="354"/>
      <c r="U305" s="354"/>
      <c r="V305" s="354"/>
    </row>
    <row r="306" spans="1:22" ht="14.4">
      <c r="A306" s="376"/>
      <c r="B306" s="354"/>
      <c r="C306" s="354"/>
      <c r="D306" s="354"/>
      <c r="E306" s="354"/>
      <c r="F306" s="354"/>
      <c r="G306" s="354"/>
      <c r="H306" s="354"/>
      <c r="I306" s="354"/>
      <c r="J306" s="354"/>
      <c r="K306" s="354"/>
      <c r="L306" s="354"/>
      <c r="M306" s="354"/>
      <c r="N306" s="354"/>
      <c r="O306" s="354"/>
      <c r="P306" s="354"/>
      <c r="Q306" s="354"/>
      <c r="R306" s="354"/>
      <c r="S306" s="354"/>
      <c r="T306" s="354"/>
      <c r="U306" s="354"/>
      <c r="V306" s="354"/>
    </row>
    <row r="307" spans="1:22" ht="14.4">
      <c r="A307" s="376"/>
      <c r="B307" s="354"/>
      <c r="C307" s="354"/>
      <c r="D307" s="354"/>
      <c r="E307" s="354"/>
      <c r="F307" s="354"/>
      <c r="G307" s="354"/>
      <c r="H307" s="354"/>
      <c r="I307" s="354"/>
      <c r="J307" s="354"/>
      <c r="K307" s="354"/>
      <c r="L307" s="354"/>
      <c r="M307" s="354"/>
      <c r="N307" s="354"/>
      <c r="O307" s="354"/>
      <c r="P307" s="354"/>
      <c r="Q307" s="354"/>
      <c r="R307" s="354"/>
      <c r="S307" s="354"/>
      <c r="T307" s="354"/>
      <c r="U307" s="354"/>
      <c r="V307" s="354"/>
    </row>
    <row r="308" spans="1:22" ht="14.4">
      <c r="A308" s="376"/>
      <c r="B308" s="354"/>
      <c r="C308" s="354"/>
      <c r="D308" s="354"/>
      <c r="E308" s="354"/>
      <c r="F308" s="354"/>
      <c r="G308" s="354"/>
      <c r="H308" s="354"/>
      <c r="I308" s="354"/>
      <c r="J308" s="354"/>
      <c r="K308" s="354"/>
      <c r="L308" s="354"/>
      <c r="M308" s="354"/>
      <c r="N308" s="354"/>
      <c r="O308" s="354"/>
      <c r="P308" s="354"/>
      <c r="Q308" s="354"/>
      <c r="R308" s="354"/>
      <c r="S308" s="354"/>
      <c r="T308" s="354"/>
      <c r="U308" s="354"/>
      <c r="V308" s="354"/>
    </row>
    <row r="309" spans="1:22" ht="14.4">
      <c r="A309" s="376"/>
      <c r="B309" s="354"/>
      <c r="C309" s="354"/>
      <c r="D309" s="354"/>
      <c r="E309" s="354"/>
      <c r="F309" s="354"/>
      <c r="G309" s="354"/>
      <c r="H309" s="354"/>
      <c r="I309" s="354"/>
      <c r="J309" s="354"/>
      <c r="K309" s="354"/>
      <c r="L309" s="354"/>
      <c r="M309" s="354"/>
      <c r="N309" s="354"/>
      <c r="O309" s="354"/>
      <c r="P309" s="354"/>
      <c r="Q309" s="354"/>
      <c r="R309" s="354"/>
      <c r="S309" s="354"/>
      <c r="T309" s="354"/>
      <c r="U309" s="354"/>
      <c r="V309" s="354"/>
    </row>
    <row r="310" spans="1:22" ht="14.4">
      <c r="A310" s="376"/>
      <c r="B310" s="354"/>
      <c r="C310" s="354"/>
      <c r="D310" s="354"/>
      <c r="E310" s="354"/>
      <c r="F310" s="354"/>
      <c r="G310" s="354"/>
      <c r="H310" s="354"/>
      <c r="I310" s="354"/>
      <c r="J310" s="354"/>
      <c r="K310" s="354"/>
      <c r="L310" s="354"/>
      <c r="M310" s="354"/>
      <c r="N310" s="354"/>
      <c r="O310" s="354"/>
      <c r="P310" s="354"/>
      <c r="Q310" s="354"/>
      <c r="R310" s="354"/>
      <c r="S310" s="354"/>
      <c r="T310" s="354"/>
      <c r="U310" s="354"/>
      <c r="V310" s="354"/>
    </row>
    <row r="311" spans="1:22" ht="14.4">
      <c r="A311" s="376"/>
      <c r="B311" s="354"/>
      <c r="C311" s="354"/>
      <c r="D311" s="354"/>
      <c r="E311" s="354"/>
      <c r="F311" s="354"/>
      <c r="G311" s="354"/>
      <c r="H311" s="354"/>
      <c r="I311" s="354"/>
      <c r="J311" s="354"/>
      <c r="K311" s="354"/>
      <c r="L311" s="354"/>
      <c r="M311" s="354"/>
      <c r="N311" s="354"/>
      <c r="O311" s="354"/>
      <c r="P311" s="354"/>
      <c r="Q311" s="354"/>
      <c r="R311" s="354"/>
      <c r="S311" s="354"/>
      <c r="T311" s="354"/>
      <c r="U311" s="354"/>
      <c r="V311" s="354"/>
    </row>
    <row r="312" spans="1:22" ht="14.4">
      <c r="A312" s="376"/>
      <c r="B312" s="354"/>
      <c r="C312" s="354"/>
      <c r="D312" s="354"/>
      <c r="E312" s="354"/>
      <c r="F312" s="354"/>
      <c r="G312" s="354"/>
      <c r="H312" s="354"/>
      <c r="I312" s="354"/>
      <c r="J312" s="354"/>
      <c r="K312" s="354"/>
      <c r="L312" s="354"/>
      <c r="M312" s="354"/>
      <c r="N312" s="354"/>
      <c r="O312" s="354"/>
      <c r="P312" s="354"/>
      <c r="Q312" s="354"/>
      <c r="R312" s="354"/>
      <c r="S312" s="354"/>
      <c r="T312" s="354"/>
      <c r="U312" s="354"/>
      <c r="V312" s="354"/>
    </row>
    <row r="313" spans="1:22" ht="14.4">
      <c r="A313" s="376"/>
      <c r="B313" s="354"/>
      <c r="C313" s="354"/>
      <c r="D313" s="354"/>
      <c r="E313" s="354"/>
      <c r="F313" s="354"/>
      <c r="G313" s="354"/>
      <c r="H313" s="354"/>
      <c r="I313" s="354"/>
      <c r="J313" s="354"/>
      <c r="K313" s="354"/>
      <c r="L313" s="354"/>
      <c r="M313" s="354"/>
      <c r="N313" s="354"/>
      <c r="O313" s="354"/>
      <c r="P313" s="354"/>
      <c r="Q313" s="354"/>
      <c r="R313" s="354"/>
      <c r="S313" s="354"/>
      <c r="T313" s="354"/>
      <c r="U313" s="354"/>
      <c r="V313" s="354"/>
    </row>
    <row r="314" spans="1:22" ht="14.4">
      <c r="A314" s="376"/>
      <c r="B314" s="354"/>
      <c r="C314" s="354"/>
      <c r="D314" s="354"/>
      <c r="E314" s="354"/>
      <c r="F314" s="354"/>
      <c r="G314" s="354"/>
      <c r="H314" s="354"/>
      <c r="I314" s="354"/>
      <c r="J314" s="354"/>
      <c r="K314" s="354"/>
      <c r="L314" s="354"/>
      <c r="M314" s="354"/>
      <c r="N314" s="354"/>
      <c r="O314" s="354"/>
      <c r="P314" s="354"/>
      <c r="Q314" s="354"/>
      <c r="R314" s="354"/>
      <c r="S314" s="354"/>
      <c r="T314" s="354"/>
      <c r="U314" s="354"/>
      <c r="V314" s="354"/>
    </row>
    <row r="315" spans="1:22" ht="14.4">
      <c r="A315" s="376"/>
      <c r="B315" s="354"/>
      <c r="C315" s="354"/>
      <c r="D315" s="354"/>
      <c r="E315" s="354"/>
      <c r="F315" s="354"/>
      <c r="G315" s="354"/>
      <c r="H315" s="354"/>
      <c r="I315" s="354"/>
      <c r="J315" s="354"/>
      <c r="K315" s="354"/>
      <c r="L315" s="354"/>
      <c r="M315" s="354"/>
      <c r="N315" s="354"/>
      <c r="O315" s="354"/>
      <c r="P315" s="354"/>
      <c r="Q315" s="354"/>
      <c r="R315" s="354"/>
      <c r="S315" s="354"/>
      <c r="T315" s="354"/>
      <c r="U315" s="354"/>
      <c r="V315" s="354"/>
    </row>
    <row r="316" spans="1:22" ht="14.4">
      <c r="A316" s="376"/>
      <c r="B316" s="354"/>
      <c r="C316" s="354"/>
      <c r="D316" s="354"/>
      <c r="E316" s="354"/>
      <c r="F316" s="354"/>
      <c r="G316" s="354"/>
      <c r="H316" s="354"/>
      <c r="I316" s="354"/>
      <c r="J316" s="354"/>
      <c r="K316" s="354"/>
      <c r="L316" s="354"/>
      <c r="M316" s="354"/>
      <c r="N316" s="354"/>
      <c r="O316" s="354"/>
      <c r="P316" s="354"/>
      <c r="Q316" s="354"/>
      <c r="R316" s="354"/>
      <c r="S316" s="354"/>
      <c r="T316" s="354"/>
      <c r="U316" s="354"/>
      <c r="V316" s="354"/>
    </row>
    <row r="317" spans="1:22" ht="14.4">
      <c r="A317" s="376"/>
      <c r="B317" s="354"/>
      <c r="C317" s="354"/>
      <c r="D317" s="354"/>
      <c r="E317" s="354"/>
      <c r="F317" s="354"/>
      <c r="G317" s="354"/>
      <c r="H317" s="354"/>
      <c r="I317" s="354"/>
      <c r="J317" s="354"/>
      <c r="K317" s="354"/>
      <c r="L317" s="354"/>
      <c r="M317" s="354"/>
      <c r="N317" s="354"/>
      <c r="O317" s="354"/>
      <c r="P317" s="354"/>
      <c r="Q317" s="354"/>
      <c r="R317" s="354"/>
      <c r="S317" s="354"/>
      <c r="T317" s="354"/>
      <c r="U317" s="354"/>
      <c r="V317" s="354"/>
    </row>
    <row r="318" spans="1:22" ht="14.4">
      <c r="A318" s="376"/>
      <c r="B318" s="354"/>
      <c r="C318" s="354"/>
      <c r="D318" s="354"/>
      <c r="E318" s="354"/>
      <c r="F318" s="354"/>
      <c r="G318" s="354"/>
      <c r="H318" s="354"/>
      <c r="I318" s="354"/>
      <c r="J318" s="354"/>
      <c r="K318" s="354"/>
      <c r="L318" s="354"/>
      <c r="M318" s="354"/>
      <c r="N318" s="354"/>
      <c r="O318" s="354"/>
      <c r="P318" s="354"/>
      <c r="Q318" s="354"/>
      <c r="R318" s="354"/>
      <c r="S318" s="354"/>
      <c r="T318" s="354"/>
      <c r="U318" s="354"/>
      <c r="V318" s="354"/>
    </row>
    <row r="319" spans="1:22" ht="14.4">
      <c r="A319" s="376"/>
      <c r="B319" s="354"/>
      <c r="C319" s="354"/>
      <c r="D319" s="354"/>
      <c r="E319" s="354"/>
      <c r="F319" s="354"/>
      <c r="G319" s="354"/>
      <c r="H319" s="354"/>
      <c r="I319" s="354"/>
      <c r="J319" s="354"/>
      <c r="K319" s="354"/>
      <c r="L319" s="354"/>
      <c r="M319" s="354"/>
      <c r="N319" s="354"/>
      <c r="O319" s="354"/>
      <c r="P319" s="354"/>
      <c r="Q319" s="354"/>
      <c r="R319" s="354"/>
      <c r="S319" s="354"/>
      <c r="T319" s="354"/>
      <c r="U319" s="354"/>
      <c r="V319" s="354"/>
    </row>
    <row r="320" spans="1:22" ht="14.4">
      <c r="A320" s="376"/>
      <c r="B320" s="354"/>
      <c r="C320" s="354"/>
      <c r="D320" s="354"/>
      <c r="E320" s="354"/>
      <c r="F320" s="354"/>
      <c r="G320" s="354"/>
      <c r="H320" s="354"/>
      <c r="I320" s="354"/>
      <c r="J320" s="354"/>
      <c r="K320" s="354"/>
      <c r="L320" s="354"/>
      <c r="M320" s="354"/>
      <c r="N320" s="354"/>
      <c r="O320" s="354"/>
      <c r="P320" s="354"/>
      <c r="Q320" s="354"/>
      <c r="R320" s="354"/>
      <c r="S320" s="354"/>
      <c r="T320" s="354"/>
      <c r="U320" s="354"/>
      <c r="V320" s="354"/>
    </row>
    <row r="321" spans="1:22" ht="14.4">
      <c r="A321" s="376"/>
      <c r="B321" s="354"/>
      <c r="C321" s="354"/>
      <c r="D321" s="354"/>
      <c r="E321" s="354"/>
      <c r="F321" s="354"/>
      <c r="G321" s="354"/>
      <c r="H321" s="354"/>
      <c r="I321" s="354"/>
      <c r="J321" s="354"/>
      <c r="K321" s="354"/>
      <c r="L321" s="354"/>
      <c r="M321" s="354"/>
      <c r="N321" s="354"/>
      <c r="O321" s="354"/>
      <c r="P321" s="354"/>
      <c r="Q321" s="354"/>
      <c r="R321" s="354"/>
      <c r="S321" s="354"/>
      <c r="T321" s="354"/>
      <c r="U321" s="354"/>
      <c r="V321" s="354"/>
    </row>
    <row r="322" spans="1:22" ht="14.4">
      <c r="A322" s="376"/>
      <c r="B322" s="354"/>
      <c r="C322" s="354"/>
      <c r="D322" s="354"/>
      <c r="E322" s="354"/>
      <c r="F322" s="354"/>
      <c r="G322" s="354"/>
      <c r="H322" s="354"/>
      <c r="I322" s="354"/>
      <c r="J322" s="354"/>
      <c r="K322" s="354"/>
      <c r="L322" s="354"/>
      <c r="M322" s="354"/>
      <c r="N322" s="354"/>
      <c r="O322" s="354"/>
      <c r="P322" s="354"/>
      <c r="Q322" s="354"/>
      <c r="R322" s="354"/>
      <c r="S322" s="354"/>
      <c r="T322" s="354"/>
      <c r="U322" s="354"/>
      <c r="V322" s="354"/>
    </row>
    <row r="323" spans="1:22" ht="14.4">
      <c r="A323" s="376"/>
      <c r="B323" s="354"/>
      <c r="C323" s="354"/>
      <c r="D323" s="354"/>
      <c r="E323" s="354"/>
      <c r="F323" s="354"/>
      <c r="G323" s="354"/>
      <c r="H323" s="354"/>
      <c r="I323" s="354"/>
      <c r="J323" s="354"/>
      <c r="K323" s="354"/>
      <c r="L323" s="354"/>
      <c r="M323" s="354"/>
      <c r="N323" s="354"/>
      <c r="O323" s="354"/>
      <c r="P323" s="354"/>
      <c r="Q323" s="354"/>
      <c r="R323" s="354"/>
      <c r="S323" s="354"/>
      <c r="T323" s="354"/>
      <c r="U323" s="354"/>
      <c r="V323" s="354"/>
    </row>
    <row r="324" spans="1:22" ht="14.4">
      <c r="A324" s="376"/>
      <c r="B324" s="354"/>
      <c r="C324" s="354"/>
      <c r="D324" s="354"/>
      <c r="E324" s="354"/>
      <c r="F324" s="354"/>
      <c r="G324" s="354"/>
      <c r="H324" s="354"/>
      <c r="I324" s="354"/>
      <c r="J324" s="354"/>
      <c r="K324" s="354"/>
      <c r="L324" s="354"/>
      <c r="M324" s="354"/>
      <c r="N324" s="354"/>
      <c r="O324" s="354"/>
      <c r="P324" s="354"/>
      <c r="Q324" s="354"/>
      <c r="R324" s="354"/>
      <c r="S324" s="354"/>
      <c r="T324" s="354"/>
      <c r="U324" s="354"/>
      <c r="V324" s="354"/>
    </row>
    <row r="325" spans="1:22" ht="14.4">
      <c r="A325" s="376"/>
      <c r="B325" s="354"/>
      <c r="C325" s="354"/>
      <c r="D325" s="354"/>
      <c r="E325" s="354"/>
      <c r="F325" s="354"/>
      <c r="G325" s="354"/>
      <c r="H325" s="354"/>
      <c r="I325" s="354"/>
      <c r="J325" s="354"/>
      <c r="K325" s="354"/>
      <c r="L325" s="354"/>
      <c r="M325" s="354"/>
      <c r="N325" s="354"/>
      <c r="O325" s="354"/>
      <c r="P325" s="354"/>
      <c r="Q325" s="354"/>
      <c r="R325" s="354"/>
      <c r="S325" s="354"/>
      <c r="T325" s="354"/>
      <c r="U325" s="354"/>
      <c r="V325" s="354"/>
    </row>
    <row r="326" spans="1:22" ht="14.4">
      <c r="A326" s="376"/>
      <c r="B326" s="354"/>
      <c r="C326" s="354"/>
      <c r="D326" s="354"/>
      <c r="E326" s="354"/>
      <c r="F326" s="354"/>
      <c r="G326" s="354"/>
      <c r="H326" s="354"/>
      <c r="I326" s="354"/>
      <c r="J326" s="354"/>
      <c r="K326" s="354"/>
      <c r="L326" s="354"/>
      <c r="M326" s="354"/>
      <c r="N326" s="354"/>
      <c r="O326" s="354"/>
      <c r="P326" s="354"/>
      <c r="Q326" s="354"/>
      <c r="R326" s="354"/>
      <c r="S326" s="354"/>
      <c r="T326" s="354"/>
      <c r="U326" s="354"/>
      <c r="V326" s="354"/>
    </row>
    <row r="327" spans="1:22" ht="14.4">
      <c r="A327" s="376"/>
      <c r="B327" s="354"/>
      <c r="C327" s="354"/>
      <c r="D327" s="354"/>
      <c r="E327" s="354"/>
      <c r="F327" s="354"/>
      <c r="G327" s="354"/>
      <c r="H327" s="354"/>
      <c r="I327" s="354"/>
      <c r="J327" s="354"/>
      <c r="K327" s="354"/>
      <c r="L327" s="354"/>
      <c r="M327" s="354"/>
      <c r="N327" s="354"/>
      <c r="O327" s="354"/>
      <c r="P327" s="354"/>
      <c r="Q327" s="354"/>
      <c r="R327" s="354"/>
      <c r="S327" s="354"/>
      <c r="T327" s="354"/>
      <c r="U327" s="354"/>
      <c r="V327" s="354"/>
    </row>
    <row r="328" spans="1:22" ht="14.4">
      <c r="A328" s="376"/>
      <c r="B328" s="354"/>
      <c r="C328" s="354"/>
      <c r="D328" s="354"/>
      <c r="E328" s="354"/>
      <c r="F328" s="354"/>
      <c r="G328" s="354"/>
      <c r="H328" s="354"/>
      <c r="I328" s="354"/>
      <c r="J328" s="354"/>
      <c r="K328" s="354"/>
      <c r="L328" s="354"/>
      <c r="M328" s="354"/>
      <c r="N328" s="354"/>
      <c r="O328" s="354"/>
      <c r="P328" s="354"/>
      <c r="Q328" s="354"/>
      <c r="R328" s="354"/>
      <c r="S328" s="354"/>
      <c r="T328" s="354"/>
      <c r="U328" s="354"/>
      <c r="V328" s="354"/>
    </row>
    <row r="329" spans="1:22" ht="14.4">
      <c r="A329" s="376"/>
      <c r="B329" s="354"/>
      <c r="C329" s="354"/>
      <c r="D329" s="354"/>
      <c r="E329" s="354"/>
      <c r="F329" s="354"/>
      <c r="G329" s="354"/>
      <c r="H329" s="354"/>
      <c r="I329" s="354"/>
      <c r="J329" s="354"/>
      <c r="K329" s="354"/>
      <c r="L329" s="354"/>
      <c r="M329" s="354"/>
      <c r="N329" s="354"/>
      <c r="O329" s="354"/>
      <c r="P329" s="354"/>
      <c r="Q329" s="354"/>
      <c r="R329" s="354"/>
      <c r="S329" s="354"/>
      <c r="T329" s="354"/>
      <c r="U329" s="354"/>
      <c r="V329" s="354"/>
    </row>
    <row r="330" spans="1:22" ht="14.4">
      <c r="A330" s="376"/>
      <c r="B330" s="354"/>
      <c r="C330" s="354"/>
      <c r="D330" s="354"/>
      <c r="E330" s="354"/>
      <c r="F330" s="354"/>
      <c r="G330" s="354"/>
      <c r="H330" s="354"/>
      <c r="I330" s="354"/>
      <c r="J330" s="354"/>
      <c r="K330" s="354"/>
      <c r="L330" s="354"/>
      <c r="M330" s="354"/>
      <c r="N330" s="354"/>
      <c r="O330" s="354"/>
      <c r="P330" s="354"/>
      <c r="Q330" s="354"/>
      <c r="R330" s="354"/>
      <c r="S330" s="354"/>
      <c r="T330" s="354"/>
      <c r="U330" s="354"/>
      <c r="V330" s="354"/>
    </row>
  </sheetData>
  <sheetProtection sheet="1" objects="1" scenarios="1"/>
  <customSheetViews>
    <customSheetView guid="{D1431318-1DB8-4C45-813B-5A8065DFC797}">
      <selection activeCell="G6" sqref="G6"/>
      <pageMargins left="0.75" right="0.75" top="1" bottom="1" header="0.5" footer="0.5"/>
      <pageSetup scale="61" orientation="portrait" r:id="rId1"/>
      <headerFooter alignWithMargins="0"/>
    </customSheetView>
  </customSheetViews>
  <mergeCells count="1">
    <mergeCell ref="A1:C2"/>
  </mergeCells>
  <phoneticPr fontId="22" type="noConversion"/>
  <pageMargins left="0.75" right="0.75" top="1" bottom="1" header="0.5" footer="0.5"/>
  <pageSetup scale="61" orientation="portrait" r:id="rId2"/>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pageSetUpPr fitToPage="1"/>
  </sheetPr>
  <dimension ref="A1:AS311"/>
  <sheetViews>
    <sheetView view="pageBreakPreview" zoomScaleNormal="100" zoomScaleSheetLayoutView="100" workbookViewId="0">
      <selection activeCell="D4" sqref="D4:E4"/>
    </sheetView>
  </sheetViews>
  <sheetFormatPr defaultColWidth="9.109375" defaultRowHeight="14.4"/>
  <cols>
    <col min="1" max="1" width="10.44140625" style="929" customWidth="1"/>
    <col min="2" max="2" width="11.44140625" style="929" customWidth="1"/>
    <col min="3" max="3" width="7.88671875" style="929" customWidth="1"/>
    <col min="4" max="7" width="7.44140625" style="929" customWidth="1"/>
    <col min="8" max="8" width="14.44140625" style="929" customWidth="1"/>
    <col min="9" max="9" width="11.109375" style="929" customWidth="1"/>
    <col min="10" max="10" width="11.44140625" style="929" customWidth="1"/>
    <col min="11" max="11" width="13.44140625" style="929" customWidth="1"/>
    <col min="12" max="13" width="9.109375" style="929"/>
    <col min="14" max="14" width="13.109375" style="969" customWidth="1"/>
    <col min="15" max="15" width="7.88671875" style="969" customWidth="1"/>
    <col min="16" max="27" width="9.109375" style="969"/>
    <col min="28" max="16384" width="9.109375" style="929"/>
  </cols>
  <sheetData>
    <row r="1" spans="1:45" ht="45.75" customHeight="1" thickBot="1">
      <c r="A1" s="923"/>
      <c r="B1" s="924"/>
      <c r="C1" s="2844" t="s">
        <v>1746</v>
      </c>
      <c r="D1" s="2844"/>
      <c r="E1" s="2844"/>
      <c r="F1" s="2844"/>
      <c r="G1" s="2844"/>
      <c r="H1" s="2844"/>
      <c r="I1" s="2050" t="s">
        <v>1015</v>
      </c>
      <c r="J1" s="2845" t="str">
        <f>IF(ISBLANK(Prelim!S5)," ",Prelim!S5)</f>
        <v xml:space="preserve"> </v>
      </c>
      <c r="K1" s="2845"/>
      <c r="L1" s="2845" t="str">
        <f>'Drop-Down Lists'!J40</f>
        <v>v 04.01.2021</v>
      </c>
      <c r="M1" s="2845"/>
      <c r="N1" s="926"/>
      <c r="O1" s="926"/>
      <c r="P1" s="926"/>
      <c r="Q1" s="926"/>
      <c r="R1" s="926"/>
      <c r="S1" s="926"/>
      <c r="T1" s="926"/>
      <c r="U1" s="926"/>
      <c r="V1" s="926"/>
      <c r="W1" s="926"/>
      <c r="X1" s="926"/>
      <c r="Y1" s="926"/>
      <c r="Z1" s="926"/>
      <c r="AA1" s="926"/>
      <c r="AB1" s="927"/>
      <c r="AC1" s="928"/>
      <c r="AD1" s="928"/>
      <c r="AE1" s="928"/>
      <c r="AF1" s="928"/>
      <c r="AG1" s="928"/>
      <c r="AH1" s="928"/>
      <c r="AI1" s="928"/>
      <c r="AJ1" s="928"/>
      <c r="AK1" s="928"/>
      <c r="AL1" s="928"/>
      <c r="AM1" s="928"/>
      <c r="AN1" s="928"/>
      <c r="AO1" s="928"/>
      <c r="AP1" s="928"/>
      <c r="AQ1" s="928"/>
      <c r="AR1" s="928"/>
      <c r="AS1" s="928"/>
    </row>
    <row r="2" spans="1:45" ht="21.9" customHeight="1">
      <c r="A2" s="2160" t="s">
        <v>1774</v>
      </c>
      <c r="B2" s="2846" t="str">
        <f>IF(ISBLANK(Prelim!G3),"  ", Prelim!G3)</f>
        <v xml:space="preserve">  </v>
      </c>
      <c r="C2" s="2846"/>
      <c r="D2" s="2846"/>
      <c r="E2" s="2846"/>
      <c r="F2" s="2846"/>
      <c r="G2" s="2847"/>
      <c r="H2" s="2848" t="s">
        <v>1775</v>
      </c>
      <c r="I2" s="2849"/>
      <c r="J2" s="2850" t="str">
        <f>IF(ISBLANK(Prelim!G5), " ", Prelim!G5)</f>
        <v xml:space="preserve"> </v>
      </c>
      <c r="K2" s="2850"/>
      <c r="L2" s="2850"/>
      <c r="M2" s="2851"/>
      <c r="N2" s="926"/>
      <c r="O2" s="930"/>
      <c r="P2" s="930"/>
      <c r="Q2" s="930"/>
      <c r="R2" s="930"/>
      <c r="S2" s="930"/>
      <c r="T2" s="930"/>
      <c r="U2" s="930"/>
      <c r="V2" s="930"/>
      <c r="W2" s="930"/>
      <c r="X2" s="930"/>
      <c r="Y2" s="930"/>
      <c r="Z2" s="930"/>
      <c r="AA2" s="926"/>
      <c r="AB2" s="927"/>
      <c r="AC2" s="928"/>
      <c r="AD2" s="928"/>
      <c r="AE2" s="928"/>
      <c r="AF2" s="928"/>
      <c r="AG2" s="928"/>
      <c r="AH2" s="928"/>
      <c r="AI2" s="928"/>
      <c r="AJ2" s="928"/>
      <c r="AK2" s="928"/>
      <c r="AL2" s="928"/>
      <c r="AM2" s="928"/>
      <c r="AN2" s="928"/>
      <c r="AO2" s="928"/>
      <c r="AP2" s="928"/>
      <c r="AQ2" s="928"/>
      <c r="AR2" s="928"/>
      <c r="AS2" s="928"/>
    </row>
    <row r="3" spans="1:45" ht="21.9" customHeight="1">
      <c r="A3" s="2051" t="s">
        <v>1139</v>
      </c>
      <c r="B3" s="925"/>
      <c r="C3" s="925"/>
      <c r="D3" s="925"/>
      <c r="E3" s="925"/>
      <c r="F3" s="925"/>
      <c r="G3" s="925"/>
      <c r="H3" s="925"/>
      <c r="I3" s="925"/>
      <c r="J3" s="925"/>
      <c r="K3" s="925"/>
      <c r="L3" s="925"/>
      <c r="M3" s="2052"/>
      <c r="N3" s="926"/>
      <c r="O3" s="930"/>
      <c r="P3" s="930"/>
      <c r="Q3" s="930"/>
      <c r="R3" s="930"/>
      <c r="S3" s="930"/>
      <c r="T3" s="930"/>
      <c r="U3" s="930"/>
      <c r="V3" s="930"/>
      <c r="W3" s="930"/>
      <c r="X3" s="930"/>
      <c r="Y3" s="930"/>
      <c r="Z3" s="930"/>
      <c r="AA3" s="926"/>
      <c r="AB3" s="927"/>
      <c r="AC3" s="928"/>
      <c r="AD3" s="928"/>
      <c r="AE3" s="928"/>
      <c r="AF3" s="928"/>
      <c r="AG3" s="928"/>
      <c r="AH3" s="928"/>
      <c r="AI3" s="928"/>
      <c r="AJ3" s="928"/>
      <c r="AK3" s="928"/>
      <c r="AL3" s="928"/>
      <c r="AM3" s="928"/>
      <c r="AN3" s="928"/>
      <c r="AO3" s="928"/>
      <c r="AP3" s="928"/>
      <c r="AQ3" s="928"/>
      <c r="AR3" s="928"/>
      <c r="AS3" s="928"/>
    </row>
    <row r="4" spans="1:45" ht="24" customHeight="1">
      <c r="A4" s="931" t="s">
        <v>1921</v>
      </c>
      <c r="B4" s="932"/>
      <c r="C4" s="932"/>
      <c r="D4" s="2852"/>
      <c r="E4" s="2853"/>
      <c r="F4" s="2053" t="s">
        <v>1590</v>
      </c>
      <c r="G4" s="2054"/>
      <c r="H4" s="2053" t="s">
        <v>1140</v>
      </c>
      <c r="I4" s="2854"/>
      <c r="J4" s="2855"/>
      <c r="K4" s="2856" t="s">
        <v>1922</v>
      </c>
      <c r="L4" s="2857"/>
      <c r="M4" s="2262"/>
      <c r="N4" s="926"/>
      <c r="O4" s="930"/>
      <c r="P4" s="930"/>
      <c r="Q4" s="933"/>
      <c r="R4" s="933"/>
      <c r="S4" s="933"/>
      <c r="T4" s="933"/>
      <c r="U4" s="930"/>
      <c r="V4" s="930"/>
      <c r="W4" s="930"/>
      <c r="X4" s="930"/>
      <c r="Y4" s="930"/>
      <c r="Z4" s="930"/>
      <c r="AA4" s="926"/>
      <c r="AB4" s="927"/>
      <c r="AC4" s="928"/>
      <c r="AD4" s="928"/>
      <c r="AE4" s="928"/>
      <c r="AF4" s="928"/>
      <c r="AG4" s="928"/>
      <c r="AH4" s="928"/>
      <c r="AI4" s="928"/>
      <c r="AJ4" s="928"/>
      <c r="AK4" s="928"/>
      <c r="AL4" s="928"/>
      <c r="AM4" s="928"/>
      <c r="AN4" s="928"/>
      <c r="AO4" s="928"/>
      <c r="AP4" s="928"/>
      <c r="AQ4" s="928"/>
      <c r="AR4" s="928"/>
      <c r="AS4" s="928"/>
    </row>
    <row r="5" spans="1:45" ht="21.9" customHeight="1">
      <c r="A5" s="2384" t="s">
        <v>1589</v>
      </c>
      <c r="B5" s="2854"/>
      <c r="C5" s="2854"/>
      <c r="D5" s="2855"/>
      <c r="E5" s="2858" t="s">
        <v>1588</v>
      </c>
      <c r="F5" s="2859"/>
      <c r="G5" s="2859"/>
      <c r="H5" s="2854"/>
      <c r="I5" s="2854"/>
      <c r="J5" s="2855"/>
      <c r="K5" s="2860" t="s">
        <v>1925</v>
      </c>
      <c r="L5" s="2861"/>
      <c r="M5" s="2239"/>
      <c r="N5" s="926"/>
      <c r="O5" s="933"/>
      <c r="P5" s="930"/>
      <c r="Q5" s="930"/>
      <c r="R5" s="930"/>
      <c r="S5" s="933"/>
      <c r="T5" s="933"/>
      <c r="U5" s="930"/>
      <c r="V5" s="930"/>
      <c r="W5" s="930"/>
      <c r="X5" s="930"/>
      <c r="Y5" s="930"/>
      <c r="Z5" s="930"/>
      <c r="AA5" s="926"/>
      <c r="AB5" s="927"/>
      <c r="AC5" s="928"/>
      <c r="AD5" s="928"/>
      <c r="AE5" s="928"/>
      <c r="AF5" s="928"/>
      <c r="AG5" s="928"/>
      <c r="AH5" s="928"/>
      <c r="AI5" s="928"/>
      <c r="AJ5" s="928"/>
      <c r="AK5" s="928"/>
      <c r="AL5" s="928"/>
      <c r="AM5" s="928"/>
      <c r="AN5" s="928"/>
      <c r="AO5" s="928"/>
      <c r="AP5" s="928"/>
      <c r="AQ5" s="928"/>
      <c r="AR5" s="928"/>
      <c r="AS5" s="928"/>
    </row>
    <row r="6" spans="1:45" ht="21.9" customHeight="1">
      <c r="A6" s="2862" t="s">
        <v>1141</v>
      </c>
      <c r="B6" s="2863"/>
      <c r="C6" s="2863"/>
      <c r="D6" s="2864"/>
      <c r="E6" s="2864"/>
      <c r="F6" s="2864"/>
      <c r="G6" s="2864"/>
      <c r="H6" s="2865"/>
      <c r="I6" s="2855"/>
      <c r="J6" s="2587" t="s">
        <v>1128</v>
      </c>
      <c r="K6" s="2866"/>
      <c r="L6" s="2866"/>
      <c r="M6" s="2867"/>
      <c r="N6" s="926"/>
      <c r="O6" s="1887"/>
      <c r="P6" s="1887"/>
      <c r="Q6" s="934"/>
      <c r="R6" s="934"/>
      <c r="S6" s="933"/>
      <c r="T6" s="933"/>
      <c r="U6" s="930"/>
      <c r="V6" s="930"/>
      <c r="W6" s="930"/>
      <c r="X6" s="930"/>
      <c r="Y6" s="930"/>
      <c r="Z6" s="930"/>
      <c r="AA6" s="926"/>
      <c r="AB6" s="927"/>
      <c r="AC6" s="928"/>
      <c r="AD6" s="928"/>
      <c r="AE6" s="928"/>
      <c r="AF6" s="928"/>
      <c r="AG6" s="928"/>
      <c r="AH6" s="928"/>
      <c r="AI6" s="928"/>
      <c r="AJ6" s="928"/>
      <c r="AK6" s="928"/>
      <c r="AL6" s="928"/>
      <c r="AM6" s="928"/>
      <c r="AN6" s="928"/>
      <c r="AO6" s="928"/>
      <c r="AP6" s="928"/>
      <c r="AQ6" s="928"/>
      <c r="AR6" s="928"/>
      <c r="AS6" s="928"/>
    </row>
    <row r="7" spans="1:45" ht="21.9" customHeight="1" thickBot="1">
      <c r="A7" s="2868" t="s">
        <v>1142</v>
      </c>
      <c r="B7" s="2869"/>
      <c r="C7" s="2870"/>
      <c r="D7" s="2870"/>
      <c r="E7" s="2870"/>
      <c r="F7" s="2870"/>
      <c r="G7" s="2870"/>
      <c r="H7" s="2870"/>
      <c r="I7" s="2871" t="s">
        <v>1143</v>
      </c>
      <c r="J7" s="2872"/>
      <c r="K7" s="2873"/>
      <c r="L7" s="2873"/>
      <c r="M7" s="2874"/>
      <c r="N7" s="930"/>
      <c r="O7" s="930"/>
      <c r="P7" s="930"/>
      <c r="Q7" s="930"/>
      <c r="R7" s="930"/>
      <c r="S7" s="930"/>
      <c r="T7" s="930"/>
      <c r="U7" s="930"/>
      <c r="V7" s="930"/>
      <c r="W7" s="930"/>
      <c r="X7" s="926"/>
      <c r="Y7" s="927"/>
      <c r="Z7" s="928"/>
      <c r="AA7" s="928"/>
      <c r="AB7" s="928"/>
      <c r="AC7" s="928"/>
      <c r="AD7" s="928"/>
      <c r="AE7" s="928"/>
      <c r="AF7" s="928"/>
      <c r="AG7" s="928"/>
      <c r="AH7" s="928"/>
      <c r="AI7" s="928"/>
      <c r="AJ7" s="928"/>
      <c r="AK7" s="928"/>
      <c r="AL7" s="928"/>
      <c r="AM7" s="928"/>
      <c r="AN7" s="928"/>
      <c r="AO7" s="928"/>
      <c r="AP7" s="928"/>
    </row>
    <row r="8" spans="1:45" ht="14.1" customHeight="1">
      <c r="A8" s="2892" t="s">
        <v>1144</v>
      </c>
      <c r="B8" s="2875" t="s">
        <v>669</v>
      </c>
      <c r="C8" s="2894" t="s">
        <v>1145</v>
      </c>
      <c r="D8" s="2896" t="s">
        <v>1146</v>
      </c>
      <c r="E8" s="2897"/>
      <c r="F8" s="2896" t="s">
        <v>1147</v>
      </c>
      <c r="G8" s="2900"/>
      <c r="H8" s="2875" t="s">
        <v>1148</v>
      </c>
      <c r="I8" s="2875" t="s">
        <v>1149</v>
      </c>
      <c r="J8" s="2877" t="s">
        <v>1150</v>
      </c>
      <c r="K8" s="2877"/>
      <c r="L8" s="2877"/>
      <c r="M8" s="2878"/>
      <c r="N8" s="926"/>
      <c r="O8" s="930"/>
      <c r="P8" s="930"/>
      <c r="Q8" s="930"/>
      <c r="R8" s="930"/>
      <c r="S8" s="930"/>
      <c r="T8" s="930"/>
      <c r="U8" s="930"/>
      <c r="V8" s="930"/>
      <c r="W8" s="930"/>
      <c r="X8" s="930"/>
      <c r="Y8" s="930"/>
      <c r="Z8" s="930"/>
      <c r="AA8" s="926"/>
      <c r="AB8" s="927"/>
      <c r="AC8" s="928"/>
      <c r="AD8" s="928"/>
      <c r="AE8" s="928"/>
      <c r="AF8" s="928"/>
      <c r="AG8" s="928"/>
      <c r="AH8" s="928"/>
      <c r="AI8" s="928"/>
      <c r="AJ8" s="928"/>
      <c r="AK8" s="928"/>
      <c r="AL8" s="928"/>
      <c r="AM8" s="928"/>
      <c r="AN8" s="928"/>
      <c r="AO8" s="928"/>
      <c r="AP8" s="928"/>
      <c r="AQ8" s="928"/>
      <c r="AR8" s="928"/>
      <c r="AS8" s="928"/>
    </row>
    <row r="9" spans="1:45" ht="14.1" customHeight="1" thickBot="1">
      <c r="A9" s="2893"/>
      <c r="B9" s="2876"/>
      <c r="C9" s="2895"/>
      <c r="D9" s="2898"/>
      <c r="E9" s="2899"/>
      <c r="F9" s="2901"/>
      <c r="G9" s="2902"/>
      <c r="H9" s="2876"/>
      <c r="I9" s="2876"/>
      <c r="J9" s="2586" t="s">
        <v>1151</v>
      </c>
      <c r="K9" s="2586" t="s">
        <v>671</v>
      </c>
      <c r="L9" s="2876" t="s">
        <v>672</v>
      </c>
      <c r="M9" s="2879"/>
      <c r="N9" s="926"/>
      <c r="O9" s="930"/>
      <c r="P9" s="930"/>
      <c r="Q9" s="930"/>
      <c r="R9" s="935"/>
      <c r="S9" s="936"/>
      <c r="T9" s="930"/>
      <c r="U9" s="930"/>
      <c r="V9" s="930"/>
      <c r="W9" s="930"/>
      <c r="X9" s="930"/>
      <c r="Y9" s="930"/>
      <c r="Z9" s="930"/>
      <c r="AA9" s="926"/>
      <c r="AB9" s="927"/>
      <c r="AC9" s="928"/>
      <c r="AD9" s="928"/>
      <c r="AE9" s="928"/>
      <c r="AF9" s="928"/>
      <c r="AG9" s="928"/>
      <c r="AH9" s="928"/>
      <c r="AI9" s="928"/>
      <c r="AJ9" s="928"/>
      <c r="AK9" s="928"/>
      <c r="AL9" s="928"/>
      <c r="AM9" s="928"/>
      <c r="AN9" s="928"/>
      <c r="AO9" s="928"/>
      <c r="AP9" s="928"/>
      <c r="AQ9" s="928"/>
      <c r="AR9" s="928"/>
      <c r="AS9" s="928"/>
    </row>
    <row r="10" spans="1:45" ht="21.9" customHeight="1" thickTop="1">
      <c r="A10" s="2880"/>
      <c r="B10" s="2882"/>
      <c r="C10" s="2884"/>
      <c r="D10" s="2027"/>
      <c r="E10" s="2028"/>
      <c r="F10" s="2027"/>
      <c r="G10" s="2028"/>
      <c r="H10" s="2585"/>
      <c r="I10" s="2585"/>
      <c r="J10" s="2886"/>
      <c r="K10" s="2886"/>
      <c r="L10" s="2888"/>
      <c r="M10" s="2889"/>
      <c r="N10" s="937"/>
      <c r="O10" s="930"/>
      <c r="P10" s="930"/>
      <c r="Q10" s="930"/>
      <c r="R10" s="1887"/>
      <c r="S10" s="936"/>
      <c r="T10" s="930"/>
      <c r="U10" s="930"/>
      <c r="V10" s="930"/>
      <c r="W10" s="930"/>
      <c r="X10" s="930"/>
      <c r="Y10" s="930"/>
      <c r="Z10" s="930"/>
      <c r="AA10" s="926"/>
      <c r="AB10" s="926"/>
      <c r="AC10" s="928"/>
      <c r="AD10" s="928"/>
      <c r="AE10" s="928"/>
      <c r="AF10" s="928"/>
      <c r="AG10" s="928"/>
      <c r="AH10" s="928"/>
      <c r="AI10" s="928"/>
      <c r="AJ10" s="928"/>
      <c r="AK10" s="928"/>
      <c r="AL10" s="928"/>
      <c r="AM10" s="928"/>
      <c r="AN10" s="928"/>
      <c r="AO10" s="928"/>
      <c r="AP10" s="928"/>
      <c r="AQ10" s="928"/>
      <c r="AR10" s="928"/>
      <c r="AS10" s="928"/>
    </row>
    <row r="11" spans="1:45" ht="21.9" customHeight="1">
      <c r="A11" s="2881"/>
      <c r="B11" s="2883"/>
      <c r="C11" s="2885"/>
      <c r="D11" s="2027"/>
      <c r="E11" s="2028"/>
      <c r="F11" s="2027"/>
      <c r="G11" s="2028"/>
      <c r="H11" s="1423"/>
      <c r="I11" s="1423"/>
      <c r="J11" s="2887"/>
      <c r="K11" s="2887"/>
      <c r="L11" s="2890"/>
      <c r="M11" s="2891"/>
      <c r="N11" s="937"/>
      <c r="O11" s="934"/>
      <c r="P11" s="934"/>
      <c r="Q11" s="934"/>
      <c r="R11" s="934"/>
      <c r="S11" s="934"/>
      <c r="T11" s="930"/>
      <c r="U11" s="930"/>
      <c r="V11" s="930"/>
      <c r="W11" s="930"/>
      <c r="X11" s="930"/>
      <c r="Y11" s="930"/>
      <c r="Z11" s="930"/>
      <c r="AA11" s="926"/>
      <c r="AB11" s="926"/>
      <c r="AC11" s="928"/>
      <c r="AD11" s="928"/>
      <c r="AE11" s="928"/>
      <c r="AF11" s="928"/>
      <c r="AG11" s="928"/>
      <c r="AH11" s="928"/>
      <c r="AI11" s="928"/>
      <c r="AJ11" s="928"/>
      <c r="AK11" s="928"/>
      <c r="AL11" s="928"/>
      <c r="AM11" s="928"/>
      <c r="AN11" s="928"/>
      <c r="AO11" s="928"/>
      <c r="AP11" s="928"/>
      <c r="AQ11" s="928"/>
      <c r="AR11" s="928"/>
      <c r="AS11" s="928"/>
    </row>
    <row r="12" spans="1:45" ht="21.9" customHeight="1">
      <c r="A12" s="2905"/>
      <c r="B12" s="2906"/>
      <c r="C12" s="2907"/>
      <c r="D12" s="2029"/>
      <c r="E12" s="2030"/>
      <c r="F12" s="2029"/>
      <c r="G12" s="2030"/>
      <c r="H12" s="1423"/>
      <c r="I12" s="1423"/>
      <c r="J12" s="2908"/>
      <c r="K12" s="2908"/>
      <c r="L12" s="2903"/>
      <c r="M12" s="2904"/>
      <c r="N12" s="937"/>
      <c r="O12" s="930"/>
      <c r="P12" s="930"/>
      <c r="Q12" s="930"/>
      <c r="R12" s="1887"/>
      <c r="S12" s="936"/>
      <c r="T12" s="930"/>
      <c r="U12" s="930"/>
      <c r="V12" s="930"/>
      <c r="W12" s="930"/>
      <c r="X12" s="930"/>
      <c r="Y12" s="930"/>
      <c r="Z12" s="930"/>
      <c r="AA12" s="926"/>
      <c r="AB12" s="926"/>
      <c r="AC12" s="928"/>
      <c r="AD12" s="928"/>
      <c r="AE12" s="928"/>
      <c r="AF12" s="928"/>
      <c r="AG12" s="928"/>
      <c r="AH12" s="928"/>
      <c r="AI12" s="928"/>
      <c r="AJ12" s="928"/>
      <c r="AK12" s="928"/>
      <c r="AL12" s="928"/>
      <c r="AM12" s="928"/>
      <c r="AN12" s="928"/>
      <c r="AO12" s="928"/>
      <c r="AP12" s="928"/>
      <c r="AQ12" s="928"/>
      <c r="AR12" s="928"/>
      <c r="AS12" s="928"/>
    </row>
    <row r="13" spans="1:45" ht="21.9" customHeight="1">
      <c r="A13" s="2881"/>
      <c r="B13" s="2883"/>
      <c r="C13" s="2885"/>
      <c r="D13" s="2027"/>
      <c r="E13" s="2028"/>
      <c r="F13" s="2027"/>
      <c r="G13" s="2028"/>
      <c r="H13" s="1423"/>
      <c r="I13" s="1423"/>
      <c r="J13" s="2887"/>
      <c r="K13" s="2887"/>
      <c r="L13" s="2890"/>
      <c r="M13" s="2891"/>
      <c r="N13" s="937"/>
      <c r="O13" s="934"/>
      <c r="P13" s="934"/>
      <c r="Q13" s="934"/>
      <c r="R13" s="934"/>
      <c r="S13" s="934"/>
      <c r="T13" s="930"/>
      <c r="U13" s="930"/>
      <c r="V13" s="930"/>
      <c r="W13" s="930"/>
      <c r="X13" s="930"/>
      <c r="Y13" s="930"/>
      <c r="Z13" s="930"/>
      <c r="AA13" s="926"/>
      <c r="AB13" s="926"/>
      <c r="AC13" s="928"/>
      <c r="AD13" s="928"/>
      <c r="AE13" s="928"/>
      <c r="AF13" s="928"/>
      <c r="AG13" s="928"/>
      <c r="AH13" s="928"/>
      <c r="AI13" s="928"/>
      <c r="AJ13" s="928"/>
      <c r="AK13" s="928"/>
      <c r="AL13" s="928"/>
      <c r="AM13" s="928"/>
      <c r="AN13" s="928"/>
      <c r="AO13" s="928"/>
      <c r="AP13" s="928"/>
      <c r="AQ13" s="928"/>
      <c r="AR13" s="928"/>
      <c r="AS13" s="928"/>
    </row>
    <row r="14" spans="1:45" ht="21.9" customHeight="1">
      <c r="A14" s="2905"/>
      <c r="B14" s="2906"/>
      <c r="C14" s="2907"/>
      <c r="D14" s="2029"/>
      <c r="E14" s="2030"/>
      <c r="F14" s="2029"/>
      <c r="G14" s="2030"/>
      <c r="H14" s="1423"/>
      <c r="I14" s="1423"/>
      <c r="J14" s="2908"/>
      <c r="K14" s="2908"/>
      <c r="L14" s="2903"/>
      <c r="M14" s="2904"/>
      <c r="N14" s="937"/>
      <c r="O14" s="930"/>
      <c r="P14" s="930"/>
      <c r="Q14" s="930"/>
      <c r="R14" s="1887"/>
      <c r="S14" s="936"/>
      <c r="T14" s="930"/>
      <c r="U14" s="930"/>
      <c r="V14" s="930"/>
      <c r="W14" s="930"/>
      <c r="X14" s="930"/>
      <c r="Y14" s="930"/>
      <c r="Z14" s="930"/>
      <c r="AA14" s="926"/>
      <c r="AB14" s="926"/>
      <c r="AC14" s="928"/>
      <c r="AD14" s="928"/>
      <c r="AE14" s="928"/>
      <c r="AF14" s="928"/>
      <c r="AG14" s="928"/>
      <c r="AH14" s="928"/>
      <c r="AI14" s="928"/>
      <c r="AJ14" s="928"/>
      <c r="AK14" s="928"/>
      <c r="AL14" s="928"/>
      <c r="AM14" s="928"/>
      <c r="AN14" s="928"/>
      <c r="AO14" s="928"/>
      <c r="AP14" s="928"/>
      <c r="AQ14" s="928"/>
      <c r="AR14" s="928"/>
      <c r="AS14" s="928"/>
    </row>
    <row r="15" spans="1:45" ht="21.9" customHeight="1">
      <c r="A15" s="2881"/>
      <c r="B15" s="2883"/>
      <c r="C15" s="2885"/>
      <c r="D15" s="2027"/>
      <c r="E15" s="2028"/>
      <c r="F15" s="2027"/>
      <c r="G15" s="2028"/>
      <c r="H15" s="1423"/>
      <c r="I15" s="1423"/>
      <c r="J15" s="2887"/>
      <c r="K15" s="2887"/>
      <c r="L15" s="2890"/>
      <c r="M15" s="2891"/>
      <c r="N15" s="937"/>
      <c r="O15" s="934"/>
      <c r="P15" s="934"/>
      <c r="Q15" s="934"/>
      <c r="R15" s="934"/>
      <c r="S15" s="934"/>
      <c r="T15" s="930"/>
      <c r="U15" s="930"/>
      <c r="V15" s="930"/>
      <c r="W15" s="930"/>
      <c r="X15" s="930"/>
      <c r="Y15" s="930"/>
      <c r="Z15" s="930"/>
      <c r="AA15" s="926"/>
      <c r="AB15" s="926"/>
      <c r="AC15" s="928"/>
      <c r="AD15" s="928"/>
      <c r="AE15" s="928"/>
      <c r="AF15" s="928"/>
      <c r="AG15" s="928"/>
      <c r="AH15" s="928"/>
      <c r="AI15" s="928"/>
      <c r="AJ15" s="928"/>
      <c r="AK15" s="928"/>
      <c r="AL15" s="928"/>
      <c r="AM15" s="928"/>
      <c r="AN15" s="928"/>
      <c r="AO15" s="928"/>
      <c r="AP15" s="928"/>
      <c r="AQ15" s="928"/>
      <c r="AR15" s="928"/>
      <c r="AS15" s="928"/>
    </row>
    <row r="16" spans="1:45" ht="21.9" customHeight="1">
      <c r="A16" s="2905"/>
      <c r="B16" s="2906"/>
      <c r="C16" s="2907"/>
      <c r="D16" s="2029"/>
      <c r="E16" s="2030"/>
      <c r="F16" s="2029"/>
      <c r="G16" s="2030"/>
      <c r="H16" s="1423"/>
      <c r="I16" s="1423"/>
      <c r="J16" s="2908"/>
      <c r="K16" s="2908"/>
      <c r="L16" s="2903"/>
      <c r="M16" s="2904"/>
      <c r="N16" s="937"/>
      <c r="O16" s="930"/>
      <c r="P16" s="930"/>
      <c r="Q16" s="930"/>
      <c r="R16" s="1887"/>
      <c r="S16" s="936"/>
      <c r="T16" s="930"/>
      <c r="U16" s="930"/>
      <c r="V16" s="930"/>
      <c r="W16" s="930"/>
      <c r="X16" s="930"/>
      <c r="Y16" s="930"/>
      <c r="Z16" s="930"/>
      <c r="AA16" s="926"/>
      <c r="AB16" s="926"/>
      <c r="AC16" s="928"/>
      <c r="AD16" s="928"/>
      <c r="AE16" s="928"/>
      <c r="AF16" s="928"/>
      <c r="AG16" s="928"/>
      <c r="AH16" s="928"/>
      <c r="AI16" s="928"/>
      <c r="AJ16" s="928"/>
      <c r="AK16" s="928"/>
      <c r="AL16" s="928"/>
      <c r="AM16" s="928"/>
      <c r="AN16" s="928"/>
      <c r="AO16" s="928"/>
      <c r="AP16" s="928"/>
      <c r="AQ16" s="928"/>
      <c r="AR16" s="928"/>
      <c r="AS16" s="928"/>
    </row>
    <row r="17" spans="1:45" ht="21.9" customHeight="1">
      <c r="A17" s="2881"/>
      <c r="B17" s="2883"/>
      <c r="C17" s="2885"/>
      <c r="D17" s="2027"/>
      <c r="E17" s="2028"/>
      <c r="F17" s="2027"/>
      <c r="G17" s="2028"/>
      <c r="H17" s="1423"/>
      <c r="I17" s="1423"/>
      <c r="J17" s="2887"/>
      <c r="K17" s="2887"/>
      <c r="L17" s="2890"/>
      <c r="M17" s="2891"/>
      <c r="N17" s="937"/>
      <c r="O17" s="934"/>
      <c r="P17" s="934"/>
      <c r="Q17" s="934"/>
      <c r="R17" s="934"/>
      <c r="S17" s="934"/>
      <c r="T17" s="930"/>
      <c r="U17" s="930"/>
      <c r="V17" s="930"/>
      <c r="W17" s="930"/>
      <c r="X17" s="930"/>
      <c r="Y17" s="930"/>
      <c r="Z17" s="930"/>
      <c r="AA17" s="926"/>
      <c r="AB17" s="926"/>
      <c r="AC17" s="928"/>
      <c r="AD17" s="928"/>
      <c r="AE17" s="928"/>
      <c r="AF17" s="928"/>
      <c r="AG17" s="928"/>
      <c r="AH17" s="928"/>
      <c r="AI17" s="928"/>
      <c r="AJ17" s="928"/>
      <c r="AK17" s="928"/>
      <c r="AL17" s="928"/>
      <c r="AM17" s="928"/>
      <c r="AN17" s="928"/>
      <c r="AO17" s="928"/>
      <c r="AP17" s="928"/>
      <c r="AQ17" s="928"/>
      <c r="AR17" s="928"/>
      <c r="AS17" s="928"/>
    </row>
    <row r="18" spans="1:45" ht="21.9" customHeight="1">
      <c r="A18" s="2905"/>
      <c r="B18" s="2906"/>
      <c r="C18" s="2907"/>
      <c r="D18" s="2029"/>
      <c r="E18" s="2030"/>
      <c r="F18" s="2029"/>
      <c r="G18" s="2030"/>
      <c r="H18" s="1423"/>
      <c r="I18" s="1423"/>
      <c r="J18" s="2908"/>
      <c r="K18" s="2908"/>
      <c r="L18" s="2903"/>
      <c r="M18" s="2904"/>
      <c r="N18" s="937"/>
      <c r="O18" s="930"/>
      <c r="P18" s="930"/>
      <c r="Q18" s="930"/>
      <c r="R18" s="1887"/>
      <c r="S18" s="936"/>
      <c r="T18" s="930"/>
      <c r="U18" s="930"/>
      <c r="V18" s="930"/>
      <c r="W18" s="930"/>
      <c r="X18" s="930"/>
      <c r="Y18" s="930"/>
      <c r="Z18" s="930"/>
      <c r="AA18" s="926"/>
      <c r="AB18" s="926"/>
      <c r="AC18" s="928"/>
      <c r="AD18" s="928"/>
      <c r="AE18" s="928"/>
      <c r="AF18" s="928"/>
      <c r="AG18" s="928"/>
      <c r="AH18" s="928"/>
      <c r="AI18" s="928"/>
      <c r="AJ18" s="928"/>
      <c r="AK18" s="928"/>
      <c r="AL18" s="928"/>
      <c r="AM18" s="928"/>
      <c r="AN18" s="928"/>
      <c r="AO18" s="928"/>
      <c r="AP18" s="928"/>
      <c r="AQ18" s="928"/>
      <c r="AR18" s="928"/>
      <c r="AS18" s="928"/>
    </row>
    <row r="19" spans="1:45" ht="21.9" customHeight="1">
      <c r="A19" s="2881"/>
      <c r="B19" s="2883"/>
      <c r="C19" s="2885"/>
      <c r="D19" s="2027"/>
      <c r="E19" s="2028"/>
      <c r="F19" s="2027"/>
      <c r="G19" s="2028"/>
      <c r="H19" s="1423"/>
      <c r="I19" s="1423"/>
      <c r="J19" s="2887"/>
      <c r="K19" s="2887"/>
      <c r="L19" s="2890"/>
      <c r="M19" s="2891"/>
      <c r="N19" s="937"/>
      <c r="O19" s="934"/>
      <c r="P19" s="934"/>
      <c r="Q19" s="934"/>
      <c r="R19" s="934"/>
      <c r="S19" s="934"/>
      <c r="T19" s="930"/>
      <c r="U19" s="930"/>
      <c r="V19" s="930"/>
      <c r="W19" s="930"/>
      <c r="X19" s="930"/>
      <c r="Y19" s="930"/>
      <c r="Z19" s="930"/>
      <c r="AA19" s="926"/>
      <c r="AB19" s="926"/>
      <c r="AC19" s="928"/>
      <c r="AD19" s="928"/>
      <c r="AE19" s="928"/>
      <c r="AF19" s="928"/>
      <c r="AG19" s="928"/>
      <c r="AH19" s="928"/>
      <c r="AI19" s="928"/>
      <c r="AJ19" s="928"/>
      <c r="AK19" s="928"/>
      <c r="AL19" s="928"/>
      <c r="AM19" s="928"/>
      <c r="AN19" s="928"/>
      <c r="AO19" s="928"/>
      <c r="AP19" s="928"/>
      <c r="AQ19" s="928"/>
      <c r="AR19" s="928"/>
      <c r="AS19" s="928"/>
    </row>
    <row r="20" spans="1:45" ht="21.9" customHeight="1">
      <c r="A20" s="2905"/>
      <c r="B20" s="2906"/>
      <c r="C20" s="2907"/>
      <c r="D20" s="2029"/>
      <c r="E20" s="2030"/>
      <c r="F20" s="2029"/>
      <c r="G20" s="2030"/>
      <c r="H20" s="1423"/>
      <c r="I20" s="1423"/>
      <c r="J20" s="2908"/>
      <c r="K20" s="2908"/>
      <c r="L20" s="2903"/>
      <c r="M20" s="2904"/>
      <c r="N20" s="937"/>
      <c r="O20" s="930"/>
      <c r="P20" s="930"/>
      <c r="Q20" s="930"/>
      <c r="R20" s="1887"/>
      <c r="S20" s="936"/>
      <c r="T20" s="930"/>
      <c r="U20" s="930"/>
      <c r="V20" s="930"/>
      <c r="W20" s="930"/>
      <c r="X20" s="930"/>
      <c r="Y20" s="930"/>
      <c r="Z20" s="930"/>
      <c r="AA20" s="926"/>
      <c r="AB20" s="926"/>
      <c r="AC20" s="928"/>
      <c r="AD20" s="928"/>
      <c r="AE20" s="928"/>
      <c r="AF20" s="928"/>
      <c r="AG20" s="928"/>
      <c r="AH20" s="928"/>
      <c r="AI20" s="928"/>
      <c r="AJ20" s="928"/>
      <c r="AK20" s="928"/>
      <c r="AL20" s="928"/>
      <c r="AM20" s="928"/>
      <c r="AN20" s="928"/>
      <c r="AO20" s="928"/>
      <c r="AP20" s="928"/>
      <c r="AQ20" s="928"/>
      <c r="AR20" s="928"/>
      <c r="AS20" s="928"/>
    </row>
    <row r="21" spans="1:45" ht="21.9" customHeight="1">
      <c r="A21" s="2881"/>
      <c r="B21" s="2883"/>
      <c r="C21" s="2885"/>
      <c r="D21" s="2027"/>
      <c r="E21" s="2028"/>
      <c r="F21" s="2027"/>
      <c r="G21" s="2028"/>
      <c r="H21" s="1423"/>
      <c r="I21" s="1423"/>
      <c r="J21" s="2887"/>
      <c r="K21" s="2887"/>
      <c r="L21" s="2890"/>
      <c r="M21" s="2891"/>
      <c r="N21" s="937"/>
      <c r="O21" s="934"/>
      <c r="P21" s="934"/>
      <c r="Q21" s="934"/>
      <c r="R21" s="934"/>
      <c r="S21" s="934"/>
      <c r="T21" s="930"/>
      <c r="U21" s="930"/>
      <c r="V21" s="930"/>
      <c r="W21" s="930"/>
      <c r="X21" s="930"/>
      <c r="Y21" s="930"/>
      <c r="Z21" s="930"/>
      <c r="AA21" s="926"/>
      <c r="AB21" s="926"/>
      <c r="AC21" s="928"/>
      <c r="AD21" s="928"/>
      <c r="AE21" s="928"/>
      <c r="AF21" s="928"/>
      <c r="AG21" s="928"/>
      <c r="AH21" s="928"/>
      <c r="AI21" s="928"/>
      <c r="AJ21" s="928"/>
      <c r="AK21" s="928"/>
      <c r="AL21" s="928"/>
      <c r="AM21" s="928"/>
      <c r="AN21" s="928"/>
      <c r="AO21" s="928"/>
      <c r="AP21" s="928"/>
      <c r="AQ21" s="928"/>
      <c r="AR21" s="928"/>
      <c r="AS21" s="928"/>
    </row>
    <row r="22" spans="1:45" ht="21.9" customHeight="1">
      <c r="A22" s="2905"/>
      <c r="B22" s="2906"/>
      <c r="C22" s="2907"/>
      <c r="D22" s="2029"/>
      <c r="E22" s="2030"/>
      <c r="F22" s="2029"/>
      <c r="G22" s="2030"/>
      <c r="H22" s="1423"/>
      <c r="I22" s="1423"/>
      <c r="J22" s="2908"/>
      <c r="K22" s="2908"/>
      <c r="L22" s="2903"/>
      <c r="M22" s="2904"/>
      <c r="N22" s="937"/>
      <c r="O22" s="930"/>
      <c r="P22" s="930"/>
      <c r="Q22" s="930"/>
      <c r="R22" s="1887"/>
      <c r="S22" s="936"/>
      <c r="T22" s="930"/>
      <c r="U22" s="930"/>
      <c r="V22" s="930"/>
      <c r="W22" s="930"/>
      <c r="X22" s="930"/>
      <c r="Y22" s="930"/>
      <c r="Z22" s="930"/>
      <c r="AA22" s="926"/>
      <c r="AB22" s="926"/>
      <c r="AC22" s="928"/>
      <c r="AD22" s="928"/>
      <c r="AE22" s="928"/>
      <c r="AF22" s="928"/>
      <c r="AG22" s="928"/>
      <c r="AH22" s="928"/>
      <c r="AI22" s="928"/>
      <c r="AJ22" s="928"/>
      <c r="AK22" s="928"/>
      <c r="AL22" s="928"/>
      <c r="AM22" s="928"/>
      <c r="AN22" s="928"/>
      <c r="AO22" s="928"/>
      <c r="AP22" s="928"/>
      <c r="AQ22" s="928"/>
      <c r="AR22" s="928"/>
      <c r="AS22" s="928"/>
    </row>
    <row r="23" spans="1:45" ht="21.9" customHeight="1" thickBot="1">
      <c r="A23" s="2911"/>
      <c r="B23" s="2912"/>
      <c r="C23" s="2913"/>
      <c r="D23" s="2031"/>
      <c r="E23" s="2032"/>
      <c r="F23" s="2031"/>
      <c r="G23" s="2032"/>
      <c r="H23" s="1952"/>
      <c r="I23" s="1952"/>
      <c r="J23" s="2914"/>
      <c r="K23" s="2914"/>
      <c r="L23" s="2909"/>
      <c r="M23" s="2910"/>
      <c r="N23" s="937"/>
      <c r="O23" s="934"/>
      <c r="P23" s="934"/>
      <c r="Q23" s="934"/>
      <c r="R23" s="934"/>
      <c r="S23" s="934"/>
      <c r="T23" s="930"/>
      <c r="U23" s="930"/>
      <c r="V23" s="930"/>
      <c r="W23" s="930"/>
      <c r="X23" s="930"/>
      <c r="Y23" s="930"/>
      <c r="Z23" s="930"/>
      <c r="AA23" s="926"/>
      <c r="AB23" s="926"/>
      <c r="AC23" s="928"/>
      <c r="AD23" s="928"/>
      <c r="AE23" s="928"/>
      <c r="AF23" s="928"/>
      <c r="AG23" s="928"/>
      <c r="AH23" s="928"/>
      <c r="AI23" s="928"/>
      <c r="AJ23" s="928"/>
      <c r="AK23" s="928"/>
      <c r="AL23" s="928"/>
      <c r="AM23" s="928"/>
      <c r="AN23" s="928"/>
      <c r="AO23" s="928"/>
      <c r="AP23" s="928"/>
      <c r="AQ23" s="928"/>
      <c r="AR23" s="928"/>
      <c r="AS23" s="928"/>
    </row>
    <row r="24" spans="1:45" s="942" customFormat="1" ht="6" customHeight="1">
      <c r="A24" s="952"/>
      <c r="B24" s="953"/>
      <c r="C24" s="953"/>
      <c r="D24" s="953"/>
      <c r="E24" s="953"/>
      <c r="F24" s="953"/>
      <c r="G24" s="953"/>
      <c r="H24" s="954"/>
      <c r="I24" s="954"/>
      <c r="J24" s="955"/>
      <c r="K24" s="955"/>
      <c r="L24" s="955"/>
      <c r="M24" s="956"/>
      <c r="N24" s="939"/>
      <c r="O24" s="926"/>
      <c r="P24" s="926"/>
      <c r="Q24" s="926"/>
      <c r="R24" s="930"/>
      <c r="S24" s="926"/>
      <c r="T24" s="926"/>
      <c r="U24" s="926"/>
      <c r="V24" s="930"/>
      <c r="W24" s="926"/>
      <c r="X24" s="926"/>
      <c r="Y24" s="926"/>
      <c r="Z24" s="926"/>
      <c r="AA24" s="940"/>
      <c r="AB24" s="940"/>
      <c r="AC24" s="941"/>
      <c r="AD24" s="941"/>
      <c r="AE24" s="941"/>
      <c r="AF24" s="941"/>
      <c r="AG24" s="941"/>
      <c r="AH24" s="941"/>
      <c r="AI24" s="941"/>
      <c r="AJ24" s="941"/>
      <c r="AK24" s="941"/>
      <c r="AL24" s="941"/>
      <c r="AM24" s="941"/>
      <c r="AN24" s="941"/>
      <c r="AO24" s="941"/>
      <c r="AP24" s="941"/>
      <c r="AQ24" s="941"/>
      <c r="AR24" s="941"/>
      <c r="AS24" s="941"/>
    </row>
    <row r="25" spans="1:45" ht="21.9" customHeight="1" thickBot="1">
      <c r="A25" s="943" t="s">
        <v>1152</v>
      </c>
      <c r="B25" s="2915"/>
      <c r="C25" s="2916"/>
      <c r="D25" s="2916"/>
      <c r="E25" s="2916"/>
      <c r="F25" s="2916"/>
      <c r="G25" s="2916"/>
      <c r="H25" s="2916"/>
      <c r="I25" s="2916"/>
      <c r="J25" s="2916"/>
      <c r="K25" s="2916"/>
      <c r="L25" s="2916"/>
      <c r="M25" s="2917"/>
      <c r="N25" s="938"/>
      <c r="O25" s="926"/>
      <c r="P25" s="944"/>
      <c r="Q25" s="944"/>
      <c r="R25" s="944"/>
      <c r="S25" s="944"/>
      <c r="T25" s="944"/>
      <c r="U25" s="944"/>
      <c r="V25" s="944"/>
      <c r="W25" s="926"/>
      <c r="X25" s="944"/>
      <c r="Y25" s="944"/>
      <c r="Z25" s="944"/>
      <c r="AA25" s="926"/>
      <c r="AB25" s="926"/>
      <c r="AC25" s="928"/>
      <c r="AD25" s="928"/>
      <c r="AE25" s="928"/>
      <c r="AF25" s="928"/>
      <c r="AG25" s="928"/>
      <c r="AH25" s="928"/>
      <c r="AI25" s="928"/>
      <c r="AJ25" s="928"/>
      <c r="AK25" s="928"/>
      <c r="AL25" s="928"/>
      <c r="AM25" s="928"/>
      <c r="AN25" s="928"/>
      <c r="AO25" s="928"/>
      <c r="AP25" s="928"/>
      <c r="AQ25" s="928"/>
      <c r="AR25" s="928"/>
      <c r="AS25" s="928"/>
    </row>
    <row r="26" spans="1:45" s="917" customFormat="1" ht="14.1" customHeight="1">
      <c r="A26" s="945" t="s">
        <v>135</v>
      </c>
      <c r="B26" s="946"/>
      <c r="C26" s="947"/>
      <c r="D26" s="948"/>
      <c r="E26" s="948"/>
      <c r="F26" s="948"/>
      <c r="G26" s="948"/>
      <c r="H26" s="948"/>
      <c r="I26" s="948"/>
      <c r="J26" s="948"/>
      <c r="K26" s="948"/>
      <c r="L26" s="948"/>
      <c r="M26" s="949"/>
      <c r="N26" s="2521"/>
      <c r="O26" s="926"/>
      <c r="P26" s="926"/>
      <c r="Q26" s="926"/>
      <c r="R26" s="930"/>
      <c r="S26" s="926"/>
      <c r="T26" s="926"/>
      <c r="U26" s="926"/>
      <c r="V26" s="930"/>
      <c r="W26" s="926"/>
      <c r="X26" s="926"/>
      <c r="Y26" s="926"/>
      <c r="Z26" s="926"/>
      <c r="AA26" s="950"/>
      <c r="AB26" s="950"/>
    </row>
    <row r="27" spans="1:45" s="917" customFormat="1" ht="21.9" customHeight="1" thickBot="1">
      <c r="A27" s="2918"/>
      <c r="B27" s="2919"/>
      <c r="C27" s="2919"/>
      <c r="D27" s="920"/>
      <c r="E27" s="2920"/>
      <c r="F27" s="2920"/>
      <c r="G27" s="2920"/>
      <c r="H27" s="2920"/>
      <c r="I27" s="918"/>
      <c r="J27" s="2582"/>
      <c r="K27" s="918"/>
      <c r="L27" s="2921"/>
      <c r="M27" s="2922"/>
      <c r="N27" s="951"/>
      <c r="O27" s="930"/>
      <c r="P27" s="926"/>
      <c r="Q27" s="926"/>
      <c r="R27" s="930"/>
      <c r="S27" s="926"/>
      <c r="T27" s="926"/>
      <c r="U27" s="926"/>
      <c r="V27" s="930"/>
      <c r="W27" s="930"/>
      <c r="X27" s="926"/>
      <c r="Y27" s="926"/>
      <c r="Z27" s="926"/>
      <c r="AA27" s="950"/>
      <c r="AB27" s="950"/>
    </row>
    <row r="28" spans="1:45" s="917" customFormat="1" ht="14.1" customHeight="1" thickBot="1">
      <c r="A28" s="2923" t="s">
        <v>1385</v>
      </c>
      <c r="B28" s="2924"/>
      <c r="C28" s="2924"/>
      <c r="D28" s="2584"/>
      <c r="E28" s="2924" t="s">
        <v>137</v>
      </c>
      <c r="F28" s="2924"/>
      <c r="G28" s="2924"/>
      <c r="H28" s="2925"/>
      <c r="I28" s="922"/>
      <c r="J28" s="2583" t="s">
        <v>138</v>
      </c>
      <c r="K28" s="922"/>
      <c r="L28" s="2926" t="s">
        <v>139</v>
      </c>
      <c r="M28" s="2927"/>
      <c r="N28" s="950"/>
      <c r="O28" s="930"/>
      <c r="P28" s="926"/>
      <c r="Q28" s="926"/>
      <c r="R28" s="930"/>
      <c r="S28" s="926"/>
      <c r="T28" s="926"/>
      <c r="U28" s="926"/>
      <c r="V28" s="930"/>
      <c r="W28" s="926"/>
      <c r="X28" s="926"/>
      <c r="Y28" s="926"/>
      <c r="Z28" s="926"/>
      <c r="AA28" s="950"/>
      <c r="AB28" s="950"/>
    </row>
    <row r="29" spans="1:45">
      <c r="K29" s="957"/>
      <c r="L29" s="928"/>
      <c r="M29" s="928"/>
      <c r="N29" s="960"/>
      <c r="O29" s="960"/>
      <c r="P29" s="960"/>
      <c r="Q29" s="960"/>
      <c r="R29" s="960"/>
      <c r="S29" s="960"/>
      <c r="T29" s="960"/>
      <c r="U29" s="960"/>
      <c r="V29" s="960"/>
      <c r="W29" s="960"/>
      <c r="X29" s="960"/>
      <c r="Y29" s="960"/>
      <c r="Z29" s="960"/>
      <c r="AA29" s="960"/>
      <c r="AB29" s="928"/>
      <c r="AC29" s="928"/>
      <c r="AD29" s="928"/>
      <c r="AE29" s="928"/>
      <c r="AF29" s="928"/>
      <c r="AG29" s="928"/>
      <c r="AH29" s="928"/>
      <c r="AI29" s="928"/>
      <c r="AJ29" s="928"/>
      <c r="AK29" s="928"/>
      <c r="AL29" s="928"/>
      <c r="AM29" s="928"/>
      <c r="AN29" s="928"/>
      <c r="AO29" s="928"/>
      <c r="AP29" s="928"/>
      <c r="AQ29" s="928"/>
      <c r="AR29" s="928"/>
      <c r="AS29" s="928"/>
    </row>
    <row r="30" spans="1:45">
      <c r="K30" s="957"/>
      <c r="L30" s="928"/>
      <c r="M30" s="928"/>
      <c r="N30" s="960"/>
      <c r="O30" s="960"/>
      <c r="P30" s="960"/>
      <c r="Q30" s="960"/>
      <c r="R30" s="960"/>
      <c r="S30" s="960"/>
      <c r="T30" s="960"/>
      <c r="U30" s="960"/>
      <c r="V30" s="960"/>
      <c r="W30" s="960"/>
      <c r="X30" s="960"/>
      <c r="Y30" s="960"/>
      <c r="Z30" s="960"/>
      <c r="AA30" s="960"/>
      <c r="AB30" s="928"/>
      <c r="AC30" s="928"/>
      <c r="AD30" s="928"/>
      <c r="AE30" s="928"/>
      <c r="AF30" s="928"/>
      <c r="AG30" s="928"/>
      <c r="AH30" s="928"/>
      <c r="AI30" s="928"/>
      <c r="AJ30" s="928"/>
      <c r="AK30" s="928"/>
      <c r="AL30" s="928"/>
      <c r="AM30" s="928"/>
      <c r="AN30" s="928"/>
      <c r="AO30" s="928"/>
      <c r="AP30" s="928"/>
      <c r="AQ30" s="928"/>
      <c r="AR30" s="928"/>
      <c r="AS30" s="928"/>
    </row>
    <row r="31" spans="1:45">
      <c r="K31" s="957"/>
      <c r="L31" s="928"/>
      <c r="M31" s="928"/>
      <c r="N31" s="960"/>
      <c r="O31" s="960"/>
      <c r="P31" s="960"/>
      <c r="Q31" s="960"/>
      <c r="R31" s="960"/>
      <c r="S31" s="960"/>
      <c r="T31" s="960"/>
      <c r="U31" s="960"/>
      <c r="V31" s="960"/>
      <c r="W31" s="960"/>
      <c r="X31" s="960"/>
      <c r="Y31" s="960"/>
      <c r="Z31" s="960"/>
      <c r="AA31" s="960"/>
      <c r="AB31" s="928"/>
      <c r="AC31" s="928"/>
      <c r="AD31" s="928"/>
      <c r="AE31" s="928"/>
      <c r="AF31" s="928"/>
      <c r="AG31" s="928"/>
      <c r="AH31" s="928"/>
      <c r="AI31" s="928"/>
      <c r="AJ31" s="928"/>
      <c r="AK31" s="928"/>
      <c r="AL31" s="928"/>
      <c r="AM31" s="928"/>
      <c r="AN31" s="928"/>
      <c r="AO31" s="928"/>
      <c r="AP31" s="928"/>
      <c r="AQ31" s="928"/>
      <c r="AR31" s="928"/>
      <c r="AS31" s="928"/>
    </row>
    <row r="32" spans="1:45">
      <c r="K32" s="957"/>
      <c r="L32" s="928"/>
      <c r="M32" s="928"/>
      <c r="N32" s="960"/>
      <c r="O32" s="960"/>
      <c r="P32" s="960"/>
      <c r="Q32" s="960"/>
      <c r="R32" s="960"/>
      <c r="S32" s="960"/>
      <c r="T32" s="960"/>
      <c r="U32" s="960"/>
      <c r="V32" s="960"/>
      <c r="W32" s="960"/>
      <c r="X32" s="960"/>
      <c r="Y32" s="960"/>
      <c r="Z32" s="960"/>
      <c r="AA32" s="960"/>
      <c r="AB32" s="928"/>
      <c r="AC32" s="928"/>
      <c r="AD32" s="928"/>
      <c r="AE32" s="928"/>
      <c r="AF32" s="928"/>
      <c r="AG32" s="928"/>
      <c r="AH32" s="928"/>
      <c r="AI32" s="928"/>
      <c r="AJ32" s="928"/>
      <c r="AK32" s="928"/>
      <c r="AL32" s="928"/>
      <c r="AM32" s="928"/>
      <c r="AN32" s="928"/>
      <c r="AO32" s="928"/>
      <c r="AP32" s="928"/>
      <c r="AQ32" s="928"/>
      <c r="AR32" s="928"/>
      <c r="AS32" s="928"/>
    </row>
    <row r="33" spans="11:45">
      <c r="K33" s="957"/>
      <c r="L33" s="928"/>
      <c r="M33" s="928"/>
      <c r="N33" s="960"/>
      <c r="O33" s="960"/>
      <c r="P33" s="960"/>
      <c r="Q33" s="960"/>
      <c r="R33" s="960"/>
      <c r="S33" s="960"/>
      <c r="T33" s="960"/>
      <c r="U33" s="960"/>
      <c r="V33" s="960"/>
      <c r="W33" s="960"/>
      <c r="X33" s="960"/>
      <c r="Y33" s="960"/>
      <c r="Z33" s="960"/>
      <c r="AA33" s="960"/>
      <c r="AB33" s="928"/>
      <c r="AC33" s="928"/>
      <c r="AD33" s="928"/>
      <c r="AE33" s="928"/>
      <c r="AF33" s="928"/>
      <c r="AG33" s="928"/>
      <c r="AH33" s="928"/>
      <c r="AI33" s="928"/>
      <c r="AJ33" s="928"/>
      <c r="AK33" s="928"/>
      <c r="AL33" s="928"/>
      <c r="AM33" s="928"/>
      <c r="AN33" s="928"/>
      <c r="AO33" s="928"/>
      <c r="AP33" s="928"/>
      <c r="AQ33" s="928"/>
      <c r="AR33" s="928"/>
      <c r="AS33" s="928"/>
    </row>
    <row r="34" spans="11:45">
      <c r="K34" s="957"/>
      <c r="L34" s="928"/>
      <c r="M34" s="928"/>
      <c r="N34" s="960"/>
      <c r="O34" s="960"/>
      <c r="P34" s="960"/>
      <c r="Q34" s="960"/>
      <c r="R34" s="960"/>
      <c r="S34" s="960"/>
      <c r="T34" s="960"/>
      <c r="U34" s="960"/>
      <c r="V34" s="960"/>
      <c r="W34" s="960"/>
      <c r="X34" s="960"/>
      <c r="Y34" s="960"/>
      <c r="Z34" s="960"/>
      <c r="AA34" s="960"/>
      <c r="AB34" s="928"/>
      <c r="AC34" s="928"/>
      <c r="AD34" s="928"/>
      <c r="AE34" s="928"/>
      <c r="AF34" s="928"/>
      <c r="AG34" s="928"/>
      <c r="AH34" s="928"/>
      <c r="AI34" s="928"/>
      <c r="AJ34" s="928"/>
      <c r="AK34" s="928"/>
      <c r="AL34" s="928"/>
      <c r="AM34" s="928"/>
      <c r="AN34" s="928"/>
      <c r="AO34" s="928"/>
      <c r="AP34" s="928"/>
      <c r="AQ34" s="928"/>
      <c r="AR34" s="928"/>
      <c r="AS34" s="928"/>
    </row>
    <row r="35" spans="11:45">
      <c r="K35" s="957"/>
      <c r="L35" s="928"/>
      <c r="M35" s="928"/>
      <c r="N35" s="960"/>
      <c r="O35" s="960"/>
      <c r="P35" s="960"/>
      <c r="Q35" s="960"/>
      <c r="R35" s="960"/>
      <c r="S35" s="960"/>
      <c r="T35" s="960"/>
      <c r="U35" s="960"/>
      <c r="V35" s="960"/>
      <c r="W35" s="960"/>
      <c r="X35" s="960"/>
      <c r="Y35" s="960"/>
      <c r="Z35" s="960"/>
      <c r="AA35" s="960"/>
      <c r="AB35" s="928"/>
      <c r="AC35" s="928"/>
      <c r="AD35" s="928"/>
      <c r="AE35" s="928"/>
      <c r="AF35" s="928"/>
      <c r="AG35" s="928"/>
      <c r="AH35" s="928"/>
      <c r="AI35" s="928"/>
      <c r="AJ35" s="928"/>
      <c r="AK35" s="928"/>
      <c r="AL35" s="928"/>
      <c r="AM35" s="928"/>
      <c r="AN35" s="928"/>
      <c r="AO35" s="928"/>
      <c r="AP35" s="928"/>
      <c r="AQ35" s="928"/>
      <c r="AR35" s="928"/>
      <c r="AS35" s="928"/>
    </row>
    <row r="36" spans="11:45">
      <c r="K36" s="957"/>
      <c r="L36" s="928"/>
      <c r="M36" s="928"/>
      <c r="N36" s="960"/>
      <c r="O36" s="960"/>
      <c r="P36" s="960"/>
      <c r="Q36" s="960"/>
      <c r="R36" s="960"/>
      <c r="S36" s="960"/>
      <c r="T36" s="960"/>
      <c r="U36" s="960"/>
      <c r="V36" s="960"/>
      <c r="W36" s="960"/>
      <c r="X36" s="960"/>
      <c r="Y36" s="960"/>
      <c r="Z36" s="960"/>
      <c r="AA36" s="960"/>
      <c r="AB36" s="928"/>
      <c r="AC36" s="928"/>
      <c r="AD36" s="928"/>
      <c r="AE36" s="928"/>
      <c r="AF36" s="928"/>
      <c r="AG36" s="928"/>
      <c r="AH36" s="928"/>
      <c r="AI36" s="928"/>
      <c r="AJ36" s="928"/>
      <c r="AK36" s="928"/>
      <c r="AL36" s="928"/>
      <c r="AM36" s="928"/>
      <c r="AN36" s="928"/>
      <c r="AO36" s="928"/>
      <c r="AP36" s="928"/>
      <c r="AQ36" s="928"/>
      <c r="AR36" s="928"/>
      <c r="AS36" s="928"/>
    </row>
    <row r="37" spans="11:45">
      <c r="K37" s="957"/>
      <c r="L37" s="928"/>
      <c r="M37" s="928"/>
      <c r="N37" s="960"/>
      <c r="O37" s="960"/>
      <c r="P37" s="960"/>
      <c r="Q37" s="960"/>
      <c r="R37" s="960"/>
      <c r="S37" s="960"/>
      <c r="T37" s="960"/>
      <c r="U37" s="960"/>
      <c r="V37" s="960"/>
      <c r="W37" s="960"/>
      <c r="X37" s="960"/>
      <c r="Y37" s="960"/>
      <c r="Z37" s="960"/>
      <c r="AA37" s="960"/>
      <c r="AB37" s="928"/>
      <c r="AC37" s="928"/>
      <c r="AD37" s="928"/>
      <c r="AE37" s="928"/>
      <c r="AF37" s="928"/>
      <c r="AG37" s="928"/>
      <c r="AH37" s="928"/>
      <c r="AI37" s="928"/>
      <c r="AJ37" s="928"/>
      <c r="AK37" s="928"/>
      <c r="AL37" s="928"/>
      <c r="AM37" s="928"/>
      <c r="AN37" s="928"/>
      <c r="AO37" s="928"/>
      <c r="AP37" s="928"/>
      <c r="AQ37" s="928"/>
      <c r="AR37" s="928"/>
      <c r="AS37" s="928"/>
    </row>
    <row r="38" spans="11:45">
      <c r="K38" s="957"/>
      <c r="L38" s="928"/>
      <c r="M38" s="928"/>
      <c r="N38" s="960"/>
      <c r="O38" s="960"/>
      <c r="P38" s="960"/>
      <c r="Q38" s="960"/>
      <c r="R38" s="960"/>
      <c r="S38" s="960"/>
      <c r="T38" s="960"/>
      <c r="U38" s="960"/>
      <c r="V38" s="960"/>
      <c r="W38" s="960"/>
      <c r="X38" s="960"/>
      <c r="Y38" s="960"/>
      <c r="Z38" s="960"/>
      <c r="AA38" s="960"/>
      <c r="AB38" s="928"/>
      <c r="AC38" s="928"/>
      <c r="AD38" s="928"/>
      <c r="AE38" s="928"/>
      <c r="AF38" s="928"/>
      <c r="AG38" s="928"/>
      <c r="AH38" s="928"/>
      <c r="AI38" s="928"/>
      <c r="AJ38" s="928"/>
      <c r="AK38" s="928"/>
      <c r="AL38" s="928"/>
      <c r="AM38" s="928"/>
      <c r="AN38" s="928"/>
      <c r="AO38" s="928"/>
      <c r="AP38" s="928"/>
      <c r="AQ38" s="928"/>
      <c r="AR38" s="928"/>
      <c r="AS38" s="928"/>
    </row>
    <row r="39" spans="11:45">
      <c r="K39" s="957"/>
      <c r="L39" s="928"/>
      <c r="M39" s="928"/>
      <c r="N39" s="960"/>
      <c r="O39" s="960"/>
      <c r="P39" s="960"/>
      <c r="Q39" s="960"/>
      <c r="R39" s="960"/>
      <c r="S39" s="960"/>
      <c r="T39" s="960"/>
      <c r="U39" s="960"/>
      <c r="V39" s="960"/>
      <c r="W39" s="960"/>
      <c r="X39" s="960"/>
      <c r="Y39" s="960"/>
      <c r="Z39" s="960"/>
      <c r="AA39" s="960"/>
      <c r="AB39" s="928"/>
      <c r="AC39" s="928"/>
      <c r="AD39" s="928"/>
      <c r="AE39" s="928"/>
      <c r="AF39" s="928"/>
      <c r="AG39" s="928"/>
      <c r="AH39" s="928"/>
      <c r="AI39" s="928"/>
      <c r="AJ39" s="928"/>
      <c r="AK39" s="928"/>
      <c r="AL39" s="928"/>
      <c r="AM39" s="928"/>
      <c r="AN39" s="928"/>
      <c r="AO39" s="928"/>
      <c r="AP39" s="928"/>
      <c r="AQ39" s="928"/>
      <c r="AR39" s="928"/>
      <c r="AS39" s="928"/>
    </row>
    <row r="40" spans="11:45">
      <c r="K40" s="957"/>
      <c r="L40" s="928"/>
      <c r="M40" s="928"/>
      <c r="N40" s="960"/>
      <c r="O40" s="960"/>
      <c r="P40" s="960"/>
      <c r="Q40" s="960"/>
      <c r="R40" s="960"/>
      <c r="S40" s="960"/>
      <c r="T40" s="960"/>
      <c r="U40" s="960"/>
      <c r="V40" s="960"/>
      <c r="W40" s="960"/>
      <c r="X40" s="960"/>
      <c r="Y40" s="960"/>
      <c r="Z40" s="960"/>
      <c r="AA40" s="960"/>
      <c r="AB40" s="928"/>
      <c r="AC40" s="928"/>
      <c r="AD40" s="928"/>
      <c r="AE40" s="928"/>
      <c r="AF40" s="928"/>
      <c r="AG40" s="928"/>
      <c r="AH40" s="928"/>
      <c r="AI40" s="928"/>
      <c r="AJ40" s="928"/>
      <c r="AK40" s="928"/>
      <c r="AL40" s="928"/>
      <c r="AM40" s="928"/>
      <c r="AN40" s="928"/>
      <c r="AO40" s="928"/>
      <c r="AP40" s="928"/>
      <c r="AQ40" s="928"/>
      <c r="AR40" s="928"/>
      <c r="AS40" s="928"/>
    </row>
    <row r="41" spans="11:45">
      <c r="K41" s="957"/>
      <c r="L41" s="928"/>
      <c r="M41" s="928"/>
      <c r="N41" s="960"/>
      <c r="O41" s="960"/>
      <c r="P41" s="960"/>
      <c r="Q41" s="960"/>
      <c r="R41" s="960"/>
      <c r="S41" s="960"/>
      <c r="T41" s="960"/>
      <c r="U41" s="960"/>
      <c r="V41" s="960"/>
      <c r="W41" s="960"/>
      <c r="X41" s="960"/>
      <c r="Y41" s="960"/>
      <c r="Z41" s="960"/>
      <c r="AA41" s="960"/>
      <c r="AB41" s="928"/>
      <c r="AC41" s="928"/>
      <c r="AD41" s="928"/>
      <c r="AE41" s="928"/>
      <c r="AF41" s="928"/>
      <c r="AG41" s="928"/>
      <c r="AH41" s="928"/>
      <c r="AI41" s="928"/>
      <c r="AJ41" s="928"/>
      <c r="AK41" s="928"/>
      <c r="AL41" s="928"/>
      <c r="AM41" s="928"/>
      <c r="AN41" s="928"/>
      <c r="AO41" s="928"/>
      <c r="AP41" s="928"/>
      <c r="AQ41" s="928"/>
      <c r="AR41" s="928"/>
      <c r="AS41" s="928"/>
    </row>
    <row r="42" spans="11:45">
      <c r="K42" s="957"/>
      <c r="L42" s="928"/>
      <c r="M42" s="928"/>
      <c r="N42" s="960"/>
      <c r="O42" s="960"/>
      <c r="P42" s="960"/>
      <c r="Q42" s="960"/>
      <c r="R42" s="960"/>
      <c r="S42" s="960"/>
      <c r="T42" s="960"/>
      <c r="U42" s="960"/>
      <c r="V42" s="960"/>
      <c r="W42" s="960"/>
      <c r="X42" s="960"/>
      <c r="Y42" s="960"/>
      <c r="Z42" s="960"/>
      <c r="AA42" s="960"/>
      <c r="AB42" s="928"/>
      <c r="AC42" s="928"/>
      <c r="AD42" s="928"/>
      <c r="AE42" s="928"/>
      <c r="AF42" s="928"/>
      <c r="AG42" s="928"/>
      <c r="AH42" s="928"/>
      <c r="AI42" s="928"/>
      <c r="AJ42" s="928"/>
      <c r="AK42" s="928"/>
      <c r="AL42" s="928"/>
      <c r="AM42" s="928"/>
      <c r="AN42" s="928"/>
      <c r="AO42" s="928"/>
      <c r="AP42" s="928"/>
      <c r="AQ42" s="928"/>
      <c r="AR42" s="928"/>
      <c r="AS42" s="928"/>
    </row>
    <row r="43" spans="11:45">
      <c r="K43" s="957"/>
      <c r="L43" s="928"/>
      <c r="M43" s="928"/>
      <c r="N43" s="960"/>
      <c r="O43" s="960"/>
      <c r="P43" s="960"/>
      <c r="Q43" s="960"/>
      <c r="R43" s="960"/>
      <c r="S43" s="960"/>
      <c r="T43" s="960"/>
      <c r="U43" s="960"/>
      <c r="V43" s="960"/>
      <c r="W43" s="960"/>
      <c r="X43" s="960"/>
      <c r="Y43" s="960"/>
      <c r="Z43" s="960"/>
      <c r="AA43" s="960"/>
      <c r="AB43" s="928"/>
      <c r="AC43" s="928"/>
      <c r="AD43" s="928"/>
      <c r="AE43" s="928"/>
      <c r="AF43" s="928"/>
      <c r="AG43" s="928"/>
      <c r="AH43" s="928"/>
      <c r="AI43" s="928"/>
      <c r="AJ43" s="928"/>
      <c r="AK43" s="928"/>
      <c r="AL43" s="928"/>
      <c r="AM43" s="928"/>
      <c r="AN43" s="928"/>
      <c r="AO43" s="928"/>
      <c r="AP43" s="928"/>
      <c r="AQ43" s="928"/>
      <c r="AR43" s="928"/>
      <c r="AS43" s="928"/>
    </row>
    <row r="44" spans="11:45">
      <c r="K44" s="957"/>
      <c r="L44" s="928"/>
      <c r="M44" s="928"/>
      <c r="N44" s="960"/>
      <c r="O44" s="960"/>
      <c r="P44" s="960"/>
      <c r="Q44" s="960"/>
      <c r="R44" s="960"/>
      <c r="S44" s="960"/>
      <c r="T44" s="960"/>
      <c r="U44" s="960"/>
      <c r="V44" s="960"/>
      <c r="W44" s="960"/>
      <c r="X44" s="960"/>
      <c r="Y44" s="960"/>
      <c r="Z44" s="960"/>
      <c r="AA44" s="960"/>
      <c r="AB44" s="928"/>
      <c r="AC44" s="928"/>
      <c r="AD44" s="928"/>
      <c r="AE44" s="928"/>
      <c r="AF44" s="928"/>
      <c r="AG44" s="928"/>
      <c r="AH44" s="928"/>
      <c r="AI44" s="928"/>
      <c r="AJ44" s="928"/>
      <c r="AK44" s="928"/>
      <c r="AL44" s="928"/>
      <c r="AM44" s="928"/>
      <c r="AN44" s="928"/>
      <c r="AO44" s="928"/>
      <c r="AP44" s="928"/>
      <c r="AQ44" s="928"/>
      <c r="AR44" s="928"/>
      <c r="AS44" s="928"/>
    </row>
    <row r="45" spans="11:45">
      <c r="K45" s="957"/>
      <c r="L45" s="928"/>
      <c r="M45" s="928"/>
      <c r="N45" s="960"/>
      <c r="O45" s="960"/>
      <c r="P45" s="960"/>
      <c r="Q45" s="960"/>
      <c r="R45" s="960"/>
      <c r="S45" s="960"/>
      <c r="T45" s="960"/>
      <c r="U45" s="960"/>
      <c r="V45" s="960"/>
      <c r="W45" s="960"/>
      <c r="X45" s="960"/>
      <c r="Y45" s="960"/>
      <c r="Z45" s="960"/>
      <c r="AA45" s="960"/>
      <c r="AB45" s="928"/>
      <c r="AC45" s="928"/>
      <c r="AD45" s="928"/>
      <c r="AE45" s="928"/>
      <c r="AF45" s="928"/>
      <c r="AG45" s="928"/>
      <c r="AH45" s="928"/>
      <c r="AI45" s="928"/>
      <c r="AJ45" s="928"/>
      <c r="AK45" s="928"/>
      <c r="AL45" s="928"/>
      <c r="AM45" s="928"/>
      <c r="AN45" s="928"/>
      <c r="AO45" s="928"/>
      <c r="AP45" s="928"/>
      <c r="AQ45" s="928"/>
      <c r="AR45" s="928"/>
      <c r="AS45" s="928"/>
    </row>
    <row r="46" spans="11:45">
      <c r="K46" s="957"/>
      <c r="L46" s="928"/>
      <c r="M46" s="928"/>
      <c r="N46" s="960"/>
      <c r="O46" s="960"/>
      <c r="P46" s="960"/>
      <c r="Q46" s="960"/>
      <c r="R46" s="960"/>
      <c r="S46" s="960"/>
      <c r="T46" s="960"/>
      <c r="U46" s="960"/>
      <c r="V46" s="960"/>
      <c r="W46" s="960"/>
      <c r="X46" s="960"/>
      <c r="Y46" s="960"/>
      <c r="Z46" s="960"/>
      <c r="AA46" s="960"/>
      <c r="AB46" s="928"/>
      <c r="AC46" s="928"/>
      <c r="AD46" s="928"/>
      <c r="AE46" s="928"/>
      <c r="AF46" s="928"/>
      <c r="AG46" s="928"/>
      <c r="AH46" s="928"/>
      <c r="AI46" s="928"/>
      <c r="AJ46" s="928"/>
      <c r="AK46" s="928"/>
      <c r="AL46" s="928"/>
      <c r="AM46" s="928"/>
      <c r="AN46" s="928"/>
      <c r="AO46" s="928"/>
      <c r="AP46" s="928"/>
      <c r="AQ46" s="928"/>
      <c r="AR46" s="928"/>
      <c r="AS46" s="928"/>
    </row>
    <row r="47" spans="11:45">
      <c r="K47" s="957"/>
      <c r="L47" s="928"/>
      <c r="M47" s="928"/>
      <c r="N47" s="960"/>
      <c r="O47" s="960"/>
      <c r="P47" s="960"/>
      <c r="Q47" s="960"/>
      <c r="R47" s="960"/>
      <c r="S47" s="960"/>
      <c r="T47" s="960"/>
      <c r="U47" s="960"/>
      <c r="V47" s="960"/>
      <c r="W47" s="960"/>
      <c r="X47" s="960"/>
      <c r="Y47" s="960"/>
      <c r="Z47" s="960"/>
      <c r="AA47" s="960"/>
      <c r="AB47" s="928"/>
      <c r="AC47" s="928"/>
      <c r="AD47" s="928"/>
      <c r="AE47" s="928"/>
      <c r="AF47" s="928"/>
      <c r="AG47" s="928"/>
      <c r="AH47" s="928"/>
      <c r="AI47" s="928"/>
      <c r="AJ47" s="928"/>
      <c r="AK47" s="928"/>
      <c r="AL47" s="928"/>
      <c r="AM47" s="928"/>
      <c r="AN47" s="928"/>
      <c r="AO47" s="928"/>
      <c r="AP47" s="928"/>
      <c r="AQ47" s="928"/>
      <c r="AR47" s="928"/>
      <c r="AS47" s="928"/>
    </row>
    <row r="48" spans="11:45">
      <c r="K48" s="957"/>
      <c r="L48" s="928"/>
      <c r="M48" s="928"/>
      <c r="N48" s="960"/>
      <c r="O48" s="960"/>
      <c r="P48" s="960"/>
      <c r="Q48" s="960"/>
      <c r="R48" s="960"/>
      <c r="S48" s="960"/>
      <c r="T48" s="960"/>
      <c r="U48" s="960"/>
      <c r="V48" s="960"/>
      <c r="W48" s="960"/>
      <c r="X48" s="960"/>
      <c r="Y48" s="960"/>
      <c r="Z48" s="960"/>
      <c r="AA48" s="960"/>
      <c r="AB48" s="928"/>
      <c r="AC48" s="928"/>
      <c r="AD48" s="928"/>
      <c r="AE48" s="928"/>
      <c r="AF48" s="928"/>
      <c r="AG48" s="928"/>
      <c r="AH48" s="928"/>
      <c r="AI48" s="928"/>
      <c r="AJ48" s="928"/>
      <c r="AK48" s="928"/>
      <c r="AL48" s="928"/>
      <c r="AM48" s="928"/>
      <c r="AN48" s="928"/>
      <c r="AO48" s="928"/>
      <c r="AP48" s="928"/>
      <c r="AQ48" s="928"/>
      <c r="AR48" s="928"/>
      <c r="AS48" s="928"/>
    </row>
    <row r="49" spans="11:45">
      <c r="K49" s="957"/>
      <c r="L49" s="928"/>
      <c r="M49" s="928"/>
      <c r="N49" s="960"/>
      <c r="O49" s="960"/>
      <c r="P49" s="960"/>
      <c r="Q49" s="960"/>
      <c r="R49" s="960"/>
      <c r="S49" s="960"/>
      <c r="T49" s="960"/>
      <c r="U49" s="960"/>
      <c r="V49" s="960"/>
      <c r="W49" s="960"/>
      <c r="X49" s="960"/>
      <c r="Y49" s="960"/>
      <c r="Z49" s="960"/>
      <c r="AA49" s="960"/>
      <c r="AB49" s="928"/>
      <c r="AC49" s="928"/>
      <c r="AD49" s="928"/>
      <c r="AE49" s="928"/>
      <c r="AF49" s="928"/>
      <c r="AG49" s="928"/>
      <c r="AH49" s="928"/>
      <c r="AI49" s="928"/>
      <c r="AJ49" s="928"/>
      <c r="AK49" s="928"/>
      <c r="AL49" s="928"/>
      <c r="AM49" s="928"/>
      <c r="AN49" s="928"/>
      <c r="AO49" s="928"/>
      <c r="AP49" s="928"/>
      <c r="AQ49" s="928"/>
      <c r="AR49" s="928"/>
      <c r="AS49" s="928"/>
    </row>
    <row r="50" spans="11:45">
      <c r="K50" s="957"/>
      <c r="L50" s="928"/>
      <c r="M50" s="928"/>
      <c r="N50" s="960"/>
      <c r="O50" s="960"/>
      <c r="P50" s="960"/>
      <c r="Q50" s="960"/>
      <c r="R50" s="960"/>
      <c r="S50" s="960"/>
      <c r="T50" s="960"/>
      <c r="U50" s="960"/>
      <c r="V50" s="960"/>
      <c r="W50" s="960"/>
      <c r="X50" s="960"/>
      <c r="Y50" s="960"/>
      <c r="Z50" s="960"/>
      <c r="AA50" s="960"/>
      <c r="AB50" s="928"/>
      <c r="AC50" s="928"/>
      <c r="AD50" s="928"/>
      <c r="AE50" s="928"/>
      <c r="AF50" s="928"/>
      <c r="AG50" s="928"/>
      <c r="AH50" s="928"/>
      <c r="AI50" s="928"/>
      <c r="AJ50" s="928"/>
      <c r="AK50" s="928"/>
      <c r="AL50" s="928"/>
      <c r="AM50" s="928"/>
      <c r="AN50" s="928"/>
      <c r="AO50" s="928"/>
      <c r="AP50" s="928"/>
      <c r="AQ50" s="928"/>
      <c r="AR50" s="928"/>
      <c r="AS50" s="928"/>
    </row>
    <row r="51" spans="11:45">
      <c r="K51" s="957"/>
      <c r="L51" s="928"/>
      <c r="M51" s="928"/>
      <c r="N51" s="960"/>
      <c r="O51" s="960"/>
      <c r="P51" s="960"/>
      <c r="Q51" s="960"/>
      <c r="R51" s="960"/>
      <c r="S51" s="960"/>
      <c r="T51" s="960"/>
      <c r="U51" s="960"/>
      <c r="V51" s="960"/>
      <c r="W51" s="960"/>
      <c r="X51" s="960"/>
      <c r="Y51" s="960"/>
      <c r="Z51" s="960"/>
      <c r="AA51" s="960"/>
      <c r="AB51" s="928"/>
      <c r="AC51" s="928"/>
      <c r="AD51" s="928"/>
      <c r="AE51" s="928"/>
      <c r="AF51" s="928"/>
      <c r="AG51" s="928"/>
      <c r="AH51" s="928"/>
      <c r="AI51" s="928"/>
      <c r="AJ51" s="928"/>
      <c r="AK51" s="928"/>
      <c r="AL51" s="928"/>
      <c r="AM51" s="928"/>
      <c r="AN51" s="928"/>
      <c r="AO51" s="928"/>
      <c r="AP51" s="928"/>
      <c r="AQ51" s="928"/>
      <c r="AR51" s="928"/>
      <c r="AS51" s="928"/>
    </row>
    <row r="52" spans="11:45">
      <c r="K52" s="957"/>
      <c r="L52" s="928"/>
      <c r="M52" s="928"/>
      <c r="N52" s="960"/>
      <c r="O52" s="960"/>
      <c r="P52" s="960"/>
      <c r="Q52" s="960"/>
      <c r="R52" s="960"/>
      <c r="S52" s="960"/>
      <c r="T52" s="960"/>
      <c r="U52" s="960"/>
      <c r="V52" s="960"/>
      <c r="W52" s="960"/>
      <c r="X52" s="960"/>
      <c r="Y52" s="960"/>
      <c r="Z52" s="960"/>
      <c r="AA52" s="960"/>
      <c r="AB52" s="928"/>
      <c r="AC52" s="928"/>
      <c r="AD52" s="928"/>
      <c r="AE52" s="928"/>
      <c r="AF52" s="928"/>
      <c r="AG52" s="928"/>
      <c r="AH52" s="928"/>
      <c r="AI52" s="928"/>
      <c r="AJ52" s="928"/>
      <c r="AK52" s="928"/>
      <c r="AL52" s="928"/>
      <c r="AM52" s="928"/>
      <c r="AN52" s="928"/>
      <c r="AO52" s="928"/>
      <c r="AP52" s="928"/>
      <c r="AQ52" s="928"/>
      <c r="AR52" s="928"/>
      <c r="AS52" s="928"/>
    </row>
    <row r="53" spans="11:45">
      <c r="K53" s="957"/>
      <c r="L53" s="928"/>
      <c r="M53" s="928"/>
      <c r="N53" s="960"/>
      <c r="O53" s="960"/>
      <c r="P53" s="960"/>
      <c r="Q53" s="960"/>
      <c r="R53" s="960"/>
      <c r="S53" s="960"/>
      <c r="T53" s="960"/>
      <c r="U53" s="960"/>
      <c r="V53" s="960"/>
      <c r="W53" s="960"/>
      <c r="X53" s="960"/>
      <c r="Y53" s="960"/>
      <c r="Z53" s="960"/>
      <c r="AA53" s="960"/>
      <c r="AB53" s="928"/>
      <c r="AC53" s="928"/>
      <c r="AD53" s="928"/>
      <c r="AE53" s="928"/>
      <c r="AF53" s="928"/>
      <c r="AG53" s="928"/>
      <c r="AH53" s="928"/>
      <c r="AI53" s="928"/>
      <c r="AJ53" s="928"/>
      <c r="AK53" s="928"/>
      <c r="AL53" s="928"/>
      <c r="AM53" s="928"/>
      <c r="AN53" s="928"/>
      <c r="AO53" s="928"/>
      <c r="AP53" s="928"/>
      <c r="AQ53" s="928"/>
      <c r="AR53" s="928"/>
      <c r="AS53" s="928"/>
    </row>
    <row r="54" spans="11:45">
      <c r="K54" s="957"/>
      <c r="L54" s="928"/>
      <c r="M54" s="928"/>
      <c r="N54" s="960"/>
      <c r="O54" s="960"/>
      <c r="P54" s="960"/>
      <c r="Q54" s="960"/>
      <c r="R54" s="960"/>
      <c r="S54" s="960"/>
      <c r="T54" s="960"/>
      <c r="U54" s="960"/>
      <c r="V54" s="960"/>
      <c r="W54" s="960"/>
      <c r="X54" s="960"/>
      <c r="Y54" s="960"/>
      <c r="Z54" s="960"/>
      <c r="AA54" s="960"/>
      <c r="AB54" s="928"/>
      <c r="AC54" s="928"/>
      <c r="AD54" s="928"/>
      <c r="AE54" s="928"/>
      <c r="AF54" s="928"/>
      <c r="AG54" s="928"/>
      <c r="AH54" s="928"/>
      <c r="AI54" s="928"/>
      <c r="AJ54" s="928"/>
      <c r="AK54" s="928"/>
      <c r="AL54" s="928"/>
      <c r="AM54" s="928"/>
      <c r="AN54" s="928"/>
      <c r="AO54" s="928"/>
      <c r="AP54" s="928"/>
      <c r="AQ54" s="928"/>
      <c r="AR54" s="928"/>
      <c r="AS54" s="928"/>
    </row>
    <row r="55" spans="11:45">
      <c r="K55" s="957"/>
      <c r="L55" s="928"/>
      <c r="M55" s="928"/>
      <c r="N55" s="960"/>
      <c r="O55" s="960"/>
      <c r="P55" s="960"/>
      <c r="Q55" s="960"/>
      <c r="R55" s="960"/>
      <c r="S55" s="960"/>
      <c r="T55" s="960"/>
      <c r="U55" s="960"/>
      <c r="V55" s="960"/>
      <c r="W55" s="960"/>
      <c r="X55" s="960"/>
      <c r="Y55" s="960"/>
      <c r="Z55" s="960"/>
      <c r="AA55" s="960"/>
      <c r="AB55" s="928"/>
      <c r="AC55" s="928"/>
      <c r="AD55" s="928"/>
      <c r="AE55" s="928"/>
      <c r="AF55" s="928"/>
      <c r="AG55" s="928"/>
      <c r="AH55" s="928"/>
      <c r="AI55" s="928"/>
      <c r="AJ55" s="928"/>
      <c r="AK55" s="928"/>
      <c r="AL55" s="928"/>
      <c r="AM55" s="928"/>
      <c r="AN55" s="928"/>
      <c r="AO55" s="928"/>
      <c r="AP55" s="928"/>
      <c r="AQ55" s="928"/>
      <c r="AR55" s="928"/>
      <c r="AS55" s="928"/>
    </row>
    <row r="56" spans="11:45">
      <c r="K56" s="957"/>
      <c r="L56" s="928"/>
      <c r="M56" s="928"/>
      <c r="N56" s="960"/>
      <c r="O56" s="960"/>
      <c r="P56" s="960"/>
      <c r="Q56" s="960"/>
      <c r="R56" s="960"/>
      <c r="S56" s="960"/>
      <c r="T56" s="960"/>
      <c r="U56" s="960"/>
      <c r="V56" s="960"/>
      <c r="W56" s="960"/>
      <c r="X56" s="960"/>
      <c r="Y56" s="960"/>
      <c r="Z56" s="960"/>
      <c r="AA56" s="960"/>
      <c r="AB56" s="928"/>
      <c r="AC56" s="928"/>
      <c r="AD56" s="928"/>
      <c r="AE56" s="928"/>
      <c r="AF56" s="928"/>
      <c r="AG56" s="928"/>
      <c r="AH56" s="928"/>
      <c r="AI56" s="928"/>
      <c r="AJ56" s="928"/>
      <c r="AK56" s="928"/>
      <c r="AL56" s="928"/>
      <c r="AM56" s="928"/>
      <c r="AN56" s="928"/>
      <c r="AO56" s="928"/>
      <c r="AP56" s="928"/>
      <c r="AQ56" s="928"/>
      <c r="AR56" s="928"/>
      <c r="AS56" s="928"/>
    </row>
    <row r="57" spans="11:45">
      <c r="K57" s="957"/>
      <c r="L57" s="928"/>
      <c r="M57" s="928"/>
      <c r="N57" s="960"/>
      <c r="O57" s="960"/>
      <c r="P57" s="960"/>
      <c r="Q57" s="960"/>
      <c r="R57" s="960"/>
      <c r="S57" s="960"/>
      <c r="T57" s="960"/>
      <c r="U57" s="960"/>
      <c r="V57" s="960"/>
      <c r="W57" s="960"/>
      <c r="X57" s="960"/>
      <c r="Y57" s="960"/>
      <c r="Z57" s="960"/>
      <c r="AA57" s="960"/>
      <c r="AB57" s="928"/>
      <c r="AC57" s="928"/>
      <c r="AD57" s="928"/>
      <c r="AE57" s="928"/>
      <c r="AF57" s="928"/>
      <c r="AG57" s="928"/>
      <c r="AH57" s="928"/>
      <c r="AI57" s="928"/>
      <c r="AJ57" s="928"/>
      <c r="AK57" s="928"/>
      <c r="AL57" s="928"/>
      <c r="AM57" s="928"/>
      <c r="AN57" s="928"/>
      <c r="AO57" s="928"/>
      <c r="AP57" s="928"/>
      <c r="AQ57" s="928"/>
      <c r="AR57" s="928"/>
      <c r="AS57" s="928"/>
    </row>
    <row r="58" spans="11:45">
      <c r="K58" s="957"/>
      <c r="L58" s="928"/>
      <c r="M58" s="928"/>
      <c r="N58" s="960"/>
      <c r="O58" s="960"/>
      <c r="P58" s="960"/>
      <c r="Q58" s="960"/>
      <c r="R58" s="960"/>
      <c r="S58" s="960"/>
      <c r="T58" s="960"/>
      <c r="U58" s="960"/>
      <c r="V58" s="960"/>
      <c r="W58" s="960"/>
      <c r="X58" s="960"/>
      <c r="Y58" s="960"/>
      <c r="Z58" s="960"/>
      <c r="AA58" s="960"/>
      <c r="AB58" s="928"/>
      <c r="AC58" s="928"/>
      <c r="AD58" s="928"/>
      <c r="AE58" s="928"/>
      <c r="AF58" s="928"/>
      <c r="AG58" s="928"/>
      <c r="AH58" s="928"/>
      <c r="AI58" s="928"/>
      <c r="AJ58" s="928"/>
      <c r="AK58" s="928"/>
      <c r="AL58" s="928"/>
      <c r="AM58" s="928"/>
      <c r="AN58" s="928"/>
      <c r="AO58" s="928"/>
      <c r="AP58" s="928"/>
      <c r="AQ58" s="928"/>
      <c r="AR58" s="928"/>
      <c r="AS58" s="928"/>
    </row>
    <row r="59" spans="11:45">
      <c r="K59" s="957"/>
      <c r="L59" s="928"/>
      <c r="M59" s="928"/>
      <c r="N59" s="960"/>
      <c r="O59" s="960"/>
      <c r="P59" s="960"/>
      <c r="Q59" s="960"/>
      <c r="R59" s="960"/>
      <c r="S59" s="960"/>
      <c r="T59" s="960"/>
      <c r="U59" s="960"/>
      <c r="V59" s="960"/>
      <c r="W59" s="960"/>
      <c r="X59" s="960"/>
      <c r="Y59" s="960"/>
      <c r="Z59" s="960"/>
      <c r="AA59" s="960"/>
      <c r="AB59" s="928"/>
      <c r="AC59" s="928"/>
      <c r="AD59" s="928"/>
      <c r="AE59" s="928"/>
      <c r="AF59" s="928"/>
      <c r="AG59" s="928"/>
      <c r="AH59" s="928"/>
      <c r="AI59" s="928"/>
      <c r="AJ59" s="928"/>
      <c r="AK59" s="928"/>
      <c r="AL59" s="928"/>
      <c r="AM59" s="928"/>
      <c r="AN59" s="928"/>
      <c r="AO59" s="928"/>
      <c r="AP59" s="928"/>
      <c r="AQ59" s="928"/>
      <c r="AR59" s="928"/>
      <c r="AS59" s="928"/>
    </row>
    <row r="60" spans="11:45">
      <c r="K60" s="957"/>
      <c r="L60" s="928"/>
      <c r="M60" s="928"/>
      <c r="N60" s="960"/>
      <c r="O60" s="960"/>
      <c r="P60" s="960"/>
      <c r="Q60" s="960"/>
      <c r="R60" s="960"/>
      <c r="S60" s="960"/>
      <c r="T60" s="960"/>
      <c r="U60" s="960"/>
      <c r="V60" s="960"/>
      <c r="W60" s="960"/>
      <c r="X60" s="960"/>
      <c r="Y60" s="960"/>
      <c r="Z60" s="960"/>
      <c r="AA60" s="960"/>
      <c r="AB60" s="928"/>
      <c r="AC60" s="928"/>
      <c r="AD60" s="928"/>
      <c r="AE60" s="928"/>
      <c r="AF60" s="928"/>
      <c r="AG60" s="928"/>
      <c r="AH60" s="928"/>
      <c r="AI60" s="928"/>
      <c r="AJ60" s="928"/>
      <c r="AK60" s="928"/>
      <c r="AL60" s="928"/>
      <c r="AM60" s="928"/>
      <c r="AN60" s="928"/>
      <c r="AO60" s="928"/>
      <c r="AP60" s="928"/>
      <c r="AQ60" s="928"/>
      <c r="AR60" s="928"/>
      <c r="AS60" s="928"/>
    </row>
    <row r="61" spans="11:45">
      <c r="K61" s="957"/>
      <c r="L61" s="928"/>
      <c r="M61" s="928"/>
      <c r="N61" s="960"/>
      <c r="O61" s="960"/>
      <c r="P61" s="960"/>
      <c r="Q61" s="960"/>
      <c r="R61" s="960"/>
      <c r="S61" s="960"/>
      <c r="T61" s="960"/>
      <c r="U61" s="960"/>
      <c r="V61" s="960"/>
      <c r="W61" s="960"/>
      <c r="X61" s="960"/>
      <c r="Y61" s="960"/>
      <c r="Z61" s="960"/>
      <c r="AA61" s="960"/>
      <c r="AB61" s="928"/>
      <c r="AC61" s="928"/>
      <c r="AD61" s="928"/>
      <c r="AE61" s="928"/>
      <c r="AF61" s="928"/>
      <c r="AG61" s="928"/>
      <c r="AH61" s="928"/>
      <c r="AI61" s="928"/>
      <c r="AJ61" s="928"/>
      <c r="AK61" s="928"/>
      <c r="AL61" s="928"/>
      <c r="AM61" s="928"/>
      <c r="AN61" s="928"/>
      <c r="AO61" s="928"/>
      <c r="AP61" s="928"/>
      <c r="AQ61" s="928"/>
      <c r="AR61" s="928"/>
      <c r="AS61" s="928"/>
    </row>
    <row r="62" spans="11:45">
      <c r="K62" s="957"/>
      <c r="L62" s="928"/>
      <c r="M62" s="928"/>
      <c r="N62" s="960"/>
      <c r="O62" s="960"/>
      <c r="P62" s="960"/>
      <c r="Q62" s="960"/>
      <c r="R62" s="960"/>
      <c r="S62" s="960"/>
      <c r="T62" s="960"/>
      <c r="U62" s="960"/>
      <c r="V62" s="960"/>
      <c r="W62" s="960"/>
      <c r="X62" s="960"/>
      <c r="Y62" s="960"/>
      <c r="Z62" s="960"/>
      <c r="AA62" s="960"/>
      <c r="AB62" s="928"/>
      <c r="AC62" s="928"/>
      <c r="AD62" s="928"/>
      <c r="AE62" s="928"/>
      <c r="AF62" s="928"/>
      <c r="AG62" s="928"/>
      <c r="AH62" s="928"/>
      <c r="AI62" s="928"/>
      <c r="AJ62" s="928"/>
      <c r="AK62" s="928"/>
      <c r="AL62" s="928"/>
      <c r="AM62" s="928"/>
      <c r="AN62" s="928"/>
      <c r="AO62" s="928"/>
      <c r="AP62" s="928"/>
      <c r="AQ62" s="928"/>
      <c r="AR62" s="928"/>
      <c r="AS62" s="928"/>
    </row>
    <row r="63" spans="11:45">
      <c r="K63" s="957"/>
      <c r="L63" s="928"/>
      <c r="M63" s="928"/>
      <c r="N63" s="960"/>
      <c r="O63" s="960"/>
      <c r="P63" s="960"/>
      <c r="Q63" s="960"/>
      <c r="R63" s="960"/>
      <c r="S63" s="960"/>
      <c r="T63" s="960"/>
      <c r="U63" s="960"/>
      <c r="V63" s="960"/>
      <c r="W63" s="960"/>
      <c r="X63" s="960"/>
      <c r="Y63" s="960"/>
      <c r="Z63" s="960"/>
      <c r="AA63" s="960"/>
      <c r="AB63" s="928"/>
      <c r="AC63" s="928"/>
      <c r="AD63" s="928"/>
      <c r="AE63" s="928"/>
      <c r="AF63" s="928"/>
      <c r="AG63" s="928"/>
      <c r="AH63" s="928"/>
      <c r="AI63" s="928"/>
      <c r="AJ63" s="928"/>
      <c r="AK63" s="928"/>
      <c r="AL63" s="928"/>
      <c r="AM63" s="928"/>
      <c r="AN63" s="928"/>
      <c r="AO63" s="928"/>
      <c r="AP63" s="928"/>
      <c r="AQ63" s="928"/>
      <c r="AR63" s="928"/>
      <c r="AS63" s="928"/>
    </row>
    <row r="64" spans="11:45">
      <c r="K64" s="957"/>
      <c r="L64" s="928"/>
      <c r="M64" s="928"/>
      <c r="N64" s="960"/>
      <c r="O64" s="960"/>
      <c r="P64" s="960"/>
      <c r="Q64" s="960"/>
      <c r="R64" s="960"/>
      <c r="S64" s="960"/>
      <c r="T64" s="960"/>
      <c r="U64" s="960"/>
      <c r="V64" s="960"/>
      <c r="W64" s="960"/>
      <c r="X64" s="960"/>
      <c r="Y64" s="960"/>
      <c r="Z64" s="960"/>
      <c r="AA64" s="960"/>
      <c r="AB64" s="928"/>
      <c r="AC64" s="928"/>
      <c r="AD64" s="928"/>
      <c r="AE64" s="928"/>
      <c r="AF64" s="928"/>
      <c r="AG64" s="928"/>
      <c r="AH64" s="928"/>
      <c r="AI64" s="928"/>
      <c r="AJ64" s="928"/>
      <c r="AK64" s="928"/>
      <c r="AL64" s="928"/>
      <c r="AM64" s="928"/>
      <c r="AN64" s="928"/>
      <c r="AO64" s="928"/>
      <c r="AP64" s="928"/>
      <c r="AQ64" s="928"/>
      <c r="AR64" s="928"/>
      <c r="AS64" s="928"/>
    </row>
    <row r="65" spans="11:45">
      <c r="K65" s="957"/>
      <c r="L65" s="928"/>
      <c r="M65" s="928"/>
      <c r="N65" s="960"/>
      <c r="O65" s="960"/>
      <c r="P65" s="960"/>
      <c r="Q65" s="960"/>
      <c r="R65" s="960"/>
      <c r="S65" s="960"/>
      <c r="T65" s="960"/>
      <c r="U65" s="960"/>
      <c r="V65" s="960"/>
      <c r="W65" s="960"/>
      <c r="X65" s="960"/>
      <c r="Y65" s="960"/>
      <c r="Z65" s="960"/>
      <c r="AA65" s="960"/>
      <c r="AB65" s="928"/>
      <c r="AC65" s="928"/>
      <c r="AD65" s="928"/>
      <c r="AE65" s="928"/>
      <c r="AF65" s="928"/>
      <c r="AG65" s="928"/>
      <c r="AH65" s="928"/>
      <c r="AI65" s="928"/>
      <c r="AJ65" s="928"/>
      <c r="AK65" s="928"/>
      <c r="AL65" s="928"/>
      <c r="AM65" s="928"/>
      <c r="AN65" s="928"/>
      <c r="AO65" s="928"/>
      <c r="AP65" s="928"/>
      <c r="AQ65" s="928"/>
      <c r="AR65" s="928"/>
      <c r="AS65" s="928"/>
    </row>
    <row r="66" spans="11:45">
      <c r="K66" s="957"/>
      <c r="L66" s="928"/>
      <c r="M66" s="928"/>
      <c r="N66" s="960"/>
      <c r="O66" s="960"/>
      <c r="P66" s="960"/>
      <c r="Q66" s="960"/>
      <c r="R66" s="960"/>
      <c r="S66" s="960"/>
      <c r="T66" s="960"/>
      <c r="U66" s="960"/>
      <c r="V66" s="960"/>
      <c r="W66" s="960"/>
      <c r="X66" s="960"/>
      <c r="Y66" s="960"/>
      <c r="Z66" s="960"/>
      <c r="AA66" s="960"/>
      <c r="AB66" s="928"/>
      <c r="AC66" s="928"/>
      <c r="AD66" s="928"/>
      <c r="AE66" s="928"/>
      <c r="AF66" s="928"/>
      <c r="AG66" s="928"/>
      <c r="AH66" s="928"/>
      <c r="AI66" s="928"/>
      <c r="AJ66" s="928"/>
      <c r="AK66" s="928"/>
      <c r="AL66" s="928"/>
      <c r="AM66" s="928"/>
      <c r="AN66" s="928"/>
      <c r="AO66" s="928"/>
      <c r="AP66" s="928"/>
      <c r="AQ66" s="928"/>
      <c r="AR66" s="928"/>
      <c r="AS66" s="928"/>
    </row>
    <row r="67" spans="11:45">
      <c r="K67" s="957"/>
      <c r="L67" s="928"/>
      <c r="M67" s="928"/>
      <c r="N67" s="960"/>
      <c r="O67" s="960"/>
      <c r="P67" s="960"/>
      <c r="Q67" s="960"/>
      <c r="R67" s="960"/>
      <c r="S67" s="960"/>
      <c r="T67" s="960"/>
      <c r="U67" s="960"/>
      <c r="V67" s="960"/>
      <c r="W67" s="960"/>
      <c r="X67" s="960"/>
      <c r="Y67" s="960"/>
      <c r="Z67" s="960"/>
      <c r="AA67" s="960"/>
      <c r="AB67" s="928"/>
      <c r="AC67" s="928"/>
      <c r="AD67" s="928"/>
      <c r="AE67" s="928"/>
      <c r="AF67" s="928"/>
      <c r="AG67" s="928"/>
      <c r="AH67" s="928"/>
      <c r="AI67" s="928"/>
      <c r="AJ67" s="928"/>
      <c r="AK67" s="928"/>
      <c r="AL67" s="928"/>
      <c r="AM67" s="928"/>
      <c r="AN67" s="928"/>
      <c r="AO67" s="928"/>
      <c r="AP67" s="928"/>
      <c r="AQ67" s="928"/>
      <c r="AR67" s="928"/>
      <c r="AS67" s="928"/>
    </row>
    <row r="68" spans="11:45">
      <c r="K68" s="957"/>
      <c r="L68" s="928"/>
      <c r="M68" s="928"/>
      <c r="N68" s="960"/>
      <c r="O68" s="960"/>
      <c r="P68" s="960"/>
      <c r="Q68" s="960"/>
      <c r="R68" s="960"/>
      <c r="S68" s="960"/>
      <c r="T68" s="960"/>
      <c r="U68" s="960"/>
      <c r="V68" s="960"/>
      <c r="W68" s="960"/>
      <c r="X68" s="960"/>
      <c r="Y68" s="960"/>
      <c r="Z68" s="960"/>
      <c r="AA68" s="960"/>
      <c r="AB68" s="928"/>
      <c r="AC68" s="928"/>
      <c r="AD68" s="928"/>
      <c r="AE68" s="928"/>
      <c r="AF68" s="928"/>
      <c r="AG68" s="928"/>
      <c r="AH68" s="928"/>
      <c r="AI68" s="928"/>
      <c r="AJ68" s="928"/>
      <c r="AK68" s="928"/>
      <c r="AL68" s="928"/>
      <c r="AM68" s="928"/>
      <c r="AN68" s="928"/>
      <c r="AO68" s="928"/>
      <c r="AP68" s="928"/>
      <c r="AQ68" s="928"/>
      <c r="AR68" s="928"/>
      <c r="AS68" s="928"/>
    </row>
    <row r="69" spans="11:45">
      <c r="K69" s="957"/>
      <c r="L69" s="928"/>
      <c r="M69" s="928"/>
      <c r="N69" s="960"/>
      <c r="O69" s="960"/>
      <c r="P69" s="960"/>
      <c r="Q69" s="960"/>
      <c r="R69" s="960"/>
      <c r="S69" s="960"/>
      <c r="T69" s="960"/>
      <c r="U69" s="960"/>
      <c r="V69" s="960"/>
      <c r="W69" s="960"/>
      <c r="X69" s="960"/>
      <c r="Y69" s="960"/>
      <c r="Z69" s="960"/>
      <c r="AA69" s="960"/>
      <c r="AB69" s="928"/>
      <c r="AC69" s="928"/>
      <c r="AD69" s="928"/>
      <c r="AE69" s="928"/>
      <c r="AF69" s="928"/>
      <c r="AG69" s="928"/>
      <c r="AH69" s="928"/>
      <c r="AI69" s="928"/>
      <c r="AJ69" s="928"/>
      <c r="AK69" s="928"/>
      <c r="AL69" s="928"/>
      <c r="AM69" s="928"/>
      <c r="AN69" s="928"/>
      <c r="AO69" s="928"/>
      <c r="AP69" s="928"/>
      <c r="AQ69" s="928"/>
      <c r="AR69" s="928"/>
      <c r="AS69" s="928"/>
    </row>
    <row r="70" spans="11:45">
      <c r="K70" s="957"/>
      <c r="L70" s="928"/>
      <c r="M70" s="928"/>
      <c r="N70" s="960"/>
      <c r="O70" s="960"/>
      <c r="P70" s="960"/>
      <c r="Q70" s="960"/>
      <c r="R70" s="960"/>
      <c r="S70" s="960"/>
      <c r="T70" s="960"/>
      <c r="U70" s="960"/>
      <c r="V70" s="960"/>
      <c r="W70" s="960"/>
      <c r="X70" s="960"/>
      <c r="Y70" s="960"/>
      <c r="Z70" s="960"/>
      <c r="AA70" s="960"/>
      <c r="AB70" s="928"/>
      <c r="AC70" s="928"/>
      <c r="AD70" s="928"/>
      <c r="AE70" s="928"/>
      <c r="AF70" s="928"/>
      <c r="AG70" s="928"/>
      <c r="AH70" s="928"/>
      <c r="AI70" s="928"/>
      <c r="AJ70" s="928"/>
      <c r="AK70" s="928"/>
      <c r="AL70" s="928"/>
      <c r="AM70" s="928"/>
      <c r="AN70" s="928"/>
      <c r="AO70" s="928"/>
      <c r="AP70" s="928"/>
      <c r="AQ70" s="928"/>
      <c r="AR70" s="928"/>
      <c r="AS70" s="928"/>
    </row>
    <row r="71" spans="11:45">
      <c r="K71" s="957"/>
      <c r="L71" s="928"/>
      <c r="M71" s="928"/>
      <c r="N71" s="960"/>
      <c r="O71" s="960"/>
      <c r="P71" s="960"/>
      <c r="Q71" s="960"/>
      <c r="R71" s="960"/>
      <c r="S71" s="960"/>
      <c r="T71" s="960"/>
      <c r="U71" s="960"/>
      <c r="V71" s="960"/>
      <c r="W71" s="960"/>
      <c r="X71" s="960"/>
      <c r="Y71" s="960"/>
      <c r="Z71" s="960"/>
      <c r="AA71" s="960"/>
      <c r="AB71" s="928"/>
      <c r="AC71" s="928"/>
      <c r="AD71" s="928"/>
      <c r="AE71" s="928"/>
      <c r="AF71" s="928"/>
      <c r="AG71" s="928"/>
      <c r="AH71" s="928"/>
      <c r="AI71" s="928"/>
      <c r="AJ71" s="928"/>
      <c r="AK71" s="928"/>
      <c r="AL71" s="928"/>
      <c r="AM71" s="928"/>
      <c r="AN71" s="928"/>
      <c r="AO71" s="928"/>
      <c r="AP71" s="928"/>
      <c r="AQ71" s="928"/>
      <c r="AR71" s="928"/>
      <c r="AS71" s="928"/>
    </row>
    <row r="72" spans="11:45">
      <c r="K72" s="957"/>
      <c r="L72" s="928"/>
      <c r="M72" s="928"/>
      <c r="N72" s="960"/>
      <c r="O72" s="960"/>
      <c r="P72" s="960"/>
      <c r="Q72" s="960"/>
      <c r="R72" s="960"/>
      <c r="S72" s="960"/>
      <c r="T72" s="960"/>
      <c r="U72" s="960"/>
      <c r="V72" s="960"/>
      <c r="W72" s="960"/>
      <c r="X72" s="960"/>
      <c r="Y72" s="960"/>
      <c r="Z72" s="960"/>
      <c r="AA72" s="960"/>
      <c r="AB72" s="928"/>
      <c r="AC72" s="928"/>
      <c r="AD72" s="928"/>
      <c r="AE72" s="928"/>
      <c r="AF72" s="928"/>
      <c r="AG72" s="928"/>
      <c r="AH72" s="928"/>
      <c r="AI72" s="928"/>
      <c r="AJ72" s="928"/>
      <c r="AK72" s="928"/>
      <c r="AL72" s="928"/>
      <c r="AM72" s="928"/>
      <c r="AN72" s="928"/>
      <c r="AO72" s="928"/>
      <c r="AP72" s="928"/>
      <c r="AQ72" s="928"/>
      <c r="AR72" s="928"/>
      <c r="AS72" s="928"/>
    </row>
    <row r="73" spans="11:45">
      <c r="K73" s="957"/>
      <c r="L73" s="928"/>
      <c r="M73" s="928"/>
      <c r="N73" s="960"/>
      <c r="O73" s="960"/>
      <c r="P73" s="960"/>
      <c r="Q73" s="960"/>
      <c r="R73" s="960"/>
      <c r="S73" s="960"/>
      <c r="T73" s="960"/>
      <c r="U73" s="960"/>
      <c r="V73" s="960"/>
      <c r="W73" s="960"/>
      <c r="X73" s="960"/>
      <c r="Y73" s="960"/>
      <c r="Z73" s="960"/>
      <c r="AA73" s="960"/>
      <c r="AB73" s="928"/>
      <c r="AC73" s="928"/>
      <c r="AD73" s="928"/>
      <c r="AE73" s="928"/>
      <c r="AF73" s="928"/>
      <c r="AG73" s="928"/>
      <c r="AH73" s="928"/>
      <c r="AI73" s="928"/>
      <c r="AJ73" s="928"/>
      <c r="AK73" s="928"/>
      <c r="AL73" s="928"/>
      <c r="AM73" s="928"/>
      <c r="AN73" s="928"/>
      <c r="AO73" s="928"/>
      <c r="AP73" s="928"/>
      <c r="AQ73" s="928"/>
      <c r="AR73" s="928"/>
      <c r="AS73" s="928"/>
    </row>
    <row r="74" spans="11:45">
      <c r="K74" s="957"/>
      <c r="L74" s="928"/>
      <c r="M74" s="928"/>
      <c r="N74" s="960"/>
      <c r="O74" s="960"/>
      <c r="P74" s="960"/>
      <c r="Q74" s="960"/>
      <c r="R74" s="960"/>
      <c r="S74" s="960"/>
      <c r="T74" s="960"/>
      <c r="U74" s="960"/>
      <c r="V74" s="960"/>
      <c r="W74" s="960"/>
      <c r="X74" s="960"/>
      <c r="Y74" s="960"/>
      <c r="Z74" s="960"/>
      <c r="AA74" s="960"/>
      <c r="AB74" s="928"/>
      <c r="AC74" s="928"/>
      <c r="AD74" s="928"/>
      <c r="AE74" s="928"/>
      <c r="AF74" s="928"/>
      <c r="AG74" s="928"/>
      <c r="AH74" s="928"/>
      <c r="AI74" s="928"/>
      <c r="AJ74" s="928"/>
      <c r="AK74" s="928"/>
      <c r="AL74" s="928"/>
      <c r="AM74" s="928"/>
      <c r="AN74" s="928"/>
      <c r="AO74" s="928"/>
      <c r="AP74" s="928"/>
      <c r="AQ74" s="928"/>
      <c r="AR74" s="928"/>
      <c r="AS74" s="928"/>
    </row>
    <row r="75" spans="11:45">
      <c r="K75" s="957"/>
      <c r="L75" s="928"/>
      <c r="M75" s="928"/>
      <c r="N75" s="960"/>
      <c r="O75" s="960"/>
      <c r="P75" s="960"/>
      <c r="Q75" s="960"/>
      <c r="R75" s="960"/>
      <c r="S75" s="960"/>
      <c r="T75" s="960"/>
      <c r="U75" s="960"/>
      <c r="V75" s="960"/>
      <c r="W75" s="960"/>
      <c r="X75" s="960"/>
      <c r="Y75" s="960"/>
      <c r="Z75" s="960"/>
      <c r="AA75" s="960"/>
      <c r="AB75" s="928"/>
      <c r="AC75" s="928"/>
      <c r="AD75" s="928"/>
      <c r="AE75" s="928"/>
      <c r="AF75" s="928"/>
      <c r="AG75" s="928"/>
      <c r="AH75" s="928"/>
      <c r="AI75" s="928"/>
      <c r="AJ75" s="928"/>
      <c r="AK75" s="928"/>
      <c r="AL75" s="928"/>
      <c r="AM75" s="928"/>
      <c r="AN75" s="928"/>
      <c r="AO75" s="928"/>
      <c r="AP75" s="928"/>
      <c r="AQ75" s="928"/>
      <c r="AR75" s="928"/>
      <c r="AS75" s="928"/>
    </row>
    <row r="76" spans="11:45">
      <c r="K76" s="957"/>
      <c r="L76" s="928"/>
      <c r="M76" s="928"/>
      <c r="N76" s="960"/>
      <c r="O76" s="960"/>
      <c r="P76" s="960"/>
      <c r="Q76" s="960"/>
      <c r="R76" s="960"/>
      <c r="S76" s="960"/>
      <c r="T76" s="960"/>
      <c r="U76" s="960"/>
      <c r="V76" s="960"/>
      <c r="W76" s="960"/>
      <c r="X76" s="960"/>
      <c r="Y76" s="960"/>
      <c r="Z76" s="960"/>
      <c r="AA76" s="960"/>
      <c r="AB76" s="928"/>
      <c r="AC76" s="928"/>
      <c r="AD76" s="928"/>
      <c r="AE76" s="928"/>
      <c r="AF76" s="928"/>
      <c r="AG76" s="928"/>
      <c r="AH76" s="928"/>
      <c r="AI76" s="928"/>
      <c r="AJ76" s="928"/>
      <c r="AK76" s="928"/>
      <c r="AL76" s="928"/>
      <c r="AM76" s="928"/>
      <c r="AN76" s="928"/>
      <c r="AO76" s="928"/>
      <c r="AP76" s="928"/>
      <c r="AQ76" s="928"/>
      <c r="AR76" s="928"/>
      <c r="AS76" s="928"/>
    </row>
    <row r="77" spans="11:45">
      <c r="K77" s="957"/>
      <c r="L77" s="928"/>
      <c r="M77" s="928"/>
      <c r="N77" s="960"/>
      <c r="O77" s="960"/>
      <c r="P77" s="960"/>
      <c r="Q77" s="960"/>
      <c r="R77" s="960"/>
      <c r="S77" s="960"/>
      <c r="T77" s="960"/>
      <c r="U77" s="960"/>
      <c r="V77" s="960"/>
      <c r="W77" s="960"/>
      <c r="X77" s="960"/>
      <c r="Y77" s="960"/>
      <c r="Z77" s="960"/>
      <c r="AA77" s="960"/>
      <c r="AB77" s="928"/>
      <c r="AC77" s="928"/>
      <c r="AD77" s="928"/>
      <c r="AE77" s="928"/>
      <c r="AF77" s="928"/>
      <c r="AG77" s="928"/>
      <c r="AH77" s="928"/>
      <c r="AI77" s="928"/>
      <c r="AJ77" s="928"/>
      <c r="AK77" s="928"/>
      <c r="AL77" s="928"/>
      <c r="AM77" s="928"/>
      <c r="AN77" s="928"/>
      <c r="AO77" s="928"/>
      <c r="AP77" s="928"/>
      <c r="AQ77" s="928"/>
      <c r="AR77" s="928"/>
      <c r="AS77" s="928"/>
    </row>
    <row r="78" spans="11:45">
      <c r="K78" s="957"/>
      <c r="L78" s="928"/>
      <c r="M78" s="928"/>
      <c r="N78" s="960"/>
      <c r="O78" s="960"/>
      <c r="P78" s="960"/>
      <c r="Q78" s="960"/>
      <c r="R78" s="960"/>
      <c r="S78" s="960"/>
      <c r="T78" s="960"/>
      <c r="U78" s="960"/>
      <c r="V78" s="960"/>
      <c r="W78" s="960"/>
      <c r="X78" s="960"/>
      <c r="Y78" s="960"/>
      <c r="Z78" s="960"/>
      <c r="AA78" s="960"/>
      <c r="AB78" s="928"/>
      <c r="AC78" s="928"/>
      <c r="AD78" s="928"/>
      <c r="AE78" s="928"/>
      <c r="AF78" s="928"/>
      <c r="AG78" s="928"/>
      <c r="AH78" s="928"/>
      <c r="AI78" s="928"/>
      <c r="AJ78" s="928"/>
      <c r="AK78" s="928"/>
      <c r="AL78" s="928"/>
      <c r="AM78" s="928"/>
      <c r="AN78" s="928"/>
      <c r="AO78" s="928"/>
      <c r="AP78" s="928"/>
      <c r="AQ78" s="928"/>
      <c r="AR78" s="928"/>
      <c r="AS78" s="928"/>
    </row>
    <row r="79" spans="11:45">
      <c r="K79" s="957"/>
      <c r="L79" s="928"/>
      <c r="M79" s="928"/>
      <c r="N79" s="960"/>
      <c r="O79" s="960"/>
      <c r="P79" s="960"/>
      <c r="Q79" s="960"/>
      <c r="R79" s="960"/>
      <c r="S79" s="960"/>
      <c r="T79" s="960"/>
      <c r="U79" s="960"/>
      <c r="V79" s="960"/>
      <c r="W79" s="960"/>
      <c r="X79" s="960"/>
      <c r="Y79" s="960"/>
      <c r="Z79" s="960"/>
      <c r="AA79" s="960"/>
      <c r="AB79" s="928"/>
      <c r="AC79" s="928"/>
      <c r="AD79" s="928"/>
      <c r="AE79" s="928"/>
      <c r="AF79" s="928"/>
      <c r="AG79" s="928"/>
      <c r="AH79" s="928"/>
      <c r="AI79" s="928"/>
      <c r="AJ79" s="928"/>
      <c r="AK79" s="928"/>
      <c r="AL79" s="928"/>
      <c r="AM79" s="928"/>
      <c r="AN79" s="928"/>
      <c r="AO79" s="928"/>
      <c r="AP79" s="928"/>
      <c r="AQ79" s="928"/>
      <c r="AR79" s="928"/>
      <c r="AS79" s="928"/>
    </row>
    <row r="80" spans="11:45">
      <c r="K80" s="957"/>
      <c r="L80" s="928"/>
      <c r="M80" s="928"/>
      <c r="N80" s="960"/>
      <c r="O80" s="960"/>
      <c r="P80" s="960"/>
      <c r="Q80" s="960"/>
      <c r="R80" s="960"/>
      <c r="S80" s="960"/>
      <c r="T80" s="960"/>
      <c r="U80" s="960"/>
      <c r="V80" s="960"/>
      <c r="W80" s="960"/>
      <c r="X80" s="960"/>
      <c r="Y80" s="960"/>
      <c r="Z80" s="960"/>
      <c r="AA80" s="960"/>
      <c r="AB80" s="928"/>
      <c r="AC80" s="928"/>
      <c r="AD80" s="928"/>
      <c r="AE80" s="928"/>
      <c r="AF80" s="928"/>
      <c r="AG80" s="928"/>
      <c r="AH80" s="928"/>
      <c r="AI80" s="928"/>
      <c r="AJ80" s="928"/>
      <c r="AK80" s="928"/>
      <c r="AL80" s="928"/>
      <c r="AM80" s="928"/>
      <c r="AN80" s="928"/>
      <c r="AO80" s="928"/>
      <c r="AP80" s="928"/>
      <c r="AQ80" s="928"/>
      <c r="AR80" s="928"/>
      <c r="AS80" s="928"/>
    </row>
    <row r="81" spans="11:45">
      <c r="K81" s="957"/>
      <c r="L81" s="928"/>
      <c r="M81" s="928"/>
      <c r="N81" s="960"/>
      <c r="O81" s="960"/>
      <c r="P81" s="960"/>
      <c r="Q81" s="960"/>
      <c r="R81" s="960"/>
      <c r="S81" s="960"/>
      <c r="T81" s="960"/>
      <c r="U81" s="960"/>
      <c r="V81" s="960"/>
      <c r="W81" s="960"/>
      <c r="X81" s="960"/>
      <c r="Y81" s="960"/>
      <c r="Z81" s="960"/>
      <c r="AA81" s="960"/>
      <c r="AB81" s="928"/>
      <c r="AC81" s="928"/>
      <c r="AD81" s="928"/>
      <c r="AE81" s="928"/>
      <c r="AF81" s="928"/>
      <c r="AG81" s="928"/>
      <c r="AH81" s="928"/>
      <c r="AI81" s="928"/>
      <c r="AJ81" s="928"/>
      <c r="AK81" s="928"/>
      <c r="AL81" s="928"/>
      <c r="AM81" s="928"/>
      <c r="AN81" s="928"/>
      <c r="AO81" s="928"/>
      <c r="AP81" s="928"/>
      <c r="AQ81" s="928"/>
      <c r="AR81" s="928"/>
      <c r="AS81" s="928"/>
    </row>
    <row r="82" spans="11:45">
      <c r="K82" s="957"/>
      <c r="L82" s="928"/>
      <c r="M82" s="928"/>
      <c r="N82" s="960"/>
      <c r="O82" s="960"/>
      <c r="P82" s="960"/>
      <c r="Q82" s="960"/>
      <c r="R82" s="960"/>
      <c r="S82" s="960"/>
      <c r="T82" s="960"/>
      <c r="U82" s="960"/>
      <c r="V82" s="960"/>
      <c r="W82" s="960"/>
      <c r="X82" s="960"/>
      <c r="Y82" s="960"/>
      <c r="Z82" s="960"/>
      <c r="AA82" s="960"/>
      <c r="AB82" s="928"/>
      <c r="AC82" s="928"/>
      <c r="AD82" s="928"/>
      <c r="AE82" s="928"/>
      <c r="AF82" s="928"/>
      <c r="AG82" s="928"/>
      <c r="AH82" s="928"/>
      <c r="AI82" s="928"/>
      <c r="AJ82" s="928"/>
      <c r="AK82" s="928"/>
      <c r="AL82" s="928"/>
      <c r="AM82" s="928"/>
      <c r="AN82" s="928"/>
      <c r="AO82" s="928"/>
      <c r="AP82" s="928"/>
      <c r="AQ82" s="928"/>
      <c r="AR82" s="928"/>
      <c r="AS82" s="928"/>
    </row>
    <row r="83" spans="11:45">
      <c r="K83" s="957"/>
      <c r="L83" s="928"/>
      <c r="M83" s="928"/>
      <c r="N83" s="960"/>
      <c r="O83" s="960"/>
      <c r="P83" s="960"/>
      <c r="Q83" s="960"/>
      <c r="R83" s="960"/>
      <c r="S83" s="960"/>
      <c r="T83" s="960"/>
      <c r="U83" s="960"/>
      <c r="V83" s="960"/>
      <c r="W83" s="960"/>
      <c r="X83" s="960"/>
      <c r="Y83" s="960"/>
      <c r="Z83" s="960"/>
      <c r="AA83" s="960"/>
      <c r="AB83" s="928"/>
      <c r="AC83" s="928"/>
      <c r="AD83" s="928"/>
      <c r="AE83" s="928"/>
      <c r="AF83" s="928"/>
      <c r="AG83" s="928"/>
      <c r="AH83" s="928"/>
      <c r="AI83" s="928"/>
      <c r="AJ83" s="928"/>
      <c r="AK83" s="928"/>
      <c r="AL83" s="928"/>
      <c r="AM83" s="928"/>
      <c r="AN83" s="928"/>
      <c r="AO83" s="928"/>
      <c r="AP83" s="928"/>
      <c r="AQ83" s="928"/>
      <c r="AR83" s="928"/>
      <c r="AS83" s="928"/>
    </row>
    <row r="84" spans="11:45">
      <c r="K84" s="957"/>
      <c r="L84" s="928"/>
      <c r="M84" s="928"/>
      <c r="N84" s="960"/>
      <c r="O84" s="960"/>
      <c r="P84" s="960"/>
      <c r="Q84" s="960"/>
      <c r="R84" s="960"/>
      <c r="S84" s="960"/>
      <c r="T84" s="960"/>
      <c r="U84" s="960"/>
      <c r="V84" s="960"/>
      <c r="W84" s="960"/>
      <c r="X84" s="960"/>
      <c r="Y84" s="960"/>
      <c r="Z84" s="960"/>
      <c r="AA84" s="960"/>
      <c r="AB84" s="928"/>
      <c r="AC84" s="928"/>
      <c r="AD84" s="928"/>
      <c r="AE84" s="928"/>
      <c r="AF84" s="928"/>
      <c r="AG84" s="928"/>
      <c r="AH84" s="928"/>
      <c r="AI84" s="928"/>
      <c r="AJ84" s="928"/>
      <c r="AK84" s="928"/>
      <c r="AL84" s="928"/>
      <c r="AM84" s="928"/>
      <c r="AN84" s="928"/>
      <c r="AO84" s="928"/>
      <c r="AP84" s="928"/>
      <c r="AQ84" s="928"/>
      <c r="AR84" s="928"/>
      <c r="AS84" s="928"/>
    </row>
    <row r="85" spans="11:45">
      <c r="K85" s="957"/>
      <c r="L85" s="928"/>
      <c r="M85" s="928"/>
      <c r="N85" s="960"/>
      <c r="O85" s="960"/>
      <c r="P85" s="960"/>
      <c r="Q85" s="960"/>
      <c r="R85" s="960"/>
      <c r="S85" s="960"/>
      <c r="T85" s="960"/>
      <c r="U85" s="960"/>
      <c r="V85" s="960"/>
      <c r="W85" s="960"/>
      <c r="X85" s="960"/>
      <c r="Y85" s="960"/>
      <c r="Z85" s="960"/>
      <c r="AA85" s="960"/>
      <c r="AB85" s="928"/>
      <c r="AC85" s="928"/>
      <c r="AD85" s="928"/>
      <c r="AE85" s="928"/>
      <c r="AF85" s="928"/>
      <c r="AG85" s="928"/>
      <c r="AH85" s="928"/>
      <c r="AI85" s="928"/>
      <c r="AJ85" s="928"/>
      <c r="AK85" s="928"/>
      <c r="AL85" s="928"/>
      <c r="AM85" s="928"/>
      <c r="AN85" s="928"/>
      <c r="AO85" s="928"/>
      <c r="AP85" s="928"/>
      <c r="AQ85" s="928"/>
      <c r="AR85" s="928"/>
      <c r="AS85" s="928"/>
    </row>
    <row r="86" spans="11:45">
      <c r="K86" s="957"/>
      <c r="L86" s="928"/>
      <c r="M86" s="928"/>
      <c r="N86" s="960"/>
      <c r="O86" s="960"/>
      <c r="P86" s="960"/>
      <c r="Q86" s="960"/>
      <c r="R86" s="960"/>
      <c r="S86" s="960"/>
      <c r="T86" s="960"/>
      <c r="U86" s="960"/>
      <c r="V86" s="960"/>
      <c r="W86" s="960"/>
      <c r="X86" s="960"/>
      <c r="Y86" s="960"/>
      <c r="Z86" s="960"/>
      <c r="AA86" s="960"/>
      <c r="AB86" s="928"/>
      <c r="AC86" s="928"/>
      <c r="AD86" s="928"/>
      <c r="AE86" s="928"/>
      <c r="AF86" s="928"/>
      <c r="AG86" s="928"/>
      <c r="AH86" s="928"/>
      <c r="AI86" s="928"/>
      <c r="AJ86" s="928"/>
      <c r="AK86" s="928"/>
      <c r="AL86" s="928"/>
      <c r="AM86" s="928"/>
      <c r="AN86" s="928"/>
      <c r="AO86" s="928"/>
      <c r="AP86" s="928"/>
      <c r="AQ86" s="928"/>
      <c r="AR86" s="928"/>
      <c r="AS86" s="928"/>
    </row>
    <row r="87" spans="11:45">
      <c r="K87" s="957"/>
      <c r="L87" s="928"/>
      <c r="M87" s="928"/>
      <c r="N87" s="960"/>
      <c r="O87" s="960"/>
      <c r="P87" s="960"/>
      <c r="Q87" s="960"/>
      <c r="R87" s="960"/>
      <c r="S87" s="960"/>
      <c r="T87" s="960"/>
      <c r="U87" s="960"/>
      <c r="V87" s="960"/>
      <c r="W87" s="960"/>
      <c r="X87" s="960"/>
      <c r="Y87" s="960"/>
      <c r="Z87" s="960"/>
      <c r="AA87" s="960"/>
      <c r="AB87" s="928"/>
      <c r="AC87" s="928"/>
      <c r="AD87" s="928"/>
      <c r="AE87" s="928"/>
      <c r="AF87" s="928"/>
      <c r="AG87" s="928"/>
      <c r="AH87" s="928"/>
      <c r="AI87" s="928"/>
      <c r="AJ87" s="928"/>
      <c r="AK87" s="928"/>
      <c r="AL87" s="928"/>
      <c r="AM87" s="928"/>
      <c r="AN87" s="928"/>
      <c r="AO87" s="928"/>
      <c r="AP87" s="928"/>
      <c r="AQ87" s="928"/>
      <c r="AR87" s="928"/>
      <c r="AS87" s="928"/>
    </row>
    <row r="88" spans="11:45">
      <c r="K88" s="957"/>
      <c r="L88" s="928"/>
      <c r="M88" s="928"/>
      <c r="N88" s="960"/>
      <c r="O88" s="960"/>
      <c r="P88" s="960"/>
      <c r="Q88" s="960"/>
      <c r="R88" s="960"/>
      <c r="S88" s="960"/>
      <c r="T88" s="960"/>
      <c r="U88" s="960"/>
      <c r="V88" s="960"/>
      <c r="W88" s="960"/>
      <c r="X88" s="960"/>
      <c r="Y88" s="960"/>
      <c r="Z88" s="960"/>
      <c r="AA88" s="960"/>
      <c r="AB88" s="928"/>
      <c r="AC88" s="928"/>
      <c r="AD88" s="928"/>
      <c r="AE88" s="928"/>
      <c r="AF88" s="928"/>
      <c r="AG88" s="928"/>
      <c r="AH88" s="928"/>
      <c r="AI88" s="928"/>
      <c r="AJ88" s="928"/>
      <c r="AK88" s="928"/>
      <c r="AL88" s="928"/>
      <c r="AM88" s="928"/>
      <c r="AN88" s="928"/>
      <c r="AO88" s="928"/>
      <c r="AP88" s="928"/>
      <c r="AQ88" s="928"/>
      <c r="AR88" s="928"/>
      <c r="AS88" s="928"/>
    </row>
    <row r="89" spans="11:45">
      <c r="K89" s="957"/>
      <c r="L89" s="928"/>
      <c r="M89" s="928"/>
      <c r="N89" s="960"/>
      <c r="O89" s="960"/>
      <c r="P89" s="960"/>
      <c r="Q89" s="960"/>
      <c r="R89" s="960"/>
      <c r="S89" s="960"/>
      <c r="T89" s="960"/>
      <c r="U89" s="960"/>
      <c r="V89" s="960"/>
      <c r="W89" s="960"/>
      <c r="X89" s="960"/>
      <c r="Y89" s="960"/>
      <c r="Z89" s="960"/>
      <c r="AA89" s="960"/>
      <c r="AB89" s="928"/>
      <c r="AC89" s="928"/>
      <c r="AD89" s="928"/>
      <c r="AE89" s="928"/>
      <c r="AF89" s="928"/>
      <c r="AG89" s="928"/>
      <c r="AH89" s="928"/>
      <c r="AI89" s="928"/>
      <c r="AJ89" s="928"/>
      <c r="AK89" s="928"/>
      <c r="AL89" s="928"/>
      <c r="AM89" s="928"/>
      <c r="AN89" s="928"/>
      <c r="AO89" s="928"/>
      <c r="AP89" s="928"/>
      <c r="AQ89" s="928"/>
      <c r="AR89" s="928"/>
      <c r="AS89" s="928"/>
    </row>
    <row r="90" spans="11:45">
      <c r="K90" s="957"/>
      <c r="L90" s="928"/>
      <c r="M90" s="928"/>
      <c r="N90" s="960"/>
      <c r="O90" s="960"/>
      <c r="P90" s="960"/>
      <c r="Q90" s="960"/>
      <c r="R90" s="960"/>
      <c r="S90" s="960"/>
      <c r="T90" s="960"/>
      <c r="U90" s="960"/>
      <c r="V90" s="960"/>
      <c r="W90" s="960"/>
      <c r="X90" s="960"/>
      <c r="Y90" s="960"/>
      <c r="Z90" s="960"/>
      <c r="AA90" s="960"/>
      <c r="AB90" s="928"/>
      <c r="AC90" s="928"/>
      <c r="AD90" s="928"/>
      <c r="AE90" s="928"/>
      <c r="AF90" s="928"/>
      <c r="AG90" s="928"/>
      <c r="AH90" s="928"/>
      <c r="AI90" s="928"/>
      <c r="AJ90" s="928"/>
      <c r="AK90" s="928"/>
      <c r="AL90" s="928"/>
      <c r="AM90" s="928"/>
      <c r="AN90" s="928"/>
      <c r="AO90" s="928"/>
      <c r="AP90" s="928"/>
      <c r="AQ90" s="928"/>
      <c r="AR90" s="928"/>
      <c r="AS90" s="928"/>
    </row>
    <row r="91" spans="11:45">
      <c r="K91" s="957"/>
      <c r="L91" s="928"/>
      <c r="M91" s="928"/>
      <c r="N91" s="960"/>
      <c r="O91" s="960"/>
      <c r="P91" s="960"/>
      <c r="Q91" s="960"/>
      <c r="R91" s="960"/>
      <c r="S91" s="960"/>
      <c r="T91" s="960"/>
      <c r="U91" s="960"/>
      <c r="V91" s="960"/>
      <c r="W91" s="960"/>
      <c r="X91" s="960"/>
      <c r="Y91" s="960"/>
      <c r="Z91" s="960"/>
      <c r="AA91" s="960"/>
      <c r="AB91" s="928"/>
      <c r="AC91" s="928"/>
      <c r="AD91" s="928"/>
      <c r="AE91" s="928"/>
      <c r="AF91" s="928"/>
      <c r="AG91" s="928"/>
      <c r="AH91" s="928"/>
      <c r="AI91" s="928"/>
      <c r="AJ91" s="928"/>
      <c r="AK91" s="928"/>
      <c r="AL91" s="928"/>
      <c r="AM91" s="928"/>
      <c r="AN91" s="928"/>
      <c r="AO91" s="928"/>
      <c r="AP91" s="928"/>
      <c r="AQ91" s="928"/>
      <c r="AR91" s="928"/>
      <c r="AS91" s="928"/>
    </row>
    <row r="92" spans="11:45">
      <c r="K92" s="957"/>
      <c r="L92" s="928"/>
      <c r="M92" s="928"/>
      <c r="N92" s="960"/>
      <c r="O92" s="960"/>
      <c r="P92" s="960"/>
      <c r="Q92" s="960"/>
      <c r="R92" s="960"/>
      <c r="S92" s="960"/>
      <c r="T92" s="960"/>
      <c r="U92" s="960"/>
      <c r="V92" s="960"/>
      <c r="W92" s="960"/>
      <c r="X92" s="960"/>
      <c r="Y92" s="960"/>
      <c r="Z92" s="960"/>
      <c r="AA92" s="960"/>
      <c r="AB92" s="928"/>
      <c r="AC92" s="928"/>
      <c r="AD92" s="928"/>
      <c r="AE92" s="928"/>
      <c r="AF92" s="928"/>
      <c r="AG92" s="928"/>
      <c r="AH92" s="928"/>
      <c r="AI92" s="928"/>
      <c r="AJ92" s="928"/>
      <c r="AK92" s="928"/>
      <c r="AL92" s="928"/>
      <c r="AM92" s="928"/>
      <c r="AN92" s="928"/>
      <c r="AO92" s="928"/>
      <c r="AP92" s="928"/>
      <c r="AQ92" s="928"/>
      <c r="AR92" s="928"/>
      <c r="AS92" s="928"/>
    </row>
    <row r="93" spans="11:45">
      <c r="K93" s="957"/>
      <c r="L93" s="928"/>
      <c r="M93" s="928"/>
      <c r="N93" s="960"/>
      <c r="O93" s="960"/>
      <c r="P93" s="960"/>
      <c r="Q93" s="960"/>
      <c r="R93" s="960"/>
      <c r="S93" s="960"/>
      <c r="T93" s="960"/>
      <c r="U93" s="960"/>
      <c r="V93" s="960"/>
      <c r="W93" s="960"/>
      <c r="X93" s="960"/>
      <c r="Y93" s="960"/>
      <c r="Z93" s="960"/>
      <c r="AA93" s="960"/>
      <c r="AB93" s="928"/>
      <c r="AC93" s="928"/>
      <c r="AD93" s="928"/>
      <c r="AE93" s="928"/>
      <c r="AF93" s="928"/>
      <c r="AG93" s="928"/>
      <c r="AH93" s="928"/>
      <c r="AI93" s="928"/>
      <c r="AJ93" s="928"/>
      <c r="AK93" s="928"/>
      <c r="AL93" s="928"/>
      <c r="AM93" s="928"/>
      <c r="AN93" s="928"/>
      <c r="AO93" s="928"/>
      <c r="AP93" s="928"/>
      <c r="AQ93" s="928"/>
      <c r="AR93" s="928"/>
      <c r="AS93" s="928"/>
    </row>
    <row r="94" spans="11:45">
      <c r="K94" s="957"/>
      <c r="L94" s="928"/>
      <c r="M94" s="928"/>
      <c r="N94" s="960"/>
      <c r="O94" s="960"/>
      <c r="P94" s="960"/>
      <c r="Q94" s="960"/>
      <c r="R94" s="960"/>
      <c r="S94" s="960"/>
      <c r="T94" s="960"/>
      <c r="U94" s="960"/>
      <c r="V94" s="960"/>
      <c r="W94" s="960"/>
      <c r="X94" s="960"/>
      <c r="Y94" s="960"/>
      <c r="Z94" s="960"/>
      <c r="AA94" s="960"/>
      <c r="AB94" s="928"/>
      <c r="AC94" s="928"/>
      <c r="AD94" s="928"/>
      <c r="AE94" s="928"/>
      <c r="AF94" s="928"/>
      <c r="AG94" s="928"/>
      <c r="AH94" s="928"/>
      <c r="AI94" s="928"/>
      <c r="AJ94" s="928"/>
      <c r="AK94" s="928"/>
      <c r="AL94" s="928"/>
      <c r="AM94" s="928"/>
      <c r="AN94" s="928"/>
      <c r="AO94" s="928"/>
      <c r="AP94" s="928"/>
      <c r="AQ94" s="928"/>
      <c r="AR94" s="928"/>
      <c r="AS94" s="928"/>
    </row>
    <row r="95" spans="11:45">
      <c r="K95" s="957"/>
      <c r="L95" s="928"/>
      <c r="M95" s="928"/>
      <c r="N95" s="960"/>
      <c r="O95" s="960"/>
      <c r="P95" s="960"/>
      <c r="Q95" s="960"/>
      <c r="R95" s="960"/>
      <c r="S95" s="960"/>
      <c r="T95" s="960"/>
      <c r="U95" s="960"/>
      <c r="V95" s="960"/>
      <c r="W95" s="960"/>
      <c r="X95" s="960"/>
      <c r="Y95" s="960"/>
      <c r="Z95" s="960"/>
      <c r="AA95" s="960"/>
      <c r="AB95" s="928"/>
      <c r="AC95" s="928"/>
      <c r="AD95" s="928"/>
      <c r="AE95" s="928"/>
      <c r="AF95" s="928"/>
      <c r="AG95" s="928"/>
      <c r="AH95" s="928"/>
      <c r="AI95" s="928"/>
      <c r="AJ95" s="928"/>
      <c r="AK95" s="928"/>
      <c r="AL95" s="928"/>
      <c r="AM95" s="928"/>
      <c r="AN95" s="928"/>
      <c r="AO95" s="928"/>
      <c r="AP95" s="928"/>
      <c r="AQ95" s="928"/>
      <c r="AR95" s="928"/>
      <c r="AS95" s="928"/>
    </row>
    <row r="96" spans="11:45">
      <c r="K96" s="957"/>
      <c r="L96" s="928"/>
      <c r="M96" s="928"/>
      <c r="N96" s="960"/>
      <c r="O96" s="960"/>
      <c r="P96" s="960"/>
      <c r="Q96" s="960"/>
      <c r="R96" s="960"/>
      <c r="S96" s="960"/>
      <c r="T96" s="960"/>
      <c r="U96" s="960"/>
      <c r="V96" s="960"/>
      <c r="W96" s="960"/>
      <c r="X96" s="960"/>
      <c r="Y96" s="960"/>
      <c r="Z96" s="960"/>
      <c r="AA96" s="960"/>
      <c r="AB96" s="928"/>
      <c r="AC96" s="928"/>
      <c r="AD96" s="928"/>
      <c r="AE96" s="928"/>
      <c r="AF96" s="928"/>
      <c r="AG96" s="928"/>
      <c r="AH96" s="928"/>
      <c r="AI96" s="928"/>
      <c r="AJ96" s="928"/>
      <c r="AK96" s="928"/>
      <c r="AL96" s="928"/>
      <c r="AM96" s="928"/>
      <c r="AN96" s="928"/>
      <c r="AO96" s="928"/>
      <c r="AP96" s="928"/>
      <c r="AQ96" s="928"/>
      <c r="AR96" s="928"/>
      <c r="AS96" s="928"/>
    </row>
    <row r="97" spans="11:45">
      <c r="K97" s="957"/>
      <c r="L97" s="928"/>
      <c r="M97" s="928"/>
      <c r="N97" s="960"/>
      <c r="O97" s="960"/>
      <c r="P97" s="960"/>
      <c r="Q97" s="960"/>
      <c r="R97" s="960"/>
      <c r="S97" s="960"/>
      <c r="T97" s="960"/>
      <c r="U97" s="960"/>
      <c r="V97" s="960"/>
      <c r="W97" s="960"/>
      <c r="X97" s="960"/>
      <c r="Y97" s="960"/>
      <c r="Z97" s="960"/>
      <c r="AA97" s="960"/>
      <c r="AB97" s="928"/>
      <c r="AC97" s="928"/>
      <c r="AD97" s="928"/>
      <c r="AE97" s="928"/>
      <c r="AF97" s="928"/>
      <c r="AG97" s="928"/>
      <c r="AH97" s="928"/>
      <c r="AI97" s="928"/>
      <c r="AJ97" s="928"/>
      <c r="AK97" s="928"/>
      <c r="AL97" s="928"/>
      <c r="AM97" s="928"/>
      <c r="AN97" s="928"/>
      <c r="AO97" s="928"/>
      <c r="AP97" s="928"/>
      <c r="AQ97" s="928"/>
      <c r="AR97" s="928"/>
      <c r="AS97" s="928"/>
    </row>
    <row r="98" spans="11:45">
      <c r="K98" s="957"/>
      <c r="L98" s="928"/>
      <c r="M98" s="928"/>
      <c r="N98" s="960"/>
      <c r="O98" s="960"/>
      <c r="P98" s="960"/>
      <c r="Q98" s="960"/>
      <c r="R98" s="960"/>
      <c r="S98" s="960"/>
      <c r="T98" s="960"/>
      <c r="U98" s="960"/>
      <c r="V98" s="960"/>
      <c r="W98" s="960"/>
      <c r="X98" s="960"/>
      <c r="Y98" s="960"/>
      <c r="Z98" s="960"/>
      <c r="AA98" s="960"/>
      <c r="AB98" s="928"/>
      <c r="AC98" s="928"/>
      <c r="AD98" s="928"/>
      <c r="AE98" s="928"/>
      <c r="AF98" s="928"/>
      <c r="AG98" s="928"/>
      <c r="AH98" s="928"/>
      <c r="AI98" s="928"/>
      <c r="AJ98" s="928"/>
      <c r="AK98" s="928"/>
      <c r="AL98" s="928"/>
      <c r="AM98" s="928"/>
      <c r="AN98" s="928"/>
      <c r="AO98" s="928"/>
      <c r="AP98" s="928"/>
      <c r="AQ98" s="928"/>
      <c r="AR98" s="928"/>
      <c r="AS98" s="928"/>
    </row>
    <row r="99" spans="11:45">
      <c r="K99" s="957"/>
      <c r="L99" s="928"/>
      <c r="M99" s="928"/>
      <c r="N99" s="960"/>
      <c r="O99" s="960"/>
      <c r="P99" s="960"/>
      <c r="Q99" s="960"/>
      <c r="R99" s="960"/>
      <c r="S99" s="960"/>
      <c r="T99" s="960"/>
      <c r="U99" s="960"/>
      <c r="V99" s="960"/>
      <c r="W99" s="960"/>
      <c r="X99" s="960"/>
      <c r="Y99" s="960"/>
      <c r="Z99" s="960"/>
      <c r="AA99" s="960"/>
      <c r="AB99" s="928"/>
      <c r="AC99" s="928"/>
      <c r="AD99" s="928"/>
      <c r="AE99" s="928"/>
      <c r="AF99" s="928"/>
      <c r="AG99" s="928"/>
      <c r="AH99" s="928"/>
      <c r="AI99" s="928"/>
      <c r="AJ99" s="928"/>
      <c r="AK99" s="928"/>
      <c r="AL99" s="928"/>
      <c r="AM99" s="928"/>
      <c r="AN99" s="928"/>
      <c r="AO99" s="928"/>
      <c r="AP99" s="928"/>
      <c r="AQ99" s="928"/>
      <c r="AR99" s="928"/>
      <c r="AS99" s="928"/>
    </row>
    <row r="100" spans="11:45">
      <c r="K100" s="957"/>
      <c r="L100" s="928"/>
      <c r="M100" s="928"/>
      <c r="N100" s="960"/>
      <c r="O100" s="960"/>
      <c r="P100" s="960"/>
      <c r="Q100" s="960"/>
      <c r="R100" s="960"/>
      <c r="S100" s="960"/>
      <c r="T100" s="960"/>
      <c r="U100" s="960"/>
      <c r="V100" s="960"/>
      <c r="W100" s="960"/>
      <c r="X100" s="960"/>
      <c r="Y100" s="960"/>
      <c r="Z100" s="960"/>
      <c r="AA100" s="960"/>
      <c r="AB100" s="928"/>
      <c r="AC100" s="928"/>
      <c r="AD100" s="928"/>
      <c r="AE100" s="928"/>
      <c r="AF100" s="928"/>
      <c r="AG100" s="928"/>
      <c r="AH100" s="928"/>
      <c r="AI100" s="928"/>
      <c r="AJ100" s="928"/>
      <c r="AK100" s="928"/>
      <c r="AL100" s="928"/>
      <c r="AM100" s="928"/>
      <c r="AN100" s="928"/>
      <c r="AO100" s="928"/>
      <c r="AP100" s="928"/>
      <c r="AQ100" s="928"/>
      <c r="AR100" s="928"/>
      <c r="AS100" s="928"/>
    </row>
    <row r="101" spans="11:45">
      <c r="K101" s="957"/>
      <c r="L101" s="928"/>
      <c r="M101" s="928"/>
      <c r="N101" s="960"/>
      <c r="O101" s="960"/>
      <c r="P101" s="960"/>
      <c r="Q101" s="960"/>
      <c r="R101" s="960"/>
      <c r="S101" s="960"/>
      <c r="T101" s="960"/>
      <c r="U101" s="960"/>
      <c r="V101" s="960"/>
      <c r="W101" s="960"/>
      <c r="X101" s="960"/>
      <c r="Y101" s="960"/>
      <c r="Z101" s="960"/>
      <c r="AA101" s="960"/>
      <c r="AB101" s="928"/>
      <c r="AC101" s="928"/>
      <c r="AD101" s="928"/>
      <c r="AE101" s="928"/>
      <c r="AF101" s="928"/>
      <c r="AG101" s="928"/>
      <c r="AH101" s="928"/>
      <c r="AI101" s="928"/>
      <c r="AJ101" s="928"/>
      <c r="AK101" s="928"/>
      <c r="AL101" s="928"/>
      <c r="AM101" s="928"/>
      <c r="AN101" s="928"/>
      <c r="AO101" s="928"/>
      <c r="AP101" s="928"/>
      <c r="AQ101" s="928"/>
      <c r="AR101" s="928"/>
      <c r="AS101" s="928"/>
    </row>
    <row r="102" spans="11:45">
      <c r="K102" s="957"/>
      <c r="L102" s="928"/>
      <c r="M102" s="928"/>
      <c r="N102" s="960"/>
      <c r="O102" s="960"/>
      <c r="P102" s="960"/>
      <c r="Q102" s="960"/>
      <c r="R102" s="960"/>
      <c r="S102" s="960"/>
      <c r="T102" s="960"/>
      <c r="U102" s="960"/>
      <c r="V102" s="960"/>
      <c r="W102" s="960"/>
      <c r="X102" s="960"/>
      <c r="Y102" s="960"/>
      <c r="Z102" s="960"/>
      <c r="AA102" s="960"/>
      <c r="AB102" s="928"/>
      <c r="AC102" s="928"/>
      <c r="AD102" s="928"/>
      <c r="AE102" s="928"/>
      <c r="AF102" s="928"/>
      <c r="AG102" s="928"/>
      <c r="AH102" s="928"/>
      <c r="AI102" s="928"/>
      <c r="AJ102" s="928"/>
      <c r="AK102" s="928"/>
      <c r="AL102" s="928"/>
      <c r="AM102" s="928"/>
      <c r="AN102" s="928"/>
      <c r="AO102" s="928"/>
      <c r="AP102" s="928"/>
      <c r="AQ102" s="928"/>
      <c r="AR102" s="928"/>
      <c r="AS102" s="928"/>
    </row>
    <row r="103" spans="11:45">
      <c r="K103" s="957"/>
      <c r="L103" s="928"/>
      <c r="M103" s="928"/>
      <c r="N103" s="960"/>
      <c r="O103" s="960"/>
      <c r="P103" s="960"/>
      <c r="Q103" s="960"/>
      <c r="R103" s="960"/>
      <c r="S103" s="960"/>
      <c r="T103" s="960"/>
      <c r="U103" s="960"/>
      <c r="V103" s="960"/>
      <c r="W103" s="960"/>
      <c r="X103" s="960"/>
      <c r="Y103" s="960"/>
      <c r="Z103" s="960"/>
      <c r="AA103" s="960"/>
      <c r="AB103" s="928"/>
      <c r="AC103" s="928"/>
      <c r="AD103" s="928"/>
      <c r="AE103" s="928"/>
      <c r="AF103" s="928"/>
      <c r="AG103" s="928"/>
      <c r="AH103" s="928"/>
      <c r="AI103" s="928"/>
      <c r="AJ103" s="928"/>
      <c r="AK103" s="928"/>
      <c r="AL103" s="928"/>
      <c r="AM103" s="928"/>
      <c r="AN103" s="928"/>
      <c r="AO103" s="928"/>
      <c r="AP103" s="928"/>
      <c r="AQ103" s="928"/>
      <c r="AR103" s="928"/>
      <c r="AS103" s="928"/>
    </row>
    <row r="104" spans="11:45">
      <c r="K104" s="957"/>
      <c r="L104" s="928"/>
      <c r="M104" s="928"/>
      <c r="N104" s="960"/>
      <c r="O104" s="960"/>
      <c r="P104" s="960"/>
      <c r="Q104" s="960"/>
      <c r="R104" s="960"/>
      <c r="S104" s="960"/>
      <c r="T104" s="960"/>
      <c r="U104" s="960"/>
      <c r="V104" s="960"/>
      <c r="W104" s="960"/>
      <c r="X104" s="960"/>
      <c r="Y104" s="960"/>
      <c r="Z104" s="960"/>
      <c r="AA104" s="960"/>
      <c r="AB104" s="928"/>
      <c r="AC104" s="928"/>
      <c r="AD104" s="928"/>
      <c r="AE104" s="928"/>
      <c r="AF104" s="928"/>
      <c r="AG104" s="928"/>
      <c r="AH104" s="928"/>
      <c r="AI104" s="928"/>
      <c r="AJ104" s="928"/>
      <c r="AK104" s="928"/>
      <c r="AL104" s="928"/>
      <c r="AM104" s="928"/>
      <c r="AN104" s="928"/>
      <c r="AO104" s="928"/>
      <c r="AP104" s="928"/>
      <c r="AQ104" s="928"/>
      <c r="AR104" s="928"/>
      <c r="AS104" s="928"/>
    </row>
    <row r="105" spans="11:45">
      <c r="K105" s="957"/>
      <c r="L105" s="928"/>
      <c r="M105" s="928"/>
      <c r="N105" s="960"/>
      <c r="O105" s="960"/>
      <c r="P105" s="960"/>
      <c r="Q105" s="960"/>
      <c r="R105" s="960"/>
      <c r="S105" s="960"/>
      <c r="T105" s="960"/>
      <c r="U105" s="960"/>
      <c r="V105" s="960"/>
      <c r="W105" s="960"/>
      <c r="X105" s="960"/>
      <c r="Y105" s="960"/>
      <c r="Z105" s="960"/>
      <c r="AA105" s="960"/>
      <c r="AB105" s="928"/>
      <c r="AC105" s="928"/>
      <c r="AD105" s="928"/>
      <c r="AE105" s="928"/>
      <c r="AF105" s="928"/>
      <c r="AG105" s="928"/>
      <c r="AH105" s="928"/>
      <c r="AI105" s="928"/>
      <c r="AJ105" s="928"/>
      <c r="AK105" s="928"/>
      <c r="AL105" s="928"/>
      <c r="AM105" s="928"/>
      <c r="AN105" s="928"/>
      <c r="AO105" s="928"/>
      <c r="AP105" s="928"/>
      <c r="AQ105" s="928"/>
      <c r="AR105" s="928"/>
      <c r="AS105" s="928"/>
    </row>
    <row r="106" spans="11:45">
      <c r="K106" s="957"/>
      <c r="L106" s="928"/>
      <c r="M106" s="928"/>
      <c r="N106" s="960"/>
      <c r="O106" s="960"/>
      <c r="P106" s="960"/>
      <c r="Q106" s="960"/>
      <c r="R106" s="960"/>
      <c r="S106" s="960"/>
      <c r="T106" s="960"/>
      <c r="U106" s="960"/>
      <c r="V106" s="960"/>
      <c r="W106" s="960"/>
      <c r="X106" s="960"/>
      <c r="Y106" s="960"/>
      <c r="Z106" s="960"/>
      <c r="AA106" s="960"/>
      <c r="AB106" s="928"/>
      <c r="AC106" s="928"/>
      <c r="AD106" s="928"/>
      <c r="AE106" s="928"/>
      <c r="AF106" s="928"/>
      <c r="AG106" s="928"/>
      <c r="AH106" s="928"/>
      <c r="AI106" s="928"/>
      <c r="AJ106" s="928"/>
      <c r="AK106" s="928"/>
      <c r="AL106" s="928"/>
      <c r="AM106" s="928"/>
      <c r="AN106" s="928"/>
      <c r="AO106" s="928"/>
      <c r="AP106" s="928"/>
      <c r="AQ106" s="928"/>
      <c r="AR106" s="928"/>
      <c r="AS106" s="928"/>
    </row>
    <row r="107" spans="11:45">
      <c r="K107" s="957"/>
      <c r="L107" s="928"/>
      <c r="M107" s="928"/>
      <c r="N107" s="960"/>
      <c r="O107" s="960"/>
      <c r="P107" s="960"/>
      <c r="Q107" s="960"/>
      <c r="R107" s="960"/>
      <c r="S107" s="960"/>
      <c r="T107" s="960"/>
      <c r="U107" s="960"/>
      <c r="V107" s="960"/>
      <c r="W107" s="960"/>
      <c r="X107" s="960"/>
      <c r="Y107" s="960"/>
      <c r="Z107" s="960"/>
      <c r="AA107" s="960"/>
      <c r="AB107" s="928"/>
      <c r="AC107" s="928"/>
      <c r="AD107" s="928"/>
      <c r="AE107" s="928"/>
      <c r="AF107" s="928"/>
      <c r="AG107" s="928"/>
      <c r="AH107" s="928"/>
      <c r="AI107" s="928"/>
      <c r="AJ107" s="928"/>
      <c r="AK107" s="928"/>
      <c r="AL107" s="928"/>
      <c r="AM107" s="928"/>
      <c r="AN107" s="928"/>
      <c r="AO107" s="928"/>
      <c r="AP107" s="928"/>
      <c r="AQ107" s="928"/>
      <c r="AR107" s="928"/>
      <c r="AS107" s="928"/>
    </row>
    <row r="108" spans="11:45">
      <c r="K108" s="957"/>
      <c r="L108" s="928"/>
      <c r="M108" s="928"/>
      <c r="N108" s="960"/>
      <c r="O108" s="960"/>
      <c r="P108" s="960"/>
      <c r="Q108" s="960"/>
      <c r="R108" s="960"/>
      <c r="S108" s="960"/>
      <c r="T108" s="960"/>
      <c r="U108" s="960"/>
      <c r="V108" s="960"/>
      <c r="W108" s="960"/>
      <c r="X108" s="960"/>
      <c r="Y108" s="960"/>
      <c r="Z108" s="960"/>
      <c r="AA108" s="960"/>
      <c r="AB108" s="928"/>
      <c r="AC108" s="928"/>
      <c r="AD108" s="928"/>
      <c r="AE108" s="928"/>
      <c r="AF108" s="928"/>
      <c r="AG108" s="928"/>
      <c r="AH108" s="928"/>
      <c r="AI108" s="928"/>
      <c r="AJ108" s="928"/>
      <c r="AK108" s="928"/>
      <c r="AL108" s="928"/>
      <c r="AM108" s="928"/>
      <c r="AN108" s="928"/>
      <c r="AO108" s="928"/>
      <c r="AP108" s="928"/>
      <c r="AQ108" s="928"/>
      <c r="AR108" s="928"/>
      <c r="AS108" s="928"/>
    </row>
    <row r="109" spans="11:45">
      <c r="K109" s="957"/>
      <c r="L109" s="928"/>
      <c r="M109" s="928"/>
      <c r="N109" s="960"/>
      <c r="O109" s="960"/>
      <c r="P109" s="960"/>
      <c r="Q109" s="960"/>
      <c r="R109" s="960"/>
      <c r="S109" s="960"/>
      <c r="T109" s="960"/>
      <c r="U109" s="960"/>
      <c r="V109" s="960"/>
      <c r="W109" s="960"/>
      <c r="X109" s="960"/>
      <c r="Y109" s="960"/>
      <c r="Z109" s="960"/>
      <c r="AA109" s="960"/>
      <c r="AB109" s="928"/>
      <c r="AC109" s="928"/>
      <c r="AD109" s="928"/>
      <c r="AE109" s="928"/>
      <c r="AF109" s="928"/>
      <c r="AG109" s="928"/>
      <c r="AH109" s="928"/>
      <c r="AI109" s="928"/>
      <c r="AJ109" s="928"/>
      <c r="AK109" s="928"/>
      <c r="AL109" s="928"/>
      <c r="AM109" s="928"/>
      <c r="AN109" s="928"/>
      <c r="AO109" s="928"/>
      <c r="AP109" s="928"/>
      <c r="AQ109" s="928"/>
      <c r="AR109" s="928"/>
      <c r="AS109" s="928"/>
    </row>
    <row r="110" spans="11:45">
      <c r="K110" s="957"/>
      <c r="L110" s="928"/>
      <c r="M110" s="928"/>
      <c r="N110" s="960"/>
      <c r="O110" s="960"/>
      <c r="P110" s="960"/>
      <c r="Q110" s="960"/>
      <c r="R110" s="960"/>
      <c r="S110" s="960"/>
      <c r="T110" s="960"/>
      <c r="U110" s="960"/>
      <c r="V110" s="960"/>
      <c r="W110" s="960"/>
      <c r="X110" s="960"/>
      <c r="Y110" s="960"/>
      <c r="Z110" s="960"/>
      <c r="AA110" s="960"/>
      <c r="AB110" s="928"/>
      <c r="AC110" s="928"/>
      <c r="AD110" s="928"/>
      <c r="AE110" s="928"/>
      <c r="AF110" s="928"/>
      <c r="AG110" s="928"/>
      <c r="AH110" s="928"/>
      <c r="AI110" s="928"/>
      <c r="AJ110" s="928"/>
      <c r="AK110" s="928"/>
      <c r="AL110" s="928"/>
      <c r="AM110" s="928"/>
      <c r="AN110" s="928"/>
      <c r="AO110" s="928"/>
      <c r="AP110" s="928"/>
      <c r="AQ110" s="928"/>
      <c r="AR110" s="928"/>
      <c r="AS110" s="928"/>
    </row>
    <row r="111" spans="11:45">
      <c r="K111" s="957"/>
      <c r="L111" s="928"/>
      <c r="M111" s="928"/>
      <c r="N111" s="960"/>
      <c r="O111" s="960"/>
      <c r="P111" s="960"/>
      <c r="Q111" s="960"/>
      <c r="R111" s="960"/>
      <c r="S111" s="960"/>
      <c r="T111" s="960"/>
      <c r="U111" s="960"/>
      <c r="V111" s="960"/>
      <c r="W111" s="960"/>
      <c r="X111" s="960"/>
      <c r="Y111" s="960"/>
      <c r="Z111" s="960"/>
      <c r="AA111" s="960"/>
      <c r="AB111" s="928"/>
      <c r="AC111" s="928"/>
      <c r="AD111" s="928"/>
      <c r="AE111" s="928"/>
      <c r="AF111" s="928"/>
      <c r="AG111" s="928"/>
      <c r="AH111" s="928"/>
      <c r="AI111" s="928"/>
      <c r="AJ111" s="928"/>
      <c r="AK111" s="928"/>
      <c r="AL111" s="928"/>
      <c r="AM111" s="928"/>
      <c r="AN111" s="928"/>
      <c r="AO111" s="928"/>
      <c r="AP111" s="928"/>
      <c r="AQ111" s="928"/>
      <c r="AR111" s="928"/>
      <c r="AS111" s="928"/>
    </row>
    <row r="112" spans="11:45">
      <c r="K112" s="957"/>
      <c r="L112" s="928"/>
      <c r="M112" s="928"/>
      <c r="N112" s="960"/>
      <c r="O112" s="960"/>
      <c r="P112" s="960"/>
      <c r="Q112" s="960"/>
      <c r="R112" s="960"/>
      <c r="S112" s="960"/>
      <c r="T112" s="960"/>
      <c r="U112" s="960"/>
      <c r="V112" s="960"/>
      <c r="W112" s="960"/>
      <c r="X112" s="960"/>
      <c r="Y112" s="960"/>
      <c r="Z112" s="960"/>
      <c r="AA112" s="960"/>
      <c r="AB112" s="928"/>
      <c r="AC112" s="928"/>
      <c r="AD112" s="928"/>
      <c r="AE112" s="928"/>
      <c r="AF112" s="928"/>
      <c r="AG112" s="928"/>
      <c r="AH112" s="928"/>
      <c r="AI112" s="928"/>
      <c r="AJ112" s="928"/>
      <c r="AK112" s="928"/>
      <c r="AL112" s="928"/>
      <c r="AM112" s="928"/>
      <c r="AN112" s="928"/>
      <c r="AO112" s="928"/>
      <c r="AP112" s="928"/>
      <c r="AQ112" s="928"/>
      <c r="AR112" s="928"/>
      <c r="AS112" s="928"/>
    </row>
    <row r="113" spans="11:45">
      <c r="K113" s="957"/>
      <c r="L113" s="928"/>
      <c r="M113" s="928"/>
      <c r="N113" s="960"/>
      <c r="O113" s="960"/>
      <c r="P113" s="960"/>
      <c r="Q113" s="960"/>
      <c r="R113" s="960"/>
      <c r="S113" s="960"/>
      <c r="T113" s="960"/>
      <c r="U113" s="960"/>
      <c r="V113" s="960"/>
      <c r="W113" s="960"/>
      <c r="X113" s="960"/>
      <c r="Y113" s="960"/>
      <c r="Z113" s="960"/>
      <c r="AA113" s="960"/>
      <c r="AB113" s="928"/>
      <c r="AC113" s="928"/>
      <c r="AD113" s="928"/>
      <c r="AE113" s="928"/>
      <c r="AF113" s="928"/>
      <c r="AG113" s="928"/>
      <c r="AH113" s="928"/>
      <c r="AI113" s="928"/>
      <c r="AJ113" s="928"/>
      <c r="AK113" s="928"/>
      <c r="AL113" s="928"/>
      <c r="AM113" s="928"/>
      <c r="AN113" s="928"/>
      <c r="AO113" s="928"/>
      <c r="AP113" s="928"/>
      <c r="AQ113" s="928"/>
      <c r="AR113" s="928"/>
      <c r="AS113" s="928"/>
    </row>
    <row r="114" spans="11:45">
      <c r="K114" s="957"/>
      <c r="L114" s="928"/>
      <c r="M114" s="928"/>
      <c r="N114" s="960"/>
      <c r="O114" s="960"/>
      <c r="P114" s="960"/>
      <c r="Q114" s="960"/>
      <c r="R114" s="960"/>
      <c r="S114" s="960"/>
      <c r="T114" s="960"/>
      <c r="U114" s="960"/>
      <c r="V114" s="960"/>
      <c r="W114" s="960"/>
      <c r="X114" s="960"/>
      <c r="Y114" s="960"/>
      <c r="Z114" s="960"/>
      <c r="AA114" s="960"/>
      <c r="AB114" s="928"/>
      <c r="AC114" s="928"/>
      <c r="AD114" s="928"/>
      <c r="AE114" s="928"/>
      <c r="AF114" s="928"/>
      <c r="AG114" s="928"/>
      <c r="AH114" s="928"/>
      <c r="AI114" s="928"/>
      <c r="AJ114" s="928"/>
      <c r="AK114" s="928"/>
      <c r="AL114" s="928"/>
      <c r="AM114" s="928"/>
      <c r="AN114" s="928"/>
      <c r="AO114" s="928"/>
      <c r="AP114" s="928"/>
      <c r="AQ114" s="928"/>
      <c r="AR114" s="928"/>
      <c r="AS114" s="928"/>
    </row>
    <row r="115" spans="11:45">
      <c r="K115" s="957"/>
      <c r="L115" s="928"/>
      <c r="M115" s="928"/>
      <c r="N115" s="960"/>
      <c r="O115" s="960"/>
      <c r="P115" s="960"/>
      <c r="Q115" s="960"/>
      <c r="R115" s="960"/>
      <c r="S115" s="960"/>
      <c r="T115" s="960"/>
      <c r="U115" s="960"/>
      <c r="V115" s="960"/>
      <c r="W115" s="960"/>
      <c r="X115" s="960"/>
      <c r="Y115" s="960"/>
      <c r="Z115" s="960"/>
      <c r="AA115" s="960"/>
      <c r="AB115" s="928"/>
      <c r="AC115" s="928"/>
      <c r="AD115" s="928"/>
      <c r="AE115" s="928"/>
      <c r="AF115" s="928"/>
      <c r="AG115" s="928"/>
      <c r="AH115" s="928"/>
      <c r="AI115" s="928"/>
      <c r="AJ115" s="928"/>
      <c r="AK115" s="928"/>
      <c r="AL115" s="928"/>
      <c r="AM115" s="928"/>
      <c r="AN115" s="928"/>
      <c r="AO115" s="928"/>
      <c r="AP115" s="928"/>
      <c r="AQ115" s="928"/>
      <c r="AR115" s="928"/>
      <c r="AS115" s="928"/>
    </row>
    <row r="116" spans="11:45">
      <c r="K116" s="957"/>
      <c r="L116" s="928"/>
      <c r="M116" s="928"/>
      <c r="N116" s="960"/>
      <c r="O116" s="960"/>
      <c r="P116" s="960"/>
      <c r="Q116" s="960"/>
      <c r="R116" s="960"/>
      <c r="S116" s="960"/>
      <c r="T116" s="960"/>
      <c r="U116" s="960"/>
      <c r="V116" s="960"/>
      <c r="W116" s="960"/>
      <c r="X116" s="960"/>
      <c r="Y116" s="960"/>
      <c r="Z116" s="960"/>
      <c r="AA116" s="960"/>
      <c r="AB116" s="928"/>
      <c r="AC116" s="928"/>
      <c r="AD116" s="928"/>
      <c r="AE116" s="928"/>
      <c r="AF116" s="928"/>
      <c r="AG116" s="928"/>
      <c r="AH116" s="928"/>
      <c r="AI116" s="928"/>
      <c r="AJ116" s="928"/>
      <c r="AK116" s="928"/>
      <c r="AL116" s="928"/>
      <c r="AM116" s="928"/>
      <c r="AN116" s="928"/>
      <c r="AO116" s="928"/>
      <c r="AP116" s="928"/>
      <c r="AQ116" s="928"/>
      <c r="AR116" s="928"/>
      <c r="AS116" s="928"/>
    </row>
    <row r="117" spans="11:45">
      <c r="K117" s="957"/>
      <c r="L117" s="928"/>
      <c r="M117" s="928"/>
      <c r="N117" s="960"/>
      <c r="O117" s="960"/>
      <c r="P117" s="960"/>
      <c r="Q117" s="960"/>
      <c r="R117" s="960"/>
      <c r="S117" s="960"/>
      <c r="T117" s="960"/>
      <c r="U117" s="960"/>
      <c r="V117" s="960"/>
      <c r="W117" s="960"/>
      <c r="X117" s="960"/>
      <c r="Y117" s="960"/>
      <c r="Z117" s="960"/>
      <c r="AA117" s="960"/>
      <c r="AB117" s="928"/>
      <c r="AC117" s="928"/>
      <c r="AD117" s="928"/>
      <c r="AE117" s="928"/>
      <c r="AF117" s="928"/>
      <c r="AG117" s="928"/>
      <c r="AH117" s="928"/>
      <c r="AI117" s="928"/>
      <c r="AJ117" s="928"/>
      <c r="AK117" s="928"/>
      <c r="AL117" s="928"/>
      <c r="AM117" s="928"/>
      <c r="AN117" s="928"/>
      <c r="AO117" s="928"/>
      <c r="AP117" s="928"/>
      <c r="AQ117" s="928"/>
      <c r="AR117" s="928"/>
      <c r="AS117" s="928"/>
    </row>
    <row r="118" spans="11:45">
      <c r="K118" s="957"/>
      <c r="L118" s="928"/>
      <c r="M118" s="928"/>
      <c r="N118" s="960"/>
      <c r="O118" s="960"/>
      <c r="P118" s="960"/>
      <c r="Q118" s="960"/>
      <c r="R118" s="960"/>
      <c r="S118" s="960"/>
      <c r="T118" s="960"/>
      <c r="U118" s="960"/>
      <c r="V118" s="960"/>
      <c r="W118" s="960"/>
      <c r="X118" s="960"/>
      <c r="Y118" s="960"/>
      <c r="Z118" s="960"/>
      <c r="AA118" s="960"/>
      <c r="AB118" s="928"/>
      <c r="AC118" s="928"/>
      <c r="AD118" s="928"/>
      <c r="AE118" s="928"/>
      <c r="AF118" s="928"/>
      <c r="AG118" s="928"/>
      <c r="AH118" s="928"/>
      <c r="AI118" s="928"/>
      <c r="AJ118" s="928"/>
      <c r="AK118" s="928"/>
      <c r="AL118" s="928"/>
      <c r="AM118" s="928"/>
      <c r="AN118" s="928"/>
      <c r="AO118" s="928"/>
      <c r="AP118" s="928"/>
      <c r="AQ118" s="928"/>
      <c r="AR118" s="928"/>
      <c r="AS118" s="928"/>
    </row>
    <row r="119" spans="11:45">
      <c r="K119" s="957"/>
      <c r="L119" s="928"/>
      <c r="M119" s="928"/>
      <c r="N119" s="960"/>
      <c r="O119" s="960"/>
      <c r="P119" s="960"/>
      <c r="Q119" s="960"/>
      <c r="R119" s="960"/>
      <c r="S119" s="960"/>
      <c r="T119" s="960"/>
      <c r="U119" s="960"/>
      <c r="V119" s="960"/>
      <c r="W119" s="960"/>
      <c r="X119" s="960"/>
      <c r="Y119" s="960"/>
      <c r="Z119" s="960"/>
      <c r="AA119" s="960"/>
      <c r="AB119" s="928"/>
      <c r="AC119" s="928"/>
      <c r="AD119" s="928"/>
      <c r="AE119" s="928"/>
      <c r="AF119" s="928"/>
      <c r="AG119" s="928"/>
      <c r="AH119" s="928"/>
      <c r="AI119" s="928"/>
      <c r="AJ119" s="928"/>
      <c r="AK119" s="928"/>
      <c r="AL119" s="928"/>
      <c r="AM119" s="928"/>
      <c r="AN119" s="928"/>
      <c r="AO119" s="928"/>
      <c r="AP119" s="928"/>
      <c r="AQ119" s="928"/>
      <c r="AR119" s="928"/>
      <c r="AS119" s="928"/>
    </row>
    <row r="120" spans="11:45">
      <c r="K120" s="957"/>
      <c r="L120" s="928"/>
      <c r="M120" s="928"/>
      <c r="N120" s="960"/>
      <c r="O120" s="960"/>
      <c r="P120" s="960"/>
      <c r="Q120" s="960"/>
      <c r="R120" s="960"/>
      <c r="S120" s="960"/>
      <c r="T120" s="960"/>
      <c r="U120" s="960"/>
      <c r="V120" s="960"/>
      <c r="W120" s="960"/>
      <c r="X120" s="960"/>
      <c r="Y120" s="960"/>
      <c r="Z120" s="960"/>
      <c r="AA120" s="960"/>
      <c r="AB120" s="928"/>
      <c r="AC120" s="928"/>
      <c r="AD120" s="928"/>
      <c r="AE120" s="928"/>
      <c r="AF120" s="928"/>
      <c r="AG120" s="928"/>
      <c r="AH120" s="928"/>
      <c r="AI120" s="928"/>
      <c r="AJ120" s="928"/>
      <c r="AK120" s="928"/>
      <c r="AL120" s="928"/>
      <c r="AM120" s="928"/>
      <c r="AN120" s="928"/>
      <c r="AO120" s="928"/>
      <c r="AP120" s="928"/>
      <c r="AQ120" s="928"/>
      <c r="AR120" s="928"/>
      <c r="AS120" s="928"/>
    </row>
    <row r="121" spans="11:45">
      <c r="K121" s="957"/>
      <c r="L121" s="928"/>
      <c r="M121" s="928"/>
      <c r="N121" s="960"/>
      <c r="O121" s="960"/>
      <c r="P121" s="960"/>
      <c r="Q121" s="960"/>
      <c r="R121" s="960"/>
      <c r="S121" s="960"/>
      <c r="T121" s="960"/>
      <c r="U121" s="960"/>
      <c r="V121" s="960"/>
      <c r="W121" s="960"/>
      <c r="X121" s="960"/>
      <c r="Y121" s="960"/>
      <c r="Z121" s="960"/>
      <c r="AA121" s="960"/>
      <c r="AB121" s="928"/>
      <c r="AC121" s="928"/>
      <c r="AD121" s="928"/>
      <c r="AE121" s="928"/>
      <c r="AF121" s="928"/>
      <c r="AG121" s="928"/>
      <c r="AH121" s="928"/>
      <c r="AI121" s="928"/>
      <c r="AJ121" s="928"/>
      <c r="AK121" s="928"/>
      <c r="AL121" s="928"/>
      <c r="AM121" s="928"/>
      <c r="AN121" s="928"/>
      <c r="AO121" s="928"/>
      <c r="AP121" s="928"/>
      <c r="AQ121" s="928"/>
      <c r="AR121" s="928"/>
      <c r="AS121" s="928"/>
    </row>
    <row r="122" spans="11:45">
      <c r="K122" s="957"/>
      <c r="L122" s="928"/>
      <c r="M122" s="928"/>
      <c r="N122" s="960"/>
      <c r="O122" s="960"/>
      <c r="P122" s="960"/>
      <c r="Q122" s="960"/>
      <c r="R122" s="960"/>
      <c r="S122" s="960"/>
      <c r="T122" s="960"/>
      <c r="U122" s="960"/>
      <c r="V122" s="960"/>
      <c r="W122" s="960"/>
      <c r="X122" s="960"/>
      <c r="Y122" s="960"/>
      <c r="Z122" s="960"/>
      <c r="AA122" s="960"/>
      <c r="AB122" s="928"/>
      <c r="AC122" s="928"/>
      <c r="AD122" s="928"/>
      <c r="AE122" s="928"/>
      <c r="AF122" s="928"/>
      <c r="AG122" s="928"/>
      <c r="AH122" s="928"/>
      <c r="AI122" s="928"/>
      <c r="AJ122" s="928"/>
      <c r="AK122" s="928"/>
      <c r="AL122" s="928"/>
      <c r="AM122" s="928"/>
      <c r="AN122" s="928"/>
      <c r="AO122" s="928"/>
      <c r="AP122" s="928"/>
      <c r="AQ122" s="928"/>
      <c r="AR122" s="928"/>
      <c r="AS122" s="928"/>
    </row>
    <row r="123" spans="11:45">
      <c r="K123" s="957"/>
      <c r="L123" s="928"/>
      <c r="M123" s="928"/>
      <c r="N123" s="960"/>
      <c r="O123" s="960"/>
      <c r="P123" s="960"/>
      <c r="Q123" s="960"/>
      <c r="R123" s="960"/>
      <c r="S123" s="960"/>
      <c r="T123" s="960"/>
      <c r="U123" s="960"/>
      <c r="V123" s="960"/>
      <c r="W123" s="960"/>
      <c r="X123" s="960"/>
      <c r="Y123" s="960"/>
      <c r="Z123" s="960"/>
      <c r="AA123" s="960"/>
      <c r="AB123" s="928"/>
      <c r="AC123" s="928"/>
      <c r="AD123" s="928"/>
      <c r="AE123" s="928"/>
      <c r="AF123" s="928"/>
      <c r="AG123" s="928"/>
      <c r="AH123" s="928"/>
      <c r="AI123" s="928"/>
      <c r="AJ123" s="928"/>
      <c r="AK123" s="928"/>
      <c r="AL123" s="928"/>
      <c r="AM123" s="928"/>
      <c r="AN123" s="928"/>
      <c r="AO123" s="928"/>
      <c r="AP123" s="928"/>
      <c r="AQ123" s="928"/>
      <c r="AR123" s="928"/>
      <c r="AS123" s="928"/>
    </row>
    <row r="124" spans="11:45">
      <c r="K124" s="957"/>
      <c r="L124" s="928"/>
      <c r="M124" s="928"/>
      <c r="N124" s="960"/>
      <c r="O124" s="960"/>
      <c r="P124" s="960"/>
      <c r="Q124" s="960"/>
      <c r="R124" s="960"/>
      <c r="S124" s="960"/>
      <c r="T124" s="960"/>
      <c r="U124" s="960"/>
      <c r="V124" s="960"/>
      <c r="W124" s="960"/>
      <c r="X124" s="960"/>
      <c r="Y124" s="960"/>
      <c r="Z124" s="960"/>
      <c r="AA124" s="960"/>
      <c r="AB124" s="928"/>
      <c r="AC124" s="928"/>
      <c r="AD124" s="928"/>
      <c r="AE124" s="928"/>
      <c r="AF124" s="928"/>
      <c r="AG124" s="928"/>
      <c r="AH124" s="928"/>
      <c r="AI124" s="928"/>
      <c r="AJ124" s="928"/>
      <c r="AK124" s="928"/>
      <c r="AL124" s="928"/>
      <c r="AM124" s="928"/>
      <c r="AN124" s="928"/>
      <c r="AO124" s="928"/>
      <c r="AP124" s="928"/>
      <c r="AQ124" s="928"/>
      <c r="AR124" s="928"/>
      <c r="AS124" s="928"/>
    </row>
    <row r="125" spans="11:45">
      <c r="K125" s="957"/>
      <c r="L125" s="928"/>
      <c r="M125" s="928"/>
      <c r="N125" s="960"/>
      <c r="O125" s="960"/>
      <c r="P125" s="960"/>
      <c r="Q125" s="960"/>
      <c r="R125" s="960"/>
      <c r="S125" s="960"/>
      <c r="T125" s="960"/>
      <c r="U125" s="960"/>
      <c r="V125" s="960"/>
      <c r="W125" s="960"/>
      <c r="X125" s="960"/>
      <c r="Y125" s="960"/>
      <c r="Z125" s="960"/>
      <c r="AA125" s="960"/>
      <c r="AB125" s="928"/>
      <c r="AC125" s="928"/>
      <c r="AD125" s="928"/>
      <c r="AE125" s="928"/>
      <c r="AF125" s="928"/>
      <c r="AG125" s="928"/>
      <c r="AH125" s="928"/>
      <c r="AI125" s="928"/>
      <c r="AJ125" s="928"/>
      <c r="AK125" s="928"/>
      <c r="AL125" s="928"/>
      <c r="AM125" s="928"/>
      <c r="AN125" s="928"/>
      <c r="AO125" s="928"/>
      <c r="AP125" s="928"/>
      <c r="AQ125" s="928"/>
      <c r="AR125" s="928"/>
      <c r="AS125" s="928"/>
    </row>
    <row r="126" spans="11:45">
      <c r="K126" s="957"/>
      <c r="L126" s="928"/>
      <c r="M126" s="928"/>
      <c r="N126" s="960"/>
      <c r="O126" s="960"/>
      <c r="P126" s="960"/>
      <c r="Q126" s="960"/>
      <c r="R126" s="960"/>
      <c r="S126" s="960"/>
      <c r="T126" s="960"/>
      <c r="U126" s="960"/>
      <c r="V126" s="960"/>
      <c r="W126" s="960"/>
      <c r="X126" s="960"/>
      <c r="Y126" s="960"/>
      <c r="Z126" s="960"/>
      <c r="AA126" s="960"/>
      <c r="AB126" s="928"/>
      <c r="AC126" s="928"/>
      <c r="AD126" s="928"/>
      <c r="AE126" s="928"/>
      <c r="AF126" s="928"/>
      <c r="AG126" s="928"/>
      <c r="AH126" s="928"/>
      <c r="AI126" s="928"/>
      <c r="AJ126" s="928"/>
      <c r="AK126" s="928"/>
      <c r="AL126" s="928"/>
      <c r="AM126" s="928"/>
      <c r="AN126" s="928"/>
      <c r="AO126" s="928"/>
      <c r="AP126" s="928"/>
      <c r="AQ126" s="928"/>
      <c r="AR126" s="928"/>
      <c r="AS126" s="928"/>
    </row>
    <row r="127" spans="11:45">
      <c r="K127" s="957"/>
      <c r="L127" s="928"/>
      <c r="M127" s="928"/>
      <c r="N127" s="960"/>
      <c r="O127" s="960"/>
      <c r="P127" s="960"/>
      <c r="Q127" s="960"/>
      <c r="R127" s="960"/>
      <c r="S127" s="960"/>
      <c r="T127" s="960"/>
      <c r="U127" s="960"/>
      <c r="V127" s="960"/>
      <c r="W127" s="960"/>
      <c r="X127" s="960"/>
      <c r="Y127" s="960"/>
      <c r="Z127" s="960"/>
      <c r="AA127" s="960"/>
      <c r="AB127" s="928"/>
      <c r="AC127" s="928"/>
      <c r="AD127" s="928"/>
      <c r="AE127" s="928"/>
      <c r="AF127" s="928"/>
      <c r="AG127" s="928"/>
      <c r="AH127" s="928"/>
      <c r="AI127" s="928"/>
      <c r="AJ127" s="928"/>
      <c r="AK127" s="928"/>
      <c r="AL127" s="928"/>
      <c r="AM127" s="928"/>
      <c r="AN127" s="928"/>
      <c r="AO127" s="928"/>
      <c r="AP127" s="928"/>
      <c r="AQ127" s="928"/>
      <c r="AR127" s="928"/>
      <c r="AS127" s="928"/>
    </row>
    <row r="128" spans="11:45">
      <c r="K128" s="957"/>
      <c r="L128" s="928"/>
      <c r="M128" s="928"/>
      <c r="N128" s="960"/>
      <c r="O128" s="960"/>
      <c r="P128" s="960"/>
      <c r="Q128" s="960"/>
      <c r="R128" s="960"/>
      <c r="S128" s="960"/>
      <c r="T128" s="960"/>
      <c r="U128" s="960"/>
      <c r="V128" s="960"/>
      <c r="W128" s="960"/>
      <c r="X128" s="960"/>
      <c r="Y128" s="960"/>
      <c r="Z128" s="960"/>
      <c r="AA128" s="960"/>
      <c r="AB128" s="928"/>
      <c r="AC128" s="928"/>
      <c r="AD128" s="928"/>
      <c r="AE128" s="928"/>
      <c r="AF128" s="928"/>
      <c r="AG128" s="928"/>
      <c r="AH128" s="928"/>
      <c r="AI128" s="928"/>
      <c r="AJ128" s="928"/>
      <c r="AK128" s="928"/>
      <c r="AL128" s="928"/>
      <c r="AM128" s="928"/>
      <c r="AN128" s="928"/>
      <c r="AO128" s="928"/>
      <c r="AP128" s="928"/>
      <c r="AQ128" s="928"/>
      <c r="AR128" s="928"/>
      <c r="AS128" s="928"/>
    </row>
    <row r="129" spans="11:45">
      <c r="K129" s="957"/>
      <c r="L129" s="928"/>
      <c r="M129" s="928"/>
      <c r="N129" s="960"/>
      <c r="O129" s="960"/>
      <c r="P129" s="960"/>
      <c r="Q129" s="960"/>
      <c r="R129" s="960"/>
      <c r="S129" s="960"/>
      <c r="T129" s="960"/>
      <c r="U129" s="960"/>
      <c r="V129" s="960"/>
      <c r="W129" s="960"/>
      <c r="X129" s="960"/>
      <c r="Y129" s="960"/>
      <c r="Z129" s="960"/>
      <c r="AA129" s="960"/>
      <c r="AB129" s="928"/>
      <c r="AC129" s="928"/>
      <c r="AD129" s="928"/>
      <c r="AE129" s="928"/>
      <c r="AF129" s="928"/>
      <c r="AG129" s="928"/>
      <c r="AH129" s="928"/>
      <c r="AI129" s="928"/>
      <c r="AJ129" s="928"/>
      <c r="AK129" s="928"/>
      <c r="AL129" s="928"/>
      <c r="AM129" s="928"/>
      <c r="AN129" s="928"/>
      <c r="AO129" s="928"/>
      <c r="AP129" s="928"/>
      <c r="AQ129" s="928"/>
      <c r="AR129" s="928"/>
      <c r="AS129" s="928"/>
    </row>
    <row r="130" spans="11:45">
      <c r="K130" s="957"/>
      <c r="L130" s="928"/>
      <c r="M130" s="928"/>
      <c r="N130" s="960"/>
      <c r="O130" s="960"/>
      <c r="P130" s="960"/>
      <c r="Q130" s="960"/>
      <c r="R130" s="960"/>
      <c r="S130" s="960"/>
      <c r="T130" s="960"/>
      <c r="U130" s="960"/>
      <c r="V130" s="960"/>
      <c r="W130" s="960"/>
      <c r="X130" s="960"/>
      <c r="Y130" s="960"/>
      <c r="Z130" s="960"/>
      <c r="AA130" s="960"/>
      <c r="AB130" s="928"/>
      <c r="AC130" s="928"/>
      <c r="AD130" s="928"/>
      <c r="AE130" s="928"/>
      <c r="AF130" s="928"/>
      <c r="AG130" s="928"/>
      <c r="AH130" s="928"/>
      <c r="AI130" s="928"/>
      <c r="AJ130" s="928"/>
      <c r="AK130" s="928"/>
      <c r="AL130" s="928"/>
      <c r="AM130" s="928"/>
      <c r="AN130" s="928"/>
      <c r="AO130" s="928"/>
      <c r="AP130" s="928"/>
      <c r="AQ130" s="928"/>
      <c r="AR130" s="928"/>
      <c r="AS130" s="928"/>
    </row>
    <row r="131" spans="11:45">
      <c r="K131" s="957"/>
      <c r="L131" s="928"/>
      <c r="M131" s="928"/>
      <c r="N131" s="960"/>
      <c r="O131" s="960"/>
      <c r="P131" s="960"/>
      <c r="Q131" s="960"/>
      <c r="R131" s="960"/>
      <c r="S131" s="960"/>
      <c r="T131" s="960"/>
      <c r="U131" s="960"/>
      <c r="V131" s="960"/>
      <c r="W131" s="960"/>
      <c r="X131" s="960"/>
      <c r="Y131" s="960"/>
      <c r="Z131" s="960"/>
      <c r="AA131" s="960"/>
      <c r="AB131" s="928"/>
      <c r="AC131" s="928"/>
      <c r="AD131" s="928"/>
      <c r="AE131" s="928"/>
      <c r="AF131" s="928"/>
      <c r="AG131" s="928"/>
      <c r="AH131" s="928"/>
      <c r="AI131" s="928"/>
      <c r="AJ131" s="928"/>
      <c r="AK131" s="928"/>
      <c r="AL131" s="928"/>
      <c r="AM131" s="928"/>
      <c r="AN131" s="928"/>
      <c r="AO131" s="928"/>
      <c r="AP131" s="928"/>
      <c r="AQ131" s="928"/>
      <c r="AR131" s="928"/>
      <c r="AS131" s="928"/>
    </row>
    <row r="132" spans="11:45">
      <c r="K132" s="957"/>
      <c r="L132" s="928"/>
      <c r="M132" s="928"/>
      <c r="N132" s="960"/>
      <c r="O132" s="960"/>
      <c r="P132" s="960"/>
      <c r="Q132" s="960"/>
      <c r="R132" s="960"/>
      <c r="S132" s="960"/>
      <c r="T132" s="960"/>
      <c r="U132" s="960"/>
      <c r="V132" s="960"/>
      <c r="W132" s="960"/>
      <c r="X132" s="960"/>
      <c r="Y132" s="960"/>
      <c r="Z132" s="960"/>
      <c r="AA132" s="960"/>
      <c r="AB132" s="928"/>
      <c r="AC132" s="928"/>
      <c r="AD132" s="928"/>
      <c r="AE132" s="928"/>
      <c r="AF132" s="928"/>
      <c r="AG132" s="928"/>
      <c r="AH132" s="928"/>
      <c r="AI132" s="928"/>
      <c r="AJ132" s="928"/>
      <c r="AK132" s="928"/>
      <c r="AL132" s="928"/>
      <c r="AM132" s="928"/>
      <c r="AN132" s="928"/>
      <c r="AO132" s="928"/>
      <c r="AP132" s="928"/>
      <c r="AQ132" s="928"/>
      <c r="AR132" s="928"/>
      <c r="AS132" s="928"/>
    </row>
    <row r="133" spans="11:45">
      <c r="K133" s="957"/>
      <c r="L133" s="928"/>
      <c r="M133" s="928"/>
      <c r="N133" s="960"/>
      <c r="O133" s="960"/>
      <c r="P133" s="960"/>
      <c r="Q133" s="960"/>
      <c r="R133" s="960"/>
      <c r="S133" s="960"/>
      <c r="T133" s="960"/>
      <c r="U133" s="960"/>
      <c r="V133" s="960"/>
      <c r="W133" s="960"/>
      <c r="X133" s="960"/>
      <c r="Y133" s="960"/>
      <c r="Z133" s="960"/>
      <c r="AA133" s="960"/>
      <c r="AB133" s="928"/>
      <c r="AC133" s="928"/>
      <c r="AD133" s="928"/>
      <c r="AE133" s="928"/>
      <c r="AF133" s="928"/>
      <c r="AG133" s="928"/>
      <c r="AH133" s="928"/>
      <c r="AI133" s="928"/>
      <c r="AJ133" s="928"/>
      <c r="AK133" s="928"/>
      <c r="AL133" s="928"/>
      <c r="AM133" s="928"/>
      <c r="AN133" s="928"/>
      <c r="AO133" s="928"/>
      <c r="AP133" s="928"/>
      <c r="AQ133" s="928"/>
      <c r="AR133" s="928"/>
      <c r="AS133" s="928"/>
    </row>
    <row r="134" spans="11:45">
      <c r="K134" s="957"/>
      <c r="L134" s="928"/>
      <c r="M134" s="928"/>
      <c r="N134" s="960"/>
      <c r="O134" s="960"/>
      <c r="P134" s="960"/>
      <c r="Q134" s="960"/>
      <c r="R134" s="960"/>
      <c r="S134" s="960"/>
      <c r="T134" s="960"/>
      <c r="U134" s="960"/>
      <c r="V134" s="960"/>
      <c r="W134" s="960"/>
      <c r="X134" s="960"/>
      <c r="Y134" s="960"/>
      <c r="Z134" s="960"/>
      <c r="AA134" s="960"/>
      <c r="AB134" s="928"/>
      <c r="AC134" s="928"/>
      <c r="AD134" s="928"/>
      <c r="AE134" s="928"/>
      <c r="AF134" s="928"/>
      <c r="AG134" s="928"/>
      <c r="AH134" s="928"/>
      <c r="AI134" s="928"/>
      <c r="AJ134" s="928"/>
      <c r="AK134" s="928"/>
      <c r="AL134" s="928"/>
      <c r="AM134" s="928"/>
      <c r="AN134" s="928"/>
      <c r="AO134" s="928"/>
      <c r="AP134" s="928"/>
      <c r="AQ134" s="928"/>
      <c r="AR134" s="928"/>
      <c r="AS134" s="928"/>
    </row>
    <row r="135" spans="11:45">
      <c r="K135" s="957"/>
      <c r="L135" s="928"/>
      <c r="M135" s="928"/>
      <c r="N135" s="960"/>
      <c r="O135" s="960"/>
      <c r="P135" s="960"/>
      <c r="Q135" s="960"/>
      <c r="R135" s="960"/>
      <c r="S135" s="960"/>
      <c r="T135" s="960"/>
      <c r="U135" s="960"/>
      <c r="V135" s="960"/>
      <c r="W135" s="960"/>
      <c r="X135" s="960"/>
      <c r="Y135" s="960"/>
      <c r="Z135" s="960"/>
      <c r="AA135" s="960"/>
      <c r="AB135" s="928"/>
      <c r="AC135" s="928"/>
      <c r="AD135" s="928"/>
      <c r="AE135" s="928"/>
      <c r="AF135" s="928"/>
      <c r="AG135" s="928"/>
      <c r="AH135" s="928"/>
      <c r="AI135" s="928"/>
      <c r="AJ135" s="928"/>
      <c r="AK135" s="928"/>
      <c r="AL135" s="928"/>
      <c r="AM135" s="928"/>
      <c r="AN135" s="928"/>
      <c r="AO135" s="928"/>
      <c r="AP135" s="928"/>
      <c r="AQ135" s="928"/>
      <c r="AR135" s="928"/>
      <c r="AS135" s="928"/>
    </row>
    <row r="136" spans="11:45">
      <c r="K136" s="957"/>
      <c r="L136" s="928"/>
      <c r="M136" s="928"/>
      <c r="N136" s="960"/>
      <c r="O136" s="960"/>
      <c r="P136" s="960"/>
      <c r="Q136" s="960"/>
      <c r="R136" s="960"/>
      <c r="S136" s="960"/>
      <c r="T136" s="960"/>
      <c r="U136" s="960"/>
      <c r="V136" s="960"/>
      <c r="W136" s="960"/>
      <c r="X136" s="960"/>
      <c r="Y136" s="960"/>
      <c r="Z136" s="960"/>
      <c r="AA136" s="960"/>
      <c r="AB136" s="928"/>
      <c r="AC136" s="928"/>
      <c r="AD136" s="928"/>
      <c r="AE136" s="928"/>
      <c r="AF136" s="928"/>
      <c r="AG136" s="928"/>
      <c r="AH136" s="928"/>
      <c r="AI136" s="928"/>
      <c r="AJ136" s="928"/>
      <c r="AK136" s="928"/>
      <c r="AL136" s="928"/>
      <c r="AM136" s="928"/>
      <c r="AN136" s="928"/>
      <c r="AO136" s="928"/>
      <c r="AP136" s="928"/>
      <c r="AQ136" s="928"/>
      <c r="AR136" s="928"/>
      <c r="AS136" s="928"/>
    </row>
    <row r="137" spans="11:45">
      <c r="K137" s="957"/>
      <c r="L137" s="928"/>
      <c r="M137" s="928"/>
      <c r="N137" s="960"/>
      <c r="O137" s="960"/>
      <c r="P137" s="960"/>
      <c r="Q137" s="960"/>
      <c r="R137" s="960"/>
      <c r="S137" s="960"/>
      <c r="T137" s="960"/>
      <c r="U137" s="960"/>
      <c r="V137" s="960"/>
      <c r="W137" s="960"/>
      <c r="X137" s="960"/>
      <c r="Y137" s="960"/>
      <c r="Z137" s="960"/>
      <c r="AA137" s="960"/>
      <c r="AB137" s="928"/>
      <c r="AC137" s="928"/>
      <c r="AD137" s="928"/>
      <c r="AE137" s="928"/>
      <c r="AF137" s="928"/>
      <c r="AG137" s="928"/>
      <c r="AH137" s="928"/>
      <c r="AI137" s="928"/>
      <c r="AJ137" s="928"/>
      <c r="AK137" s="928"/>
      <c r="AL137" s="928"/>
      <c r="AM137" s="928"/>
      <c r="AN137" s="928"/>
      <c r="AO137" s="928"/>
      <c r="AP137" s="928"/>
      <c r="AQ137" s="928"/>
      <c r="AR137" s="928"/>
      <c r="AS137" s="928"/>
    </row>
    <row r="138" spans="11:45">
      <c r="K138" s="957"/>
      <c r="L138" s="928"/>
      <c r="M138" s="928"/>
      <c r="N138" s="960"/>
      <c r="O138" s="960"/>
      <c r="P138" s="960"/>
      <c r="Q138" s="960"/>
      <c r="R138" s="960"/>
      <c r="S138" s="960"/>
      <c r="T138" s="960"/>
      <c r="U138" s="960"/>
      <c r="V138" s="960"/>
      <c r="W138" s="960"/>
      <c r="X138" s="960"/>
      <c r="Y138" s="960"/>
      <c r="Z138" s="960"/>
      <c r="AA138" s="960"/>
      <c r="AB138" s="928"/>
      <c r="AC138" s="928"/>
      <c r="AD138" s="928"/>
      <c r="AE138" s="928"/>
      <c r="AF138" s="928"/>
      <c r="AG138" s="928"/>
      <c r="AH138" s="928"/>
      <c r="AI138" s="928"/>
      <c r="AJ138" s="928"/>
      <c r="AK138" s="928"/>
      <c r="AL138" s="928"/>
      <c r="AM138" s="928"/>
      <c r="AN138" s="928"/>
      <c r="AO138" s="928"/>
      <c r="AP138" s="928"/>
      <c r="AQ138" s="928"/>
      <c r="AR138" s="928"/>
      <c r="AS138" s="928"/>
    </row>
    <row r="139" spans="11:45">
      <c r="K139" s="957"/>
      <c r="L139" s="928"/>
      <c r="M139" s="928"/>
      <c r="N139" s="960"/>
      <c r="O139" s="960"/>
      <c r="P139" s="960"/>
      <c r="Q139" s="960"/>
      <c r="R139" s="960"/>
      <c r="S139" s="960"/>
      <c r="T139" s="960"/>
      <c r="U139" s="960"/>
      <c r="V139" s="960"/>
      <c r="W139" s="960"/>
      <c r="X139" s="960"/>
      <c r="Y139" s="960"/>
      <c r="Z139" s="960"/>
      <c r="AA139" s="960"/>
      <c r="AB139" s="928"/>
      <c r="AC139" s="928"/>
      <c r="AD139" s="928"/>
      <c r="AE139" s="928"/>
      <c r="AF139" s="928"/>
      <c r="AG139" s="928"/>
      <c r="AH139" s="928"/>
      <c r="AI139" s="928"/>
      <c r="AJ139" s="928"/>
      <c r="AK139" s="928"/>
      <c r="AL139" s="928"/>
      <c r="AM139" s="928"/>
      <c r="AN139" s="928"/>
      <c r="AO139" s="928"/>
      <c r="AP139" s="928"/>
      <c r="AQ139" s="928"/>
      <c r="AR139" s="928"/>
      <c r="AS139" s="928"/>
    </row>
    <row r="140" spans="11:45">
      <c r="K140" s="957"/>
      <c r="L140" s="928"/>
      <c r="M140" s="928"/>
      <c r="N140" s="960"/>
      <c r="O140" s="960"/>
      <c r="P140" s="960"/>
      <c r="Q140" s="960"/>
      <c r="R140" s="960"/>
      <c r="S140" s="960"/>
      <c r="T140" s="960"/>
      <c r="U140" s="960"/>
      <c r="V140" s="960"/>
      <c r="W140" s="960"/>
      <c r="X140" s="960"/>
      <c r="Y140" s="960"/>
      <c r="Z140" s="960"/>
      <c r="AA140" s="960"/>
      <c r="AB140" s="928"/>
      <c r="AC140" s="928"/>
      <c r="AD140" s="928"/>
      <c r="AE140" s="928"/>
      <c r="AF140" s="928"/>
      <c r="AG140" s="928"/>
      <c r="AH140" s="928"/>
      <c r="AI140" s="928"/>
      <c r="AJ140" s="928"/>
      <c r="AK140" s="928"/>
      <c r="AL140" s="928"/>
      <c r="AM140" s="928"/>
      <c r="AN140" s="928"/>
      <c r="AO140" s="928"/>
      <c r="AP140" s="928"/>
      <c r="AQ140" s="928"/>
      <c r="AR140" s="928"/>
      <c r="AS140" s="928"/>
    </row>
    <row r="141" spans="11:45">
      <c r="K141" s="957"/>
      <c r="L141" s="928"/>
      <c r="M141" s="928"/>
      <c r="N141" s="960"/>
      <c r="O141" s="960"/>
      <c r="P141" s="960"/>
      <c r="Q141" s="960"/>
      <c r="R141" s="960"/>
      <c r="S141" s="960"/>
      <c r="T141" s="960"/>
      <c r="U141" s="960"/>
      <c r="V141" s="960"/>
      <c r="W141" s="960"/>
      <c r="X141" s="960"/>
      <c r="Y141" s="960"/>
      <c r="Z141" s="960"/>
      <c r="AA141" s="960"/>
      <c r="AB141" s="928"/>
      <c r="AC141" s="928"/>
      <c r="AD141" s="928"/>
      <c r="AE141" s="928"/>
      <c r="AF141" s="928"/>
      <c r="AG141" s="928"/>
      <c r="AH141" s="928"/>
      <c r="AI141" s="928"/>
      <c r="AJ141" s="928"/>
      <c r="AK141" s="928"/>
      <c r="AL141" s="928"/>
      <c r="AM141" s="928"/>
      <c r="AN141" s="928"/>
      <c r="AO141" s="928"/>
      <c r="AP141" s="928"/>
      <c r="AQ141" s="928"/>
      <c r="AR141" s="928"/>
      <c r="AS141" s="928"/>
    </row>
    <row r="142" spans="11:45">
      <c r="K142" s="957"/>
      <c r="L142" s="928"/>
      <c r="M142" s="928"/>
      <c r="N142" s="960"/>
      <c r="O142" s="960"/>
      <c r="P142" s="960"/>
      <c r="Q142" s="960"/>
      <c r="R142" s="960"/>
      <c r="S142" s="960"/>
      <c r="T142" s="960"/>
      <c r="U142" s="960"/>
      <c r="V142" s="960"/>
      <c r="W142" s="960"/>
      <c r="X142" s="960"/>
      <c r="Y142" s="960"/>
      <c r="Z142" s="960"/>
      <c r="AA142" s="960"/>
      <c r="AB142" s="928"/>
      <c r="AC142" s="928"/>
      <c r="AD142" s="928"/>
      <c r="AE142" s="928"/>
      <c r="AF142" s="928"/>
      <c r="AG142" s="928"/>
      <c r="AH142" s="928"/>
      <c r="AI142" s="928"/>
      <c r="AJ142" s="928"/>
      <c r="AK142" s="928"/>
      <c r="AL142" s="928"/>
      <c r="AM142" s="928"/>
      <c r="AN142" s="928"/>
      <c r="AO142" s="928"/>
      <c r="AP142" s="928"/>
      <c r="AQ142" s="928"/>
      <c r="AR142" s="928"/>
      <c r="AS142" s="928"/>
    </row>
    <row r="143" spans="11:45">
      <c r="K143" s="957"/>
      <c r="L143" s="928"/>
      <c r="M143" s="928"/>
      <c r="N143" s="960"/>
      <c r="O143" s="960"/>
      <c r="P143" s="960"/>
      <c r="Q143" s="960"/>
      <c r="R143" s="960"/>
      <c r="S143" s="960"/>
      <c r="T143" s="960"/>
      <c r="U143" s="960"/>
      <c r="V143" s="960"/>
      <c r="W143" s="960"/>
      <c r="X143" s="960"/>
      <c r="Y143" s="960"/>
      <c r="Z143" s="960"/>
      <c r="AA143" s="960"/>
      <c r="AB143" s="928"/>
      <c r="AC143" s="928"/>
      <c r="AD143" s="928"/>
      <c r="AE143" s="928"/>
      <c r="AF143" s="928"/>
      <c r="AG143" s="928"/>
      <c r="AH143" s="928"/>
      <c r="AI143" s="928"/>
      <c r="AJ143" s="928"/>
      <c r="AK143" s="928"/>
      <c r="AL143" s="928"/>
      <c r="AM143" s="928"/>
      <c r="AN143" s="928"/>
      <c r="AO143" s="928"/>
      <c r="AP143" s="928"/>
      <c r="AQ143" s="928"/>
      <c r="AR143" s="928"/>
      <c r="AS143" s="928"/>
    </row>
    <row r="144" spans="11:45">
      <c r="K144" s="957"/>
      <c r="L144" s="928"/>
      <c r="M144" s="928"/>
      <c r="N144" s="960"/>
      <c r="O144" s="960"/>
      <c r="P144" s="960"/>
      <c r="Q144" s="960"/>
      <c r="R144" s="960"/>
      <c r="S144" s="960"/>
      <c r="T144" s="960"/>
      <c r="U144" s="960"/>
      <c r="V144" s="960"/>
      <c r="W144" s="960"/>
      <c r="X144" s="960"/>
      <c r="Y144" s="960"/>
      <c r="Z144" s="960"/>
      <c r="AA144" s="960"/>
      <c r="AB144" s="928"/>
      <c r="AC144" s="928"/>
      <c r="AD144" s="928"/>
      <c r="AE144" s="928"/>
      <c r="AF144" s="928"/>
      <c r="AG144" s="928"/>
      <c r="AH144" s="928"/>
      <c r="AI144" s="928"/>
      <c r="AJ144" s="928"/>
      <c r="AK144" s="928"/>
      <c r="AL144" s="928"/>
      <c r="AM144" s="928"/>
      <c r="AN144" s="928"/>
      <c r="AO144" s="928"/>
      <c r="AP144" s="928"/>
      <c r="AQ144" s="928"/>
      <c r="AR144" s="928"/>
      <c r="AS144" s="928"/>
    </row>
    <row r="145" spans="11:45">
      <c r="K145" s="957"/>
      <c r="L145" s="928"/>
      <c r="M145" s="928"/>
      <c r="N145" s="960"/>
      <c r="O145" s="960"/>
      <c r="P145" s="960"/>
      <c r="Q145" s="960"/>
      <c r="R145" s="960"/>
      <c r="S145" s="960"/>
      <c r="T145" s="960"/>
      <c r="U145" s="960"/>
      <c r="V145" s="960"/>
      <c r="W145" s="960"/>
      <c r="X145" s="960"/>
      <c r="Y145" s="960"/>
      <c r="Z145" s="960"/>
      <c r="AA145" s="960"/>
      <c r="AB145" s="928"/>
      <c r="AC145" s="928"/>
      <c r="AD145" s="928"/>
      <c r="AE145" s="928"/>
      <c r="AF145" s="928"/>
      <c r="AG145" s="928"/>
      <c r="AH145" s="928"/>
      <c r="AI145" s="928"/>
      <c r="AJ145" s="928"/>
      <c r="AK145" s="928"/>
      <c r="AL145" s="928"/>
      <c r="AM145" s="928"/>
      <c r="AN145" s="928"/>
      <c r="AO145" s="928"/>
      <c r="AP145" s="928"/>
      <c r="AQ145" s="928"/>
      <c r="AR145" s="928"/>
      <c r="AS145" s="928"/>
    </row>
    <row r="146" spans="11:45">
      <c r="K146" s="957"/>
      <c r="L146" s="928"/>
      <c r="M146" s="928"/>
      <c r="N146" s="960"/>
      <c r="O146" s="960"/>
      <c r="P146" s="960"/>
      <c r="Q146" s="960"/>
      <c r="R146" s="960"/>
      <c r="S146" s="960"/>
      <c r="T146" s="960"/>
      <c r="U146" s="960"/>
      <c r="V146" s="960"/>
      <c r="W146" s="960"/>
      <c r="X146" s="960"/>
      <c r="Y146" s="960"/>
      <c r="Z146" s="960"/>
      <c r="AA146" s="960"/>
      <c r="AB146" s="928"/>
      <c r="AC146" s="928"/>
      <c r="AD146" s="928"/>
      <c r="AE146" s="928"/>
      <c r="AF146" s="928"/>
      <c r="AG146" s="928"/>
      <c r="AH146" s="928"/>
      <c r="AI146" s="928"/>
      <c r="AJ146" s="928"/>
      <c r="AK146" s="928"/>
      <c r="AL146" s="928"/>
      <c r="AM146" s="928"/>
      <c r="AN146" s="928"/>
      <c r="AO146" s="928"/>
      <c r="AP146" s="928"/>
      <c r="AQ146" s="928"/>
      <c r="AR146" s="928"/>
      <c r="AS146" s="928"/>
    </row>
    <row r="147" spans="11:45">
      <c r="K147" s="957"/>
      <c r="L147" s="928"/>
      <c r="M147" s="928"/>
      <c r="N147" s="960"/>
      <c r="O147" s="960"/>
      <c r="P147" s="960"/>
      <c r="Q147" s="960"/>
      <c r="R147" s="960"/>
      <c r="S147" s="960"/>
      <c r="T147" s="960"/>
      <c r="U147" s="960"/>
      <c r="V147" s="960"/>
      <c r="W147" s="960"/>
      <c r="X147" s="960"/>
      <c r="Y147" s="960"/>
      <c r="Z147" s="960"/>
      <c r="AA147" s="960"/>
      <c r="AB147" s="928"/>
      <c r="AC147" s="928"/>
      <c r="AD147" s="928"/>
      <c r="AE147" s="928"/>
      <c r="AF147" s="928"/>
      <c r="AG147" s="928"/>
      <c r="AH147" s="928"/>
      <c r="AI147" s="928"/>
      <c r="AJ147" s="928"/>
      <c r="AK147" s="928"/>
      <c r="AL147" s="928"/>
      <c r="AM147" s="928"/>
      <c r="AN147" s="928"/>
      <c r="AO147" s="928"/>
      <c r="AP147" s="928"/>
      <c r="AQ147" s="928"/>
      <c r="AR147" s="928"/>
      <c r="AS147" s="928"/>
    </row>
    <row r="148" spans="11:45">
      <c r="K148" s="957"/>
      <c r="L148" s="928"/>
      <c r="M148" s="928"/>
      <c r="N148" s="960"/>
      <c r="O148" s="960"/>
      <c r="P148" s="960"/>
      <c r="Q148" s="960"/>
      <c r="R148" s="960"/>
      <c r="S148" s="960"/>
      <c r="T148" s="960"/>
      <c r="U148" s="960"/>
      <c r="V148" s="960"/>
      <c r="W148" s="960"/>
      <c r="X148" s="960"/>
      <c r="Y148" s="960"/>
      <c r="Z148" s="960"/>
      <c r="AA148" s="960"/>
      <c r="AB148" s="928"/>
      <c r="AC148" s="928"/>
      <c r="AD148" s="928"/>
      <c r="AE148" s="928"/>
      <c r="AF148" s="928"/>
      <c r="AG148" s="928"/>
      <c r="AH148" s="928"/>
      <c r="AI148" s="928"/>
      <c r="AJ148" s="928"/>
      <c r="AK148" s="928"/>
      <c r="AL148" s="928"/>
      <c r="AM148" s="928"/>
      <c r="AN148" s="928"/>
      <c r="AO148" s="928"/>
      <c r="AP148" s="928"/>
      <c r="AQ148" s="928"/>
      <c r="AR148" s="928"/>
      <c r="AS148" s="928"/>
    </row>
    <row r="149" spans="11:45">
      <c r="K149" s="957"/>
      <c r="L149" s="928"/>
      <c r="M149" s="928"/>
      <c r="N149" s="960"/>
      <c r="O149" s="960"/>
      <c r="P149" s="960"/>
      <c r="Q149" s="960"/>
      <c r="R149" s="960"/>
      <c r="S149" s="960"/>
      <c r="T149" s="960"/>
      <c r="U149" s="960"/>
      <c r="V149" s="960"/>
      <c r="W149" s="960"/>
      <c r="X149" s="960"/>
      <c r="Y149" s="960"/>
      <c r="Z149" s="960"/>
      <c r="AA149" s="960"/>
      <c r="AB149" s="928"/>
      <c r="AC149" s="928"/>
      <c r="AD149" s="928"/>
      <c r="AE149" s="928"/>
      <c r="AF149" s="928"/>
      <c r="AG149" s="928"/>
      <c r="AH149" s="928"/>
      <c r="AI149" s="928"/>
      <c r="AJ149" s="928"/>
      <c r="AK149" s="928"/>
      <c r="AL149" s="928"/>
      <c r="AM149" s="928"/>
      <c r="AN149" s="928"/>
      <c r="AO149" s="928"/>
      <c r="AP149" s="928"/>
      <c r="AQ149" s="928"/>
      <c r="AR149" s="928"/>
      <c r="AS149" s="928"/>
    </row>
    <row r="150" spans="11:45">
      <c r="K150" s="957"/>
      <c r="L150" s="928"/>
      <c r="M150" s="928"/>
      <c r="N150" s="960"/>
      <c r="O150" s="960"/>
      <c r="P150" s="960"/>
      <c r="Q150" s="960"/>
      <c r="R150" s="960"/>
      <c r="S150" s="960"/>
      <c r="T150" s="960"/>
      <c r="U150" s="960"/>
      <c r="V150" s="960"/>
      <c r="W150" s="960"/>
      <c r="X150" s="960"/>
      <c r="Y150" s="960"/>
      <c r="Z150" s="960"/>
      <c r="AA150" s="960"/>
      <c r="AB150" s="928"/>
      <c r="AC150" s="928"/>
      <c r="AD150" s="928"/>
      <c r="AE150" s="928"/>
      <c r="AF150" s="928"/>
      <c r="AG150" s="928"/>
      <c r="AH150" s="928"/>
      <c r="AI150" s="928"/>
      <c r="AJ150" s="928"/>
      <c r="AK150" s="928"/>
      <c r="AL150" s="928"/>
      <c r="AM150" s="928"/>
      <c r="AN150" s="928"/>
      <c r="AO150" s="928"/>
      <c r="AP150" s="928"/>
      <c r="AQ150" s="928"/>
      <c r="AR150" s="928"/>
      <c r="AS150" s="928"/>
    </row>
    <row r="151" spans="11:45">
      <c r="K151" s="957"/>
      <c r="L151" s="928"/>
      <c r="M151" s="928"/>
      <c r="N151" s="960"/>
      <c r="O151" s="960"/>
      <c r="P151" s="960"/>
      <c r="Q151" s="960"/>
      <c r="R151" s="960"/>
      <c r="S151" s="960"/>
      <c r="T151" s="960"/>
      <c r="U151" s="960"/>
      <c r="V151" s="960"/>
      <c r="W151" s="960"/>
      <c r="X151" s="960"/>
      <c r="Y151" s="960"/>
      <c r="Z151" s="960"/>
      <c r="AA151" s="960"/>
      <c r="AB151" s="928"/>
      <c r="AC151" s="928"/>
      <c r="AD151" s="928"/>
      <c r="AE151" s="928"/>
      <c r="AF151" s="928"/>
      <c r="AG151" s="928"/>
      <c r="AH151" s="928"/>
      <c r="AI151" s="928"/>
      <c r="AJ151" s="928"/>
      <c r="AK151" s="928"/>
      <c r="AL151" s="928"/>
      <c r="AM151" s="928"/>
      <c r="AN151" s="928"/>
      <c r="AO151" s="928"/>
      <c r="AP151" s="928"/>
      <c r="AQ151" s="928"/>
      <c r="AR151" s="928"/>
      <c r="AS151" s="928"/>
    </row>
    <row r="152" spans="11:45">
      <c r="K152" s="957"/>
      <c r="L152" s="928"/>
      <c r="M152" s="928"/>
      <c r="N152" s="960"/>
      <c r="O152" s="960"/>
      <c r="P152" s="960"/>
      <c r="Q152" s="960"/>
      <c r="R152" s="960"/>
      <c r="S152" s="960"/>
      <c r="T152" s="960"/>
      <c r="U152" s="960"/>
      <c r="V152" s="960"/>
      <c r="W152" s="960"/>
      <c r="X152" s="960"/>
      <c r="Y152" s="960"/>
      <c r="Z152" s="960"/>
      <c r="AA152" s="960"/>
      <c r="AB152" s="928"/>
      <c r="AC152" s="928"/>
      <c r="AD152" s="928"/>
      <c r="AE152" s="928"/>
      <c r="AF152" s="928"/>
      <c r="AG152" s="928"/>
      <c r="AH152" s="928"/>
      <c r="AI152" s="928"/>
      <c r="AJ152" s="928"/>
      <c r="AK152" s="928"/>
      <c r="AL152" s="928"/>
      <c r="AM152" s="928"/>
      <c r="AN152" s="928"/>
      <c r="AO152" s="928"/>
      <c r="AP152" s="928"/>
      <c r="AQ152" s="928"/>
      <c r="AR152" s="928"/>
      <c r="AS152" s="928"/>
    </row>
    <row r="153" spans="11:45">
      <c r="K153" s="957"/>
      <c r="L153" s="928"/>
      <c r="M153" s="928"/>
      <c r="N153" s="960"/>
      <c r="O153" s="960"/>
      <c r="P153" s="960"/>
      <c r="Q153" s="960"/>
      <c r="R153" s="960"/>
      <c r="S153" s="960"/>
      <c r="T153" s="960"/>
      <c r="U153" s="960"/>
      <c r="V153" s="960"/>
      <c r="W153" s="960"/>
      <c r="X153" s="960"/>
      <c r="Y153" s="960"/>
      <c r="Z153" s="960"/>
      <c r="AA153" s="960"/>
      <c r="AB153" s="928"/>
      <c r="AC153" s="928"/>
      <c r="AD153" s="928"/>
      <c r="AE153" s="928"/>
      <c r="AF153" s="928"/>
      <c r="AG153" s="928"/>
      <c r="AH153" s="928"/>
      <c r="AI153" s="928"/>
      <c r="AJ153" s="928"/>
      <c r="AK153" s="928"/>
      <c r="AL153" s="928"/>
      <c r="AM153" s="928"/>
      <c r="AN153" s="928"/>
      <c r="AO153" s="928"/>
      <c r="AP153" s="928"/>
      <c r="AQ153" s="928"/>
      <c r="AR153" s="928"/>
      <c r="AS153" s="928"/>
    </row>
    <row r="154" spans="11:45">
      <c r="K154" s="957"/>
      <c r="L154" s="928"/>
      <c r="M154" s="928"/>
      <c r="N154" s="960"/>
      <c r="O154" s="960"/>
      <c r="P154" s="960"/>
      <c r="Q154" s="960"/>
      <c r="R154" s="960"/>
      <c r="S154" s="960"/>
      <c r="T154" s="960"/>
      <c r="U154" s="960"/>
      <c r="V154" s="960"/>
      <c r="W154" s="960"/>
      <c r="X154" s="960"/>
      <c r="Y154" s="960"/>
      <c r="Z154" s="960"/>
      <c r="AA154" s="960"/>
      <c r="AB154" s="928"/>
      <c r="AC154" s="928"/>
      <c r="AD154" s="928"/>
      <c r="AE154" s="928"/>
      <c r="AF154" s="928"/>
      <c r="AG154" s="928"/>
      <c r="AH154" s="928"/>
      <c r="AI154" s="928"/>
      <c r="AJ154" s="928"/>
      <c r="AK154" s="928"/>
      <c r="AL154" s="928"/>
      <c r="AM154" s="928"/>
      <c r="AN154" s="928"/>
      <c r="AO154" s="928"/>
      <c r="AP154" s="928"/>
      <c r="AQ154" s="928"/>
      <c r="AR154" s="928"/>
      <c r="AS154" s="928"/>
    </row>
    <row r="155" spans="11:45">
      <c r="K155" s="957"/>
      <c r="L155" s="928"/>
      <c r="M155" s="928"/>
      <c r="N155" s="960"/>
      <c r="O155" s="960"/>
      <c r="P155" s="960"/>
      <c r="Q155" s="960"/>
      <c r="R155" s="960"/>
      <c r="S155" s="960"/>
      <c r="T155" s="960"/>
      <c r="U155" s="960"/>
      <c r="V155" s="960"/>
      <c r="W155" s="960"/>
      <c r="X155" s="960"/>
      <c r="Y155" s="960"/>
      <c r="Z155" s="960"/>
      <c r="AA155" s="960"/>
      <c r="AB155" s="928"/>
      <c r="AC155" s="928"/>
      <c r="AD155" s="928"/>
      <c r="AE155" s="928"/>
      <c r="AF155" s="928"/>
      <c r="AG155" s="928"/>
      <c r="AH155" s="928"/>
      <c r="AI155" s="928"/>
      <c r="AJ155" s="928"/>
      <c r="AK155" s="928"/>
      <c r="AL155" s="928"/>
      <c r="AM155" s="928"/>
      <c r="AN155" s="928"/>
      <c r="AO155" s="928"/>
      <c r="AP155" s="928"/>
      <c r="AQ155" s="928"/>
      <c r="AR155" s="928"/>
      <c r="AS155" s="928"/>
    </row>
    <row r="156" spans="11:45">
      <c r="K156" s="957"/>
      <c r="L156" s="928"/>
      <c r="M156" s="928"/>
      <c r="N156" s="960"/>
      <c r="O156" s="960"/>
      <c r="P156" s="960"/>
      <c r="Q156" s="960"/>
      <c r="R156" s="960"/>
      <c r="S156" s="960"/>
      <c r="T156" s="960"/>
      <c r="U156" s="960"/>
      <c r="V156" s="960"/>
      <c r="W156" s="960"/>
      <c r="X156" s="960"/>
      <c r="Y156" s="960"/>
      <c r="Z156" s="960"/>
      <c r="AA156" s="960"/>
      <c r="AB156" s="928"/>
      <c r="AC156" s="928"/>
      <c r="AD156" s="928"/>
      <c r="AE156" s="928"/>
      <c r="AF156" s="928"/>
      <c r="AG156" s="928"/>
      <c r="AH156" s="928"/>
      <c r="AI156" s="928"/>
      <c r="AJ156" s="928"/>
      <c r="AK156" s="928"/>
      <c r="AL156" s="928"/>
      <c r="AM156" s="928"/>
      <c r="AN156" s="928"/>
      <c r="AO156" s="928"/>
      <c r="AP156" s="928"/>
      <c r="AQ156" s="928"/>
      <c r="AR156" s="928"/>
      <c r="AS156" s="928"/>
    </row>
    <row r="157" spans="11:45">
      <c r="K157" s="957"/>
      <c r="L157" s="928"/>
      <c r="M157" s="928"/>
      <c r="N157" s="960"/>
      <c r="O157" s="960"/>
      <c r="P157" s="960"/>
      <c r="Q157" s="960"/>
      <c r="R157" s="960"/>
      <c r="S157" s="960"/>
      <c r="T157" s="960"/>
      <c r="U157" s="960"/>
      <c r="V157" s="960"/>
      <c r="W157" s="960"/>
      <c r="X157" s="960"/>
      <c r="Y157" s="960"/>
      <c r="Z157" s="960"/>
      <c r="AA157" s="960"/>
      <c r="AB157" s="928"/>
      <c r="AC157" s="928"/>
      <c r="AD157" s="928"/>
      <c r="AE157" s="928"/>
      <c r="AF157" s="928"/>
      <c r="AG157" s="928"/>
      <c r="AH157" s="928"/>
      <c r="AI157" s="928"/>
      <c r="AJ157" s="928"/>
      <c r="AK157" s="928"/>
      <c r="AL157" s="928"/>
      <c r="AM157" s="928"/>
      <c r="AN157" s="928"/>
      <c r="AO157" s="928"/>
      <c r="AP157" s="928"/>
      <c r="AQ157" s="928"/>
      <c r="AR157" s="928"/>
      <c r="AS157" s="928"/>
    </row>
    <row r="158" spans="11:45">
      <c r="K158" s="957"/>
      <c r="L158" s="928"/>
      <c r="M158" s="928"/>
      <c r="N158" s="960"/>
      <c r="O158" s="960"/>
      <c r="P158" s="960"/>
      <c r="Q158" s="960"/>
      <c r="R158" s="960"/>
      <c r="S158" s="960"/>
      <c r="T158" s="960"/>
      <c r="U158" s="960"/>
      <c r="V158" s="960"/>
      <c r="W158" s="960"/>
      <c r="X158" s="960"/>
      <c r="Y158" s="960"/>
      <c r="Z158" s="960"/>
      <c r="AA158" s="960"/>
      <c r="AB158" s="928"/>
      <c r="AC158" s="928"/>
      <c r="AD158" s="928"/>
      <c r="AE158" s="928"/>
      <c r="AF158" s="928"/>
      <c r="AG158" s="928"/>
      <c r="AH158" s="928"/>
      <c r="AI158" s="928"/>
      <c r="AJ158" s="928"/>
      <c r="AK158" s="928"/>
      <c r="AL158" s="928"/>
      <c r="AM158" s="928"/>
      <c r="AN158" s="928"/>
      <c r="AO158" s="928"/>
      <c r="AP158" s="928"/>
      <c r="AQ158" s="928"/>
      <c r="AR158" s="928"/>
      <c r="AS158" s="928"/>
    </row>
    <row r="159" spans="11:45">
      <c r="K159" s="957"/>
      <c r="L159" s="928"/>
      <c r="M159" s="928"/>
      <c r="N159" s="960"/>
      <c r="O159" s="960"/>
      <c r="P159" s="960"/>
      <c r="Q159" s="960"/>
      <c r="R159" s="960"/>
      <c r="S159" s="960"/>
      <c r="T159" s="960"/>
      <c r="U159" s="960"/>
      <c r="V159" s="960"/>
      <c r="W159" s="960"/>
      <c r="X159" s="960"/>
      <c r="Y159" s="960"/>
      <c r="Z159" s="960"/>
      <c r="AA159" s="960"/>
      <c r="AB159" s="928"/>
      <c r="AC159" s="928"/>
      <c r="AD159" s="928"/>
      <c r="AE159" s="928"/>
      <c r="AF159" s="928"/>
      <c r="AG159" s="928"/>
      <c r="AH159" s="928"/>
      <c r="AI159" s="928"/>
      <c r="AJ159" s="928"/>
      <c r="AK159" s="928"/>
      <c r="AL159" s="928"/>
      <c r="AM159" s="928"/>
      <c r="AN159" s="928"/>
      <c r="AO159" s="928"/>
      <c r="AP159" s="928"/>
      <c r="AQ159" s="928"/>
      <c r="AR159" s="928"/>
      <c r="AS159" s="928"/>
    </row>
    <row r="160" spans="11:45">
      <c r="K160" s="957"/>
      <c r="L160" s="928"/>
      <c r="M160" s="928"/>
      <c r="N160" s="960"/>
      <c r="O160" s="960"/>
      <c r="P160" s="960"/>
      <c r="Q160" s="960"/>
      <c r="R160" s="960"/>
      <c r="S160" s="960"/>
      <c r="T160" s="960"/>
      <c r="U160" s="960"/>
      <c r="V160" s="960"/>
      <c r="W160" s="960"/>
      <c r="X160" s="960"/>
      <c r="Y160" s="960"/>
      <c r="Z160" s="960"/>
      <c r="AA160" s="960"/>
      <c r="AB160" s="928"/>
      <c r="AC160" s="928"/>
      <c r="AD160" s="928"/>
      <c r="AE160" s="928"/>
      <c r="AF160" s="928"/>
      <c r="AG160" s="928"/>
      <c r="AH160" s="928"/>
      <c r="AI160" s="928"/>
      <c r="AJ160" s="928"/>
      <c r="AK160" s="928"/>
      <c r="AL160" s="928"/>
      <c r="AM160" s="928"/>
      <c r="AN160" s="928"/>
      <c r="AO160" s="928"/>
      <c r="AP160" s="928"/>
      <c r="AQ160" s="928"/>
      <c r="AR160" s="928"/>
      <c r="AS160" s="928"/>
    </row>
    <row r="161" spans="11:45">
      <c r="K161" s="957"/>
      <c r="L161" s="928"/>
      <c r="M161" s="928"/>
      <c r="N161" s="960"/>
      <c r="O161" s="960"/>
      <c r="P161" s="960"/>
      <c r="Q161" s="960"/>
      <c r="R161" s="960"/>
      <c r="S161" s="960"/>
      <c r="T161" s="960"/>
      <c r="U161" s="960"/>
      <c r="V161" s="960"/>
      <c r="W161" s="960"/>
      <c r="X161" s="960"/>
      <c r="Y161" s="960"/>
      <c r="Z161" s="960"/>
      <c r="AA161" s="960"/>
      <c r="AB161" s="928"/>
      <c r="AC161" s="928"/>
      <c r="AD161" s="928"/>
      <c r="AE161" s="928"/>
      <c r="AF161" s="928"/>
      <c r="AG161" s="928"/>
      <c r="AH161" s="928"/>
      <c r="AI161" s="928"/>
      <c r="AJ161" s="928"/>
      <c r="AK161" s="928"/>
      <c r="AL161" s="928"/>
      <c r="AM161" s="928"/>
      <c r="AN161" s="928"/>
      <c r="AO161" s="928"/>
      <c r="AP161" s="928"/>
      <c r="AQ161" s="928"/>
      <c r="AR161" s="928"/>
      <c r="AS161" s="928"/>
    </row>
    <row r="162" spans="11:45">
      <c r="K162" s="957"/>
      <c r="L162" s="928"/>
      <c r="M162" s="928"/>
      <c r="N162" s="960"/>
      <c r="O162" s="960"/>
      <c r="P162" s="960"/>
      <c r="Q162" s="960"/>
      <c r="R162" s="960"/>
      <c r="S162" s="960"/>
      <c r="T162" s="960"/>
      <c r="U162" s="960"/>
      <c r="V162" s="960"/>
      <c r="W162" s="960"/>
      <c r="X162" s="960"/>
      <c r="Y162" s="960"/>
      <c r="Z162" s="960"/>
      <c r="AA162" s="960"/>
      <c r="AB162" s="928"/>
      <c r="AC162" s="928"/>
      <c r="AD162" s="928"/>
      <c r="AE162" s="928"/>
      <c r="AF162" s="928"/>
      <c r="AG162" s="928"/>
      <c r="AH162" s="928"/>
      <c r="AI162" s="928"/>
      <c r="AJ162" s="928"/>
      <c r="AK162" s="928"/>
      <c r="AL162" s="928"/>
      <c r="AM162" s="928"/>
      <c r="AN162" s="928"/>
      <c r="AO162" s="928"/>
      <c r="AP162" s="928"/>
      <c r="AQ162" s="928"/>
      <c r="AR162" s="928"/>
      <c r="AS162" s="928"/>
    </row>
    <row r="163" spans="11:45">
      <c r="K163" s="957"/>
      <c r="L163" s="928"/>
      <c r="M163" s="928"/>
      <c r="N163" s="960"/>
      <c r="O163" s="960"/>
      <c r="P163" s="960"/>
      <c r="Q163" s="960"/>
      <c r="R163" s="960"/>
      <c r="S163" s="960"/>
      <c r="T163" s="960"/>
      <c r="U163" s="960"/>
      <c r="V163" s="960"/>
      <c r="W163" s="960"/>
      <c r="X163" s="960"/>
      <c r="Y163" s="960"/>
      <c r="Z163" s="960"/>
      <c r="AA163" s="960"/>
      <c r="AB163" s="928"/>
      <c r="AC163" s="928"/>
      <c r="AD163" s="928"/>
      <c r="AE163" s="928"/>
      <c r="AF163" s="928"/>
      <c r="AG163" s="928"/>
      <c r="AH163" s="928"/>
      <c r="AI163" s="928"/>
      <c r="AJ163" s="928"/>
      <c r="AK163" s="928"/>
      <c r="AL163" s="928"/>
      <c r="AM163" s="928"/>
      <c r="AN163" s="928"/>
      <c r="AO163" s="928"/>
      <c r="AP163" s="928"/>
      <c r="AQ163" s="928"/>
      <c r="AR163" s="928"/>
      <c r="AS163" s="928"/>
    </row>
    <row r="164" spans="11:45">
      <c r="K164" s="957"/>
      <c r="L164" s="928"/>
      <c r="M164" s="928"/>
      <c r="N164" s="960"/>
      <c r="O164" s="960"/>
      <c r="P164" s="960"/>
      <c r="Q164" s="960"/>
      <c r="R164" s="960"/>
      <c r="S164" s="960"/>
      <c r="T164" s="960"/>
      <c r="U164" s="960"/>
      <c r="V164" s="960"/>
      <c r="W164" s="960"/>
      <c r="X164" s="960"/>
      <c r="Y164" s="960"/>
      <c r="Z164" s="960"/>
      <c r="AA164" s="960"/>
      <c r="AB164" s="928"/>
      <c r="AC164" s="928"/>
      <c r="AD164" s="928"/>
      <c r="AE164" s="928"/>
      <c r="AF164" s="928"/>
      <c r="AG164" s="928"/>
      <c r="AH164" s="928"/>
      <c r="AI164" s="928"/>
      <c r="AJ164" s="928"/>
      <c r="AK164" s="928"/>
      <c r="AL164" s="928"/>
      <c r="AM164" s="928"/>
      <c r="AN164" s="928"/>
      <c r="AO164" s="928"/>
      <c r="AP164" s="928"/>
      <c r="AQ164" s="928"/>
      <c r="AR164" s="928"/>
      <c r="AS164" s="928"/>
    </row>
    <row r="165" spans="11:45">
      <c r="K165" s="957"/>
      <c r="L165" s="928"/>
      <c r="M165" s="928"/>
      <c r="N165" s="960"/>
      <c r="O165" s="960"/>
      <c r="P165" s="960"/>
      <c r="Q165" s="960"/>
      <c r="R165" s="960"/>
      <c r="S165" s="960"/>
      <c r="T165" s="960"/>
      <c r="U165" s="960"/>
      <c r="V165" s="960"/>
      <c r="W165" s="960"/>
      <c r="X165" s="960"/>
      <c r="Y165" s="960"/>
      <c r="Z165" s="960"/>
      <c r="AA165" s="960"/>
      <c r="AB165" s="928"/>
      <c r="AC165" s="928"/>
      <c r="AD165" s="928"/>
      <c r="AE165" s="928"/>
      <c r="AF165" s="928"/>
      <c r="AG165" s="928"/>
      <c r="AH165" s="928"/>
      <c r="AI165" s="928"/>
      <c r="AJ165" s="928"/>
      <c r="AK165" s="928"/>
      <c r="AL165" s="928"/>
      <c r="AM165" s="928"/>
      <c r="AN165" s="928"/>
      <c r="AO165" s="928"/>
      <c r="AP165" s="928"/>
      <c r="AQ165" s="928"/>
      <c r="AR165" s="928"/>
      <c r="AS165" s="928"/>
    </row>
    <row r="166" spans="11:45">
      <c r="K166" s="957"/>
      <c r="L166" s="928"/>
      <c r="M166" s="928"/>
      <c r="N166" s="960"/>
      <c r="O166" s="960"/>
      <c r="P166" s="960"/>
      <c r="Q166" s="960"/>
      <c r="R166" s="960"/>
      <c r="S166" s="960"/>
      <c r="T166" s="960"/>
      <c r="U166" s="960"/>
      <c r="V166" s="960"/>
      <c r="W166" s="960"/>
      <c r="X166" s="960"/>
      <c r="Y166" s="960"/>
      <c r="Z166" s="960"/>
      <c r="AA166" s="960"/>
      <c r="AB166" s="928"/>
      <c r="AC166" s="928"/>
      <c r="AD166" s="928"/>
      <c r="AE166" s="928"/>
      <c r="AF166" s="928"/>
      <c r="AG166" s="928"/>
      <c r="AH166" s="928"/>
      <c r="AI166" s="928"/>
      <c r="AJ166" s="928"/>
      <c r="AK166" s="928"/>
      <c r="AL166" s="928"/>
      <c r="AM166" s="928"/>
      <c r="AN166" s="928"/>
      <c r="AO166" s="928"/>
      <c r="AP166" s="928"/>
      <c r="AQ166" s="928"/>
      <c r="AR166" s="928"/>
      <c r="AS166" s="928"/>
    </row>
    <row r="167" spans="11:45">
      <c r="K167" s="957"/>
      <c r="L167" s="928"/>
      <c r="M167" s="928"/>
      <c r="N167" s="960"/>
      <c r="O167" s="960"/>
      <c r="P167" s="960"/>
      <c r="Q167" s="960"/>
      <c r="R167" s="960"/>
      <c r="S167" s="960"/>
      <c r="T167" s="960"/>
      <c r="U167" s="960"/>
      <c r="V167" s="960"/>
      <c r="W167" s="960"/>
      <c r="X167" s="960"/>
      <c r="Y167" s="960"/>
      <c r="Z167" s="960"/>
      <c r="AA167" s="960"/>
      <c r="AB167" s="928"/>
      <c r="AC167" s="928"/>
      <c r="AD167" s="928"/>
      <c r="AE167" s="928"/>
      <c r="AF167" s="928"/>
      <c r="AG167" s="928"/>
      <c r="AH167" s="928"/>
      <c r="AI167" s="928"/>
      <c r="AJ167" s="928"/>
      <c r="AK167" s="928"/>
      <c r="AL167" s="928"/>
      <c r="AM167" s="928"/>
      <c r="AN167" s="928"/>
      <c r="AO167" s="928"/>
      <c r="AP167" s="928"/>
      <c r="AQ167" s="928"/>
      <c r="AR167" s="928"/>
      <c r="AS167" s="928"/>
    </row>
    <row r="168" spans="11:45">
      <c r="K168" s="957"/>
      <c r="L168" s="928"/>
      <c r="M168" s="928"/>
      <c r="N168" s="960"/>
      <c r="O168" s="960"/>
      <c r="P168" s="960"/>
      <c r="Q168" s="960"/>
      <c r="R168" s="960"/>
      <c r="S168" s="960"/>
      <c r="T168" s="960"/>
      <c r="U168" s="960"/>
      <c r="V168" s="960"/>
      <c r="W168" s="960"/>
      <c r="X168" s="960"/>
      <c r="Y168" s="960"/>
      <c r="Z168" s="960"/>
      <c r="AA168" s="960"/>
      <c r="AB168" s="928"/>
      <c r="AC168" s="928"/>
      <c r="AD168" s="928"/>
      <c r="AE168" s="928"/>
      <c r="AF168" s="928"/>
      <c r="AG168" s="928"/>
      <c r="AH168" s="928"/>
      <c r="AI168" s="928"/>
      <c r="AJ168" s="928"/>
      <c r="AK168" s="928"/>
      <c r="AL168" s="928"/>
      <c r="AM168" s="928"/>
      <c r="AN168" s="928"/>
      <c r="AO168" s="928"/>
      <c r="AP168" s="928"/>
      <c r="AQ168" s="928"/>
      <c r="AR168" s="928"/>
      <c r="AS168" s="928"/>
    </row>
    <row r="169" spans="11:45">
      <c r="K169" s="957"/>
      <c r="L169" s="928"/>
      <c r="M169" s="928"/>
      <c r="N169" s="960"/>
      <c r="O169" s="960"/>
      <c r="P169" s="960"/>
      <c r="Q169" s="960"/>
      <c r="R169" s="960"/>
      <c r="S169" s="960"/>
      <c r="T169" s="960"/>
      <c r="U169" s="960"/>
      <c r="V169" s="960"/>
      <c r="W169" s="960"/>
      <c r="X169" s="960"/>
      <c r="Y169" s="960"/>
      <c r="Z169" s="960"/>
      <c r="AA169" s="960"/>
      <c r="AB169" s="928"/>
      <c r="AC169" s="928"/>
      <c r="AD169" s="928"/>
      <c r="AE169" s="928"/>
      <c r="AF169" s="928"/>
      <c r="AG169" s="928"/>
      <c r="AH169" s="928"/>
      <c r="AI169" s="928"/>
      <c r="AJ169" s="928"/>
      <c r="AK169" s="928"/>
      <c r="AL169" s="928"/>
      <c r="AM169" s="928"/>
      <c r="AN169" s="928"/>
      <c r="AO169" s="928"/>
      <c r="AP169" s="928"/>
      <c r="AQ169" s="928"/>
      <c r="AR169" s="928"/>
      <c r="AS169" s="928"/>
    </row>
    <row r="170" spans="11:45">
      <c r="K170" s="957"/>
      <c r="L170" s="928"/>
      <c r="M170" s="928"/>
      <c r="N170" s="960"/>
      <c r="O170" s="960"/>
      <c r="P170" s="960"/>
      <c r="Q170" s="960"/>
      <c r="R170" s="960"/>
      <c r="S170" s="960"/>
      <c r="T170" s="960"/>
      <c r="U170" s="960"/>
      <c r="V170" s="960"/>
      <c r="W170" s="960"/>
      <c r="X170" s="960"/>
      <c r="Y170" s="960"/>
      <c r="Z170" s="960"/>
      <c r="AA170" s="960"/>
      <c r="AB170" s="928"/>
      <c r="AC170" s="928"/>
      <c r="AD170" s="928"/>
      <c r="AE170" s="928"/>
      <c r="AF170" s="928"/>
      <c r="AG170" s="928"/>
      <c r="AH170" s="928"/>
      <c r="AI170" s="928"/>
      <c r="AJ170" s="928"/>
      <c r="AK170" s="928"/>
      <c r="AL170" s="928"/>
      <c r="AM170" s="928"/>
      <c r="AN170" s="928"/>
      <c r="AO170" s="928"/>
      <c r="AP170" s="928"/>
      <c r="AQ170" s="928"/>
      <c r="AR170" s="928"/>
      <c r="AS170" s="928"/>
    </row>
    <row r="171" spans="11:45">
      <c r="K171" s="957"/>
      <c r="L171" s="928"/>
      <c r="M171" s="928"/>
      <c r="N171" s="960"/>
      <c r="O171" s="960"/>
      <c r="P171" s="960"/>
      <c r="Q171" s="960"/>
      <c r="R171" s="960"/>
      <c r="S171" s="960"/>
      <c r="T171" s="960"/>
      <c r="U171" s="960"/>
      <c r="V171" s="960"/>
      <c r="W171" s="960"/>
      <c r="X171" s="960"/>
      <c r="Y171" s="960"/>
      <c r="Z171" s="960"/>
      <c r="AA171" s="960"/>
      <c r="AB171" s="928"/>
      <c r="AC171" s="928"/>
      <c r="AD171" s="928"/>
      <c r="AE171" s="928"/>
      <c r="AF171" s="928"/>
      <c r="AG171" s="928"/>
      <c r="AH171" s="928"/>
      <c r="AI171" s="928"/>
      <c r="AJ171" s="928"/>
      <c r="AK171" s="928"/>
      <c r="AL171" s="928"/>
      <c r="AM171" s="928"/>
      <c r="AN171" s="928"/>
      <c r="AO171" s="928"/>
      <c r="AP171" s="928"/>
      <c r="AQ171" s="928"/>
      <c r="AR171" s="928"/>
      <c r="AS171" s="928"/>
    </row>
    <row r="172" spans="11:45">
      <c r="K172" s="957"/>
      <c r="L172" s="928"/>
      <c r="M172" s="928"/>
      <c r="N172" s="960"/>
      <c r="O172" s="960"/>
      <c r="P172" s="960"/>
      <c r="Q172" s="960"/>
      <c r="R172" s="960"/>
      <c r="S172" s="960"/>
      <c r="T172" s="960"/>
      <c r="U172" s="960"/>
      <c r="V172" s="960"/>
      <c r="W172" s="960"/>
      <c r="X172" s="960"/>
      <c r="Y172" s="960"/>
      <c r="Z172" s="960"/>
      <c r="AA172" s="960"/>
      <c r="AB172" s="928"/>
      <c r="AC172" s="928"/>
      <c r="AD172" s="928"/>
      <c r="AE172" s="928"/>
      <c r="AF172" s="928"/>
      <c r="AG172" s="928"/>
      <c r="AH172" s="928"/>
      <c r="AI172" s="928"/>
      <c r="AJ172" s="928"/>
      <c r="AK172" s="928"/>
      <c r="AL172" s="928"/>
      <c r="AM172" s="928"/>
      <c r="AN172" s="928"/>
      <c r="AO172" s="928"/>
      <c r="AP172" s="928"/>
      <c r="AQ172" s="928"/>
      <c r="AR172" s="928"/>
      <c r="AS172" s="928"/>
    </row>
    <row r="173" spans="11:45">
      <c r="K173" s="957"/>
      <c r="L173" s="928"/>
      <c r="M173" s="928"/>
      <c r="N173" s="960"/>
      <c r="O173" s="960"/>
      <c r="P173" s="960"/>
      <c r="Q173" s="960"/>
      <c r="R173" s="960"/>
      <c r="S173" s="960"/>
      <c r="T173" s="960"/>
      <c r="U173" s="960"/>
      <c r="V173" s="960"/>
      <c r="W173" s="960"/>
      <c r="X173" s="960"/>
      <c r="Y173" s="960"/>
      <c r="Z173" s="960"/>
      <c r="AA173" s="960"/>
      <c r="AB173" s="928"/>
      <c r="AC173" s="928"/>
      <c r="AD173" s="928"/>
      <c r="AE173" s="928"/>
      <c r="AF173" s="928"/>
      <c r="AG173" s="928"/>
      <c r="AH173" s="928"/>
      <c r="AI173" s="928"/>
      <c r="AJ173" s="928"/>
      <c r="AK173" s="928"/>
      <c r="AL173" s="928"/>
      <c r="AM173" s="928"/>
      <c r="AN173" s="928"/>
      <c r="AO173" s="928"/>
      <c r="AP173" s="928"/>
      <c r="AQ173" s="928"/>
      <c r="AR173" s="928"/>
      <c r="AS173" s="928"/>
    </row>
    <row r="174" spans="11:45">
      <c r="K174" s="957"/>
      <c r="L174" s="928"/>
      <c r="M174" s="928"/>
      <c r="N174" s="960"/>
      <c r="O174" s="960"/>
      <c r="P174" s="960"/>
      <c r="Q174" s="960"/>
      <c r="R174" s="960"/>
      <c r="S174" s="960"/>
      <c r="T174" s="960"/>
      <c r="U174" s="960"/>
      <c r="V174" s="960"/>
      <c r="W174" s="960"/>
      <c r="X174" s="960"/>
      <c r="Y174" s="960"/>
      <c r="Z174" s="960"/>
      <c r="AA174" s="960"/>
      <c r="AB174" s="928"/>
      <c r="AC174" s="928"/>
      <c r="AD174" s="928"/>
      <c r="AE174" s="928"/>
      <c r="AF174" s="928"/>
      <c r="AG174" s="928"/>
      <c r="AH174" s="928"/>
      <c r="AI174" s="928"/>
      <c r="AJ174" s="928"/>
      <c r="AK174" s="928"/>
      <c r="AL174" s="928"/>
      <c r="AM174" s="928"/>
      <c r="AN174" s="928"/>
      <c r="AO174" s="928"/>
      <c r="AP174" s="928"/>
      <c r="AQ174" s="928"/>
      <c r="AR174" s="928"/>
      <c r="AS174" s="928"/>
    </row>
    <row r="175" spans="11:45">
      <c r="K175" s="957"/>
      <c r="L175" s="928"/>
      <c r="M175" s="928"/>
      <c r="N175" s="960"/>
      <c r="O175" s="960"/>
      <c r="P175" s="960"/>
      <c r="Q175" s="960"/>
      <c r="R175" s="960"/>
      <c r="S175" s="960"/>
      <c r="T175" s="960"/>
      <c r="U175" s="960"/>
      <c r="V175" s="960"/>
      <c r="W175" s="960"/>
      <c r="X175" s="960"/>
      <c r="Y175" s="960"/>
      <c r="Z175" s="960"/>
      <c r="AA175" s="960"/>
      <c r="AB175" s="928"/>
      <c r="AC175" s="928"/>
      <c r="AD175" s="928"/>
      <c r="AE175" s="928"/>
      <c r="AF175" s="928"/>
      <c r="AG175" s="928"/>
      <c r="AH175" s="928"/>
      <c r="AI175" s="928"/>
      <c r="AJ175" s="928"/>
      <c r="AK175" s="928"/>
      <c r="AL175" s="928"/>
      <c r="AM175" s="928"/>
      <c r="AN175" s="928"/>
      <c r="AO175" s="928"/>
      <c r="AP175" s="928"/>
      <c r="AQ175" s="928"/>
      <c r="AR175" s="928"/>
      <c r="AS175" s="928"/>
    </row>
    <row r="176" spans="11:45">
      <c r="K176" s="957"/>
      <c r="L176" s="928"/>
      <c r="M176" s="928"/>
      <c r="N176" s="960"/>
      <c r="O176" s="960"/>
      <c r="P176" s="960"/>
      <c r="Q176" s="960"/>
      <c r="R176" s="960"/>
      <c r="S176" s="960"/>
      <c r="T176" s="960"/>
      <c r="U176" s="960"/>
      <c r="V176" s="960"/>
      <c r="W176" s="960"/>
      <c r="X176" s="960"/>
      <c r="Y176" s="960"/>
      <c r="Z176" s="960"/>
      <c r="AA176" s="960"/>
      <c r="AB176" s="928"/>
      <c r="AC176" s="928"/>
      <c r="AD176" s="928"/>
      <c r="AE176" s="928"/>
      <c r="AF176" s="928"/>
      <c r="AG176" s="928"/>
      <c r="AH176" s="928"/>
      <c r="AI176" s="928"/>
      <c r="AJ176" s="928"/>
      <c r="AK176" s="928"/>
      <c r="AL176" s="928"/>
      <c r="AM176" s="928"/>
      <c r="AN176" s="928"/>
      <c r="AO176" s="928"/>
      <c r="AP176" s="928"/>
      <c r="AQ176" s="928"/>
      <c r="AR176" s="928"/>
      <c r="AS176" s="928"/>
    </row>
    <row r="177" spans="11:45">
      <c r="K177" s="957"/>
      <c r="L177" s="928"/>
      <c r="M177" s="928"/>
      <c r="N177" s="960"/>
      <c r="O177" s="960"/>
      <c r="P177" s="960"/>
      <c r="Q177" s="960"/>
      <c r="R177" s="960"/>
      <c r="S177" s="960"/>
      <c r="T177" s="960"/>
      <c r="U177" s="960"/>
      <c r="V177" s="960"/>
      <c r="W177" s="960"/>
      <c r="X177" s="960"/>
      <c r="Y177" s="960"/>
      <c r="Z177" s="960"/>
      <c r="AA177" s="960"/>
      <c r="AB177" s="928"/>
      <c r="AC177" s="928"/>
      <c r="AD177" s="928"/>
      <c r="AE177" s="928"/>
      <c r="AF177" s="928"/>
      <c r="AG177" s="928"/>
      <c r="AH177" s="928"/>
      <c r="AI177" s="928"/>
      <c r="AJ177" s="928"/>
      <c r="AK177" s="928"/>
      <c r="AL177" s="928"/>
      <c r="AM177" s="928"/>
      <c r="AN177" s="928"/>
      <c r="AO177" s="928"/>
      <c r="AP177" s="928"/>
      <c r="AQ177" s="928"/>
      <c r="AR177" s="928"/>
      <c r="AS177" s="928"/>
    </row>
    <row r="178" spans="11:45">
      <c r="K178" s="957"/>
      <c r="L178" s="928"/>
      <c r="M178" s="928"/>
      <c r="N178" s="960"/>
      <c r="O178" s="960"/>
      <c r="P178" s="960"/>
      <c r="Q178" s="960"/>
      <c r="R178" s="960"/>
      <c r="S178" s="960"/>
      <c r="T178" s="960"/>
      <c r="U178" s="960"/>
      <c r="V178" s="960"/>
      <c r="W178" s="960"/>
      <c r="X178" s="960"/>
      <c r="Y178" s="960"/>
      <c r="Z178" s="960"/>
      <c r="AA178" s="960"/>
      <c r="AB178" s="928"/>
      <c r="AC178" s="928"/>
      <c r="AD178" s="928"/>
      <c r="AE178" s="928"/>
      <c r="AF178" s="928"/>
      <c r="AG178" s="928"/>
      <c r="AH178" s="928"/>
      <c r="AI178" s="928"/>
      <c r="AJ178" s="928"/>
      <c r="AK178" s="928"/>
      <c r="AL178" s="928"/>
      <c r="AM178" s="928"/>
      <c r="AN178" s="928"/>
      <c r="AO178" s="928"/>
      <c r="AP178" s="928"/>
      <c r="AQ178" s="928"/>
      <c r="AR178" s="928"/>
      <c r="AS178" s="928"/>
    </row>
    <row r="179" spans="11:45">
      <c r="K179" s="957"/>
      <c r="L179" s="928"/>
      <c r="M179" s="928"/>
      <c r="N179" s="960"/>
      <c r="O179" s="960"/>
      <c r="P179" s="960"/>
      <c r="Q179" s="960"/>
      <c r="R179" s="960"/>
      <c r="S179" s="960"/>
      <c r="T179" s="960"/>
      <c r="U179" s="960"/>
      <c r="V179" s="960"/>
      <c r="W179" s="960"/>
      <c r="X179" s="960"/>
      <c r="Y179" s="960"/>
      <c r="Z179" s="960"/>
      <c r="AA179" s="960"/>
      <c r="AB179" s="928"/>
      <c r="AC179" s="928"/>
      <c r="AD179" s="928"/>
      <c r="AE179" s="928"/>
      <c r="AF179" s="928"/>
      <c r="AG179" s="928"/>
      <c r="AH179" s="928"/>
      <c r="AI179" s="928"/>
      <c r="AJ179" s="928"/>
      <c r="AK179" s="928"/>
      <c r="AL179" s="928"/>
      <c r="AM179" s="928"/>
      <c r="AN179" s="928"/>
      <c r="AO179" s="928"/>
      <c r="AP179" s="928"/>
      <c r="AQ179" s="928"/>
      <c r="AR179" s="928"/>
      <c r="AS179" s="928"/>
    </row>
    <row r="180" spans="11:45">
      <c r="K180" s="957"/>
      <c r="L180" s="928"/>
      <c r="M180" s="928"/>
      <c r="N180" s="960"/>
      <c r="O180" s="960"/>
      <c r="P180" s="960"/>
      <c r="Q180" s="960"/>
      <c r="R180" s="960"/>
      <c r="S180" s="960"/>
      <c r="T180" s="960"/>
      <c r="U180" s="960"/>
      <c r="V180" s="960"/>
      <c r="W180" s="960"/>
      <c r="X180" s="960"/>
      <c r="Y180" s="960"/>
      <c r="Z180" s="960"/>
      <c r="AA180" s="960"/>
      <c r="AB180" s="928"/>
      <c r="AC180" s="928"/>
      <c r="AD180" s="928"/>
      <c r="AE180" s="928"/>
      <c r="AF180" s="928"/>
      <c r="AG180" s="928"/>
      <c r="AH180" s="928"/>
      <c r="AI180" s="928"/>
      <c r="AJ180" s="928"/>
      <c r="AK180" s="928"/>
      <c r="AL180" s="928"/>
      <c r="AM180" s="928"/>
      <c r="AN180" s="928"/>
      <c r="AO180" s="928"/>
      <c r="AP180" s="928"/>
      <c r="AQ180" s="928"/>
      <c r="AR180" s="928"/>
      <c r="AS180" s="928"/>
    </row>
    <row r="181" spans="11:45">
      <c r="K181" s="957"/>
      <c r="L181" s="928"/>
      <c r="M181" s="928"/>
      <c r="N181" s="960"/>
      <c r="O181" s="960"/>
      <c r="P181" s="960"/>
      <c r="Q181" s="960"/>
      <c r="R181" s="960"/>
      <c r="S181" s="960"/>
      <c r="T181" s="960"/>
      <c r="U181" s="960"/>
      <c r="V181" s="960"/>
      <c r="W181" s="960"/>
      <c r="X181" s="960"/>
      <c r="Y181" s="960"/>
      <c r="Z181" s="960"/>
      <c r="AA181" s="960"/>
      <c r="AB181" s="928"/>
      <c r="AC181" s="928"/>
      <c r="AD181" s="928"/>
      <c r="AE181" s="928"/>
      <c r="AF181" s="928"/>
      <c r="AG181" s="928"/>
      <c r="AH181" s="928"/>
      <c r="AI181" s="928"/>
      <c r="AJ181" s="928"/>
      <c r="AK181" s="928"/>
      <c r="AL181" s="928"/>
      <c r="AM181" s="928"/>
      <c r="AN181" s="928"/>
      <c r="AO181" s="928"/>
      <c r="AP181" s="928"/>
      <c r="AQ181" s="928"/>
      <c r="AR181" s="928"/>
      <c r="AS181" s="928"/>
    </row>
    <row r="182" spans="11:45">
      <c r="K182" s="957"/>
      <c r="L182" s="928"/>
      <c r="M182" s="928"/>
      <c r="N182" s="960"/>
      <c r="O182" s="960"/>
      <c r="P182" s="960"/>
      <c r="Q182" s="960"/>
      <c r="R182" s="960"/>
      <c r="S182" s="960"/>
      <c r="T182" s="960"/>
      <c r="U182" s="960"/>
      <c r="V182" s="960"/>
      <c r="W182" s="960"/>
      <c r="X182" s="960"/>
      <c r="Y182" s="960"/>
      <c r="Z182" s="960"/>
      <c r="AA182" s="960"/>
      <c r="AB182" s="928"/>
      <c r="AC182" s="928"/>
      <c r="AD182" s="928"/>
      <c r="AE182" s="928"/>
      <c r="AF182" s="928"/>
      <c r="AG182" s="928"/>
      <c r="AH182" s="928"/>
      <c r="AI182" s="928"/>
      <c r="AJ182" s="928"/>
      <c r="AK182" s="928"/>
      <c r="AL182" s="928"/>
      <c r="AM182" s="928"/>
      <c r="AN182" s="928"/>
      <c r="AO182" s="928"/>
      <c r="AP182" s="928"/>
      <c r="AQ182" s="928"/>
      <c r="AR182" s="928"/>
      <c r="AS182" s="928"/>
    </row>
    <row r="183" spans="11:45">
      <c r="K183" s="957"/>
      <c r="L183" s="928"/>
      <c r="M183" s="928"/>
      <c r="N183" s="960"/>
      <c r="O183" s="960"/>
      <c r="P183" s="960"/>
      <c r="Q183" s="960"/>
      <c r="R183" s="960"/>
      <c r="S183" s="960"/>
      <c r="T183" s="960"/>
      <c r="U183" s="960"/>
      <c r="V183" s="960"/>
      <c r="W183" s="960"/>
      <c r="X183" s="960"/>
      <c r="Y183" s="960"/>
      <c r="Z183" s="960"/>
      <c r="AA183" s="960"/>
      <c r="AB183" s="928"/>
      <c r="AC183" s="928"/>
      <c r="AD183" s="928"/>
      <c r="AE183" s="928"/>
      <c r="AF183" s="928"/>
      <c r="AG183" s="928"/>
      <c r="AH183" s="928"/>
      <c r="AI183" s="928"/>
      <c r="AJ183" s="928"/>
      <c r="AK183" s="928"/>
      <c r="AL183" s="928"/>
      <c r="AM183" s="928"/>
      <c r="AN183" s="928"/>
      <c r="AO183" s="928"/>
      <c r="AP183" s="928"/>
      <c r="AQ183" s="928"/>
      <c r="AR183" s="928"/>
      <c r="AS183" s="928"/>
    </row>
    <row r="184" spans="11:45">
      <c r="K184" s="957"/>
      <c r="L184" s="928"/>
      <c r="M184" s="928"/>
      <c r="N184" s="960"/>
      <c r="O184" s="960"/>
      <c r="P184" s="960"/>
      <c r="Q184" s="960"/>
      <c r="R184" s="960"/>
      <c r="S184" s="960"/>
      <c r="T184" s="960"/>
      <c r="U184" s="960"/>
      <c r="V184" s="960"/>
      <c r="W184" s="960"/>
      <c r="X184" s="960"/>
      <c r="Y184" s="960"/>
      <c r="Z184" s="960"/>
      <c r="AA184" s="960"/>
      <c r="AB184" s="928"/>
      <c r="AC184" s="928"/>
      <c r="AD184" s="928"/>
      <c r="AE184" s="928"/>
      <c r="AF184" s="928"/>
      <c r="AG184" s="928"/>
      <c r="AH184" s="928"/>
      <c r="AI184" s="928"/>
      <c r="AJ184" s="928"/>
      <c r="AK184" s="928"/>
      <c r="AL184" s="928"/>
      <c r="AM184" s="928"/>
      <c r="AN184" s="928"/>
      <c r="AO184" s="928"/>
      <c r="AP184" s="928"/>
      <c r="AQ184" s="928"/>
      <c r="AR184" s="928"/>
      <c r="AS184" s="928"/>
    </row>
    <row r="185" spans="11:45">
      <c r="K185" s="957"/>
      <c r="L185" s="928"/>
      <c r="M185" s="928"/>
      <c r="N185" s="960"/>
      <c r="O185" s="960"/>
      <c r="P185" s="960"/>
      <c r="Q185" s="960"/>
      <c r="R185" s="960"/>
      <c r="S185" s="960"/>
      <c r="T185" s="960"/>
      <c r="U185" s="960"/>
      <c r="V185" s="960"/>
      <c r="W185" s="960"/>
      <c r="X185" s="960"/>
      <c r="Y185" s="960"/>
      <c r="Z185" s="960"/>
      <c r="AA185" s="960"/>
      <c r="AB185" s="928"/>
      <c r="AC185" s="928"/>
      <c r="AD185" s="928"/>
      <c r="AE185" s="928"/>
      <c r="AF185" s="928"/>
      <c r="AG185" s="928"/>
      <c r="AH185" s="928"/>
      <c r="AI185" s="928"/>
      <c r="AJ185" s="928"/>
      <c r="AK185" s="928"/>
      <c r="AL185" s="928"/>
      <c r="AM185" s="928"/>
      <c r="AN185" s="928"/>
      <c r="AO185" s="928"/>
      <c r="AP185" s="928"/>
      <c r="AQ185" s="928"/>
      <c r="AR185" s="928"/>
      <c r="AS185" s="928"/>
    </row>
    <row r="186" spans="11:45">
      <c r="K186" s="957"/>
      <c r="L186" s="928"/>
      <c r="M186" s="928"/>
      <c r="N186" s="960"/>
      <c r="O186" s="960"/>
      <c r="P186" s="960"/>
      <c r="Q186" s="960"/>
      <c r="R186" s="960"/>
      <c r="S186" s="960"/>
      <c r="T186" s="960"/>
      <c r="U186" s="960"/>
      <c r="V186" s="960"/>
      <c r="W186" s="960"/>
      <c r="X186" s="960"/>
      <c r="Y186" s="960"/>
      <c r="Z186" s="960"/>
      <c r="AA186" s="960"/>
      <c r="AB186" s="928"/>
      <c r="AC186" s="928"/>
      <c r="AD186" s="928"/>
      <c r="AE186" s="928"/>
      <c r="AF186" s="928"/>
      <c r="AG186" s="928"/>
      <c r="AH186" s="928"/>
      <c r="AI186" s="928"/>
      <c r="AJ186" s="928"/>
      <c r="AK186" s="928"/>
      <c r="AL186" s="928"/>
      <c r="AM186" s="928"/>
      <c r="AN186" s="928"/>
      <c r="AO186" s="928"/>
      <c r="AP186" s="928"/>
      <c r="AQ186" s="928"/>
      <c r="AR186" s="928"/>
      <c r="AS186" s="928"/>
    </row>
    <row r="187" spans="11:45">
      <c r="K187" s="957"/>
      <c r="L187" s="928"/>
      <c r="M187" s="928"/>
      <c r="N187" s="960"/>
      <c r="O187" s="960"/>
      <c r="P187" s="960"/>
      <c r="Q187" s="960"/>
      <c r="R187" s="960"/>
      <c r="S187" s="960"/>
      <c r="T187" s="960"/>
      <c r="U187" s="960"/>
      <c r="V187" s="960"/>
      <c r="W187" s="960"/>
      <c r="X187" s="960"/>
      <c r="Y187" s="960"/>
      <c r="Z187" s="960"/>
      <c r="AA187" s="960"/>
      <c r="AB187" s="928"/>
      <c r="AC187" s="928"/>
      <c r="AD187" s="928"/>
      <c r="AE187" s="928"/>
      <c r="AF187" s="928"/>
      <c r="AG187" s="928"/>
      <c r="AH187" s="928"/>
      <c r="AI187" s="928"/>
      <c r="AJ187" s="928"/>
      <c r="AK187" s="928"/>
      <c r="AL187" s="928"/>
      <c r="AM187" s="928"/>
      <c r="AN187" s="928"/>
      <c r="AO187" s="928"/>
      <c r="AP187" s="928"/>
      <c r="AQ187" s="928"/>
      <c r="AR187" s="928"/>
      <c r="AS187" s="928"/>
    </row>
    <row r="188" spans="11:45">
      <c r="K188" s="957"/>
      <c r="L188" s="928"/>
      <c r="M188" s="928"/>
      <c r="N188" s="960"/>
      <c r="O188" s="960"/>
      <c r="P188" s="960"/>
      <c r="Q188" s="960"/>
      <c r="R188" s="960"/>
      <c r="S188" s="960"/>
      <c r="T188" s="960"/>
      <c r="U188" s="960"/>
      <c r="V188" s="960"/>
      <c r="W188" s="960"/>
      <c r="X188" s="960"/>
      <c r="Y188" s="960"/>
      <c r="Z188" s="960"/>
      <c r="AA188" s="960"/>
      <c r="AB188" s="928"/>
      <c r="AC188" s="928"/>
      <c r="AD188" s="928"/>
      <c r="AE188" s="928"/>
      <c r="AF188" s="928"/>
      <c r="AG188" s="928"/>
      <c r="AH188" s="928"/>
      <c r="AI188" s="928"/>
      <c r="AJ188" s="928"/>
      <c r="AK188" s="928"/>
      <c r="AL188" s="928"/>
      <c r="AM188" s="928"/>
      <c r="AN188" s="928"/>
      <c r="AO188" s="928"/>
      <c r="AP188" s="928"/>
      <c r="AQ188" s="928"/>
      <c r="AR188" s="928"/>
      <c r="AS188" s="928"/>
    </row>
    <row r="189" spans="11:45">
      <c r="K189" s="957"/>
      <c r="L189" s="928"/>
      <c r="M189" s="928"/>
      <c r="N189" s="960"/>
      <c r="O189" s="960"/>
      <c r="P189" s="960"/>
      <c r="Q189" s="960"/>
      <c r="R189" s="960"/>
      <c r="S189" s="960"/>
      <c r="T189" s="960"/>
      <c r="U189" s="960"/>
      <c r="V189" s="960"/>
      <c r="W189" s="960"/>
      <c r="X189" s="960"/>
      <c r="Y189" s="960"/>
      <c r="Z189" s="960"/>
      <c r="AA189" s="960"/>
      <c r="AB189" s="928"/>
      <c r="AC189" s="928"/>
      <c r="AD189" s="928"/>
      <c r="AE189" s="928"/>
      <c r="AF189" s="928"/>
      <c r="AG189" s="928"/>
      <c r="AH189" s="928"/>
      <c r="AI189" s="928"/>
      <c r="AJ189" s="928"/>
      <c r="AK189" s="928"/>
      <c r="AL189" s="928"/>
      <c r="AM189" s="928"/>
      <c r="AN189" s="928"/>
      <c r="AO189" s="928"/>
      <c r="AP189" s="928"/>
      <c r="AQ189" s="928"/>
      <c r="AR189" s="928"/>
      <c r="AS189" s="928"/>
    </row>
    <row r="190" spans="11:45">
      <c r="K190" s="957"/>
      <c r="L190" s="928"/>
      <c r="M190" s="928"/>
      <c r="N190" s="960"/>
      <c r="O190" s="960"/>
      <c r="P190" s="960"/>
      <c r="Q190" s="960"/>
      <c r="R190" s="960"/>
      <c r="S190" s="960"/>
      <c r="T190" s="960"/>
      <c r="U190" s="960"/>
      <c r="V190" s="960"/>
      <c r="W190" s="960"/>
      <c r="X190" s="960"/>
      <c r="Y190" s="960"/>
      <c r="Z190" s="960"/>
      <c r="AA190" s="960"/>
      <c r="AB190" s="928"/>
      <c r="AC190" s="928"/>
      <c r="AD190" s="928"/>
      <c r="AE190" s="928"/>
      <c r="AF190" s="928"/>
      <c r="AG190" s="928"/>
      <c r="AH190" s="928"/>
      <c r="AI190" s="928"/>
      <c r="AJ190" s="928"/>
      <c r="AK190" s="928"/>
      <c r="AL190" s="928"/>
      <c r="AM190" s="928"/>
      <c r="AN190" s="928"/>
      <c r="AO190" s="928"/>
      <c r="AP190" s="928"/>
      <c r="AQ190" s="928"/>
      <c r="AR190" s="928"/>
      <c r="AS190" s="928"/>
    </row>
    <row r="191" spans="11:45">
      <c r="K191" s="957"/>
      <c r="L191" s="928"/>
      <c r="M191" s="928"/>
      <c r="N191" s="960"/>
      <c r="O191" s="960"/>
      <c r="P191" s="960"/>
      <c r="Q191" s="960"/>
      <c r="R191" s="960"/>
      <c r="S191" s="960"/>
      <c r="T191" s="960"/>
      <c r="U191" s="960"/>
      <c r="V191" s="960"/>
      <c r="W191" s="960"/>
      <c r="X191" s="960"/>
      <c r="Y191" s="960"/>
      <c r="Z191" s="960"/>
      <c r="AA191" s="960"/>
      <c r="AB191" s="928"/>
      <c r="AC191" s="928"/>
      <c r="AD191" s="928"/>
      <c r="AE191" s="928"/>
      <c r="AF191" s="928"/>
      <c r="AG191" s="928"/>
      <c r="AH191" s="928"/>
      <c r="AI191" s="928"/>
      <c r="AJ191" s="928"/>
      <c r="AK191" s="928"/>
      <c r="AL191" s="928"/>
      <c r="AM191" s="928"/>
      <c r="AN191" s="928"/>
      <c r="AO191" s="928"/>
      <c r="AP191" s="928"/>
      <c r="AQ191" s="928"/>
      <c r="AR191" s="928"/>
      <c r="AS191" s="928"/>
    </row>
    <row r="192" spans="11:45">
      <c r="K192" s="957"/>
      <c r="L192" s="928"/>
      <c r="M192" s="928"/>
      <c r="N192" s="960"/>
      <c r="O192" s="960"/>
      <c r="P192" s="960"/>
      <c r="Q192" s="960"/>
      <c r="R192" s="960"/>
      <c r="S192" s="960"/>
      <c r="T192" s="960"/>
      <c r="U192" s="960"/>
      <c r="V192" s="960"/>
      <c r="W192" s="960"/>
      <c r="X192" s="960"/>
      <c r="Y192" s="960"/>
      <c r="Z192" s="960"/>
      <c r="AA192" s="960"/>
      <c r="AB192" s="928"/>
      <c r="AC192" s="928"/>
      <c r="AD192" s="928"/>
      <c r="AE192" s="928"/>
      <c r="AF192" s="928"/>
      <c r="AG192" s="928"/>
      <c r="AH192" s="928"/>
      <c r="AI192" s="928"/>
      <c r="AJ192" s="928"/>
      <c r="AK192" s="928"/>
      <c r="AL192" s="928"/>
      <c r="AM192" s="928"/>
      <c r="AN192" s="928"/>
      <c r="AO192" s="928"/>
      <c r="AP192" s="928"/>
      <c r="AQ192" s="928"/>
      <c r="AR192" s="928"/>
      <c r="AS192" s="928"/>
    </row>
    <row r="193" spans="11:45">
      <c r="K193" s="957"/>
      <c r="L193" s="928"/>
      <c r="M193" s="928"/>
      <c r="N193" s="960"/>
      <c r="O193" s="960"/>
      <c r="P193" s="960"/>
      <c r="Q193" s="960"/>
      <c r="R193" s="960"/>
      <c r="S193" s="960"/>
      <c r="T193" s="960"/>
      <c r="U193" s="960"/>
      <c r="V193" s="960"/>
      <c r="W193" s="960"/>
      <c r="X193" s="960"/>
      <c r="Y193" s="960"/>
      <c r="Z193" s="960"/>
      <c r="AA193" s="960"/>
      <c r="AB193" s="928"/>
      <c r="AC193" s="928"/>
      <c r="AD193" s="928"/>
      <c r="AE193" s="928"/>
      <c r="AF193" s="928"/>
      <c r="AG193" s="928"/>
      <c r="AH193" s="928"/>
      <c r="AI193" s="928"/>
      <c r="AJ193" s="928"/>
      <c r="AK193" s="928"/>
      <c r="AL193" s="928"/>
      <c r="AM193" s="928"/>
      <c r="AN193" s="928"/>
      <c r="AO193" s="928"/>
      <c r="AP193" s="928"/>
      <c r="AQ193" s="928"/>
      <c r="AR193" s="928"/>
      <c r="AS193" s="928"/>
    </row>
    <row r="194" spans="11:45">
      <c r="K194" s="957"/>
      <c r="L194" s="928"/>
      <c r="M194" s="928"/>
      <c r="N194" s="960"/>
      <c r="O194" s="960"/>
      <c r="P194" s="960"/>
      <c r="Q194" s="960"/>
      <c r="R194" s="960"/>
      <c r="S194" s="960"/>
      <c r="T194" s="960"/>
      <c r="U194" s="960"/>
      <c r="V194" s="960"/>
      <c r="W194" s="960"/>
      <c r="X194" s="960"/>
      <c r="Y194" s="960"/>
      <c r="Z194" s="960"/>
      <c r="AA194" s="960"/>
      <c r="AB194" s="928"/>
      <c r="AC194" s="928"/>
      <c r="AD194" s="928"/>
      <c r="AE194" s="928"/>
      <c r="AF194" s="928"/>
      <c r="AG194" s="928"/>
      <c r="AH194" s="928"/>
      <c r="AI194" s="928"/>
      <c r="AJ194" s="928"/>
      <c r="AK194" s="928"/>
      <c r="AL194" s="928"/>
      <c r="AM194" s="928"/>
      <c r="AN194" s="928"/>
      <c r="AO194" s="928"/>
      <c r="AP194" s="928"/>
      <c r="AQ194" s="928"/>
      <c r="AR194" s="928"/>
      <c r="AS194" s="928"/>
    </row>
    <row r="195" spans="11:45">
      <c r="K195" s="957"/>
      <c r="L195" s="928"/>
      <c r="M195" s="928"/>
      <c r="N195" s="960"/>
      <c r="O195" s="960"/>
      <c r="P195" s="960"/>
      <c r="Q195" s="960"/>
      <c r="R195" s="960"/>
      <c r="S195" s="960"/>
      <c r="T195" s="960"/>
      <c r="U195" s="960"/>
      <c r="V195" s="960"/>
      <c r="W195" s="960"/>
      <c r="X195" s="960"/>
      <c r="Y195" s="960"/>
      <c r="Z195" s="960"/>
      <c r="AA195" s="960"/>
      <c r="AB195" s="928"/>
      <c r="AC195" s="928"/>
      <c r="AD195" s="928"/>
      <c r="AE195" s="928"/>
      <c r="AF195" s="928"/>
      <c r="AG195" s="928"/>
      <c r="AH195" s="928"/>
      <c r="AI195" s="928"/>
      <c r="AJ195" s="928"/>
      <c r="AK195" s="928"/>
      <c r="AL195" s="928"/>
      <c r="AM195" s="928"/>
      <c r="AN195" s="928"/>
      <c r="AO195" s="928"/>
      <c r="AP195" s="928"/>
      <c r="AQ195" s="928"/>
      <c r="AR195" s="928"/>
      <c r="AS195" s="928"/>
    </row>
    <row r="196" spans="11:45">
      <c r="K196" s="957"/>
      <c r="L196" s="928"/>
      <c r="M196" s="928"/>
      <c r="N196" s="960"/>
      <c r="O196" s="960"/>
      <c r="P196" s="960"/>
      <c r="Q196" s="960"/>
      <c r="R196" s="960"/>
      <c r="S196" s="960"/>
      <c r="T196" s="960"/>
      <c r="U196" s="960"/>
      <c r="V196" s="960"/>
      <c r="W196" s="960"/>
      <c r="X196" s="960"/>
      <c r="Y196" s="960"/>
      <c r="Z196" s="960"/>
      <c r="AA196" s="960"/>
      <c r="AB196" s="928"/>
      <c r="AC196" s="928"/>
      <c r="AD196" s="928"/>
      <c r="AE196" s="928"/>
      <c r="AF196" s="928"/>
      <c r="AG196" s="928"/>
      <c r="AH196" s="928"/>
      <c r="AI196" s="928"/>
      <c r="AJ196" s="928"/>
      <c r="AK196" s="928"/>
      <c r="AL196" s="928"/>
      <c r="AM196" s="928"/>
      <c r="AN196" s="928"/>
      <c r="AO196" s="928"/>
      <c r="AP196" s="928"/>
      <c r="AQ196" s="928"/>
      <c r="AR196" s="928"/>
      <c r="AS196" s="928"/>
    </row>
    <row r="197" spans="11:45">
      <c r="K197" s="957"/>
      <c r="L197" s="928"/>
      <c r="M197" s="928"/>
      <c r="N197" s="960"/>
      <c r="O197" s="960"/>
      <c r="P197" s="960"/>
      <c r="Q197" s="960"/>
      <c r="R197" s="960"/>
      <c r="S197" s="960"/>
      <c r="T197" s="960"/>
      <c r="U197" s="960"/>
      <c r="V197" s="960"/>
      <c r="W197" s="960"/>
      <c r="X197" s="960"/>
      <c r="Y197" s="960"/>
      <c r="Z197" s="960"/>
      <c r="AA197" s="960"/>
      <c r="AB197" s="928"/>
      <c r="AC197" s="928"/>
      <c r="AD197" s="928"/>
      <c r="AE197" s="928"/>
      <c r="AF197" s="928"/>
      <c r="AG197" s="928"/>
      <c r="AH197" s="928"/>
      <c r="AI197" s="928"/>
      <c r="AJ197" s="928"/>
      <c r="AK197" s="928"/>
      <c r="AL197" s="928"/>
      <c r="AM197" s="928"/>
      <c r="AN197" s="928"/>
      <c r="AO197" s="928"/>
      <c r="AP197" s="928"/>
      <c r="AQ197" s="928"/>
      <c r="AR197" s="928"/>
      <c r="AS197" s="928"/>
    </row>
    <row r="198" spans="11:45">
      <c r="K198" s="957"/>
      <c r="L198" s="928"/>
      <c r="M198" s="928"/>
      <c r="N198" s="960"/>
      <c r="O198" s="960"/>
      <c r="P198" s="960"/>
      <c r="Q198" s="960"/>
      <c r="R198" s="960"/>
      <c r="S198" s="960"/>
      <c r="T198" s="960"/>
      <c r="U198" s="960"/>
      <c r="V198" s="960"/>
      <c r="W198" s="960"/>
      <c r="X198" s="960"/>
      <c r="Y198" s="960"/>
      <c r="Z198" s="960"/>
      <c r="AA198" s="960"/>
      <c r="AB198" s="928"/>
      <c r="AC198" s="928"/>
      <c r="AD198" s="928"/>
      <c r="AE198" s="928"/>
      <c r="AF198" s="928"/>
      <c r="AG198" s="928"/>
      <c r="AH198" s="928"/>
      <c r="AI198" s="928"/>
      <c r="AJ198" s="928"/>
      <c r="AK198" s="928"/>
      <c r="AL198" s="928"/>
      <c r="AM198" s="928"/>
      <c r="AN198" s="928"/>
      <c r="AO198" s="928"/>
      <c r="AP198" s="928"/>
      <c r="AQ198" s="928"/>
      <c r="AR198" s="928"/>
      <c r="AS198" s="928"/>
    </row>
    <row r="199" spans="11:45">
      <c r="K199" s="957"/>
      <c r="L199" s="928"/>
      <c r="M199" s="928"/>
      <c r="N199" s="960"/>
      <c r="O199" s="960"/>
      <c r="P199" s="960"/>
      <c r="Q199" s="960"/>
      <c r="R199" s="960"/>
      <c r="S199" s="960"/>
      <c r="T199" s="960"/>
      <c r="U199" s="960"/>
      <c r="V199" s="960"/>
      <c r="W199" s="960"/>
      <c r="X199" s="960"/>
      <c r="Y199" s="960"/>
      <c r="Z199" s="960"/>
      <c r="AA199" s="960"/>
      <c r="AB199" s="928"/>
      <c r="AC199" s="928"/>
      <c r="AD199" s="928"/>
      <c r="AE199" s="928"/>
      <c r="AF199" s="928"/>
      <c r="AG199" s="928"/>
      <c r="AH199" s="928"/>
      <c r="AI199" s="928"/>
      <c r="AJ199" s="928"/>
      <c r="AK199" s="928"/>
      <c r="AL199" s="928"/>
      <c r="AM199" s="928"/>
      <c r="AN199" s="928"/>
      <c r="AO199" s="928"/>
      <c r="AP199" s="928"/>
      <c r="AQ199" s="928"/>
      <c r="AR199" s="928"/>
      <c r="AS199" s="928"/>
    </row>
    <row r="200" spans="11:45">
      <c r="K200" s="957"/>
      <c r="L200" s="928"/>
      <c r="M200" s="928"/>
      <c r="N200" s="960"/>
      <c r="O200" s="960"/>
      <c r="P200" s="960"/>
      <c r="Q200" s="960"/>
      <c r="R200" s="960"/>
      <c r="S200" s="960"/>
      <c r="T200" s="960"/>
      <c r="U200" s="960"/>
      <c r="V200" s="960"/>
      <c r="W200" s="960"/>
      <c r="X200" s="960"/>
      <c r="Y200" s="960"/>
      <c r="Z200" s="960"/>
      <c r="AA200" s="960"/>
      <c r="AB200" s="928"/>
      <c r="AC200" s="928"/>
      <c r="AD200" s="928"/>
      <c r="AE200" s="928"/>
      <c r="AF200" s="928"/>
      <c r="AG200" s="928"/>
      <c r="AH200" s="928"/>
      <c r="AI200" s="928"/>
      <c r="AJ200" s="928"/>
      <c r="AK200" s="928"/>
      <c r="AL200" s="928"/>
      <c r="AM200" s="928"/>
      <c r="AN200" s="928"/>
      <c r="AO200" s="928"/>
      <c r="AP200" s="928"/>
      <c r="AQ200" s="928"/>
      <c r="AR200" s="928"/>
      <c r="AS200" s="928"/>
    </row>
    <row r="201" spans="11:45">
      <c r="K201" s="957"/>
      <c r="L201" s="928"/>
      <c r="M201" s="928"/>
      <c r="N201" s="960"/>
      <c r="O201" s="960"/>
      <c r="P201" s="960"/>
      <c r="Q201" s="960"/>
      <c r="R201" s="960"/>
      <c r="S201" s="960"/>
      <c r="T201" s="960"/>
      <c r="U201" s="960"/>
      <c r="V201" s="960"/>
      <c r="W201" s="960"/>
      <c r="X201" s="960"/>
      <c r="Y201" s="960"/>
      <c r="Z201" s="960"/>
      <c r="AA201" s="960"/>
      <c r="AB201" s="928"/>
      <c r="AC201" s="928"/>
      <c r="AD201" s="928"/>
      <c r="AE201" s="928"/>
      <c r="AF201" s="928"/>
      <c r="AG201" s="928"/>
      <c r="AH201" s="928"/>
      <c r="AI201" s="928"/>
      <c r="AJ201" s="928"/>
      <c r="AK201" s="928"/>
      <c r="AL201" s="928"/>
      <c r="AM201" s="928"/>
      <c r="AN201" s="928"/>
      <c r="AO201" s="928"/>
      <c r="AP201" s="928"/>
      <c r="AQ201" s="928"/>
      <c r="AR201" s="928"/>
      <c r="AS201" s="928"/>
    </row>
    <row r="202" spans="11:45">
      <c r="K202" s="957"/>
      <c r="L202" s="928"/>
      <c r="M202" s="928"/>
      <c r="N202" s="960"/>
      <c r="O202" s="960"/>
      <c r="P202" s="960"/>
      <c r="Q202" s="960"/>
      <c r="R202" s="960"/>
      <c r="S202" s="960"/>
      <c r="T202" s="960"/>
      <c r="U202" s="960"/>
      <c r="V202" s="960"/>
      <c r="W202" s="960"/>
      <c r="X202" s="960"/>
      <c r="Y202" s="960"/>
      <c r="Z202" s="960"/>
      <c r="AA202" s="960"/>
      <c r="AB202" s="928"/>
      <c r="AC202" s="928"/>
      <c r="AD202" s="928"/>
      <c r="AE202" s="928"/>
      <c r="AF202" s="928"/>
      <c r="AG202" s="928"/>
      <c r="AH202" s="928"/>
      <c r="AI202" s="928"/>
      <c r="AJ202" s="928"/>
      <c r="AK202" s="928"/>
      <c r="AL202" s="928"/>
      <c r="AM202" s="928"/>
      <c r="AN202" s="928"/>
      <c r="AO202" s="928"/>
      <c r="AP202" s="928"/>
      <c r="AQ202" s="928"/>
      <c r="AR202" s="928"/>
      <c r="AS202" s="928"/>
    </row>
    <row r="203" spans="11:45">
      <c r="K203" s="957"/>
      <c r="L203" s="928"/>
      <c r="M203" s="928"/>
      <c r="N203" s="960"/>
      <c r="O203" s="960"/>
      <c r="P203" s="960"/>
      <c r="Q203" s="960"/>
      <c r="R203" s="960"/>
      <c r="S203" s="960"/>
      <c r="T203" s="960"/>
      <c r="U203" s="960"/>
      <c r="V203" s="960"/>
      <c r="W203" s="960"/>
      <c r="X203" s="960"/>
      <c r="Y203" s="960"/>
      <c r="Z203" s="960"/>
      <c r="AA203" s="960"/>
      <c r="AB203" s="928"/>
      <c r="AC203" s="928"/>
      <c r="AD203" s="928"/>
      <c r="AE203" s="928"/>
      <c r="AF203" s="928"/>
      <c r="AG203" s="928"/>
      <c r="AH203" s="928"/>
      <c r="AI203" s="928"/>
      <c r="AJ203" s="928"/>
      <c r="AK203" s="928"/>
      <c r="AL203" s="928"/>
      <c r="AM203" s="928"/>
      <c r="AN203" s="928"/>
      <c r="AO203" s="928"/>
      <c r="AP203" s="928"/>
      <c r="AQ203" s="928"/>
      <c r="AR203" s="928"/>
      <c r="AS203" s="928"/>
    </row>
    <row r="204" spans="11:45">
      <c r="K204" s="957"/>
      <c r="L204" s="928"/>
      <c r="M204" s="928"/>
      <c r="N204" s="960"/>
      <c r="O204" s="960"/>
      <c r="P204" s="960"/>
      <c r="Q204" s="960"/>
      <c r="R204" s="960"/>
      <c r="S204" s="960"/>
      <c r="T204" s="960"/>
      <c r="U204" s="960"/>
      <c r="V204" s="960"/>
      <c r="W204" s="960"/>
      <c r="X204" s="960"/>
      <c r="Y204" s="960"/>
      <c r="Z204" s="960"/>
      <c r="AA204" s="960"/>
      <c r="AB204" s="928"/>
      <c r="AC204" s="928"/>
      <c r="AD204" s="928"/>
      <c r="AE204" s="928"/>
      <c r="AF204" s="928"/>
      <c r="AG204" s="928"/>
      <c r="AH204" s="928"/>
      <c r="AI204" s="928"/>
      <c r="AJ204" s="928"/>
      <c r="AK204" s="928"/>
      <c r="AL204" s="928"/>
      <c r="AM204" s="928"/>
      <c r="AN204" s="928"/>
      <c r="AO204" s="928"/>
      <c r="AP204" s="928"/>
      <c r="AQ204" s="928"/>
      <c r="AR204" s="928"/>
      <c r="AS204" s="928"/>
    </row>
    <row r="205" spans="11:45">
      <c r="K205" s="957"/>
      <c r="L205" s="928"/>
      <c r="M205" s="928"/>
      <c r="N205" s="960"/>
      <c r="O205" s="960"/>
      <c r="P205" s="960"/>
      <c r="Q205" s="960"/>
      <c r="R205" s="960"/>
      <c r="S205" s="960"/>
      <c r="T205" s="960"/>
      <c r="U205" s="960"/>
      <c r="V205" s="960"/>
      <c r="W205" s="960"/>
      <c r="X205" s="960"/>
      <c r="Y205" s="960"/>
      <c r="Z205" s="960"/>
      <c r="AA205" s="960"/>
      <c r="AB205" s="928"/>
      <c r="AC205" s="928"/>
      <c r="AD205" s="928"/>
      <c r="AE205" s="928"/>
      <c r="AF205" s="928"/>
      <c r="AG205" s="928"/>
      <c r="AH205" s="928"/>
      <c r="AI205" s="928"/>
      <c r="AJ205" s="928"/>
      <c r="AK205" s="928"/>
      <c r="AL205" s="928"/>
      <c r="AM205" s="928"/>
      <c r="AN205" s="928"/>
      <c r="AO205" s="928"/>
      <c r="AP205" s="928"/>
      <c r="AQ205" s="928"/>
      <c r="AR205" s="928"/>
      <c r="AS205" s="928"/>
    </row>
    <row r="206" spans="11:45">
      <c r="K206" s="957"/>
      <c r="L206" s="928"/>
      <c r="M206" s="928"/>
      <c r="N206" s="960"/>
      <c r="O206" s="960"/>
      <c r="P206" s="960"/>
      <c r="Q206" s="960"/>
      <c r="R206" s="960"/>
      <c r="S206" s="960"/>
      <c r="T206" s="960"/>
      <c r="U206" s="960"/>
      <c r="V206" s="960"/>
      <c r="W206" s="960"/>
      <c r="X206" s="960"/>
      <c r="Y206" s="960"/>
      <c r="Z206" s="960"/>
      <c r="AA206" s="960"/>
      <c r="AB206" s="928"/>
      <c r="AC206" s="928"/>
      <c r="AD206" s="928"/>
      <c r="AE206" s="928"/>
      <c r="AF206" s="928"/>
      <c r="AG206" s="928"/>
      <c r="AH206" s="928"/>
      <c r="AI206" s="928"/>
      <c r="AJ206" s="928"/>
      <c r="AK206" s="928"/>
      <c r="AL206" s="928"/>
      <c r="AM206" s="928"/>
      <c r="AN206" s="928"/>
      <c r="AO206" s="928"/>
      <c r="AP206" s="928"/>
      <c r="AQ206" s="928"/>
      <c r="AR206" s="928"/>
      <c r="AS206" s="928"/>
    </row>
    <row r="207" spans="11:45">
      <c r="K207" s="957"/>
      <c r="L207" s="928"/>
      <c r="M207" s="928"/>
      <c r="N207" s="960"/>
      <c r="O207" s="960"/>
      <c r="P207" s="960"/>
      <c r="Q207" s="960"/>
      <c r="R207" s="960"/>
      <c r="S207" s="960"/>
      <c r="T207" s="960"/>
      <c r="U207" s="960"/>
      <c r="V207" s="960"/>
      <c r="W207" s="960"/>
      <c r="X207" s="960"/>
      <c r="Y207" s="960"/>
      <c r="Z207" s="960"/>
      <c r="AA207" s="960"/>
      <c r="AB207" s="928"/>
      <c r="AC207" s="928"/>
      <c r="AD207" s="928"/>
      <c r="AE207" s="928"/>
      <c r="AF207" s="928"/>
      <c r="AG207" s="928"/>
      <c r="AH207" s="928"/>
      <c r="AI207" s="928"/>
      <c r="AJ207" s="928"/>
      <c r="AK207" s="928"/>
      <c r="AL207" s="928"/>
      <c r="AM207" s="928"/>
      <c r="AN207" s="928"/>
      <c r="AO207" s="928"/>
      <c r="AP207" s="928"/>
      <c r="AQ207" s="928"/>
      <c r="AR207" s="928"/>
      <c r="AS207" s="928"/>
    </row>
    <row r="208" spans="11:45">
      <c r="K208" s="957"/>
      <c r="L208" s="928"/>
      <c r="M208" s="928"/>
      <c r="N208" s="960"/>
      <c r="O208" s="960"/>
      <c r="P208" s="960"/>
      <c r="Q208" s="960"/>
      <c r="R208" s="960"/>
      <c r="S208" s="960"/>
      <c r="T208" s="960"/>
      <c r="U208" s="960"/>
      <c r="V208" s="960"/>
      <c r="W208" s="960"/>
      <c r="X208" s="960"/>
      <c r="Y208" s="960"/>
      <c r="Z208" s="960"/>
      <c r="AA208" s="960"/>
      <c r="AB208" s="928"/>
      <c r="AC208" s="928"/>
      <c r="AD208" s="928"/>
      <c r="AE208" s="928"/>
      <c r="AF208" s="928"/>
      <c r="AG208" s="928"/>
      <c r="AH208" s="928"/>
      <c r="AI208" s="928"/>
      <c r="AJ208" s="928"/>
      <c r="AK208" s="928"/>
      <c r="AL208" s="928"/>
      <c r="AM208" s="928"/>
      <c r="AN208" s="928"/>
      <c r="AO208" s="928"/>
      <c r="AP208" s="928"/>
      <c r="AQ208" s="928"/>
      <c r="AR208" s="928"/>
      <c r="AS208" s="928"/>
    </row>
    <row r="209" spans="11:45">
      <c r="K209" s="957"/>
      <c r="L209" s="928"/>
      <c r="M209" s="928"/>
      <c r="N209" s="960"/>
      <c r="O209" s="960"/>
      <c r="P209" s="960"/>
      <c r="Q209" s="960"/>
      <c r="R209" s="960"/>
      <c r="S209" s="960"/>
      <c r="T209" s="960"/>
      <c r="U209" s="960"/>
      <c r="V209" s="960"/>
      <c r="W209" s="960"/>
      <c r="X209" s="960"/>
      <c r="Y209" s="960"/>
      <c r="Z209" s="960"/>
      <c r="AA209" s="960"/>
      <c r="AB209" s="928"/>
      <c r="AC209" s="928"/>
      <c r="AD209" s="928"/>
      <c r="AE209" s="928"/>
      <c r="AF209" s="928"/>
      <c r="AG209" s="928"/>
      <c r="AH209" s="928"/>
      <c r="AI209" s="928"/>
      <c r="AJ209" s="928"/>
      <c r="AK209" s="928"/>
      <c r="AL209" s="928"/>
      <c r="AM209" s="928"/>
      <c r="AN209" s="928"/>
      <c r="AO209" s="928"/>
      <c r="AP209" s="928"/>
      <c r="AQ209" s="928"/>
      <c r="AR209" s="928"/>
      <c r="AS209" s="928"/>
    </row>
    <row r="210" spans="11:45">
      <c r="K210" s="957"/>
      <c r="L210" s="928"/>
      <c r="M210" s="928"/>
      <c r="N210" s="960"/>
      <c r="O210" s="960"/>
      <c r="P210" s="960"/>
      <c r="Q210" s="960"/>
      <c r="R210" s="960"/>
      <c r="S210" s="960"/>
      <c r="T210" s="960"/>
      <c r="U210" s="960"/>
      <c r="V210" s="960"/>
      <c r="W210" s="960"/>
      <c r="X210" s="960"/>
      <c r="Y210" s="960"/>
      <c r="Z210" s="960"/>
      <c r="AA210" s="960"/>
      <c r="AB210" s="928"/>
      <c r="AC210" s="928"/>
      <c r="AD210" s="928"/>
      <c r="AE210" s="928"/>
      <c r="AF210" s="928"/>
      <c r="AG210" s="928"/>
      <c r="AH210" s="928"/>
      <c r="AI210" s="928"/>
      <c r="AJ210" s="928"/>
      <c r="AK210" s="928"/>
      <c r="AL210" s="928"/>
      <c r="AM210" s="928"/>
      <c r="AN210" s="928"/>
      <c r="AO210" s="928"/>
      <c r="AP210" s="928"/>
      <c r="AQ210" s="928"/>
      <c r="AR210" s="928"/>
      <c r="AS210" s="928"/>
    </row>
    <row r="211" spans="11:45">
      <c r="K211" s="957"/>
      <c r="L211" s="928"/>
      <c r="M211" s="928"/>
      <c r="N211" s="960"/>
      <c r="O211" s="960"/>
      <c r="P211" s="960"/>
      <c r="Q211" s="960"/>
      <c r="R211" s="960"/>
      <c r="S211" s="960"/>
      <c r="T211" s="960"/>
      <c r="U211" s="960"/>
      <c r="V211" s="960"/>
      <c r="W211" s="960"/>
      <c r="X211" s="960"/>
      <c r="Y211" s="960"/>
      <c r="Z211" s="960"/>
      <c r="AA211" s="960"/>
      <c r="AB211" s="928"/>
      <c r="AC211" s="928"/>
      <c r="AD211" s="928"/>
      <c r="AE211" s="928"/>
      <c r="AF211" s="928"/>
      <c r="AG211" s="928"/>
      <c r="AH211" s="928"/>
      <c r="AI211" s="928"/>
      <c r="AJ211" s="928"/>
      <c r="AK211" s="928"/>
      <c r="AL211" s="928"/>
      <c r="AM211" s="928"/>
      <c r="AN211" s="928"/>
      <c r="AO211" s="928"/>
      <c r="AP211" s="928"/>
      <c r="AQ211" s="928"/>
      <c r="AR211" s="928"/>
      <c r="AS211" s="928"/>
    </row>
    <row r="212" spans="11:45">
      <c r="K212" s="957"/>
      <c r="L212" s="928"/>
      <c r="M212" s="928"/>
      <c r="N212" s="960"/>
      <c r="O212" s="960"/>
      <c r="P212" s="960"/>
      <c r="Q212" s="960"/>
      <c r="R212" s="960"/>
      <c r="S212" s="960"/>
      <c r="T212" s="960"/>
      <c r="U212" s="960"/>
      <c r="V212" s="960"/>
      <c r="W212" s="960"/>
      <c r="X212" s="960"/>
      <c r="Y212" s="960"/>
      <c r="Z212" s="960"/>
      <c r="AA212" s="960"/>
      <c r="AB212" s="928"/>
      <c r="AC212" s="928"/>
      <c r="AD212" s="928"/>
      <c r="AE212" s="928"/>
      <c r="AF212" s="928"/>
      <c r="AG212" s="928"/>
      <c r="AH212" s="928"/>
      <c r="AI212" s="928"/>
      <c r="AJ212" s="928"/>
      <c r="AK212" s="928"/>
      <c r="AL212" s="928"/>
      <c r="AM212" s="928"/>
      <c r="AN212" s="928"/>
      <c r="AO212" s="928"/>
      <c r="AP212" s="928"/>
      <c r="AQ212" s="928"/>
      <c r="AR212" s="928"/>
      <c r="AS212" s="928"/>
    </row>
    <row r="213" spans="11:45">
      <c r="K213" s="957"/>
      <c r="L213" s="928"/>
      <c r="M213" s="928"/>
      <c r="N213" s="960"/>
      <c r="O213" s="960"/>
      <c r="P213" s="960"/>
      <c r="Q213" s="960"/>
      <c r="R213" s="960"/>
      <c r="S213" s="960"/>
      <c r="T213" s="960"/>
      <c r="U213" s="960"/>
      <c r="V213" s="960"/>
      <c r="W213" s="960"/>
      <c r="X213" s="960"/>
      <c r="Y213" s="960"/>
      <c r="Z213" s="960"/>
      <c r="AA213" s="960"/>
      <c r="AB213" s="928"/>
      <c r="AC213" s="928"/>
      <c r="AD213" s="928"/>
      <c r="AE213" s="928"/>
      <c r="AF213" s="928"/>
      <c r="AG213" s="928"/>
      <c r="AH213" s="928"/>
      <c r="AI213" s="928"/>
      <c r="AJ213" s="928"/>
      <c r="AK213" s="928"/>
      <c r="AL213" s="928"/>
      <c r="AM213" s="928"/>
      <c r="AN213" s="928"/>
      <c r="AO213" s="928"/>
      <c r="AP213" s="928"/>
      <c r="AQ213" s="928"/>
      <c r="AR213" s="928"/>
      <c r="AS213" s="928"/>
    </row>
    <row r="214" spans="11:45">
      <c r="K214" s="957"/>
      <c r="L214" s="928"/>
      <c r="M214" s="928"/>
      <c r="N214" s="960"/>
      <c r="O214" s="960"/>
      <c r="P214" s="960"/>
      <c r="Q214" s="960"/>
      <c r="R214" s="960"/>
      <c r="S214" s="960"/>
      <c r="T214" s="960"/>
      <c r="U214" s="960"/>
      <c r="V214" s="960"/>
      <c r="W214" s="960"/>
      <c r="X214" s="960"/>
      <c r="Y214" s="960"/>
      <c r="Z214" s="960"/>
      <c r="AA214" s="960"/>
      <c r="AB214" s="928"/>
      <c r="AC214" s="928"/>
      <c r="AD214" s="928"/>
      <c r="AE214" s="928"/>
      <c r="AF214" s="928"/>
      <c r="AG214" s="928"/>
      <c r="AH214" s="928"/>
      <c r="AI214" s="928"/>
      <c r="AJ214" s="928"/>
      <c r="AK214" s="928"/>
      <c r="AL214" s="928"/>
      <c r="AM214" s="928"/>
      <c r="AN214" s="928"/>
      <c r="AO214" s="928"/>
      <c r="AP214" s="928"/>
      <c r="AQ214" s="928"/>
      <c r="AR214" s="928"/>
      <c r="AS214" s="928"/>
    </row>
    <row r="215" spans="11:45">
      <c r="K215" s="957"/>
      <c r="L215" s="928"/>
      <c r="M215" s="928"/>
      <c r="N215" s="960"/>
      <c r="O215" s="960"/>
      <c r="P215" s="960"/>
      <c r="Q215" s="960"/>
      <c r="R215" s="960"/>
      <c r="S215" s="960"/>
      <c r="T215" s="960"/>
      <c r="U215" s="960"/>
      <c r="V215" s="960"/>
      <c r="W215" s="960"/>
      <c r="X215" s="960"/>
      <c r="Y215" s="960"/>
      <c r="Z215" s="960"/>
      <c r="AA215" s="960"/>
      <c r="AB215" s="928"/>
      <c r="AC215" s="928"/>
      <c r="AD215" s="928"/>
      <c r="AE215" s="928"/>
      <c r="AF215" s="928"/>
      <c r="AG215" s="928"/>
      <c r="AH215" s="928"/>
      <c r="AI215" s="928"/>
      <c r="AJ215" s="928"/>
      <c r="AK215" s="928"/>
      <c r="AL215" s="928"/>
      <c r="AM215" s="928"/>
      <c r="AN215" s="928"/>
      <c r="AO215" s="928"/>
      <c r="AP215" s="928"/>
      <c r="AQ215" s="928"/>
      <c r="AR215" s="928"/>
      <c r="AS215" s="928"/>
    </row>
    <row r="216" spans="11:45">
      <c r="K216" s="957"/>
      <c r="L216" s="928"/>
      <c r="M216" s="928"/>
      <c r="N216" s="960"/>
      <c r="O216" s="960"/>
      <c r="P216" s="960"/>
      <c r="Q216" s="960"/>
      <c r="R216" s="960"/>
      <c r="S216" s="960"/>
      <c r="T216" s="960"/>
      <c r="U216" s="960"/>
      <c r="V216" s="960"/>
      <c r="W216" s="960"/>
      <c r="X216" s="960"/>
      <c r="Y216" s="960"/>
      <c r="Z216" s="960"/>
      <c r="AA216" s="960"/>
      <c r="AB216" s="928"/>
      <c r="AC216" s="928"/>
      <c r="AD216" s="928"/>
      <c r="AE216" s="928"/>
      <c r="AF216" s="928"/>
      <c r="AG216" s="928"/>
      <c r="AH216" s="928"/>
      <c r="AI216" s="928"/>
      <c r="AJ216" s="928"/>
      <c r="AK216" s="928"/>
      <c r="AL216" s="928"/>
      <c r="AM216" s="928"/>
      <c r="AN216" s="928"/>
      <c r="AO216" s="928"/>
      <c r="AP216" s="928"/>
      <c r="AQ216" s="928"/>
      <c r="AR216" s="928"/>
      <c r="AS216" s="928"/>
    </row>
    <row r="217" spans="11:45">
      <c r="K217" s="957"/>
      <c r="L217" s="928"/>
      <c r="M217" s="928"/>
      <c r="N217" s="960"/>
      <c r="O217" s="960"/>
      <c r="P217" s="960"/>
      <c r="Q217" s="960"/>
      <c r="R217" s="960"/>
      <c r="S217" s="960"/>
      <c r="T217" s="960"/>
      <c r="U217" s="960"/>
      <c r="V217" s="960"/>
      <c r="W217" s="960"/>
      <c r="X217" s="960"/>
      <c r="Y217" s="960"/>
      <c r="Z217" s="960"/>
      <c r="AA217" s="960"/>
      <c r="AB217" s="928"/>
      <c r="AC217" s="928"/>
      <c r="AD217" s="928"/>
      <c r="AE217" s="928"/>
      <c r="AF217" s="928"/>
      <c r="AG217" s="928"/>
      <c r="AH217" s="928"/>
      <c r="AI217" s="928"/>
      <c r="AJ217" s="928"/>
      <c r="AK217" s="928"/>
      <c r="AL217" s="928"/>
      <c r="AM217" s="928"/>
      <c r="AN217" s="928"/>
      <c r="AO217" s="928"/>
      <c r="AP217" s="928"/>
      <c r="AQ217" s="928"/>
      <c r="AR217" s="928"/>
      <c r="AS217" s="928"/>
    </row>
    <row r="218" spans="11:45">
      <c r="K218" s="957"/>
      <c r="L218" s="928"/>
      <c r="M218" s="928"/>
      <c r="N218" s="960"/>
      <c r="O218" s="960"/>
      <c r="P218" s="960"/>
      <c r="Q218" s="960"/>
      <c r="R218" s="960"/>
      <c r="S218" s="960"/>
      <c r="T218" s="960"/>
      <c r="U218" s="960"/>
      <c r="V218" s="960"/>
      <c r="W218" s="960"/>
      <c r="X218" s="960"/>
      <c r="Y218" s="960"/>
      <c r="Z218" s="960"/>
      <c r="AA218" s="960"/>
      <c r="AB218" s="928"/>
      <c r="AC218" s="928"/>
      <c r="AD218" s="928"/>
      <c r="AE218" s="928"/>
      <c r="AF218" s="928"/>
      <c r="AG218" s="928"/>
      <c r="AH218" s="928"/>
      <c r="AI218" s="928"/>
      <c r="AJ218" s="928"/>
      <c r="AK218" s="928"/>
      <c r="AL218" s="928"/>
      <c r="AM218" s="928"/>
      <c r="AN218" s="928"/>
      <c r="AO218" s="928"/>
      <c r="AP218" s="928"/>
      <c r="AQ218" s="928"/>
      <c r="AR218" s="928"/>
      <c r="AS218" s="928"/>
    </row>
    <row r="219" spans="11:45">
      <c r="K219" s="957"/>
      <c r="L219" s="928"/>
      <c r="M219" s="928"/>
      <c r="N219" s="960"/>
      <c r="O219" s="960"/>
      <c r="P219" s="960"/>
      <c r="Q219" s="960"/>
      <c r="R219" s="960"/>
      <c r="S219" s="960"/>
      <c r="T219" s="960"/>
      <c r="U219" s="960"/>
      <c r="V219" s="960"/>
      <c r="W219" s="960"/>
      <c r="X219" s="960"/>
      <c r="Y219" s="960"/>
      <c r="Z219" s="960"/>
      <c r="AA219" s="960"/>
      <c r="AB219" s="928"/>
      <c r="AC219" s="928"/>
      <c r="AD219" s="928"/>
      <c r="AE219" s="928"/>
      <c r="AF219" s="928"/>
      <c r="AG219" s="928"/>
      <c r="AH219" s="928"/>
      <c r="AI219" s="928"/>
      <c r="AJ219" s="928"/>
      <c r="AK219" s="928"/>
      <c r="AL219" s="928"/>
      <c r="AM219" s="928"/>
      <c r="AN219" s="928"/>
      <c r="AO219" s="928"/>
      <c r="AP219" s="928"/>
      <c r="AQ219" s="928"/>
      <c r="AR219" s="928"/>
      <c r="AS219" s="928"/>
    </row>
    <row r="220" spans="11:45">
      <c r="K220" s="957"/>
      <c r="L220" s="928"/>
      <c r="M220" s="928"/>
      <c r="N220" s="960"/>
      <c r="O220" s="960"/>
      <c r="P220" s="960"/>
      <c r="Q220" s="960"/>
      <c r="R220" s="960"/>
      <c r="S220" s="960"/>
      <c r="T220" s="960"/>
      <c r="U220" s="960"/>
      <c r="V220" s="960"/>
      <c r="W220" s="960"/>
      <c r="X220" s="960"/>
      <c r="Y220" s="960"/>
      <c r="Z220" s="960"/>
      <c r="AA220" s="960"/>
      <c r="AB220" s="928"/>
      <c r="AC220" s="928"/>
      <c r="AD220" s="928"/>
      <c r="AE220" s="928"/>
      <c r="AF220" s="928"/>
      <c r="AG220" s="928"/>
      <c r="AH220" s="928"/>
      <c r="AI220" s="928"/>
      <c r="AJ220" s="928"/>
      <c r="AK220" s="928"/>
      <c r="AL220" s="928"/>
      <c r="AM220" s="928"/>
      <c r="AN220" s="928"/>
      <c r="AO220" s="928"/>
      <c r="AP220" s="928"/>
      <c r="AQ220" s="928"/>
      <c r="AR220" s="928"/>
      <c r="AS220" s="928"/>
    </row>
    <row r="221" spans="11:45">
      <c r="K221" s="957"/>
      <c r="L221" s="928"/>
      <c r="M221" s="928"/>
      <c r="N221" s="960"/>
      <c r="O221" s="960"/>
      <c r="P221" s="960"/>
      <c r="Q221" s="960"/>
      <c r="R221" s="960"/>
      <c r="S221" s="960"/>
      <c r="T221" s="960"/>
      <c r="U221" s="960"/>
      <c r="V221" s="960"/>
      <c r="W221" s="960"/>
      <c r="X221" s="960"/>
      <c r="Y221" s="960"/>
      <c r="Z221" s="960"/>
      <c r="AA221" s="960"/>
      <c r="AB221" s="928"/>
      <c r="AC221" s="928"/>
      <c r="AD221" s="928"/>
      <c r="AE221" s="928"/>
      <c r="AF221" s="928"/>
      <c r="AG221" s="928"/>
      <c r="AH221" s="928"/>
      <c r="AI221" s="928"/>
      <c r="AJ221" s="928"/>
      <c r="AK221" s="928"/>
      <c r="AL221" s="928"/>
      <c r="AM221" s="928"/>
      <c r="AN221" s="928"/>
      <c r="AO221" s="928"/>
      <c r="AP221" s="928"/>
      <c r="AQ221" s="928"/>
      <c r="AR221" s="928"/>
      <c r="AS221" s="928"/>
    </row>
    <row r="222" spans="11:45">
      <c r="K222" s="957"/>
      <c r="L222" s="928"/>
      <c r="M222" s="928"/>
      <c r="N222" s="960"/>
      <c r="O222" s="960"/>
      <c r="P222" s="960"/>
      <c r="Q222" s="960"/>
      <c r="R222" s="960"/>
      <c r="S222" s="960"/>
      <c r="T222" s="960"/>
      <c r="U222" s="960"/>
      <c r="V222" s="960"/>
      <c r="W222" s="960"/>
      <c r="X222" s="960"/>
      <c r="Y222" s="960"/>
      <c r="Z222" s="960"/>
      <c r="AA222" s="960"/>
      <c r="AB222" s="928"/>
      <c r="AC222" s="928"/>
      <c r="AD222" s="928"/>
      <c r="AE222" s="928"/>
      <c r="AF222" s="928"/>
      <c r="AG222" s="928"/>
      <c r="AH222" s="928"/>
      <c r="AI222" s="928"/>
      <c r="AJ222" s="928"/>
      <c r="AK222" s="928"/>
      <c r="AL222" s="928"/>
      <c r="AM222" s="928"/>
      <c r="AN222" s="928"/>
      <c r="AO222" s="928"/>
      <c r="AP222" s="928"/>
      <c r="AQ222" s="928"/>
      <c r="AR222" s="928"/>
      <c r="AS222" s="928"/>
    </row>
    <row r="223" spans="11:45">
      <c r="K223" s="957"/>
      <c r="L223" s="928"/>
      <c r="M223" s="928"/>
      <c r="N223" s="960"/>
      <c r="O223" s="960"/>
      <c r="P223" s="960"/>
      <c r="Q223" s="960"/>
      <c r="R223" s="960"/>
      <c r="S223" s="960"/>
      <c r="T223" s="960"/>
      <c r="U223" s="960"/>
      <c r="V223" s="960"/>
      <c r="W223" s="960"/>
      <c r="X223" s="960"/>
      <c r="Y223" s="960"/>
      <c r="Z223" s="960"/>
      <c r="AA223" s="960"/>
      <c r="AB223" s="928"/>
      <c r="AC223" s="928"/>
      <c r="AD223" s="928"/>
      <c r="AE223" s="928"/>
      <c r="AF223" s="928"/>
      <c r="AG223" s="928"/>
      <c r="AH223" s="928"/>
      <c r="AI223" s="928"/>
      <c r="AJ223" s="928"/>
      <c r="AK223" s="928"/>
      <c r="AL223" s="928"/>
      <c r="AM223" s="928"/>
      <c r="AN223" s="928"/>
      <c r="AO223" s="928"/>
      <c r="AP223" s="928"/>
      <c r="AQ223" s="928"/>
      <c r="AR223" s="928"/>
      <c r="AS223" s="928"/>
    </row>
    <row r="224" spans="11:45">
      <c r="K224" s="957"/>
      <c r="L224" s="928"/>
      <c r="M224" s="928"/>
      <c r="N224" s="960"/>
      <c r="O224" s="960"/>
      <c r="P224" s="960"/>
      <c r="Q224" s="960"/>
      <c r="R224" s="960"/>
      <c r="S224" s="960"/>
      <c r="T224" s="960"/>
      <c r="U224" s="960"/>
      <c r="V224" s="960"/>
      <c r="W224" s="960"/>
      <c r="X224" s="960"/>
      <c r="Y224" s="960"/>
      <c r="Z224" s="960"/>
      <c r="AA224" s="960"/>
      <c r="AB224" s="928"/>
      <c r="AC224" s="928"/>
      <c r="AD224" s="928"/>
      <c r="AE224" s="928"/>
      <c r="AF224" s="928"/>
      <c r="AG224" s="928"/>
      <c r="AH224" s="928"/>
      <c r="AI224" s="928"/>
      <c r="AJ224" s="928"/>
      <c r="AK224" s="928"/>
      <c r="AL224" s="928"/>
      <c r="AM224" s="928"/>
      <c r="AN224" s="928"/>
      <c r="AO224" s="928"/>
      <c r="AP224" s="928"/>
      <c r="AQ224" s="928"/>
      <c r="AR224" s="928"/>
      <c r="AS224" s="928"/>
    </row>
    <row r="225" spans="11:45">
      <c r="K225" s="957"/>
      <c r="L225" s="928"/>
      <c r="M225" s="928"/>
      <c r="N225" s="960"/>
      <c r="O225" s="960"/>
      <c r="P225" s="960"/>
      <c r="Q225" s="960"/>
      <c r="R225" s="960"/>
      <c r="S225" s="960"/>
      <c r="T225" s="960"/>
      <c r="U225" s="960"/>
      <c r="V225" s="960"/>
      <c r="W225" s="960"/>
      <c r="X225" s="960"/>
      <c r="Y225" s="960"/>
      <c r="Z225" s="960"/>
      <c r="AA225" s="960"/>
      <c r="AB225" s="928"/>
      <c r="AC225" s="928"/>
      <c r="AD225" s="928"/>
      <c r="AE225" s="928"/>
      <c r="AF225" s="928"/>
      <c r="AG225" s="928"/>
      <c r="AH225" s="928"/>
      <c r="AI225" s="928"/>
      <c r="AJ225" s="928"/>
      <c r="AK225" s="928"/>
      <c r="AL225" s="928"/>
      <c r="AM225" s="928"/>
      <c r="AN225" s="928"/>
      <c r="AO225" s="928"/>
      <c r="AP225" s="928"/>
      <c r="AQ225" s="928"/>
      <c r="AR225" s="928"/>
      <c r="AS225" s="928"/>
    </row>
    <row r="226" spans="11:45">
      <c r="K226" s="957"/>
      <c r="L226" s="928"/>
      <c r="M226" s="928"/>
      <c r="N226" s="960"/>
      <c r="O226" s="960"/>
      <c r="P226" s="960"/>
      <c r="Q226" s="960"/>
      <c r="R226" s="960"/>
      <c r="S226" s="960"/>
      <c r="T226" s="960"/>
      <c r="U226" s="960"/>
      <c r="V226" s="960"/>
      <c r="W226" s="960"/>
      <c r="X226" s="960"/>
      <c r="Y226" s="960"/>
      <c r="Z226" s="960"/>
      <c r="AA226" s="960"/>
      <c r="AB226" s="928"/>
      <c r="AC226" s="928"/>
      <c r="AD226" s="928"/>
      <c r="AE226" s="928"/>
      <c r="AF226" s="928"/>
      <c r="AG226" s="928"/>
      <c r="AH226" s="928"/>
      <c r="AI226" s="928"/>
      <c r="AJ226" s="928"/>
      <c r="AK226" s="928"/>
      <c r="AL226" s="928"/>
      <c r="AM226" s="928"/>
      <c r="AN226" s="928"/>
      <c r="AO226" s="928"/>
      <c r="AP226" s="928"/>
      <c r="AQ226" s="928"/>
      <c r="AR226" s="928"/>
      <c r="AS226" s="928"/>
    </row>
    <row r="227" spans="11:45">
      <c r="K227" s="957"/>
      <c r="L227" s="928"/>
      <c r="M227" s="928"/>
      <c r="N227" s="960"/>
      <c r="O227" s="960"/>
      <c r="P227" s="960"/>
      <c r="Q227" s="960"/>
      <c r="R227" s="960"/>
      <c r="S227" s="960"/>
      <c r="T227" s="960"/>
      <c r="U227" s="960"/>
      <c r="V227" s="960"/>
      <c r="W227" s="960"/>
      <c r="X227" s="960"/>
      <c r="Y227" s="960"/>
      <c r="Z227" s="960"/>
      <c r="AA227" s="960"/>
      <c r="AB227" s="928"/>
      <c r="AC227" s="928"/>
      <c r="AD227" s="928"/>
      <c r="AE227" s="928"/>
      <c r="AF227" s="928"/>
      <c r="AG227" s="928"/>
      <c r="AH227" s="928"/>
      <c r="AI227" s="928"/>
      <c r="AJ227" s="928"/>
      <c r="AK227" s="928"/>
      <c r="AL227" s="928"/>
      <c r="AM227" s="928"/>
      <c r="AN227" s="928"/>
      <c r="AO227" s="928"/>
      <c r="AP227" s="928"/>
      <c r="AQ227" s="928"/>
      <c r="AR227" s="928"/>
      <c r="AS227" s="928"/>
    </row>
    <row r="228" spans="11:45">
      <c r="K228" s="957"/>
      <c r="L228" s="928"/>
      <c r="M228" s="928"/>
      <c r="N228" s="960"/>
      <c r="O228" s="960"/>
      <c r="P228" s="960"/>
      <c r="Q228" s="960"/>
      <c r="R228" s="960"/>
      <c r="S228" s="960"/>
      <c r="T228" s="960"/>
      <c r="U228" s="960"/>
      <c r="V228" s="960"/>
      <c r="W228" s="960"/>
      <c r="X228" s="960"/>
      <c r="Y228" s="960"/>
      <c r="Z228" s="960"/>
      <c r="AA228" s="960"/>
      <c r="AB228" s="928"/>
      <c r="AC228" s="928"/>
      <c r="AD228" s="928"/>
      <c r="AE228" s="928"/>
      <c r="AF228" s="928"/>
      <c r="AG228" s="928"/>
      <c r="AH228" s="928"/>
      <c r="AI228" s="928"/>
      <c r="AJ228" s="928"/>
      <c r="AK228" s="928"/>
      <c r="AL228" s="928"/>
      <c r="AM228" s="928"/>
      <c r="AN228" s="928"/>
      <c r="AO228" s="928"/>
      <c r="AP228" s="928"/>
      <c r="AQ228" s="928"/>
      <c r="AR228" s="928"/>
      <c r="AS228" s="928"/>
    </row>
    <row r="229" spans="11:45">
      <c r="K229" s="957"/>
      <c r="L229" s="928"/>
      <c r="M229" s="928"/>
      <c r="N229" s="960"/>
      <c r="O229" s="960"/>
      <c r="P229" s="960"/>
      <c r="Q229" s="960"/>
      <c r="R229" s="960"/>
      <c r="S229" s="960"/>
      <c r="T229" s="960"/>
      <c r="U229" s="960"/>
      <c r="V229" s="960"/>
      <c r="W229" s="960"/>
      <c r="X229" s="960"/>
      <c r="Y229" s="960"/>
      <c r="Z229" s="960"/>
      <c r="AA229" s="960"/>
      <c r="AB229" s="928"/>
      <c r="AC229" s="928"/>
      <c r="AD229" s="928"/>
      <c r="AE229" s="928"/>
      <c r="AF229" s="928"/>
      <c r="AG229" s="928"/>
      <c r="AH229" s="928"/>
      <c r="AI229" s="928"/>
      <c r="AJ229" s="928"/>
      <c r="AK229" s="928"/>
      <c r="AL229" s="928"/>
      <c r="AM229" s="928"/>
      <c r="AN229" s="928"/>
      <c r="AO229" s="928"/>
      <c r="AP229" s="928"/>
      <c r="AQ229" s="928"/>
      <c r="AR229" s="928"/>
      <c r="AS229" s="928"/>
    </row>
    <row r="230" spans="11:45">
      <c r="K230" s="957"/>
      <c r="L230" s="928"/>
      <c r="M230" s="928"/>
      <c r="N230" s="960"/>
      <c r="O230" s="960"/>
      <c r="P230" s="960"/>
      <c r="Q230" s="960"/>
      <c r="R230" s="960"/>
      <c r="S230" s="960"/>
      <c r="T230" s="960"/>
      <c r="U230" s="960"/>
      <c r="V230" s="960"/>
      <c r="W230" s="960"/>
      <c r="X230" s="960"/>
      <c r="Y230" s="960"/>
      <c r="Z230" s="960"/>
      <c r="AA230" s="960"/>
      <c r="AB230" s="928"/>
      <c r="AC230" s="928"/>
      <c r="AD230" s="928"/>
      <c r="AE230" s="928"/>
      <c r="AF230" s="928"/>
      <c r="AG230" s="928"/>
      <c r="AH230" s="928"/>
      <c r="AI230" s="928"/>
      <c r="AJ230" s="928"/>
      <c r="AK230" s="928"/>
      <c r="AL230" s="928"/>
      <c r="AM230" s="928"/>
      <c r="AN230" s="928"/>
      <c r="AO230" s="928"/>
      <c r="AP230" s="928"/>
      <c r="AQ230" s="928"/>
      <c r="AR230" s="928"/>
      <c r="AS230" s="928"/>
    </row>
    <row r="231" spans="11:45">
      <c r="K231" s="957"/>
      <c r="L231" s="928"/>
      <c r="M231" s="928"/>
      <c r="N231" s="960"/>
      <c r="O231" s="960"/>
      <c r="P231" s="960"/>
      <c r="Q231" s="960"/>
      <c r="R231" s="960"/>
      <c r="S231" s="960"/>
      <c r="T231" s="960"/>
      <c r="U231" s="960"/>
      <c r="V231" s="960"/>
      <c r="W231" s="960"/>
      <c r="X231" s="960"/>
      <c r="Y231" s="960"/>
      <c r="Z231" s="960"/>
      <c r="AA231" s="960"/>
      <c r="AB231" s="928"/>
      <c r="AC231" s="928"/>
      <c r="AD231" s="928"/>
      <c r="AE231" s="928"/>
      <c r="AF231" s="928"/>
      <c r="AG231" s="928"/>
      <c r="AH231" s="928"/>
      <c r="AI231" s="928"/>
      <c r="AJ231" s="928"/>
      <c r="AK231" s="928"/>
      <c r="AL231" s="928"/>
      <c r="AM231" s="928"/>
      <c r="AN231" s="928"/>
      <c r="AO231" s="928"/>
      <c r="AP231" s="928"/>
      <c r="AQ231" s="928"/>
      <c r="AR231" s="928"/>
      <c r="AS231" s="928"/>
    </row>
    <row r="232" spans="11:45">
      <c r="K232" s="957"/>
      <c r="L232" s="928"/>
      <c r="M232" s="928"/>
      <c r="N232" s="960"/>
      <c r="O232" s="960"/>
      <c r="P232" s="960"/>
      <c r="Q232" s="960"/>
      <c r="R232" s="960"/>
      <c r="S232" s="960"/>
      <c r="T232" s="960"/>
      <c r="U232" s="960"/>
      <c r="V232" s="960"/>
      <c r="W232" s="960"/>
      <c r="X232" s="960"/>
      <c r="Y232" s="960"/>
      <c r="Z232" s="960"/>
      <c r="AA232" s="960"/>
      <c r="AB232" s="928"/>
      <c r="AC232" s="928"/>
      <c r="AD232" s="928"/>
      <c r="AE232" s="928"/>
      <c r="AF232" s="928"/>
      <c r="AG232" s="928"/>
      <c r="AH232" s="928"/>
      <c r="AI232" s="928"/>
      <c r="AJ232" s="928"/>
      <c r="AK232" s="928"/>
      <c r="AL232" s="928"/>
      <c r="AM232" s="928"/>
      <c r="AN232" s="928"/>
      <c r="AO232" s="928"/>
      <c r="AP232" s="928"/>
      <c r="AQ232" s="928"/>
      <c r="AR232" s="928"/>
      <c r="AS232" s="928"/>
    </row>
    <row r="233" spans="11:45">
      <c r="K233" s="957"/>
      <c r="L233" s="928"/>
      <c r="M233" s="928"/>
      <c r="N233" s="960"/>
      <c r="O233" s="960"/>
      <c r="P233" s="960"/>
      <c r="Q233" s="960"/>
      <c r="R233" s="960"/>
      <c r="S233" s="960"/>
      <c r="T233" s="960"/>
      <c r="U233" s="960"/>
      <c r="V233" s="960"/>
      <c r="W233" s="960"/>
      <c r="X233" s="960"/>
      <c r="Y233" s="960"/>
      <c r="Z233" s="960"/>
      <c r="AA233" s="960"/>
      <c r="AB233" s="928"/>
      <c r="AC233" s="928"/>
      <c r="AD233" s="928"/>
      <c r="AE233" s="928"/>
      <c r="AF233" s="928"/>
      <c r="AG233" s="928"/>
      <c r="AH233" s="928"/>
      <c r="AI233" s="928"/>
      <c r="AJ233" s="928"/>
      <c r="AK233" s="928"/>
      <c r="AL233" s="928"/>
      <c r="AM233" s="928"/>
      <c r="AN233" s="928"/>
      <c r="AO233" s="928"/>
      <c r="AP233" s="928"/>
      <c r="AQ233" s="928"/>
      <c r="AR233" s="928"/>
      <c r="AS233" s="928"/>
    </row>
    <row r="234" spans="11:45">
      <c r="K234" s="957"/>
      <c r="L234" s="928"/>
      <c r="M234" s="928"/>
      <c r="N234" s="960"/>
      <c r="O234" s="960"/>
      <c r="P234" s="960"/>
      <c r="Q234" s="960"/>
      <c r="R234" s="960"/>
      <c r="S234" s="960"/>
      <c r="T234" s="960"/>
      <c r="U234" s="960"/>
      <c r="V234" s="960"/>
      <c r="W234" s="960"/>
      <c r="X234" s="960"/>
      <c r="Y234" s="960"/>
      <c r="Z234" s="960"/>
      <c r="AA234" s="960"/>
      <c r="AB234" s="928"/>
      <c r="AC234" s="928"/>
      <c r="AD234" s="928"/>
      <c r="AE234" s="928"/>
      <c r="AF234" s="928"/>
      <c r="AG234" s="928"/>
      <c r="AH234" s="928"/>
      <c r="AI234" s="928"/>
      <c r="AJ234" s="928"/>
      <c r="AK234" s="928"/>
      <c r="AL234" s="928"/>
      <c r="AM234" s="928"/>
      <c r="AN234" s="928"/>
      <c r="AO234" s="928"/>
      <c r="AP234" s="928"/>
      <c r="AQ234" s="928"/>
      <c r="AR234" s="928"/>
      <c r="AS234" s="928"/>
    </row>
    <row r="235" spans="11:45">
      <c r="K235" s="957"/>
      <c r="L235" s="928"/>
      <c r="M235" s="928"/>
      <c r="N235" s="960"/>
      <c r="O235" s="960"/>
      <c r="P235" s="960"/>
      <c r="Q235" s="960"/>
      <c r="R235" s="960"/>
      <c r="S235" s="960"/>
      <c r="T235" s="960"/>
      <c r="U235" s="960"/>
      <c r="V235" s="960"/>
      <c r="W235" s="960"/>
      <c r="X235" s="960"/>
      <c r="Y235" s="960"/>
      <c r="Z235" s="960"/>
      <c r="AA235" s="960"/>
      <c r="AB235" s="928"/>
      <c r="AC235" s="928"/>
      <c r="AD235" s="928"/>
      <c r="AE235" s="928"/>
      <c r="AF235" s="928"/>
      <c r="AG235" s="928"/>
      <c r="AH235" s="928"/>
      <c r="AI235" s="928"/>
      <c r="AJ235" s="928"/>
      <c r="AK235" s="928"/>
      <c r="AL235" s="928"/>
      <c r="AM235" s="928"/>
      <c r="AN235" s="928"/>
      <c r="AO235" s="928"/>
      <c r="AP235" s="928"/>
      <c r="AQ235" s="928"/>
      <c r="AR235" s="928"/>
      <c r="AS235" s="928"/>
    </row>
    <row r="236" spans="11:45">
      <c r="K236" s="957"/>
      <c r="L236" s="928"/>
      <c r="M236" s="928"/>
      <c r="N236" s="960"/>
      <c r="O236" s="960"/>
      <c r="P236" s="960"/>
      <c r="Q236" s="960"/>
      <c r="R236" s="960"/>
      <c r="S236" s="960"/>
      <c r="T236" s="960"/>
      <c r="U236" s="960"/>
      <c r="V236" s="960"/>
      <c r="W236" s="960"/>
      <c r="X236" s="960"/>
      <c r="Y236" s="960"/>
      <c r="Z236" s="960"/>
      <c r="AA236" s="960"/>
      <c r="AB236" s="928"/>
      <c r="AC236" s="928"/>
      <c r="AD236" s="928"/>
      <c r="AE236" s="928"/>
      <c r="AF236" s="928"/>
      <c r="AG236" s="928"/>
      <c r="AH236" s="928"/>
      <c r="AI236" s="928"/>
      <c r="AJ236" s="928"/>
      <c r="AK236" s="928"/>
      <c r="AL236" s="928"/>
      <c r="AM236" s="928"/>
      <c r="AN236" s="928"/>
      <c r="AO236" s="928"/>
      <c r="AP236" s="928"/>
      <c r="AQ236" s="928"/>
      <c r="AR236" s="928"/>
      <c r="AS236" s="928"/>
    </row>
    <row r="237" spans="11:45">
      <c r="K237" s="957"/>
      <c r="L237" s="928"/>
      <c r="M237" s="928"/>
      <c r="N237" s="960"/>
      <c r="O237" s="960"/>
      <c r="P237" s="960"/>
      <c r="Q237" s="960"/>
      <c r="R237" s="960"/>
      <c r="S237" s="960"/>
      <c r="T237" s="960"/>
      <c r="U237" s="960"/>
      <c r="V237" s="960"/>
      <c r="W237" s="960"/>
      <c r="X237" s="960"/>
      <c r="Y237" s="960"/>
      <c r="Z237" s="960"/>
      <c r="AA237" s="960"/>
      <c r="AB237" s="928"/>
      <c r="AC237" s="928"/>
      <c r="AD237" s="928"/>
      <c r="AE237" s="928"/>
      <c r="AF237" s="928"/>
      <c r="AG237" s="928"/>
      <c r="AH237" s="928"/>
      <c r="AI237" s="928"/>
      <c r="AJ237" s="928"/>
      <c r="AK237" s="928"/>
      <c r="AL237" s="928"/>
      <c r="AM237" s="928"/>
      <c r="AN237" s="928"/>
      <c r="AO237" s="928"/>
      <c r="AP237" s="928"/>
      <c r="AQ237" s="928"/>
      <c r="AR237" s="928"/>
      <c r="AS237" s="928"/>
    </row>
    <row r="238" spans="11:45">
      <c r="K238" s="957"/>
      <c r="L238" s="928"/>
      <c r="M238" s="928"/>
      <c r="N238" s="960"/>
      <c r="O238" s="960"/>
      <c r="P238" s="960"/>
      <c r="Q238" s="960"/>
      <c r="R238" s="960"/>
      <c r="S238" s="960"/>
      <c r="T238" s="960"/>
      <c r="U238" s="960"/>
      <c r="V238" s="960"/>
      <c r="W238" s="960"/>
      <c r="X238" s="960"/>
      <c r="Y238" s="960"/>
      <c r="Z238" s="960"/>
      <c r="AA238" s="960"/>
      <c r="AB238" s="928"/>
      <c r="AC238" s="928"/>
      <c r="AD238" s="928"/>
      <c r="AE238" s="928"/>
      <c r="AF238" s="928"/>
      <c r="AG238" s="928"/>
      <c r="AH238" s="928"/>
      <c r="AI238" s="928"/>
      <c r="AJ238" s="928"/>
      <c r="AK238" s="928"/>
      <c r="AL238" s="928"/>
      <c r="AM238" s="928"/>
      <c r="AN238" s="928"/>
      <c r="AO238" s="928"/>
      <c r="AP238" s="928"/>
      <c r="AQ238" s="928"/>
      <c r="AR238" s="928"/>
      <c r="AS238" s="928"/>
    </row>
    <row r="239" spans="11:45">
      <c r="K239" s="957"/>
      <c r="L239" s="928"/>
      <c r="M239" s="928"/>
      <c r="N239" s="960"/>
      <c r="O239" s="960"/>
      <c r="P239" s="960"/>
      <c r="Q239" s="960"/>
      <c r="R239" s="960"/>
      <c r="S239" s="960"/>
      <c r="T239" s="960"/>
      <c r="U239" s="960"/>
      <c r="V239" s="960"/>
      <c r="W239" s="960"/>
      <c r="X239" s="960"/>
      <c r="Y239" s="960"/>
      <c r="Z239" s="960"/>
      <c r="AA239" s="960"/>
      <c r="AB239" s="928"/>
      <c r="AC239" s="928"/>
      <c r="AD239" s="928"/>
      <c r="AE239" s="928"/>
      <c r="AF239" s="928"/>
      <c r="AG239" s="928"/>
      <c r="AH239" s="928"/>
      <c r="AI239" s="928"/>
      <c r="AJ239" s="928"/>
      <c r="AK239" s="928"/>
      <c r="AL239" s="928"/>
      <c r="AM239" s="928"/>
      <c r="AN239" s="928"/>
      <c r="AO239" s="928"/>
      <c r="AP239" s="928"/>
      <c r="AQ239" s="928"/>
      <c r="AR239" s="928"/>
      <c r="AS239" s="928"/>
    </row>
    <row r="240" spans="11:45">
      <c r="K240" s="957"/>
      <c r="L240" s="928"/>
      <c r="M240" s="928"/>
      <c r="N240" s="960"/>
      <c r="O240" s="960"/>
      <c r="P240" s="960"/>
      <c r="Q240" s="960"/>
      <c r="R240" s="960"/>
      <c r="S240" s="960"/>
      <c r="T240" s="960"/>
      <c r="U240" s="960"/>
      <c r="V240" s="960"/>
      <c r="W240" s="960"/>
      <c r="X240" s="960"/>
      <c r="Y240" s="960"/>
      <c r="Z240" s="960"/>
      <c r="AA240" s="960"/>
      <c r="AB240" s="928"/>
      <c r="AC240" s="928"/>
      <c r="AD240" s="928"/>
      <c r="AE240" s="928"/>
      <c r="AF240" s="928"/>
      <c r="AG240" s="928"/>
      <c r="AH240" s="928"/>
      <c r="AI240" s="928"/>
      <c r="AJ240" s="928"/>
      <c r="AK240" s="928"/>
      <c r="AL240" s="928"/>
      <c r="AM240" s="928"/>
      <c r="AN240" s="928"/>
      <c r="AO240" s="928"/>
      <c r="AP240" s="928"/>
      <c r="AQ240" s="928"/>
      <c r="AR240" s="928"/>
      <c r="AS240" s="928"/>
    </row>
    <row r="241" spans="11:45">
      <c r="K241" s="957"/>
      <c r="L241" s="928"/>
      <c r="M241" s="928"/>
      <c r="N241" s="960"/>
      <c r="O241" s="960"/>
      <c r="P241" s="960"/>
      <c r="Q241" s="960"/>
      <c r="R241" s="960"/>
      <c r="S241" s="960"/>
      <c r="T241" s="960"/>
      <c r="U241" s="960"/>
      <c r="V241" s="960"/>
      <c r="W241" s="960"/>
      <c r="X241" s="960"/>
      <c r="Y241" s="960"/>
      <c r="Z241" s="960"/>
      <c r="AA241" s="960"/>
      <c r="AB241" s="928"/>
      <c r="AC241" s="928"/>
      <c r="AD241" s="928"/>
      <c r="AE241" s="928"/>
      <c r="AF241" s="928"/>
      <c r="AG241" s="928"/>
      <c r="AH241" s="928"/>
      <c r="AI241" s="928"/>
      <c r="AJ241" s="928"/>
      <c r="AK241" s="928"/>
      <c r="AL241" s="928"/>
      <c r="AM241" s="928"/>
      <c r="AN241" s="928"/>
      <c r="AO241" s="928"/>
      <c r="AP241" s="928"/>
      <c r="AQ241" s="928"/>
      <c r="AR241" s="928"/>
      <c r="AS241" s="928"/>
    </row>
    <row r="242" spans="11:45">
      <c r="K242" s="957"/>
      <c r="L242" s="928"/>
      <c r="M242" s="928"/>
      <c r="N242" s="960"/>
      <c r="O242" s="960"/>
      <c r="P242" s="960"/>
      <c r="Q242" s="960"/>
      <c r="R242" s="960"/>
      <c r="S242" s="960"/>
      <c r="T242" s="960"/>
      <c r="U242" s="960"/>
      <c r="V242" s="960"/>
      <c r="W242" s="960"/>
      <c r="X242" s="960"/>
      <c r="Y242" s="960"/>
      <c r="Z242" s="960"/>
      <c r="AA242" s="960"/>
      <c r="AB242" s="928"/>
      <c r="AC242" s="928"/>
      <c r="AD242" s="928"/>
      <c r="AE242" s="928"/>
      <c r="AF242" s="928"/>
      <c r="AG242" s="928"/>
      <c r="AH242" s="928"/>
      <c r="AI242" s="928"/>
      <c r="AJ242" s="928"/>
      <c r="AK242" s="928"/>
      <c r="AL242" s="928"/>
      <c r="AM242" s="928"/>
      <c r="AN242" s="928"/>
      <c r="AO242" s="928"/>
      <c r="AP242" s="928"/>
      <c r="AQ242" s="928"/>
      <c r="AR242" s="928"/>
      <c r="AS242" s="928"/>
    </row>
    <row r="243" spans="11:45">
      <c r="K243" s="957"/>
      <c r="L243" s="928"/>
      <c r="M243" s="928"/>
      <c r="N243" s="960"/>
      <c r="O243" s="960"/>
      <c r="P243" s="960"/>
      <c r="Q243" s="960"/>
      <c r="R243" s="960"/>
      <c r="S243" s="960"/>
      <c r="T243" s="960"/>
      <c r="U243" s="960"/>
      <c r="V243" s="960"/>
      <c r="W243" s="960"/>
      <c r="X243" s="960"/>
      <c r="Y243" s="960"/>
      <c r="Z243" s="960"/>
      <c r="AA243" s="960"/>
      <c r="AB243" s="928"/>
      <c r="AC243" s="928"/>
      <c r="AD243" s="928"/>
      <c r="AE243" s="928"/>
      <c r="AF243" s="928"/>
      <c r="AG243" s="928"/>
      <c r="AH243" s="928"/>
      <c r="AI243" s="928"/>
      <c r="AJ243" s="928"/>
      <c r="AK243" s="928"/>
      <c r="AL243" s="928"/>
      <c r="AM243" s="928"/>
      <c r="AN243" s="928"/>
      <c r="AO243" s="928"/>
      <c r="AP243" s="928"/>
      <c r="AQ243" s="928"/>
      <c r="AR243" s="928"/>
      <c r="AS243" s="928"/>
    </row>
    <row r="244" spans="11:45">
      <c r="K244" s="957"/>
      <c r="L244" s="928"/>
      <c r="M244" s="928"/>
      <c r="N244" s="960"/>
      <c r="O244" s="960"/>
      <c r="P244" s="960"/>
      <c r="Q244" s="960"/>
      <c r="R244" s="960"/>
      <c r="S244" s="960"/>
      <c r="T244" s="960"/>
      <c r="U244" s="960"/>
      <c r="V244" s="960"/>
      <c r="W244" s="960"/>
      <c r="X244" s="960"/>
      <c r="Y244" s="960"/>
      <c r="Z244" s="960"/>
      <c r="AA244" s="960"/>
      <c r="AB244" s="928"/>
      <c r="AC244" s="928"/>
      <c r="AD244" s="928"/>
      <c r="AE244" s="928"/>
      <c r="AF244" s="928"/>
      <c r="AG244" s="928"/>
      <c r="AH244" s="928"/>
      <c r="AI244" s="928"/>
      <c r="AJ244" s="928"/>
      <c r="AK244" s="928"/>
      <c r="AL244" s="928"/>
      <c r="AM244" s="928"/>
      <c r="AN244" s="928"/>
      <c r="AO244" s="928"/>
      <c r="AP244" s="928"/>
      <c r="AQ244" s="928"/>
      <c r="AR244" s="928"/>
      <c r="AS244" s="928"/>
    </row>
    <row r="245" spans="11:45">
      <c r="K245" s="957"/>
      <c r="L245" s="928"/>
      <c r="M245" s="928"/>
      <c r="N245" s="960"/>
      <c r="O245" s="960"/>
      <c r="P245" s="960"/>
      <c r="Q245" s="960"/>
      <c r="R245" s="960"/>
      <c r="S245" s="960"/>
      <c r="T245" s="960"/>
      <c r="U245" s="960"/>
      <c r="V245" s="960"/>
      <c r="W245" s="960"/>
      <c r="X245" s="960"/>
      <c r="Y245" s="960"/>
      <c r="Z245" s="960"/>
      <c r="AA245" s="960"/>
      <c r="AB245" s="928"/>
      <c r="AC245" s="928"/>
      <c r="AD245" s="928"/>
      <c r="AE245" s="928"/>
      <c r="AF245" s="928"/>
      <c r="AG245" s="928"/>
      <c r="AH245" s="928"/>
      <c r="AI245" s="928"/>
      <c r="AJ245" s="928"/>
      <c r="AK245" s="928"/>
      <c r="AL245" s="928"/>
      <c r="AM245" s="928"/>
      <c r="AN245" s="928"/>
      <c r="AO245" s="928"/>
      <c r="AP245" s="928"/>
      <c r="AQ245" s="928"/>
      <c r="AR245" s="928"/>
      <c r="AS245" s="928"/>
    </row>
    <row r="246" spans="11:45">
      <c r="K246" s="957"/>
      <c r="L246" s="928"/>
      <c r="M246" s="928"/>
      <c r="N246" s="960"/>
      <c r="O246" s="960"/>
      <c r="P246" s="960"/>
      <c r="Q246" s="960"/>
      <c r="R246" s="960"/>
      <c r="S246" s="960"/>
      <c r="T246" s="960"/>
      <c r="U246" s="960"/>
      <c r="V246" s="960"/>
      <c r="W246" s="960"/>
      <c r="X246" s="960"/>
      <c r="Y246" s="960"/>
      <c r="Z246" s="960"/>
      <c r="AA246" s="960"/>
      <c r="AB246" s="928"/>
      <c r="AC246" s="928"/>
      <c r="AD246" s="928"/>
      <c r="AE246" s="928"/>
      <c r="AF246" s="928"/>
      <c r="AG246" s="928"/>
      <c r="AH246" s="928"/>
      <c r="AI246" s="928"/>
      <c r="AJ246" s="928"/>
      <c r="AK246" s="928"/>
      <c r="AL246" s="928"/>
      <c r="AM246" s="928"/>
      <c r="AN246" s="928"/>
      <c r="AO246" s="928"/>
      <c r="AP246" s="928"/>
      <c r="AQ246" s="928"/>
      <c r="AR246" s="928"/>
      <c r="AS246" s="928"/>
    </row>
    <row r="247" spans="11:45">
      <c r="K247" s="957"/>
      <c r="L247" s="928"/>
      <c r="M247" s="928"/>
      <c r="N247" s="960"/>
      <c r="O247" s="960"/>
      <c r="P247" s="960"/>
      <c r="Q247" s="960"/>
      <c r="R247" s="960"/>
      <c r="S247" s="960"/>
      <c r="T247" s="960"/>
      <c r="U247" s="960"/>
      <c r="V247" s="960"/>
      <c r="W247" s="960"/>
      <c r="X247" s="960"/>
      <c r="Y247" s="960"/>
      <c r="Z247" s="960"/>
      <c r="AA247" s="960"/>
      <c r="AB247" s="928"/>
      <c r="AC247" s="928"/>
      <c r="AD247" s="928"/>
      <c r="AE247" s="928"/>
      <c r="AF247" s="928"/>
      <c r="AG247" s="928"/>
      <c r="AH247" s="928"/>
      <c r="AI247" s="928"/>
      <c r="AJ247" s="928"/>
      <c r="AK247" s="928"/>
      <c r="AL247" s="928"/>
      <c r="AM247" s="928"/>
      <c r="AN247" s="928"/>
      <c r="AO247" s="928"/>
      <c r="AP247" s="928"/>
      <c r="AQ247" s="928"/>
      <c r="AR247" s="928"/>
      <c r="AS247" s="928"/>
    </row>
    <row r="248" spans="11:45">
      <c r="K248" s="957"/>
      <c r="L248" s="928"/>
      <c r="M248" s="928"/>
      <c r="N248" s="960"/>
      <c r="O248" s="960"/>
      <c r="P248" s="960"/>
      <c r="Q248" s="960"/>
      <c r="R248" s="960"/>
      <c r="S248" s="960"/>
      <c r="T248" s="960"/>
      <c r="U248" s="960"/>
      <c r="V248" s="960"/>
      <c r="W248" s="960"/>
      <c r="X248" s="960"/>
      <c r="Y248" s="960"/>
      <c r="Z248" s="960"/>
      <c r="AA248" s="960"/>
      <c r="AB248" s="928"/>
      <c r="AC248" s="928"/>
      <c r="AD248" s="928"/>
      <c r="AE248" s="928"/>
      <c r="AF248" s="928"/>
      <c r="AG248" s="928"/>
      <c r="AH248" s="928"/>
      <c r="AI248" s="928"/>
      <c r="AJ248" s="928"/>
      <c r="AK248" s="928"/>
      <c r="AL248" s="928"/>
      <c r="AM248" s="928"/>
      <c r="AN248" s="928"/>
      <c r="AO248" s="928"/>
      <c r="AP248" s="928"/>
      <c r="AQ248" s="928"/>
      <c r="AR248" s="928"/>
      <c r="AS248" s="928"/>
    </row>
    <row r="249" spans="11:45">
      <c r="K249" s="957"/>
      <c r="L249" s="928"/>
      <c r="M249" s="928"/>
      <c r="N249" s="960"/>
      <c r="O249" s="960"/>
      <c r="P249" s="960"/>
      <c r="Q249" s="960"/>
      <c r="R249" s="960"/>
      <c r="S249" s="960"/>
      <c r="T249" s="960"/>
      <c r="U249" s="960"/>
      <c r="V249" s="960"/>
      <c r="W249" s="960"/>
      <c r="X249" s="960"/>
      <c r="Y249" s="960"/>
      <c r="Z249" s="960"/>
      <c r="AA249" s="960"/>
      <c r="AB249" s="928"/>
      <c r="AC249" s="928"/>
      <c r="AD249" s="928"/>
      <c r="AE249" s="928"/>
      <c r="AF249" s="928"/>
      <c r="AG249" s="928"/>
      <c r="AH249" s="928"/>
      <c r="AI249" s="928"/>
      <c r="AJ249" s="928"/>
      <c r="AK249" s="928"/>
      <c r="AL249" s="928"/>
      <c r="AM249" s="928"/>
      <c r="AN249" s="928"/>
      <c r="AO249" s="928"/>
      <c r="AP249" s="928"/>
      <c r="AQ249" s="928"/>
      <c r="AR249" s="928"/>
      <c r="AS249" s="928"/>
    </row>
    <row r="250" spans="11:45">
      <c r="K250" s="957"/>
      <c r="L250" s="928"/>
      <c r="M250" s="928"/>
      <c r="N250" s="960"/>
      <c r="O250" s="960"/>
      <c r="P250" s="960"/>
      <c r="Q250" s="960"/>
      <c r="R250" s="960"/>
      <c r="S250" s="960"/>
      <c r="T250" s="960"/>
      <c r="U250" s="960"/>
      <c r="V250" s="960"/>
      <c r="W250" s="960"/>
      <c r="X250" s="960"/>
      <c r="Y250" s="960"/>
      <c r="Z250" s="960"/>
      <c r="AA250" s="960"/>
      <c r="AB250" s="928"/>
      <c r="AC250" s="928"/>
      <c r="AD250" s="928"/>
      <c r="AE250" s="928"/>
      <c r="AF250" s="928"/>
      <c r="AG250" s="928"/>
      <c r="AH250" s="928"/>
      <c r="AI250" s="928"/>
      <c r="AJ250" s="928"/>
      <c r="AK250" s="928"/>
      <c r="AL250" s="928"/>
      <c r="AM250" s="928"/>
      <c r="AN250" s="928"/>
      <c r="AO250" s="928"/>
      <c r="AP250" s="928"/>
      <c r="AQ250" s="928"/>
      <c r="AR250" s="928"/>
      <c r="AS250" s="928"/>
    </row>
    <row r="251" spans="11:45">
      <c r="K251" s="957"/>
      <c r="L251" s="928"/>
      <c r="M251" s="928"/>
      <c r="N251" s="960"/>
      <c r="O251" s="960"/>
      <c r="P251" s="960"/>
      <c r="Q251" s="960"/>
      <c r="R251" s="960"/>
      <c r="S251" s="960"/>
      <c r="T251" s="960"/>
      <c r="U251" s="960"/>
      <c r="V251" s="960"/>
      <c r="W251" s="960"/>
      <c r="X251" s="960"/>
      <c r="Y251" s="960"/>
      <c r="Z251" s="960"/>
      <c r="AA251" s="960"/>
      <c r="AB251" s="928"/>
      <c r="AC251" s="928"/>
      <c r="AD251" s="928"/>
      <c r="AE251" s="928"/>
      <c r="AF251" s="928"/>
      <c r="AG251" s="928"/>
      <c r="AH251" s="928"/>
      <c r="AI251" s="928"/>
      <c r="AJ251" s="928"/>
      <c r="AK251" s="928"/>
      <c r="AL251" s="928"/>
      <c r="AM251" s="928"/>
      <c r="AN251" s="928"/>
      <c r="AO251" s="928"/>
      <c r="AP251" s="928"/>
      <c r="AQ251" s="928"/>
      <c r="AR251" s="928"/>
      <c r="AS251" s="928"/>
    </row>
    <row r="252" spans="11:45">
      <c r="K252" s="957"/>
      <c r="L252" s="928"/>
      <c r="M252" s="928"/>
      <c r="N252" s="960"/>
      <c r="O252" s="960"/>
      <c r="P252" s="960"/>
      <c r="Q252" s="960"/>
      <c r="R252" s="960"/>
      <c r="S252" s="960"/>
      <c r="T252" s="960"/>
      <c r="U252" s="960"/>
      <c r="V252" s="960"/>
      <c r="W252" s="960"/>
      <c r="X252" s="960"/>
      <c r="Y252" s="960"/>
      <c r="Z252" s="960"/>
      <c r="AA252" s="960"/>
      <c r="AB252" s="928"/>
      <c r="AC252" s="928"/>
      <c r="AD252" s="928"/>
      <c r="AE252" s="928"/>
      <c r="AF252" s="928"/>
      <c r="AG252" s="928"/>
      <c r="AH252" s="928"/>
      <c r="AI252" s="928"/>
      <c r="AJ252" s="928"/>
      <c r="AK252" s="928"/>
      <c r="AL252" s="928"/>
      <c r="AM252" s="928"/>
      <c r="AN252" s="928"/>
      <c r="AO252" s="928"/>
      <c r="AP252" s="928"/>
      <c r="AQ252" s="928"/>
      <c r="AR252" s="928"/>
      <c r="AS252" s="928"/>
    </row>
    <row r="253" spans="11:45">
      <c r="K253" s="957"/>
      <c r="L253" s="928"/>
      <c r="M253" s="928"/>
      <c r="N253" s="960"/>
      <c r="O253" s="960"/>
      <c r="P253" s="960"/>
      <c r="Q253" s="960"/>
      <c r="R253" s="960"/>
      <c r="S253" s="960"/>
      <c r="T253" s="960"/>
      <c r="U253" s="960"/>
      <c r="V253" s="960"/>
      <c r="W253" s="960"/>
      <c r="X253" s="960"/>
      <c r="Y253" s="960"/>
      <c r="Z253" s="960"/>
      <c r="AA253" s="960"/>
      <c r="AB253" s="928"/>
      <c r="AC253" s="928"/>
      <c r="AD253" s="928"/>
      <c r="AE253" s="928"/>
      <c r="AF253" s="928"/>
      <c r="AG253" s="928"/>
      <c r="AH253" s="928"/>
      <c r="AI253" s="928"/>
      <c r="AJ253" s="928"/>
      <c r="AK253" s="928"/>
      <c r="AL253" s="928"/>
      <c r="AM253" s="928"/>
      <c r="AN253" s="928"/>
      <c r="AO253" s="928"/>
      <c r="AP253" s="928"/>
      <c r="AQ253" s="928"/>
      <c r="AR253" s="928"/>
      <c r="AS253" s="928"/>
    </row>
    <row r="254" spans="11:45">
      <c r="K254" s="957"/>
      <c r="L254" s="928"/>
      <c r="M254" s="928"/>
      <c r="N254" s="960"/>
      <c r="O254" s="960"/>
      <c r="P254" s="960"/>
      <c r="Q254" s="960"/>
      <c r="R254" s="960"/>
      <c r="S254" s="960"/>
      <c r="T254" s="960"/>
      <c r="U254" s="960"/>
      <c r="V254" s="960"/>
      <c r="W254" s="960"/>
      <c r="X254" s="960"/>
      <c r="Y254" s="960"/>
      <c r="Z254" s="960"/>
      <c r="AA254" s="960"/>
      <c r="AB254" s="928"/>
      <c r="AC254" s="928"/>
      <c r="AD254" s="928"/>
      <c r="AE254" s="928"/>
      <c r="AF254" s="928"/>
      <c r="AG254" s="928"/>
      <c r="AH254" s="928"/>
      <c r="AI254" s="928"/>
      <c r="AJ254" s="928"/>
      <c r="AK254" s="928"/>
      <c r="AL254" s="928"/>
      <c r="AM254" s="928"/>
      <c r="AN254" s="928"/>
      <c r="AO254" s="928"/>
      <c r="AP254" s="928"/>
      <c r="AQ254" s="928"/>
      <c r="AR254" s="928"/>
      <c r="AS254" s="928"/>
    </row>
    <row r="255" spans="11:45">
      <c r="K255" s="957"/>
      <c r="L255" s="928"/>
      <c r="M255" s="928"/>
      <c r="N255" s="960"/>
      <c r="O255" s="960"/>
      <c r="P255" s="960"/>
      <c r="Q255" s="960"/>
      <c r="R255" s="960"/>
      <c r="S255" s="960"/>
      <c r="T255" s="960"/>
      <c r="U255" s="960"/>
      <c r="V255" s="960"/>
      <c r="W255" s="960"/>
      <c r="X255" s="960"/>
      <c r="Y255" s="960"/>
      <c r="Z255" s="960"/>
      <c r="AA255" s="960"/>
      <c r="AB255" s="928"/>
      <c r="AC255" s="928"/>
      <c r="AD255" s="928"/>
      <c r="AE255" s="928"/>
      <c r="AF255" s="928"/>
      <c r="AG255" s="928"/>
      <c r="AH255" s="928"/>
      <c r="AI255" s="928"/>
      <c r="AJ255" s="928"/>
      <c r="AK255" s="928"/>
      <c r="AL255" s="928"/>
      <c r="AM255" s="928"/>
      <c r="AN255" s="928"/>
      <c r="AO255" s="928"/>
      <c r="AP255" s="928"/>
      <c r="AQ255" s="928"/>
      <c r="AR255" s="928"/>
      <c r="AS255" s="928"/>
    </row>
    <row r="256" spans="11:45">
      <c r="K256" s="957"/>
      <c r="L256" s="928"/>
      <c r="M256" s="928"/>
      <c r="N256" s="960"/>
      <c r="O256" s="960"/>
      <c r="P256" s="960"/>
      <c r="Q256" s="960"/>
      <c r="R256" s="960"/>
      <c r="S256" s="960"/>
      <c r="T256" s="960"/>
      <c r="U256" s="960"/>
      <c r="V256" s="960"/>
      <c r="W256" s="960"/>
      <c r="X256" s="960"/>
      <c r="Y256" s="960"/>
      <c r="Z256" s="960"/>
      <c r="AA256" s="960"/>
      <c r="AB256" s="928"/>
      <c r="AC256" s="928"/>
      <c r="AD256" s="928"/>
      <c r="AE256" s="928"/>
      <c r="AF256" s="928"/>
      <c r="AG256" s="928"/>
      <c r="AH256" s="928"/>
      <c r="AI256" s="928"/>
      <c r="AJ256" s="928"/>
      <c r="AK256" s="928"/>
      <c r="AL256" s="928"/>
      <c r="AM256" s="928"/>
      <c r="AN256" s="928"/>
      <c r="AO256" s="928"/>
      <c r="AP256" s="928"/>
      <c r="AQ256" s="928"/>
      <c r="AR256" s="928"/>
      <c r="AS256" s="928"/>
    </row>
    <row r="257" spans="11:45">
      <c r="K257" s="957"/>
      <c r="L257" s="928"/>
      <c r="M257" s="928"/>
      <c r="N257" s="960"/>
      <c r="O257" s="960"/>
      <c r="P257" s="960"/>
      <c r="Q257" s="960"/>
      <c r="R257" s="960"/>
      <c r="S257" s="960"/>
      <c r="T257" s="960"/>
      <c r="U257" s="960"/>
      <c r="V257" s="960"/>
      <c r="W257" s="960"/>
      <c r="X257" s="960"/>
      <c r="Y257" s="960"/>
      <c r="Z257" s="960"/>
      <c r="AA257" s="960"/>
      <c r="AB257" s="928"/>
      <c r="AC257" s="928"/>
      <c r="AD257" s="928"/>
      <c r="AE257" s="928"/>
      <c r="AF257" s="928"/>
      <c r="AG257" s="928"/>
      <c r="AH257" s="928"/>
      <c r="AI257" s="928"/>
      <c r="AJ257" s="928"/>
      <c r="AK257" s="928"/>
      <c r="AL257" s="928"/>
      <c r="AM257" s="928"/>
      <c r="AN257" s="928"/>
      <c r="AO257" s="928"/>
      <c r="AP257" s="928"/>
      <c r="AQ257" s="928"/>
      <c r="AR257" s="928"/>
      <c r="AS257" s="928"/>
    </row>
    <row r="258" spans="11:45">
      <c r="K258" s="957"/>
      <c r="L258" s="928"/>
      <c r="M258" s="928"/>
      <c r="N258" s="960"/>
      <c r="O258" s="960"/>
      <c r="P258" s="960"/>
      <c r="Q258" s="960"/>
      <c r="R258" s="960"/>
      <c r="S258" s="960"/>
      <c r="T258" s="960"/>
      <c r="U258" s="960"/>
      <c r="V258" s="960"/>
      <c r="W258" s="960"/>
      <c r="X258" s="960"/>
      <c r="Y258" s="960"/>
      <c r="Z258" s="960"/>
      <c r="AA258" s="960"/>
      <c r="AB258" s="928"/>
      <c r="AC258" s="928"/>
      <c r="AD258" s="928"/>
      <c r="AE258" s="928"/>
      <c r="AF258" s="928"/>
      <c r="AG258" s="928"/>
      <c r="AH258" s="928"/>
      <c r="AI258" s="928"/>
      <c r="AJ258" s="928"/>
      <c r="AK258" s="928"/>
      <c r="AL258" s="928"/>
      <c r="AM258" s="928"/>
      <c r="AN258" s="928"/>
      <c r="AO258" s="928"/>
      <c r="AP258" s="928"/>
      <c r="AQ258" s="928"/>
      <c r="AR258" s="928"/>
      <c r="AS258" s="928"/>
    </row>
    <row r="259" spans="11:45">
      <c r="K259" s="957"/>
      <c r="L259" s="928"/>
      <c r="M259" s="928"/>
      <c r="N259" s="960"/>
      <c r="O259" s="960"/>
      <c r="P259" s="960"/>
      <c r="Q259" s="960"/>
      <c r="R259" s="960"/>
      <c r="S259" s="960"/>
      <c r="T259" s="960"/>
      <c r="U259" s="960"/>
      <c r="V259" s="960"/>
      <c r="W259" s="960"/>
      <c r="X259" s="960"/>
      <c r="Y259" s="960"/>
      <c r="Z259" s="960"/>
      <c r="AA259" s="960"/>
      <c r="AB259" s="928"/>
      <c r="AC259" s="928"/>
      <c r="AD259" s="928"/>
      <c r="AE259" s="928"/>
      <c r="AF259" s="928"/>
      <c r="AG259" s="928"/>
      <c r="AH259" s="928"/>
      <c r="AI259" s="928"/>
      <c r="AJ259" s="928"/>
      <c r="AK259" s="928"/>
      <c r="AL259" s="928"/>
      <c r="AM259" s="928"/>
      <c r="AN259" s="928"/>
      <c r="AO259" s="928"/>
      <c r="AP259" s="928"/>
      <c r="AQ259" s="928"/>
      <c r="AR259" s="928"/>
      <c r="AS259" s="928"/>
    </row>
    <row r="260" spans="11:45">
      <c r="K260" s="957"/>
      <c r="L260" s="928"/>
      <c r="M260" s="928"/>
      <c r="N260" s="960"/>
      <c r="O260" s="960"/>
      <c r="P260" s="960"/>
      <c r="Q260" s="960"/>
      <c r="R260" s="960"/>
      <c r="S260" s="960"/>
      <c r="T260" s="960"/>
      <c r="U260" s="960"/>
      <c r="V260" s="960"/>
      <c r="W260" s="960"/>
      <c r="X260" s="960"/>
      <c r="Y260" s="960"/>
      <c r="Z260" s="960"/>
      <c r="AA260" s="960"/>
      <c r="AB260" s="928"/>
      <c r="AC260" s="928"/>
      <c r="AD260" s="928"/>
      <c r="AE260" s="928"/>
      <c r="AF260" s="928"/>
      <c r="AG260" s="928"/>
      <c r="AH260" s="928"/>
      <c r="AI260" s="928"/>
      <c r="AJ260" s="928"/>
      <c r="AK260" s="928"/>
      <c r="AL260" s="928"/>
      <c r="AM260" s="928"/>
      <c r="AN260" s="928"/>
      <c r="AO260" s="928"/>
      <c r="AP260" s="928"/>
      <c r="AQ260" s="928"/>
      <c r="AR260" s="928"/>
      <c r="AS260" s="928"/>
    </row>
    <row r="261" spans="11:45">
      <c r="K261" s="957"/>
      <c r="L261" s="928"/>
      <c r="M261" s="928"/>
      <c r="N261" s="960"/>
      <c r="O261" s="960"/>
      <c r="P261" s="960"/>
      <c r="Q261" s="960"/>
      <c r="R261" s="960"/>
      <c r="S261" s="960"/>
      <c r="T261" s="960"/>
      <c r="U261" s="960"/>
      <c r="V261" s="960"/>
      <c r="W261" s="960"/>
      <c r="X261" s="960"/>
      <c r="Y261" s="960"/>
      <c r="Z261" s="960"/>
      <c r="AA261" s="960"/>
      <c r="AB261" s="928"/>
      <c r="AC261" s="928"/>
      <c r="AD261" s="928"/>
      <c r="AE261" s="928"/>
      <c r="AF261" s="928"/>
      <c r="AG261" s="928"/>
      <c r="AH261" s="928"/>
      <c r="AI261" s="928"/>
      <c r="AJ261" s="928"/>
      <c r="AK261" s="928"/>
      <c r="AL261" s="928"/>
      <c r="AM261" s="928"/>
      <c r="AN261" s="928"/>
      <c r="AO261" s="928"/>
      <c r="AP261" s="928"/>
      <c r="AQ261" s="928"/>
      <c r="AR261" s="928"/>
      <c r="AS261" s="928"/>
    </row>
    <row r="262" spans="11:45">
      <c r="K262" s="957"/>
      <c r="L262" s="928"/>
      <c r="M262" s="928"/>
      <c r="N262" s="960"/>
      <c r="O262" s="960"/>
      <c r="P262" s="960"/>
      <c r="Q262" s="960"/>
      <c r="R262" s="960"/>
      <c r="S262" s="960"/>
      <c r="T262" s="960"/>
      <c r="U262" s="960"/>
      <c r="V262" s="960"/>
      <c r="W262" s="960"/>
      <c r="X262" s="960"/>
      <c r="Y262" s="960"/>
      <c r="Z262" s="960"/>
      <c r="AA262" s="960"/>
      <c r="AB262" s="928"/>
      <c r="AC262" s="928"/>
      <c r="AD262" s="928"/>
      <c r="AE262" s="928"/>
      <c r="AF262" s="928"/>
      <c r="AG262" s="928"/>
      <c r="AH262" s="928"/>
      <c r="AI262" s="928"/>
      <c r="AJ262" s="928"/>
      <c r="AK262" s="928"/>
      <c r="AL262" s="928"/>
      <c r="AM262" s="928"/>
      <c r="AN262" s="928"/>
      <c r="AO262" s="928"/>
      <c r="AP262" s="928"/>
      <c r="AQ262" s="928"/>
      <c r="AR262" s="928"/>
      <c r="AS262" s="928"/>
    </row>
    <row r="263" spans="11:45">
      <c r="K263" s="957"/>
      <c r="L263" s="928"/>
      <c r="M263" s="928"/>
      <c r="N263" s="960"/>
      <c r="O263" s="960"/>
      <c r="P263" s="960"/>
      <c r="Q263" s="960"/>
      <c r="R263" s="960"/>
      <c r="S263" s="960"/>
      <c r="T263" s="960"/>
      <c r="U263" s="960"/>
      <c r="V263" s="960"/>
      <c r="W263" s="960"/>
      <c r="X263" s="960"/>
      <c r="Y263" s="960"/>
      <c r="Z263" s="960"/>
      <c r="AA263" s="960"/>
      <c r="AB263" s="928"/>
      <c r="AC263" s="928"/>
      <c r="AD263" s="928"/>
      <c r="AE263" s="928"/>
      <c r="AF263" s="928"/>
      <c r="AG263" s="928"/>
      <c r="AH263" s="928"/>
      <c r="AI263" s="928"/>
      <c r="AJ263" s="928"/>
      <c r="AK263" s="928"/>
      <c r="AL263" s="928"/>
      <c r="AM263" s="928"/>
      <c r="AN263" s="928"/>
      <c r="AO263" s="928"/>
      <c r="AP263" s="928"/>
      <c r="AQ263" s="928"/>
      <c r="AR263" s="928"/>
      <c r="AS263" s="928"/>
    </row>
    <row r="264" spans="11:45">
      <c r="K264" s="957"/>
      <c r="L264" s="928"/>
      <c r="M264" s="928"/>
      <c r="N264" s="960"/>
      <c r="O264" s="960"/>
      <c r="P264" s="960"/>
      <c r="Q264" s="960"/>
      <c r="R264" s="960"/>
      <c r="S264" s="960"/>
      <c r="T264" s="960"/>
      <c r="U264" s="960"/>
      <c r="V264" s="960"/>
      <c r="W264" s="960"/>
      <c r="X264" s="960"/>
      <c r="Y264" s="960"/>
      <c r="Z264" s="960"/>
      <c r="AA264" s="960"/>
      <c r="AB264" s="928"/>
      <c r="AC264" s="928"/>
      <c r="AD264" s="928"/>
      <c r="AE264" s="928"/>
      <c r="AF264" s="928"/>
      <c r="AG264" s="928"/>
      <c r="AH264" s="928"/>
      <c r="AI264" s="928"/>
      <c r="AJ264" s="928"/>
      <c r="AK264" s="928"/>
      <c r="AL264" s="928"/>
      <c r="AM264" s="928"/>
      <c r="AN264" s="928"/>
      <c r="AO264" s="928"/>
      <c r="AP264" s="928"/>
      <c r="AQ264" s="928"/>
      <c r="AR264" s="928"/>
      <c r="AS264" s="928"/>
    </row>
    <row r="265" spans="11:45">
      <c r="K265" s="957"/>
      <c r="L265" s="928"/>
      <c r="M265" s="928"/>
      <c r="N265" s="960"/>
      <c r="O265" s="960"/>
      <c r="P265" s="960"/>
      <c r="Q265" s="960"/>
      <c r="R265" s="960"/>
      <c r="S265" s="960"/>
      <c r="T265" s="960"/>
      <c r="U265" s="960"/>
      <c r="V265" s="960"/>
      <c r="W265" s="960"/>
      <c r="X265" s="960"/>
      <c r="Y265" s="960"/>
      <c r="Z265" s="960"/>
      <c r="AA265" s="960"/>
      <c r="AB265" s="928"/>
      <c r="AC265" s="928"/>
      <c r="AD265" s="928"/>
      <c r="AE265" s="928"/>
      <c r="AF265" s="928"/>
      <c r="AG265" s="928"/>
      <c r="AH265" s="928"/>
      <c r="AI265" s="928"/>
      <c r="AJ265" s="928"/>
      <c r="AK265" s="928"/>
      <c r="AL265" s="928"/>
      <c r="AM265" s="928"/>
      <c r="AN265" s="928"/>
      <c r="AO265" s="928"/>
      <c r="AP265" s="928"/>
      <c r="AQ265" s="928"/>
      <c r="AR265" s="928"/>
      <c r="AS265" s="928"/>
    </row>
    <row r="266" spans="11:45">
      <c r="K266" s="957"/>
      <c r="L266" s="928"/>
      <c r="M266" s="928"/>
      <c r="N266" s="960"/>
      <c r="O266" s="960"/>
      <c r="P266" s="960"/>
      <c r="Q266" s="960"/>
      <c r="R266" s="960"/>
      <c r="S266" s="960"/>
      <c r="T266" s="960"/>
      <c r="U266" s="960"/>
      <c r="V266" s="960"/>
      <c r="W266" s="960"/>
      <c r="X266" s="960"/>
      <c r="Y266" s="960"/>
      <c r="Z266" s="960"/>
      <c r="AA266" s="960"/>
      <c r="AB266" s="928"/>
      <c r="AC266" s="928"/>
      <c r="AD266" s="928"/>
      <c r="AE266" s="928"/>
      <c r="AF266" s="928"/>
      <c r="AG266" s="928"/>
      <c r="AH266" s="928"/>
      <c r="AI266" s="928"/>
      <c r="AJ266" s="928"/>
      <c r="AK266" s="928"/>
      <c r="AL266" s="928"/>
      <c r="AM266" s="928"/>
      <c r="AN266" s="928"/>
      <c r="AO266" s="928"/>
      <c r="AP266" s="928"/>
      <c r="AQ266" s="928"/>
      <c r="AR266" s="928"/>
      <c r="AS266" s="928"/>
    </row>
    <row r="267" spans="11:45">
      <c r="K267" s="957"/>
      <c r="L267" s="928"/>
      <c r="M267" s="928"/>
      <c r="N267" s="960"/>
      <c r="O267" s="960"/>
      <c r="P267" s="960"/>
      <c r="Q267" s="960"/>
      <c r="R267" s="960"/>
      <c r="S267" s="960"/>
      <c r="T267" s="960"/>
      <c r="U267" s="960"/>
      <c r="V267" s="960"/>
      <c r="W267" s="960"/>
      <c r="X267" s="960"/>
      <c r="Y267" s="960"/>
      <c r="Z267" s="960"/>
      <c r="AA267" s="960"/>
      <c r="AB267" s="928"/>
      <c r="AC267" s="928"/>
      <c r="AD267" s="928"/>
      <c r="AE267" s="928"/>
      <c r="AF267" s="928"/>
      <c r="AG267" s="928"/>
      <c r="AH267" s="928"/>
      <c r="AI267" s="928"/>
      <c r="AJ267" s="928"/>
      <c r="AK267" s="928"/>
      <c r="AL267" s="928"/>
      <c r="AM267" s="928"/>
      <c r="AN267" s="928"/>
      <c r="AO267" s="928"/>
      <c r="AP267" s="928"/>
      <c r="AQ267" s="928"/>
      <c r="AR267" s="928"/>
      <c r="AS267" s="928"/>
    </row>
    <row r="268" spans="11:45">
      <c r="K268" s="957"/>
      <c r="L268" s="928"/>
      <c r="M268" s="928"/>
      <c r="N268" s="960"/>
      <c r="O268" s="960"/>
      <c r="P268" s="960"/>
      <c r="Q268" s="960"/>
      <c r="R268" s="960"/>
      <c r="S268" s="960"/>
      <c r="T268" s="960"/>
      <c r="U268" s="960"/>
      <c r="V268" s="960"/>
      <c r="W268" s="960"/>
      <c r="X268" s="960"/>
      <c r="Y268" s="960"/>
      <c r="Z268" s="960"/>
      <c r="AA268" s="960"/>
      <c r="AB268" s="928"/>
      <c r="AC268" s="928"/>
      <c r="AD268" s="928"/>
      <c r="AE268" s="928"/>
      <c r="AF268" s="928"/>
      <c r="AG268" s="928"/>
      <c r="AH268" s="928"/>
      <c r="AI268" s="928"/>
      <c r="AJ268" s="928"/>
      <c r="AK268" s="928"/>
      <c r="AL268" s="928"/>
      <c r="AM268" s="928"/>
      <c r="AN268" s="928"/>
      <c r="AO268" s="928"/>
      <c r="AP268" s="928"/>
      <c r="AQ268" s="928"/>
      <c r="AR268" s="928"/>
      <c r="AS268" s="928"/>
    </row>
    <row r="269" spans="11:45">
      <c r="K269" s="957"/>
      <c r="L269" s="928"/>
      <c r="M269" s="928"/>
      <c r="N269" s="960"/>
      <c r="O269" s="960"/>
      <c r="P269" s="960"/>
      <c r="Q269" s="960"/>
      <c r="R269" s="960"/>
      <c r="S269" s="960"/>
      <c r="T269" s="960"/>
      <c r="U269" s="960"/>
      <c r="V269" s="960"/>
      <c r="W269" s="960"/>
      <c r="X269" s="960"/>
      <c r="Y269" s="960"/>
      <c r="Z269" s="960"/>
      <c r="AA269" s="960"/>
      <c r="AB269" s="928"/>
      <c r="AC269" s="928"/>
      <c r="AD269" s="928"/>
      <c r="AE269" s="928"/>
      <c r="AF269" s="928"/>
      <c r="AG269" s="928"/>
      <c r="AH269" s="928"/>
      <c r="AI269" s="928"/>
      <c r="AJ269" s="928"/>
      <c r="AK269" s="928"/>
      <c r="AL269" s="928"/>
      <c r="AM269" s="928"/>
      <c r="AN269" s="928"/>
      <c r="AO269" s="928"/>
      <c r="AP269" s="928"/>
      <c r="AQ269" s="928"/>
      <c r="AR269" s="928"/>
      <c r="AS269" s="928"/>
    </row>
    <row r="270" spans="11:45">
      <c r="K270" s="957"/>
      <c r="L270" s="928"/>
      <c r="M270" s="928"/>
      <c r="N270" s="960"/>
      <c r="O270" s="960"/>
      <c r="P270" s="960"/>
      <c r="Q270" s="960"/>
      <c r="R270" s="960"/>
      <c r="S270" s="960"/>
      <c r="T270" s="960"/>
      <c r="U270" s="960"/>
      <c r="V270" s="960"/>
      <c r="W270" s="960"/>
      <c r="X270" s="960"/>
      <c r="Y270" s="960"/>
      <c r="Z270" s="960"/>
      <c r="AA270" s="960"/>
      <c r="AB270" s="928"/>
      <c r="AC270" s="928"/>
      <c r="AD270" s="928"/>
      <c r="AE270" s="928"/>
      <c r="AF270" s="928"/>
      <c r="AG270" s="928"/>
      <c r="AH270" s="928"/>
      <c r="AI270" s="928"/>
      <c r="AJ270" s="928"/>
      <c r="AK270" s="928"/>
      <c r="AL270" s="928"/>
      <c r="AM270" s="928"/>
      <c r="AN270" s="928"/>
      <c r="AO270" s="928"/>
      <c r="AP270" s="928"/>
      <c r="AQ270" s="928"/>
      <c r="AR270" s="928"/>
      <c r="AS270" s="928"/>
    </row>
    <row r="271" spans="11:45">
      <c r="K271" s="957"/>
      <c r="L271" s="928"/>
      <c r="M271" s="928"/>
      <c r="N271" s="960"/>
      <c r="O271" s="960"/>
      <c r="P271" s="960"/>
      <c r="Q271" s="960"/>
      <c r="R271" s="960"/>
      <c r="S271" s="960"/>
      <c r="T271" s="960"/>
      <c r="U271" s="960"/>
      <c r="V271" s="960"/>
      <c r="W271" s="960"/>
      <c r="X271" s="960"/>
      <c r="Y271" s="960"/>
      <c r="Z271" s="960"/>
      <c r="AA271" s="960"/>
      <c r="AB271" s="928"/>
      <c r="AC271" s="928"/>
      <c r="AD271" s="928"/>
      <c r="AE271" s="928"/>
      <c r="AF271" s="928"/>
      <c r="AG271" s="928"/>
      <c r="AH271" s="928"/>
      <c r="AI271" s="928"/>
      <c r="AJ271" s="928"/>
      <c r="AK271" s="928"/>
      <c r="AL271" s="928"/>
      <c r="AM271" s="928"/>
      <c r="AN271" s="928"/>
      <c r="AO271" s="928"/>
      <c r="AP271" s="928"/>
      <c r="AQ271" s="928"/>
      <c r="AR271" s="928"/>
      <c r="AS271" s="928"/>
    </row>
    <row r="272" spans="11:45">
      <c r="K272" s="957"/>
      <c r="L272" s="928"/>
      <c r="M272" s="928"/>
      <c r="N272" s="960"/>
      <c r="O272" s="960"/>
      <c r="P272" s="960"/>
      <c r="Q272" s="960"/>
      <c r="R272" s="960"/>
      <c r="S272" s="960"/>
      <c r="T272" s="960"/>
      <c r="U272" s="960"/>
      <c r="V272" s="960"/>
      <c r="W272" s="960"/>
      <c r="X272" s="960"/>
      <c r="Y272" s="960"/>
      <c r="Z272" s="960"/>
      <c r="AA272" s="960"/>
      <c r="AB272" s="928"/>
      <c r="AC272" s="928"/>
      <c r="AD272" s="928"/>
      <c r="AE272" s="928"/>
      <c r="AF272" s="928"/>
      <c r="AG272" s="928"/>
      <c r="AH272" s="928"/>
      <c r="AI272" s="928"/>
      <c r="AJ272" s="928"/>
      <c r="AK272" s="928"/>
      <c r="AL272" s="928"/>
      <c r="AM272" s="928"/>
      <c r="AN272" s="928"/>
      <c r="AO272" s="928"/>
      <c r="AP272" s="928"/>
      <c r="AQ272" s="928"/>
      <c r="AR272" s="928"/>
      <c r="AS272" s="928"/>
    </row>
    <row r="273" spans="11:45">
      <c r="K273" s="957"/>
      <c r="L273" s="928"/>
      <c r="M273" s="928"/>
      <c r="N273" s="960"/>
      <c r="O273" s="960"/>
      <c r="P273" s="960"/>
      <c r="Q273" s="960"/>
      <c r="R273" s="960"/>
      <c r="S273" s="960"/>
      <c r="T273" s="960"/>
      <c r="U273" s="960"/>
      <c r="V273" s="960"/>
      <c r="W273" s="960"/>
      <c r="X273" s="960"/>
      <c r="Y273" s="960"/>
      <c r="Z273" s="960"/>
      <c r="AA273" s="960"/>
      <c r="AB273" s="928"/>
      <c r="AC273" s="928"/>
      <c r="AD273" s="928"/>
      <c r="AE273" s="928"/>
      <c r="AF273" s="928"/>
      <c r="AG273" s="928"/>
      <c r="AH273" s="928"/>
      <c r="AI273" s="928"/>
      <c r="AJ273" s="928"/>
      <c r="AK273" s="928"/>
      <c r="AL273" s="928"/>
      <c r="AM273" s="928"/>
      <c r="AN273" s="928"/>
      <c r="AO273" s="928"/>
      <c r="AP273" s="928"/>
      <c r="AQ273" s="928"/>
      <c r="AR273" s="928"/>
      <c r="AS273" s="928"/>
    </row>
    <row r="274" spans="11:45">
      <c r="K274" s="957"/>
      <c r="L274" s="928"/>
      <c r="M274" s="928"/>
      <c r="N274" s="960"/>
      <c r="O274" s="960"/>
      <c r="P274" s="960"/>
      <c r="Q274" s="960"/>
      <c r="R274" s="960"/>
      <c r="S274" s="960"/>
      <c r="T274" s="960"/>
      <c r="U274" s="960"/>
      <c r="V274" s="960"/>
      <c r="W274" s="960"/>
      <c r="X274" s="960"/>
      <c r="Y274" s="960"/>
      <c r="Z274" s="960"/>
      <c r="AA274" s="960"/>
      <c r="AB274" s="928"/>
      <c r="AC274" s="928"/>
      <c r="AD274" s="928"/>
      <c r="AE274" s="928"/>
      <c r="AF274" s="928"/>
      <c r="AG274" s="928"/>
      <c r="AH274" s="928"/>
      <c r="AI274" s="928"/>
      <c r="AJ274" s="928"/>
      <c r="AK274" s="928"/>
      <c r="AL274" s="928"/>
      <c r="AM274" s="928"/>
      <c r="AN274" s="928"/>
      <c r="AO274" s="928"/>
      <c r="AP274" s="928"/>
      <c r="AQ274" s="928"/>
      <c r="AR274" s="928"/>
      <c r="AS274" s="928"/>
    </row>
    <row r="275" spans="11:45">
      <c r="K275" s="957"/>
      <c r="L275" s="928"/>
      <c r="M275" s="928"/>
      <c r="N275" s="960"/>
      <c r="O275" s="960"/>
      <c r="P275" s="960"/>
      <c r="Q275" s="960"/>
      <c r="R275" s="960"/>
      <c r="S275" s="960"/>
      <c r="T275" s="960"/>
      <c r="U275" s="960"/>
      <c r="V275" s="960"/>
      <c r="W275" s="960"/>
      <c r="X275" s="960"/>
      <c r="Y275" s="960"/>
      <c r="Z275" s="960"/>
      <c r="AA275" s="960"/>
      <c r="AB275" s="928"/>
      <c r="AC275" s="928"/>
      <c r="AD275" s="928"/>
      <c r="AE275" s="928"/>
      <c r="AF275" s="928"/>
      <c r="AG275" s="928"/>
      <c r="AH275" s="928"/>
      <c r="AI275" s="928"/>
      <c r="AJ275" s="928"/>
      <c r="AK275" s="928"/>
      <c r="AL275" s="928"/>
      <c r="AM275" s="928"/>
      <c r="AN275" s="928"/>
      <c r="AO275" s="928"/>
      <c r="AP275" s="928"/>
      <c r="AQ275" s="928"/>
      <c r="AR275" s="928"/>
      <c r="AS275" s="928"/>
    </row>
    <row r="276" spans="11:45">
      <c r="K276" s="957"/>
      <c r="L276" s="928"/>
      <c r="M276" s="928"/>
      <c r="N276" s="960"/>
      <c r="O276" s="960"/>
      <c r="P276" s="960"/>
      <c r="Q276" s="960"/>
      <c r="R276" s="960"/>
      <c r="S276" s="960"/>
      <c r="T276" s="960"/>
      <c r="U276" s="960"/>
      <c r="V276" s="960"/>
      <c r="W276" s="960"/>
      <c r="X276" s="960"/>
      <c r="Y276" s="960"/>
      <c r="Z276" s="960"/>
      <c r="AA276" s="960"/>
      <c r="AB276" s="928"/>
      <c r="AC276" s="928"/>
      <c r="AD276" s="928"/>
      <c r="AE276" s="928"/>
      <c r="AF276" s="928"/>
      <c r="AG276" s="928"/>
      <c r="AH276" s="928"/>
      <c r="AI276" s="928"/>
      <c r="AJ276" s="928"/>
      <c r="AK276" s="928"/>
      <c r="AL276" s="928"/>
      <c r="AM276" s="928"/>
      <c r="AN276" s="928"/>
      <c r="AO276" s="928"/>
      <c r="AP276" s="928"/>
      <c r="AQ276" s="928"/>
      <c r="AR276" s="928"/>
      <c r="AS276" s="928"/>
    </row>
    <row r="277" spans="11:45">
      <c r="K277" s="957"/>
      <c r="L277" s="928"/>
      <c r="M277" s="928"/>
      <c r="N277" s="960"/>
      <c r="O277" s="960"/>
      <c r="P277" s="960"/>
      <c r="Q277" s="960"/>
      <c r="R277" s="960"/>
      <c r="S277" s="960"/>
      <c r="T277" s="960"/>
      <c r="U277" s="960"/>
      <c r="V277" s="960"/>
      <c r="W277" s="960"/>
      <c r="X277" s="960"/>
      <c r="Y277" s="960"/>
      <c r="Z277" s="960"/>
      <c r="AA277" s="960"/>
      <c r="AB277" s="928"/>
      <c r="AC277" s="928"/>
      <c r="AD277" s="928"/>
      <c r="AE277" s="928"/>
      <c r="AF277" s="928"/>
      <c r="AG277" s="928"/>
      <c r="AH277" s="928"/>
      <c r="AI277" s="928"/>
      <c r="AJ277" s="928"/>
      <c r="AK277" s="928"/>
      <c r="AL277" s="928"/>
      <c r="AM277" s="928"/>
      <c r="AN277" s="928"/>
      <c r="AO277" s="928"/>
      <c r="AP277" s="928"/>
      <c r="AQ277" s="928"/>
      <c r="AR277" s="928"/>
      <c r="AS277" s="928"/>
    </row>
    <row r="278" spans="11:45">
      <c r="K278" s="957"/>
      <c r="L278" s="928"/>
      <c r="M278" s="928"/>
      <c r="N278" s="960"/>
      <c r="O278" s="960"/>
      <c r="P278" s="960"/>
      <c r="Q278" s="960"/>
      <c r="R278" s="960"/>
      <c r="S278" s="960"/>
      <c r="T278" s="960"/>
      <c r="U278" s="960"/>
      <c r="V278" s="960"/>
      <c r="W278" s="960"/>
      <c r="X278" s="960"/>
      <c r="Y278" s="960"/>
      <c r="Z278" s="960"/>
      <c r="AA278" s="960"/>
      <c r="AB278" s="928"/>
      <c r="AC278" s="928"/>
      <c r="AD278" s="928"/>
      <c r="AE278" s="928"/>
      <c r="AF278" s="928"/>
      <c r="AG278" s="928"/>
      <c r="AH278" s="928"/>
      <c r="AI278" s="928"/>
      <c r="AJ278" s="928"/>
      <c r="AK278" s="928"/>
      <c r="AL278" s="928"/>
      <c r="AM278" s="928"/>
      <c r="AN278" s="928"/>
      <c r="AO278" s="928"/>
      <c r="AP278" s="928"/>
      <c r="AQ278" s="928"/>
      <c r="AR278" s="928"/>
      <c r="AS278" s="928"/>
    </row>
    <row r="279" spans="11:45">
      <c r="K279" s="957"/>
      <c r="L279" s="928"/>
      <c r="M279" s="928"/>
      <c r="N279" s="960"/>
      <c r="O279" s="960"/>
      <c r="P279" s="960"/>
      <c r="Q279" s="960"/>
      <c r="R279" s="960"/>
      <c r="S279" s="960"/>
      <c r="T279" s="960"/>
      <c r="U279" s="960"/>
      <c r="V279" s="960"/>
      <c r="W279" s="960"/>
      <c r="X279" s="960"/>
      <c r="Y279" s="960"/>
      <c r="Z279" s="960"/>
      <c r="AA279" s="960"/>
      <c r="AB279" s="928"/>
      <c r="AC279" s="928"/>
      <c r="AD279" s="928"/>
      <c r="AE279" s="928"/>
      <c r="AF279" s="928"/>
      <c r="AG279" s="928"/>
      <c r="AH279" s="928"/>
      <c r="AI279" s="928"/>
      <c r="AJ279" s="928"/>
      <c r="AK279" s="928"/>
      <c r="AL279" s="928"/>
      <c r="AM279" s="928"/>
      <c r="AN279" s="928"/>
      <c r="AO279" s="928"/>
      <c r="AP279" s="928"/>
      <c r="AQ279" s="928"/>
      <c r="AR279" s="928"/>
      <c r="AS279" s="928"/>
    </row>
    <row r="280" spans="11:45">
      <c r="K280" s="957"/>
      <c r="L280" s="928"/>
      <c r="M280" s="928"/>
      <c r="N280" s="960"/>
      <c r="O280" s="960"/>
      <c r="P280" s="960"/>
      <c r="Q280" s="960"/>
      <c r="R280" s="960"/>
      <c r="S280" s="960"/>
      <c r="T280" s="960"/>
      <c r="U280" s="960"/>
      <c r="V280" s="960"/>
      <c r="W280" s="960"/>
      <c r="X280" s="960"/>
      <c r="Y280" s="960"/>
      <c r="Z280" s="960"/>
      <c r="AA280" s="960"/>
      <c r="AB280" s="928"/>
      <c r="AC280" s="928"/>
      <c r="AD280" s="928"/>
      <c r="AE280" s="928"/>
      <c r="AF280" s="928"/>
      <c r="AG280" s="928"/>
      <c r="AH280" s="928"/>
      <c r="AI280" s="928"/>
      <c r="AJ280" s="928"/>
      <c r="AK280" s="928"/>
      <c r="AL280" s="928"/>
      <c r="AM280" s="928"/>
      <c r="AN280" s="928"/>
      <c r="AO280" s="928"/>
      <c r="AP280" s="928"/>
      <c r="AQ280" s="928"/>
      <c r="AR280" s="928"/>
      <c r="AS280" s="928"/>
    </row>
    <row r="281" spans="11:45">
      <c r="K281" s="957"/>
      <c r="L281" s="928"/>
      <c r="M281" s="928"/>
      <c r="N281" s="960"/>
      <c r="O281" s="960"/>
      <c r="P281" s="960"/>
      <c r="Q281" s="960"/>
      <c r="R281" s="960"/>
      <c r="S281" s="960"/>
      <c r="T281" s="960"/>
      <c r="U281" s="960"/>
      <c r="V281" s="960"/>
      <c r="W281" s="960"/>
      <c r="X281" s="960"/>
      <c r="Y281" s="960"/>
      <c r="Z281" s="960"/>
      <c r="AA281" s="960"/>
      <c r="AB281" s="928"/>
      <c r="AC281" s="928"/>
      <c r="AD281" s="928"/>
      <c r="AE281" s="928"/>
      <c r="AF281" s="928"/>
      <c r="AG281" s="928"/>
      <c r="AH281" s="928"/>
      <c r="AI281" s="928"/>
      <c r="AJ281" s="928"/>
      <c r="AK281" s="928"/>
      <c r="AL281" s="928"/>
      <c r="AM281" s="928"/>
      <c r="AN281" s="928"/>
      <c r="AO281" s="928"/>
      <c r="AP281" s="928"/>
      <c r="AQ281" s="928"/>
      <c r="AR281" s="928"/>
      <c r="AS281" s="928"/>
    </row>
    <row r="282" spans="11:45">
      <c r="K282" s="957"/>
      <c r="L282" s="928"/>
      <c r="M282" s="928"/>
      <c r="N282" s="960"/>
      <c r="O282" s="960"/>
      <c r="P282" s="960"/>
      <c r="Q282" s="960"/>
      <c r="R282" s="960"/>
      <c r="S282" s="960"/>
      <c r="T282" s="960"/>
      <c r="U282" s="960"/>
      <c r="V282" s="960"/>
      <c r="W282" s="960"/>
      <c r="X282" s="960"/>
      <c r="Y282" s="960"/>
      <c r="Z282" s="960"/>
      <c r="AA282" s="960"/>
      <c r="AB282" s="928"/>
      <c r="AC282" s="928"/>
      <c r="AD282" s="928"/>
      <c r="AE282" s="928"/>
      <c r="AF282" s="928"/>
      <c r="AG282" s="928"/>
      <c r="AH282" s="928"/>
      <c r="AI282" s="928"/>
      <c r="AJ282" s="928"/>
      <c r="AK282" s="928"/>
      <c r="AL282" s="928"/>
      <c r="AM282" s="928"/>
      <c r="AN282" s="928"/>
      <c r="AO282" s="928"/>
      <c r="AP282" s="928"/>
      <c r="AQ282" s="928"/>
      <c r="AR282" s="928"/>
      <c r="AS282" s="928"/>
    </row>
    <row r="283" spans="11:45">
      <c r="K283" s="957"/>
      <c r="L283" s="928"/>
      <c r="M283" s="928"/>
      <c r="N283" s="960"/>
      <c r="O283" s="960"/>
      <c r="P283" s="960"/>
      <c r="Q283" s="960"/>
      <c r="R283" s="960"/>
      <c r="S283" s="960"/>
      <c r="T283" s="960"/>
      <c r="U283" s="960"/>
      <c r="V283" s="960"/>
      <c r="W283" s="960"/>
      <c r="X283" s="960"/>
      <c r="Y283" s="960"/>
      <c r="Z283" s="960"/>
      <c r="AA283" s="960"/>
      <c r="AB283" s="928"/>
      <c r="AC283" s="928"/>
      <c r="AD283" s="928"/>
      <c r="AE283" s="928"/>
      <c r="AF283" s="928"/>
      <c r="AG283" s="928"/>
      <c r="AH283" s="928"/>
      <c r="AI283" s="928"/>
      <c r="AJ283" s="928"/>
      <c r="AK283" s="928"/>
      <c r="AL283" s="928"/>
      <c r="AM283" s="928"/>
      <c r="AN283" s="928"/>
      <c r="AO283" s="928"/>
      <c r="AP283" s="928"/>
      <c r="AQ283" s="928"/>
      <c r="AR283" s="928"/>
      <c r="AS283" s="928"/>
    </row>
    <row r="284" spans="11:45">
      <c r="K284" s="957"/>
      <c r="L284" s="928"/>
      <c r="M284" s="928"/>
      <c r="N284" s="960"/>
      <c r="O284" s="960"/>
      <c r="P284" s="960"/>
      <c r="Q284" s="960"/>
      <c r="R284" s="960"/>
      <c r="S284" s="960"/>
      <c r="T284" s="960"/>
      <c r="U284" s="960"/>
      <c r="V284" s="960"/>
      <c r="W284" s="960"/>
      <c r="X284" s="960"/>
      <c r="Y284" s="960"/>
      <c r="Z284" s="960"/>
      <c r="AA284" s="960"/>
      <c r="AB284" s="928"/>
      <c r="AC284" s="928"/>
      <c r="AD284" s="928"/>
      <c r="AE284" s="928"/>
      <c r="AF284" s="928"/>
      <c r="AG284" s="928"/>
      <c r="AH284" s="928"/>
      <c r="AI284" s="928"/>
      <c r="AJ284" s="928"/>
      <c r="AK284" s="928"/>
      <c r="AL284" s="928"/>
      <c r="AM284" s="928"/>
      <c r="AN284" s="928"/>
      <c r="AO284" s="928"/>
      <c r="AP284" s="928"/>
      <c r="AQ284" s="928"/>
      <c r="AR284" s="928"/>
      <c r="AS284" s="928"/>
    </row>
    <row r="285" spans="11:45">
      <c r="K285" s="957"/>
      <c r="L285" s="928"/>
      <c r="M285" s="928"/>
      <c r="N285" s="960"/>
      <c r="O285" s="960"/>
      <c r="P285" s="960"/>
      <c r="Q285" s="960"/>
      <c r="R285" s="960"/>
      <c r="S285" s="960"/>
      <c r="T285" s="960"/>
      <c r="U285" s="960"/>
      <c r="V285" s="960"/>
      <c r="W285" s="960"/>
      <c r="X285" s="960"/>
      <c r="Y285" s="960"/>
      <c r="Z285" s="960"/>
      <c r="AA285" s="960"/>
      <c r="AB285" s="928"/>
      <c r="AC285" s="928"/>
      <c r="AD285" s="928"/>
      <c r="AE285" s="928"/>
      <c r="AF285" s="928"/>
      <c r="AG285" s="928"/>
      <c r="AH285" s="928"/>
      <c r="AI285" s="928"/>
      <c r="AJ285" s="928"/>
      <c r="AK285" s="928"/>
      <c r="AL285" s="928"/>
      <c r="AM285" s="928"/>
      <c r="AN285" s="928"/>
      <c r="AO285" s="928"/>
      <c r="AP285" s="928"/>
      <c r="AQ285" s="928"/>
      <c r="AR285" s="928"/>
      <c r="AS285" s="928"/>
    </row>
    <row r="286" spans="11:45">
      <c r="K286" s="957"/>
      <c r="L286" s="928"/>
      <c r="M286" s="928"/>
      <c r="N286" s="960"/>
      <c r="O286" s="960"/>
      <c r="P286" s="960"/>
      <c r="Q286" s="960"/>
      <c r="R286" s="960"/>
      <c r="S286" s="960"/>
      <c r="T286" s="960"/>
      <c r="U286" s="960"/>
      <c r="V286" s="960"/>
      <c r="W286" s="960"/>
      <c r="X286" s="960"/>
      <c r="Y286" s="960"/>
      <c r="Z286" s="960"/>
      <c r="AA286" s="960"/>
      <c r="AB286" s="928"/>
      <c r="AC286" s="928"/>
      <c r="AD286" s="928"/>
      <c r="AE286" s="928"/>
      <c r="AF286" s="928"/>
      <c r="AG286" s="928"/>
      <c r="AH286" s="928"/>
      <c r="AI286" s="928"/>
      <c r="AJ286" s="928"/>
      <c r="AK286" s="928"/>
      <c r="AL286" s="928"/>
      <c r="AM286" s="928"/>
      <c r="AN286" s="928"/>
      <c r="AO286" s="928"/>
      <c r="AP286" s="928"/>
      <c r="AQ286" s="928"/>
      <c r="AR286" s="928"/>
      <c r="AS286" s="928"/>
    </row>
    <row r="287" spans="11:45">
      <c r="K287" s="957"/>
      <c r="L287" s="928"/>
      <c r="M287" s="928"/>
      <c r="N287" s="960"/>
      <c r="O287" s="960"/>
      <c r="P287" s="960"/>
      <c r="Q287" s="960"/>
      <c r="R287" s="960"/>
      <c r="S287" s="960"/>
      <c r="T287" s="960"/>
      <c r="U287" s="960"/>
      <c r="V287" s="960"/>
      <c r="W287" s="960"/>
      <c r="X287" s="960"/>
      <c r="Y287" s="960"/>
      <c r="Z287" s="960"/>
      <c r="AA287" s="960"/>
      <c r="AB287" s="928"/>
      <c r="AC287" s="928"/>
      <c r="AD287" s="928"/>
      <c r="AE287" s="928"/>
      <c r="AF287" s="928"/>
      <c r="AG287" s="928"/>
      <c r="AH287" s="928"/>
      <c r="AI287" s="928"/>
      <c r="AJ287" s="928"/>
      <c r="AK287" s="928"/>
      <c r="AL287" s="928"/>
      <c r="AM287" s="928"/>
      <c r="AN287" s="928"/>
      <c r="AO287" s="928"/>
      <c r="AP287" s="928"/>
      <c r="AQ287" s="928"/>
      <c r="AR287" s="928"/>
      <c r="AS287" s="928"/>
    </row>
    <row r="288" spans="11:45">
      <c r="K288" s="957"/>
      <c r="L288" s="928"/>
      <c r="M288" s="928"/>
      <c r="N288" s="960"/>
      <c r="O288" s="960"/>
      <c r="P288" s="960"/>
      <c r="Q288" s="960"/>
      <c r="R288" s="960"/>
      <c r="S288" s="960"/>
      <c r="T288" s="960"/>
      <c r="U288" s="960"/>
      <c r="V288" s="960"/>
      <c r="W288" s="960"/>
      <c r="X288" s="960"/>
      <c r="Y288" s="960"/>
      <c r="Z288" s="960"/>
      <c r="AA288" s="960"/>
      <c r="AB288" s="928"/>
      <c r="AC288" s="928"/>
      <c r="AD288" s="928"/>
      <c r="AE288" s="928"/>
      <c r="AF288" s="928"/>
      <c r="AG288" s="928"/>
      <c r="AH288" s="928"/>
      <c r="AI288" s="928"/>
      <c r="AJ288" s="928"/>
      <c r="AK288" s="928"/>
      <c r="AL288" s="928"/>
      <c r="AM288" s="928"/>
      <c r="AN288" s="928"/>
      <c r="AO288" s="928"/>
      <c r="AP288" s="928"/>
      <c r="AQ288" s="928"/>
      <c r="AR288" s="928"/>
      <c r="AS288" s="928"/>
    </row>
    <row r="289" spans="11:45">
      <c r="K289" s="957"/>
      <c r="L289" s="928"/>
      <c r="M289" s="928"/>
      <c r="N289" s="960"/>
      <c r="O289" s="960"/>
      <c r="P289" s="960"/>
      <c r="Q289" s="960"/>
      <c r="R289" s="960"/>
      <c r="S289" s="960"/>
      <c r="T289" s="960"/>
      <c r="U289" s="960"/>
      <c r="V289" s="960"/>
      <c r="W289" s="960"/>
      <c r="X289" s="960"/>
      <c r="Y289" s="960"/>
      <c r="Z289" s="960"/>
      <c r="AA289" s="960"/>
      <c r="AB289" s="928"/>
      <c r="AC289" s="928"/>
      <c r="AD289" s="928"/>
      <c r="AE289" s="928"/>
      <c r="AF289" s="928"/>
      <c r="AG289" s="928"/>
      <c r="AH289" s="928"/>
      <c r="AI289" s="928"/>
      <c r="AJ289" s="928"/>
      <c r="AK289" s="928"/>
      <c r="AL289" s="928"/>
      <c r="AM289" s="928"/>
      <c r="AN289" s="928"/>
      <c r="AO289" s="928"/>
      <c r="AP289" s="928"/>
      <c r="AQ289" s="928"/>
      <c r="AR289" s="928"/>
      <c r="AS289" s="928"/>
    </row>
    <row r="290" spans="11:45">
      <c r="K290" s="957"/>
      <c r="L290" s="928"/>
      <c r="M290" s="928"/>
      <c r="N290" s="960"/>
      <c r="O290" s="960"/>
      <c r="P290" s="960"/>
      <c r="Q290" s="960"/>
      <c r="R290" s="960"/>
      <c r="S290" s="960"/>
      <c r="T290" s="960"/>
      <c r="U290" s="960"/>
      <c r="V290" s="960"/>
      <c r="W290" s="960"/>
      <c r="X290" s="960"/>
      <c r="Y290" s="960"/>
      <c r="Z290" s="960"/>
      <c r="AA290" s="960"/>
      <c r="AB290" s="928"/>
      <c r="AC290" s="928"/>
      <c r="AD290" s="928"/>
      <c r="AE290" s="928"/>
      <c r="AF290" s="928"/>
      <c r="AG290" s="928"/>
      <c r="AH290" s="928"/>
      <c r="AI290" s="928"/>
      <c r="AJ290" s="928"/>
      <c r="AK290" s="928"/>
      <c r="AL290" s="928"/>
      <c r="AM290" s="928"/>
      <c r="AN290" s="928"/>
      <c r="AO290" s="928"/>
      <c r="AP290" s="928"/>
      <c r="AQ290" s="928"/>
      <c r="AR290" s="928"/>
      <c r="AS290" s="928"/>
    </row>
    <row r="291" spans="11:45">
      <c r="K291" s="957"/>
      <c r="L291" s="928"/>
      <c r="M291" s="928"/>
      <c r="N291" s="960"/>
      <c r="O291" s="960"/>
      <c r="P291" s="960"/>
      <c r="Q291" s="960"/>
      <c r="R291" s="960"/>
      <c r="S291" s="960"/>
      <c r="T291" s="960"/>
      <c r="U291" s="960"/>
      <c r="V291" s="960"/>
      <c r="W291" s="960"/>
      <c r="X291" s="960"/>
      <c r="Y291" s="960"/>
      <c r="Z291" s="960"/>
      <c r="AA291" s="960"/>
      <c r="AB291" s="928"/>
      <c r="AC291" s="928"/>
      <c r="AD291" s="928"/>
      <c r="AE291" s="928"/>
      <c r="AF291" s="928"/>
      <c r="AG291" s="928"/>
      <c r="AH291" s="928"/>
      <c r="AI291" s="928"/>
      <c r="AJ291" s="928"/>
      <c r="AK291" s="928"/>
      <c r="AL291" s="928"/>
      <c r="AM291" s="928"/>
      <c r="AN291" s="928"/>
      <c r="AO291" s="928"/>
      <c r="AP291" s="928"/>
      <c r="AQ291" s="928"/>
      <c r="AR291" s="928"/>
      <c r="AS291" s="928"/>
    </row>
    <row r="292" spans="11:45">
      <c r="K292" s="957"/>
      <c r="L292" s="928"/>
      <c r="M292" s="928"/>
      <c r="N292" s="960"/>
      <c r="O292" s="960"/>
      <c r="P292" s="960"/>
      <c r="Q292" s="960"/>
      <c r="R292" s="960"/>
      <c r="S292" s="960"/>
      <c r="T292" s="960"/>
      <c r="U292" s="960"/>
      <c r="V292" s="960"/>
      <c r="W292" s="960"/>
      <c r="X292" s="960"/>
      <c r="Y292" s="960"/>
      <c r="Z292" s="960"/>
      <c r="AA292" s="960"/>
      <c r="AB292" s="928"/>
      <c r="AC292" s="928"/>
      <c r="AD292" s="928"/>
      <c r="AE292" s="928"/>
      <c r="AF292" s="928"/>
      <c r="AG292" s="928"/>
      <c r="AH292" s="928"/>
      <c r="AI292" s="928"/>
      <c r="AJ292" s="928"/>
      <c r="AK292" s="928"/>
      <c r="AL292" s="928"/>
      <c r="AM292" s="928"/>
      <c r="AN292" s="928"/>
      <c r="AO292" s="928"/>
      <c r="AP292" s="928"/>
      <c r="AQ292" s="928"/>
      <c r="AR292" s="928"/>
      <c r="AS292" s="928"/>
    </row>
    <row r="293" spans="11:45">
      <c r="K293" s="957"/>
      <c r="L293" s="928"/>
      <c r="M293" s="928"/>
      <c r="N293" s="960"/>
      <c r="O293" s="960"/>
      <c r="P293" s="960"/>
      <c r="Q293" s="960"/>
      <c r="R293" s="960"/>
      <c r="S293" s="960"/>
      <c r="T293" s="960"/>
      <c r="U293" s="960"/>
      <c r="V293" s="960"/>
      <c r="W293" s="960"/>
      <c r="X293" s="960"/>
      <c r="Y293" s="960"/>
      <c r="Z293" s="960"/>
      <c r="AA293" s="960"/>
      <c r="AB293" s="928"/>
      <c r="AC293" s="928"/>
      <c r="AD293" s="928"/>
      <c r="AE293" s="928"/>
      <c r="AF293" s="928"/>
      <c r="AG293" s="928"/>
      <c r="AH293" s="928"/>
      <c r="AI293" s="928"/>
      <c r="AJ293" s="928"/>
      <c r="AK293" s="928"/>
      <c r="AL293" s="928"/>
      <c r="AM293" s="928"/>
      <c r="AN293" s="928"/>
      <c r="AO293" s="928"/>
      <c r="AP293" s="928"/>
      <c r="AQ293" s="928"/>
      <c r="AR293" s="928"/>
      <c r="AS293" s="928"/>
    </row>
    <row r="294" spans="11:45">
      <c r="K294" s="957"/>
      <c r="L294" s="928"/>
      <c r="M294" s="928"/>
      <c r="N294" s="960"/>
      <c r="O294" s="960"/>
      <c r="P294" s="960"/>
      <c r="Q294" s="960"/>
      <c r="R294" s="960"/>
      <c r="S294" s="960"/>
      <c r="T294" s="960"/>
      <c r="U294" s="960"/>
      <c r="V294" s="960"/>
      <c r="W294" s="960"/>
      <c r="X294" s="960"/>
      <c r="Y294" s="960"/>
      <c r="Z294" s="960"/>
      <c r="AA294" s="960"/>
      <c r="AB294" s="928"/>
      <c r="AC294" s="928"/>
      <c r="AD294" s="928"/>
      <c r="AE294" s="928"/>
      <c r="AF294" s="928"/>
      <c r="AG294" s="928"/>
      <c r="AH294" s="928"/>
      <c r="AI294" s="928"/>
      <c r="AJ294" s="928"/>
      <c r="AK294" s="928"/>
      <c r="AL294" s="928"/>
      <c r="AM294" s="928"/>
      <c r="AN294" s="928"/>
      <c r="AO294" s="928"/>
      <c r="AP294" s="928"/>
      <c r="AQ294" s="928"/>
      <c r="AR294" s="928"/>
      <c r="AS294" s="928"/>
    </row>
    <row r="295" spans="11:45">
      <c r="K295" s="957"/>
      <c r="L295" s="928"/>
      <c r="M295" s="928"/>
      <c r="N295" s="960"/>
      <c r="O295" s="960"/>
      <c r="P295" s="960"/>
      <c r="Q295" s="960"/>
      <c r="R295" s="960"/>
      <c r="S295" s="960"/>
      <c r="T295" s="960"/>
      <c r="U295" s="960"/>
      <c r="V295" s="960"/>
      <c r="W295" s="960"/>
      <c r="X295" s="960"/>
      <c r="Y295" s="960"/>
      <c r="Z295" s="960"/>
      <c r="AA295" s="960"/>
      <c r="AB295" s="928"/>
      <c r="AC295" s="928"/>
      <c r="AD295" s="928"/>
      <c r="AE295" s="928"/>
      <c r="AF295" s="928"/>
      <c r="AG295" s="928"/>
      <c r="AH295" s="928"/>
      <c r="AI295" s="928"/>
      <c r="AJ295" s="928"/>
      <c r="AK295" s="928"/>
      <c r="AL295" s="928"/>
      <c r="AM295" s="928"/>
      <c r="AN295" s="928"/>
      <c r="AO295" s="928"/>
      <c r="AP295" s="928"/>
      <c r="AQ295" s="928"/>
      <c r="AR295" s="928"/>
      <c r="AS295" s="928"/>
    </row>
    <row r="296" spans="11:45">
      <c r="K296" s="957"/>
      <c r="L296" s="928"/>
      <c r="M296" s="928"/>
      <c r="N296" s="960"/>
      <c r="O296" s="960"/>
      <c r="P296" s="960"/>
      <c r="Q296" s="960"/>
      <c r="R296" s="960"/>
      <c r="S296" s="960"/>
      <c r="T296" s="960"/>
      <c r="U296" s="960"/>
      <c r="V296" s="960"/>
      <c r="W296" s="960"/>
      <c r="X296" s="960"/>
      <c r="Y296" s="960"/>
      <c r="Z296" s="960"/>
      <c r="AA296" s="960"/>
      <c r="AB296" s="928"/>
      <c r="AC296" s="928"/>
      <c r="AD296" s="928"/>
      <c r="AE296" s="928"/>
      <c r="AF296" s="928"/>
      <c r="AG296" s="928"/>
      <c r="AH296" s="928"/>
      <c r="AI296" s="928"/>
      <c r="AJ296" s="928"/>
      <c r="AK296" s="928"/>
      <c r="AL296" s="928"/>
      <c r="AM296" s="928"/>
      <c r="AN296" s="928"/>
      <c r="AO296" s="928"/>
      <c r="AP296" s="928"/>
      <c r="AQ296" s="928"/>
      <c r="AR296" s="928"/>
      <c r="AS296" s="928"/>
    </row>
    <row r="297" spans="11:45">
      <c r="K297" s="957"/>
      <c r="L297" s="928"/>
      <c r="M297" s="928"/>
      <c r="N297" s="960"/>
      <c r="O297" s="960"/>
      <c r="P297" s="960"/>
      <c r="Q297" s="960"/>
      <c r="R297" s="960"/>
      <c r="S297" s="960"/>
      <c r="T297" s="960"/>
      <c r="U297" s="960"/>
      <c r="V297" s="960"/>
      <c r="W297" s="960"/>
      <c r="X297" s="960"/>
      <c r="Y297" s="960"/>
      <c r="Z297" s="960"/>
      <c r="AA297" s="960"/>
      <c r="AB297" s="928"/>
      <c r="AC297" s="928"/>
      <c r="AD297" s="928"/>
      <c r="AE297" s="928"/>
      <c r="AF297" s="928"/>
      <c r="AG297" s="928"/>
      <c r="AH297" s="928"/>
      <c r="AI297" s="928"/>
      <c r="AJ297" s="928"/>
      <c r="AK297" s="928"/>
      <c r="AL297" s="928"/>
      <c r="AM297" s="928"/>
      <c r="AN297" s="928"/>
      <c r="AO297" s="928"/>
      <c r="AP297" s="928"/>
      <c r="AQ297" s="928"/>
      <c r="AR297" s="928"/>
      <c r="AS297" s="928"/>
    </row>
    <row r="298" spans="11:45">
      <c r="K298" s="957"/>
      <c r="L298" s="928"/>
      <c r="M298" s="928"/>
      <c r="N298" s="960"/>
      <c r="O298" s="960"/>
      <c r="P298" s="960"/>
      <c r="Q298" s="960"/>
      <c r="R298" s="960"/>
      <c r="S298" s="960"/>
      <c r="T298" s="960"/>
      <c r="U298" s="960"/>
      <c r="V298" s="960"/>
      <c r="W298" s="960"/>
      <c r="X298" s="960"/>
      <c r="Y298" s="960"/>
      <c r="Z298" s="960"/>
      <c r="AA298" s="960"/>
      <c r="AB298" s="928"/>
      <c r="AC298" s="928"/>
      <c r="AD298" s="928"/>
      <c r="AE298" s="928"/>
      <c r="AF298" s="928"/>
      <c r="AG298" s="928"/>
      <c r="AH298" s="928"/>
      <c r="AI298" s="928"/>
      <c r="AJ298" s="928"/>
      <c r="AK298" s="928"/>
      <c r="AL298" s="928"/>
      <c r="AM298" s="928"/>
      <c r="AN298" s="928"/>
      <c r="AO298" s="928"/>
      <c r="AP298" s="928"/>
      <c r="AQ298" s="928"/>
      <c r="AR298" s="928"/>
      <c r="AS298" s="928"/>
    </row>
    <row r="299" spans="11:45">
      <c r="K299" s="957"/>
      <c r="L299" s="928"/>
      <c r="M299" s="928"/>
      <c r="N299" s="960"/>
      <c r="O299" s="960"/>
      <c r="P299" s="960"/>
      <c r="Q299" s="960"/>
      <c r="R299" s="960"/>
      <c r="S299" s="960"/>
      <c r="T299" s="960"/>
      <c r="U299" s="960"/>
      <c r="V299" s="960"/>
      <c r="W299" s="960"/>
      <c r="X299" s="960"/>
      <c r="Y299" s="960"/>
      <c r="Z299" s="960"/>
      <c r="AA299" s="960"/>
      <c r="AB299" s="928"/>
      <c r="AC299" s="928"/>
      <c r="AD299" s="928"/>
      <c r="AE299" s="928"/>
      <c r="AF299" s="928"/>
      <c r="AG299" s="928"/>
      <c r="AH299" s="928"/>
      <c r="AI299" s="928"/>
      <c r="AJ299" s="928"/>
      <c r="AK299" s="928"/>
      <c r="AL299" s="928"/>
      <c r="AM299" s="928"/>
      <c r="AN299" s="928"/>
      <c r="AO299" s="928"/>
      <c r="AP299" s="928"/>
      <c r="AQ299" s="928"/>
      <c r="AR299" s="928"/>
      <c r="AS299" s="928"/>
    </row>
    <row r="300" spans="11:45">
      <c r="K300" s="957"/>
      <c r="L300" s="928"/>
      <c r="M300" s="928"/>
      <c r="N300" s="960"/>
      <c r="O300" s="960"/>
      <c r="P300" s="960"/>
      <c r="Q300" s="960"/>
      <c r="R300" s="960"/>
      <c r="S300" s="960"/>
      <c r="T300" s="960"/>
      <c r="U300" s="960"/>
      <c r="V300" s="960"/>
      <c r="W300" s="960"/>
      <c r="X300" s="960"/>
      <c r="Y300" s="960"/>
      <c r="Z300" s="960"/>
      <c r="AA300" s="960"/>
      <c r="AB300" s="928"/>
      <c r="AC300" s="928"/>
      <c r="AD300" s="928"/>
      <c r="AE300" s="928"/>
      <c r="AF300" s="928"/>
      <c r="AG300" s="928"/>
      <c r="AH300" s="928"/>
      <c r="AI300" s="928"/>
      <c r="AJ300" s="928"/>
      <c r="AK300" s="928"/>
      <c r="AL300" s="928"/>
      <c r="AM300" s="928"/>
      <c r="AN300" s="928"/>
      <c r="AO300" s="928"/>
      <c r="AP300" s="928"/>
      <c r="AQ300" s="928"/>
      <c r="AR300" s="928"/>
      <c r="AS300" s="928"/>
    </row>
    <row r="301" spans="11:45">
      <c r="K301" s="957"/>
      <c r="L301" s="928"/>
      <c r="M301" s="928"/>
      <c r="N301" s="960"/>
      <c r="O301" s="960"/>
      <c r="P301" s="960"/>
      <c r="Q301" s="960"/>
      <c r="R301" s="960"/>
      <c r="S301" s="960"/>
      <c r="T301" s="960"/>
      <c r="U301" s="960"/>
      <c r="V301" s="960"/>
      <c r="W301" s="960"/>
      <c r="X301" s="960"/>
      <c r="Y301" s="960"/>
      <c r="Z301" s="960"/>
      <c r="AA301" s="960"/>
      <c r="AB301" s="928"/>
      <c r="AC301" s="928"/>
      <c r="AD301" s="928"/>
      <c r="AE301" s="928"/>
      <c r="AF301" s="928"/>
      <c r="AG301" s="928"/>
      <c r="AH301" s="928"/>
      <c r="AI301" s="928"/>
      <c r="AJ301" s="928"/>
      <c r="AK301" s="928"/>
      <c r="AL301" s="928"/>
      <c r="AM301" s="928"/>
      <c r="AN301" s="928"/>
      <c r="AO301" s="928"/>
      <c r="AP301" s="928"/>
      <c r="AQ301" s="928"/>
      <c r="AR301" s="928"/>
      <c r="AS301" s="928"/>
    </row>
    <row r="302" spans="11:45">
      <c r="K302" s="957"/>
      <c r="L302" s="928"/>
      <c r="M302" s="928"/>
      <c r="N302" s="960"/>
      <c r="O302" s="960"/>
      <c r="P302" s="960"/>
      <c r="Q302" s="960"/>
      <c r="R302" s="960"/>
      <c r="S302" s="960"/>
      <c r="T302" s="960"/>
      <c r="U302" s="960"/>
      <c r="V302" s="960"/>
      <c r="W302" s="960"/>
      <c r="X302" s="960"/>
      <c r="Y302" s="960"/>
      <c r="Z302" s="960"/>
      <c r="AA302" s="960"/>
      <c r="AB302" s="928"/>
      <c r="AC302" s="928"/>
      <c r="AD302" s="928"/>
      <c r="AE302" s="928"/>
      <c r="AF302" s="928"/>
      <c r="AG302" s="928"/>
      <c r="AH302" s="928"/>
      <c r="AI302" s="928"/>
      <c r="AJ302" s="928"/>
      <c r="AK302" s="928"/>
      <c r="AL302" s="928"/>
      <c r="AM302" s="928"/>
      <c r="AN302" s="928"/>
      <c r="AO302" s="928"/>
      <c r="AP302" s="928"/>
      <c r="AQ302" s="928"/>
      <c r="AR302" s="928"/>
      <c r="AS302" s="928"/>
    </row>
    <row r="303" spans="11:45">
      <c r="K303" s="957"/>
      <c r="L303" s="928"/>
      <c r="M303" s="928"/>
      <c r="N303" s="960"/>
      <c r="O303" s="960"/>
      <c r="P303" s="960"/>
      <c r="Q303" s="960"/>
      <c r="R303" s="960"/>
      <c r="S303" s="960"/>
      <c r="T303" s="960"/>
      <c r="U303" s="960"/>
      <c r="V303" s="960"/>
      <c r="W303" s="960"/>
      <c r="X303" s="960"/>
      <c r="Y303" s="960"/>
      <c r="Z303" s="960"/>
      <c r="AA303" s="960"/>
      <c r="AB303" s="928"/>
      <c r="AC303" s="928"/>
      <c r="AD303" s="928"/>
      <c r="AE303" s="928"/>
      <c r="AF303" s="928"/>
      <c r="AG303" s="928"/>
      <c r="AH303" s="928"/>
      <c r="AI303" s="928"/>
      <c r="AJ303" s="928"/>
      <c r="AK303" s="928"/>
      <c r="AL303" s="928"/>
      <c r="AM303" s="928"/>
      <c r="AN303" s="928"/>
      <c r="AO303" s="928"/>
      <c r="AP303" s="928"/>
      <c r="AQ303" s="928"/>
      <c r="AR303" s="928"/>
      <c r="AS303" s="928"/>
    </row>
    <row r="304" spans="11:45">
      <c r="K304" s="957"/>
      <c r="L304" s="928"/>
      <c r="M304" s="928"/>
      <c r="N304" s="960"/>
      <c r="O304" s="960"/>
      <c r="P304" s="960"/>
      <c r="Q304" s="960"/>
      <c r="R304" s="960"/>
      <c r="S304" s="960"/>
      <c r="T304" s="960"/>
      <c r="U304" s="960"/>
      <c r="V304" s="960"/>
      <c r="W304" s="960"/>
      <c r="X304" s="960"/>
      <c r="Y304" s="960"/>
      <c r="Z304" s="960"/>
      <c r="AA304" s="960"/>
      <c r="AB304" s="928"/>
      <c r="AC304" s="928"/>
      <c r="AD304" s="928"/>
      <c r="AE304" s="928"/>
      <c r="AF304" s="928"/>
      <c r="AG304" s="928"/>
      <c r="AH304" s="928"/>
      <c r="AI304" s="928"/>
      <c r="AJ304" s="928"/>
      <c r="AK304" s="928"/>
      <c r="AL304" s="928"/>
      <c r="AM304" s="928"/>
      <c r="AN304" s="928"/>
      <c r="AO304" s="928"/>
      <c r="AP304" s="928"/>
      <c r="AQ304" s="928"/>
      <c r="AR304" s="928"/>
      <c r="AS304" s="928"/>
    </row>
    <row r="305" spans="11:45">
      <c r="K305" s="957"/>
      <c r="L305" s="928"/>
      <c r="M305" s="928"/>
      <c r="N305" s="960"/>
      <c r="O305" s="960"/>
      <c r="P305" s="960"/>
      <c r="Q305" s="960"/>
      <c r="R305" s="960"/>
      <c r="S305" s="960"/>
      <c r="T305" s="960"/>
      <c r="U305" s="960"/>
      <c r="V305" s="960"/>
      <c r="W305" s="960"/>
      <c r="X305" s="960"/>
      <c r="Y305" s="960"/>
      <c r="Z305" s="960"/>
      <c r="AA305" s="960"/>
      <c r="AB305" s="928"/>
      <c r="AC305" s="928"/>
      <c r="AD305" s="928"/>
      <c r="AE305" s="928"/>
      <c r="AF305" s="928"/>
      <c r="AG305" s="928"/>
      <c r="AH305" s="928"/>
      <c r="AI305" s="928"/>
      <c r="AJ305" s="928"/>
      <c r="AK305" s="928"/>
      <c r="AL305" s="928"/>
      <c r="AM305" s="928"/>
      <c r="AN305" s="928"/>
      <c r="AO305" s="928"/>
      <c r="AP305" s="928"/>
      <c r="AQ305" s="928"/>
      <c r="AR305" s="928"/>
      <c r="AS305" s="928"/>
    </row>
    <row r="306" spans="11:45">
      <c r="K306" s="957"/>
      <c r="L306" s="928"/>
      <c r="M306" s="928"/>
      <c r="N306" s="960"/>
      <c r="O306" s="960"/>
      <c r="P306" s="960"/>
      <c r="Q306" s="960"/>
      <c r="R306" s="960"/>
      <c r="S306" s="960"/>
      <c r="T306" s="960"/>
      <c r="U306" s="960"/>
      <c r="V306" s="960"/>
      <c r="W306" s="960"/>
      <c r="X306" s="960"/>
      <c r="Y306" s="960"/>
      <c r="Z306" s="960"/>
      <c r="AA306" s="960"/>
      <c r="AB306" s="928"/>
      <c r="AC306" s="928"/>
      <c r="AD306" s="928"/>
      <c r="AE306" s="928"/>
      <c r="AF306" s="928"/>
      <c r="AG306" s="928"/>
      <c r="AH306" s="928"/>
      <c r="AI306" s="928"/>
      <c r="AJ306" s="928"/>
      <c r="AK306" s="928"/>
      <c r="AL306" s="928"/>
      <c r="AM306" s="928"/>
      <c r="AN306" s="928"/>
      <c r="AO306" s="928"/>
      <c r="AP306" s="928"/>
      <c r="AQ306" s="928"/>
      <c r="AR306" s="928"/>
      <c r="AS306" s="928"/>
    </row>
    <row r="307" spans="11:45">
      <c r="K307" s="957"/>
      <c r="L307" s="928"/>
      <c r="M307" s="928"/>
      <c r="N307" s="960"/>
      <c r="O307" s="960"/>
      <c r="P307" s="960"/>
      <c r="Q307" s="960"/>
      <c r="R307" s="960"/>
      <c r="S307" s="960"/>
      <c r="T307" s="960"/>
      <c r="U307" s="960"/>
      <c r="V307" s="960"/>
      <c r="W307" s="960"/>
      <c r="X307" s="960"/>
      <c r="Y307" s="960"/>
      <c r="Z307" s="960"/>
      <c r="AA307" s="960"/>
      <c r="AB307" s="928"/>
      <c r="AC307" s="928"/>
      <c r="AD307" s="928"/>
      <c r="AE307" s="928"/>
      <c r="AF307" s="928"/>
      <c r="AG307" s="928"/>
      <c r="AH307" s="928"/>
      <c r="AI307" s="928"/>
      <c r="AJ307" s="928"/>
      <c r="AK307" s="928"/>
      <c r="AL307" s="928"/>
      <c r="AM307" s="928"/>
      <c r="AN307" s="928"/>
      <c r="AO307" s="928"/>
      <c r="AP307" s="928"/>
      <c r="AQ307" s="928"/>
      <c r="AR307" s="928"/>
      <c r="AS307" s="928"/>
    </row>
    <row r="308" spans="11:45">
      <c r="K308" s="957"/>
      <c r="L308" s="928"/>
      <c r="M308" s="928"/>
      <c r="N308" s="960"/>
      <c r="O308" s="960"/>
      <c r="P308" s="960"/>
      <c r="Q308" s="960"/>
      <c r="R308" s="960"/>
      <c r="W308" s="960"/>
      <c r="X308" s="960"/>
      <c r="Y308" s="960"/>
      <c r="Z308" s="960"/>
      <c r="AA308" s="960"/>
      <c r="AB308" s="928"/>
      <c r="AC308" s="928"/>
      <c r="AD308" s="928"/>
      <c r="AE308" s="928"/>
      <c r="AF308" s="928"/>
      <c r="AG308" s="928"/>
      <c r="AH308" s="928"/>
      <c r="AI308" s="928"/>
      <c r="AJ308" s="928"/>
      <c r="AK308" s="928"/>
      <c r="AL308" s="928"/>
      <c r="AM308" s="928"/>
      <c r="AN308" s="928"/>
      <c r="AO308" s="928"/>
      <c r="AP308" s="928"/>
      <c r="AQ308" s="928"/>
      <c r="AR308" s="928"/>
      <c r="AS308" s="928"/>
    </row>
    <row r="309" spans="11:45">
      <c r="K309" s="957"/>
      <c r="L309" s="928"/>
      <c r="M309" s="928"/>
      <c r="N309" s="960"/>
      <c r="O309" s="960"/>
      <c r="P309" s="960"/>
      <c r="Q309" s="960"/>
      <c r="R309" s="960"/>
      <c r="W309" s="960"/>
      <c r="X309" s="960"/>
      <c r="Y309" s="960"/>
      <c r="Z309" s="960"/>
      <c r="AA309" s="960"/>
      <c r="AB309" s="928"/>
      <c r="AC309" s="928"/>
      <c r="AD309" s="928"/>
      <c r="AE309" s="928"/>
      <c r="AF309" s="928"/>
      <c r="AG309" s="928"/>
      <c r="AH309" s="928"/>
      <c r="AI309" s="928"/>
      <c r="AJ309" s="928"/>
      <c r="AK309" s="928"/>
      <c r="AL309" s="928"/>
      <c r="AM309" s="928"/>
      <c r="AN309" s="928"/>
      <c r="AO309" s="928"/>
      <c r="AP309" s="928"/>
      <c r="AQ309" s="928"/>
      <c r="AR309" s="928"/>
      <c r="AS309" s="928"/>
    </row>
    <row r="310" spans="11:45">
      <c r="K310" s="957"/>
      <c r="L310" s="928"/>
      <c r="M310" s="928"/>
      <c r="N310" s="960"/>
      <c r="O310" s="960"/>
      <c r="P310" s="960"/>
      <c r="Q310" s="960"/>
      <c r="R310" s="960"/>
      <c r="W310" s="960"/>
      <c r="X310" s="960"/>
      <c r="Y310" s="960"/>
      <c r="Z310" s="960"/>
      <c r="AA310" s="960"/>
      <c r="AB310" s="928"/>
      <c r="AC310" s="928"/>
      <c r="AD310" s="928"/>
      <c r="AE310" s="928"/>
      <c r="AF310" s="928"/>
      <c r="AG310" s="928"/>
      <c r="AH310" s="928"/>
      <c r="AI310" s="928"/>
      <c r="AJ310" s="928"/>
      <c r="AK310" s="928"/>
      <c r="AL310" s="928"/>
      <c r="AM310" s="928"/>
      <c r="AN310" s="928"/>
      <c r="AO310" s="928"/>
      <c r="AP310" s="928"/>
      <c r="AQ310" s="928"/>
      <c r="AR310" s="928"/>
      <c r="AS310" s="928"/>
    </row>
    <row r="311" spans="11:45">
      <c r="K311" s="957"/>
      <c r="L311" s="928"/>
      <c r="M311" s="928"/>
      <c r="N311" s="960"/>
      <c r="O311" s="960"/>
      <c r="P311" s="960"/>
      <c r="Q311" s="960"/>
      <c r="R311" s="960"/>
      <c r="W311" s="960"/>
      <c r="X311" s="960"/>
      <c r="Y311" s="960"/>
      <c r="Z311" s="960"/>
      <c r="AA311" s="960"/>
      <c r="AB311" s="928"/>
      <c r="AC311" s="928"/>
      <c r="AD311" s="928"/>
      <c r="AE311" s="928"/>
      <c r="AF311" s="928"/>
      <c r="AG311" s="928"/>
      <c r="AH311" s="928"/>
      <c r="AI311" s="928"/>
      <c r="AJ311" s="928"/>
      <c r="AK311" s="928"/>
      <c r="AL311" s="928"/>
      <c r="AM311" s="928"/>
      <c r="AN311" s="928"/>
      <c r="AO311" s="928"/>
      <c r="AP311" s="928"/>
      <c r="AQ311" s="928"/>
      <c r="AR311" s="928"/>
      <c r="AS311" s="928"/>
    </row>
  </sheetData>
  <sheetProtection sheet="1" objects="1" scenarios="1"/>
  <mergeCells count="80">
    <mergeCell ref="B25:M25"/>
    <mergeCell ref="A27:C27"/>
    <mergeCell ref="E27:H27"/>
    <mergeCell ref="L27:M27"/>
    <mergeCell ref="A28:C28"/>
    <mergeCell ref="E28:H28"/>
    <mergeCell ref="L28:M28"/>
    <mergeCell ref="L22:M23"/>
    <mergeCell ref="A20:A21"/>
    <mergeCell ref="B20:B21"/>
    <mergeCell ref="C20:C21"/>
    <mergeCell ref="J20:J21"/>
    <mergeCell ref="K20:K21"/>
    <mergeCell ref="L20:M21"/>
    <mergeCell ref="A22:A23"/>
    <mergeCell ref="B22:B23"/>
    <mergeCell ref="C22:C23"/>
    <mergeCell ref="J22:J23"/>
    <mergeCell ref="K22:K23"/>
    <mergeCell ref="L18:M19"/>
    <mergeCell ref="A16:A17"/>
    <mergeCell ref="B16:B17"/>
    <mergeCell ref="C16:C17"/>
    <mergeCell ref="J16:J17"/>
    <mergeCell ref="K16:K17"/>
    <mergeCell ref="L16:M17"/>
    <mergeCell ref="A18:A19"/>
    <mergeCell ref="B18:B19"/>
    <mergeCell ref="C18:C19"/>
    <mergeCell ref="J18:J19"/>
    <mergeCell ref="K18:K19"/>
    <mergeCell ref="L14:M15"/>
    <mergeCell ref="A12:A13"/>
    <mergeCell ref="B12:B13"/>
    <mergeCell ref="C12:C13"/>
    <mergeCell ref="J12:J13"/>
    <mergeCell ref="K12:K13"/>
    <mergeCell ref="L12:M13"/>
    <mergeCell ref="A14:A15"/>
    <mergeCell ref="B14:B15"/>
    <mergeCell ref="C14:C15"/>
    <mergeCell ref="J14:J15"/>
    <mergeCell ref="K14:K15"/>
    <mergeCell ref="I8:I9"/>
    <mergeCell ref="J8:M8"/>
    <mergeCell ref="L9:M9"/>
    <mergeCell ref="A10:A11"/>
    <mergeCell ref="B10:B11"/>
    <mergeCell ref="C10:C11"/>
    <mergeCell ref="J10:J11"/>
    <mergeCell ref="K10:K11"/>
    <mergeCell ref="L10:M11"/>
    <mergeCell ref="A8:A9"/>
    <mergeCell ref="B8:B9"/>
    <mergeCell ref="C8:C9"/>
    <mergeCell ref="D8:E9"/>
    <mergeCell ref="F8:G9"/>
    <mergeCell ref="H8:H9"/>
    <mergeCell ref="A6:C6"/>
    <mergeCell ref="D6:G6"/>
    <mergeCell ref="H6:I6"/>
    <mergeCell ref="K6:M6"/>
    <mergeCell ref="A7:B7"/>
    <mergeCell ref="C7:D7"/>
    <mergeCell ref="E7:H7"/>
    <mergeCell ref="I7:J7"/>
    <mergeCell ref="K7:M7"/>
    <mergeCell ref="D4:E4"/>
    <mergeCell ref="I4:J4"/>
    <mergeCell ref="K4:L4"/>
    <mergeCell ref="B5:D5"/>
    <mergeCell ref="E5:G5"/>
    <mergeCell ref="H5:J5"/>
    <mergeCell ref="K5:L5"/>
    <mergeCell ref="C1:H1"/>
    <mergeCell ref="J1:K1"/>
    <mergeCell ref="L1:M1"/>
    <mergeCell ref="B2:G2"/>
    <mergeCell ref="H2:I2"/>
    <mergeCell ref="J2:M2"/>
  </mergeCells>
  <dataValidations count="11">
    <dataValidation type="list" allowBlank="1" showInputMessage="1" showErrorMessage="1" sqref="B24">
      <formula1>#REF!</formula1>
    </dataValidation>
    <dataValidation type="list" allowBlank="1" sqref="F10:F23 D10:D23">
      <formula1>Hue</formula1>
    </dataValidation>
    <dataValidation type="list" allowBlank="1" sqref="E10:E23 G10:G23">
      <formula1>ValueChroma</formula1>
    </dataValidation>
    <dataValidation type="list" allowBlank="1" sqref="J22 J18 J10 J12 J14 J16 J20">
      <formula1>StructureShape</formula1>
    </dataValidation>
    <dataValidation type="list" allowBlank="1" sqref="K22 K18 K10 K12 K14 K16 K20">
      <formula1>StructureGrade</formula1>
    </dataValidation>
    <dataValidation type="list" allowBlank="1" sqref="L22 L10 L12 L14 L16 L18 L20">
      <formula1>StructureConsistence</formula1>
    </dataValidation>
    <dataValidation type="list" allowBlank="1" sqref="C22 C18 C10 C12 C14 C16 C20">
      <formula1>CoarseFragments</formula1>
    </dataValidation>
    <dataValidation type="list" allowBlank="1" sqref="B22 B18 B10 B12 B14 B16 B20">
      <formula1>SoilTexture7080</formula1>
    </dataValidation>
    <dataValidation type="list" allowBlank="1" sqref="I4">
      <formula1>SlopeShape</formula1>
    </dataValidation>
    <dataValidation type="list" errorStyle="information" allowBlank="1" showInputMessage="1" showErrorMessage="1" errorTitle="Slope" error="Check slope value" prompt="Land Slope" sqref="G4">
      <formula1>Slope</formula1>
    </dataValidation>
    <dataValidation type="list" errorStyle="information" allowBlank="1" showInputMessage="1" showErrorMessage="1" error="Check type before proceeding" sqref="K7:M7">
      <formula1>ObservationType</formula1>
    </dataValidation>
  </dataValidations>
  <printOptions horizontalCentered="1" verticalCentered="1"/>
  <pageMargins left="0.25" right="0.25" top="0.25" bottom="0.25" header="0" footer="0"/>
  <pageSetup fitToHeight="0" orientation="landscape"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3942401" r:id="rId4" name="Check Box 1">
              <controlPr defaultSize="0" autoFill="0" autoLine="0" autoPict="0">
                <anchor moveWithCells="1" sizeWithCells="1">
                  <from>
                    <xdr:col>4</xdr:col>
                    <xdr:colOff>312420</xdr:colOff>
                    <xdr:row>2</xdr:row>
                    <xdr:rowOff>45720</xdr:rowOff>
                  </from>
                  <to>
                    <xdr:col>6</xdr:col>
                    <xdr:colOff>304800</xdr:colOff>
                    <xdr:row>2</xdr:row>
                    <xdr:rowOff>259080</xdr:rowOff>
                  </to>
                </anchor>
              </controlPr>
            </control>
          </mc:Choice>
        </mc:AlternateContent>
        <mc:AlternateContent xmlns:mc="http://schemas.openxmlformats.org/markup-compatibility/2006">
          <mc:Choice Requires="x14">
            <control shapeId="3942402" r:id="rId5" name="Check Box 2">
              <controlPr defaultSize="0" autoFill="0" autoLine="0" autoPict="0">
                <anchor moveWithCells="1" sizeWithCells="1">
                  <from>
                    <xdr:col>5</xdr:col>
                    <xdr:colOff>419100</xdr:colOff>
                    <xdr:row>2</xdr:row>
                    <xdr:rowOff>45720</xdr:rowOff>
                  </from>
                  <to>
                    <xdr:col>7</xdr:col>
                    <xdr:colOff>411480</xdr:colOff>
                    <xdr:row>2</xdr:row>
                    <xdr:rowOff>259080</xdr:rowOff>
                  </to>
                </anchor>
              </controlPr>
            </control>
          </mc:Choice>
        </mc:AlternateContent>
        <mc:AlternateContent xmlns:mc="http://schemas.openxmlformats.org/markup-compatibility/2006">
          <mc:Choice Requires="x14">
            <control shapeId="3942403" r:id="rId6" name="Check Box 3">
              <controlPr defaultSize="0" autoFill="0" autoLine="0" autoPict="0">
                <anchor moveWithCells="1" sizeWithCells="1">
                  <from>
                    <xdr:col>7</xdr:col>
                    <xdr:colOff>182880</xdr:colOff>
                    <xdr:row>2</xdr:row>
                    <xdr:rowOff>45720</xdr:rowOff>
                  </from>
                  <to>
                    <xdr:col>8</xdr:col>
                    <xdr:colOff>220980</xdr:colOff>
                    <xdr:row>2</xdr:row>
                    <xdr:rowOff>259080</xdr:rowOff>
                  </to>
                </anchor>
              </controlPr>
            </control>
          </mc:Choice>
        </mc:AlternateContent>
        <mc:AlternateContent xmlns:mc="http://schemas.openxmlformats.org/markup-compatibility/2006">
          <mc:Choice Requires="x14">
            <control shapeId="3942404" r:id="rId7" name="Check Box 4">
              <controlPr defaultSize="0" autoFill="0" autoLine="0" autoPict="0">
                <anchor moveWithCells="1" sizeWithCells="1">
                  <from>
                    <xdr:col>7</xdr:col>
                    <xdr:colOff>731520</xdr:colOff>
                    <xdr:row>2</xdr:row>
                    <xdr:rowOff>45720</xdr:rowOff>
                  </from>
                  <to>
                    <xdr:col>9</xdr:col>
                    <xdr:colOff>45720</xdr:colOff>
                    <xdr:row>2</xdr:row>
                    <xdr:rowOff>259080</xdr:rowOff>
                  </to>
                </anchor>
              </controlPr>
            </control>
          </mc:Choice>
        </mc:AlternateContent>
        <mc:AlternateContent xmlns:mc="http://schemas.openxmlformats.org/markup-compatibility/2006">
          <mc:Choice Requires="x14">
            <control shapeId="3942405" r:id="rId8" name="Check Box 5">
              <controlPr defaultSize="0" autoFill="0" autoLine="0" autoPict="0">
                <anchor moveWithCells="1" sizeWithCells="1">
                  <from>
                    <xdr:col>8</xdr:col>
                    <xdr:colOff>350520</xdr:colOff>
                    <xdr:row>2</xdr:row>
                    <xdr:rowOff>45720</xdr:rowOff>
                  </from>
                  <to>
                    <xdr:col>9</xdr:col>
                    <xdr:colOff>609600</xdr:colOff>
                    <xdr:row>2</xdr:row>
                    <xdr:rowOff>259080</xdr:rowOff>
                  </to>
                </anchor>
              </controlPr>
            </control>
          </mc:Choice>
        </mc:AlternateContent>
        <mc:AlternateContent xmlns:mc="http://schemas.openxmlformats.org/markup-compatibility/2006">
          <mc:Choice Requires="x14">
            <control shapeId="3942406" r:id="rId9" name="Check Box 6">
              <controlPr defaultSize="0" autoFill="0" autoLine="0" autoPict="0">
                <anchor moveWithCells="1" sizeWithCells="1">
                  <from>
                    <xdr:col>9</xdr:col>
                    <xdr:colOff>388620</xdr:colOff>
                    <xdr:row>2</xdr:row>
                    <xdr:rowOff>45720</xdr:rowOff>
                  </from>
                  <to>
                    <xdr:col>10</xdr:col>
                    <xdr:colOff>617220</xdr:colOff>
                    <xdr:row>2</xdr:row>
                    <xdr:rowOff>259080</xdr:rowOff>
                  </to>
                </anchor>
              </controlPr>
            </control>
          </mc:Choice>
        </mc:AlternateContent>
        <mc:AlternateContent xmlns:mc="http://schemas.openxmlformats.org/markup-compatibility/2006">
          <mc:Choice Requires="x14">
            <control shapeId="3942407" r:id="rId10" name="Check Box 7">
              <controlPr defaultSize="0" autoFill="0" autoLine="0" autoPict="0">
                <anchor moveWithCells="1" sizeWithCells="1">
                  <from>
                    <xdr:col>10</xdr:col>
                    <xdr:colOff>426720</xdr:colOff>
                    <xdr:row>2</xdr:row>
                    <xdr:rowOff>45720</xdr:rowOff>
                  </from>
                  <to>
                    <xdr:col>11</xdr:col>
                    <xdr:colOff>541020</xdr:colOff>
                    <xdr:row>2</xdr:row>
                    <xdr:rowOff>259080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x14:formula1>
            <xm:f>'Drop-Down Lists'!$I$40:$I$44</xm:f>
          </x14:formula1>
          <xm:sqref>D4:E4</xm:sqref>
        </x14:dataValidation>
        <x14:dataValidation type="list" allowBlank="1" showInputMessage="1">
          <x14:formula1>
            <xm:f>'Drop-Down Lists'!$D$63:$D$68</xm:f>
          </x14:formula1>
          <xm:sqref>B5:D5</xm:sqref>
        </x14:dataValidation>
        <x14:dataValidation type="list" allowBlank="1">
          <x14:formula1>
            <xm:f>'Drop-Down Lists'!$C$13:$C$20</xm:f>
          </x14:formula1>
          <xm:sqref>H10:H23</xm:sqref>
        </x14:dataValidation>
        <x14:dataValidation type="list" allowBlank="1" showInputMessage="1">
          <x14:formula1>
            <xm:f>'Drop-Down Lists'!$F$2:$F$34</xm:f>
          </x14:formula1>
          <xm:sqref>I10:I23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pageSetUpPr fitToPage="1"/>
  </sheetPr>
  <dimension ref="A1:AS311"/>
  <sheetViews>
    <sheetView view="pageBreakPreview" zoomScaleNormal="100" zoomScaleSheetLayoutView="100" workbookViewId="0">
      <selection activeCell="D4" sqref="D4:E4"/>
    </sheetView>
  </sheetViews>
  <sheetFormatPr defaultColWidth="9.109375" defaultRowHeight="14.4"/>
  <cols>
    <col min="1" max="1" width="10.44140625" style="929" customWidth="1"/>
    <col min="2" max="2" width="11.44140625" style="929" customWidth="1"/>
    <col min="3" max="3" width="7.88671875" style="929" customWidth="1"/>
    <col min="4" max="7" width="7.44140625" style="929" customWidth="1"/>
    <col min="8" max="8" width="14.44140625" style="929" customWidth="1"/>
    <col min="9" max="9" width="11.109375" style="929" customWidth="1"/>
    <col min="10" max="10" width="11.44140625" style="929" customWidth="1"/>
    <col min="11" max="11" width="13.44140625" style="929" customWidth="1"/>
    <col min="12" max="13" width="9.109375" style="929"/>
    <col min="14" max="14" width="13.109375" style="969" customWidth="1"/>
    <col min="15" max="15" width="7.88671875" style="969" customWidth="1"/>
    <col min="16" max="27" width="9.109375" style="969"/>
    <col min="28" max="16384" width="9.109375" style="929"/>
  </cols>
  <sheetData>
    <row r="1" spans="1:45" ht="45.75" customHeight="1" thickBot="1">
      <c r="A1" s="923"/>
      <c r="B1" s="924"/>
      <c r="C1" s="2844" t="s">
        <v>1746</v>
      </c>
      <c r="D1" s="2844"/>
      <c r="E1" s="2844"/>
      <c r="F1" s="2844"/>
      <c r="G1" s="2844"/>
      <c r="H1" s="2844"/>
      <c r="I1" s="2050" t="s">
        <v>1015</v>
      </c>
      <c r="J1" s="2845" t="str">
        <f>IF(ISBLANK(Prelim!S5)," ",Prelim!S5)</f>
        <v xml:space="preserve"> </v>
      </c>
      <c r="K1" s="2845"/>
      <c r="L1" s="2845" t="str">
        <f>'Drop-Down Lists'!J40</f>
        <v>v 04.01.2021</v>
      </c>
      <c r="M1" s="2845"/>
      <c r="N1" s="926"/>
      <c r="O1" s="926"/>
      <c r="P1" s="926"/>
      <c r="Q1" s="926"/>
      <c r="R1" s="926"/>
      <c r="S1" s="926"/>
      <c r="T1" s="926"/>
      <c r="U1" s="926"/>
      <c r="V1" s="926"/>
      <c r="W1" s="926"/>
      <c r="X1" s="926"/>
      <c r="Y1" s="926"/>
      <c r="Z1" s="926"/>
      <c r="AA1" s="926"/>
      <c r="AB1" s="927"/>
      <c r="AC1" s="928"/>
      <c r="AD1" s="928"/>
      <c r="AE1" s="928"/>
      <c r="AF1" s="928"/>
      <c r="AG1" s="928"/>
      <c r="AH1" s="928"/>
      <c r="AI1" s="928"/>
      <c r="AJ1" s="928"/>
      <c r="AK1" s="928"/>
      <c r="AL1" s="928"/>
      <c r="AM1" s="928"/>
      <c r="AN1" s="928"/>
      <c r="AO1" s="928"/>
      <c r="AP1" s="928"/>
      <c r="AQ1" s="928"/>
      <c r="AR1" s="928"/>
      <c r="AS1" s="928"/>
    </row>
    <row r="2" spans="1:45" ht="21.9" customHeight="1">
      <c r="A2" s="2160" t="s">
        <v>1774</v>
      </c>
      <c r="B2" s="2846" t="str">
        <f>IF(ISBLANK(Prelim!G3),"  ", Prelim!G3)</f>
        <v xml:space="preserve">  </v>
      </c>
      <c r="C2" s="2846"/>
      <c r="D2" s="2846"/>
      <c r="E2" s="2846"/>
      <c r="F2" s="2846"/>
      <c r="G2" s="2847"/>
      <c r="H2" s="2848" t="s">
        <v>1775</v>
      </c>
      <c r="I2" s="2849"/>
      <c r="J2" s="2850" t="str">
        <f>IF(ISBLANK(Prelim!G5), " ", Prelim!G5)</f>
        <v xml:space="preserve"> </v>
      </c>
      <c r="K2" s="2850"/>
      <c r="L2" s="2850"/>
      <c r="M2" s="2851"/>
      <c r="N2" s="926"/>
      <c r="O2" s="930"/>
      <c r="P2" s="930"/>
      <c r="Q2" s="930"/>
      <c r="R2" s="930"/>
      <c r="S2" s="930"/>
      <c r="T2" s="930"/>
      <c r="U2" s="930"/>
      <c r="V2" s="930"/>
      <c r="W2" s="930"/>
      <c r="X2" s="930"/>
      <c r="Y2" s="930"/>
      <c r="Z2" s="930"/>
      <c r="AA2" s="926"/>
      <c r="AB2" s="927"/>
      <c r="AC2" s="928"/>
      <c r="AD2" s="928"/>
      <c r="AE2" s="928"/>
      <c r="AF2" s="928"/>
      <c r="AG2" s="928"/>
      <c r="AH2" s="928"/>
      <c r="AI2" s="928"/>
      <c r="AJ2" s="928"/>
      <c r="AK2" s="928"/>
      <c r="AL2" s="928"/>
      <c r="AM2" s="928"/>
      <c r="AN2" s="928"/>
      <c r="AO2" s="928"/>
      <c r="AP2" s="928"/>
      <c r="AQ2" s="928"/>
      <c r="AR2" s="928"/>
      <c r="AS2" s="928"/>
    </row>
    <row r="3" spans="1:45" ht="21.9" customHeight="1">
      <c r="A3" s="2051" t="s">
        <v>1139</v>
      </c>
      <c r="B3" s="925"/>
      <c r="C3" s="925"/>
      <c r="D3" s="925"/>
      <c r="E3" s="925"/>
      <c r="F3" s="925"/>
      <c r="G3" s="925"/>
      <c r="H3" s="925"/>
      <c r="I3" s="925"/>
      <c r="J3" s="925"/>
      <c r="K3" s="925"/>
      <c r="L3" s="925"/>
      <c r="M3" s="2052"/>
      <c r="N3" s="926"/>
      <c r="O3" s="930"/>
      <c r="P3" s="930"/>
      <c r="Q3" s="930"/>
      <c r="R3" s="930"/>
      <c r="S3" s="930"/>
      <c r="T3" s="930"/>
      <c r="U3" s="930"/>
      <c r="V3" s="930"/>
      <c r="W3" s="930"/>
      <c r="X3" s="930"/>
      <c r="Y3" s="930"/>
      <c r="Z3" s="930"/>
      <c r="AA3" s="926"/>
      <c r="AB3" s="927"/>
      <c r="AC3" s="928"/>
      <c r="AD3" s="928"/>
      <c r="AE3" s="928"/>
      <c r="AF3" s="928"/>
      <c r="AG3" s="928"/>
      <c r="AH3" s="928"/>
      <c r="AI3" s="928"/>
      <c r="AJ3" s="928"/>
      <c r="AK3" s="928"/>
      <c r="AL3" s="928"/>
      <c r="AM3" s="928"/>
      <c r="AN3" s="928"/>
      <c r="AO3" s="928"/>
      <c r="AP3" s="928"/>
      <c r="AQ3" s="928"/>
      <c r="AR3" s="928"/>
      <c r="AS3" s="928"/>
    </row>
    <row r="4" spans="1:45" ht="24" customHeight="1">
      <c r="A4" s="931" t="s">
        <v>1921</v>
      </c>
      <c r="B4" s="932"/>
      <c r="C4" s="932"/>
      <c r="D4" s="2852"/>
      <c r="E4" s="2853"/>
      <c r="F4" s="2053" t="s">
        <v>1590</v>
      </c>
      <c r="G4" s="2054"/>
      <c r="H4" s="2053" t="s">
        <v>1140</v>
      </c>
      <c r="I4" s="2854"/>
      <c r="J4" s="2855"/>
      <c r="K4" s="2856" t="s">
        <v>1922</v>
      </c>
      <c r="L4" s="2857"/>
      <c r="M4" s="2262"/>
      <c r="N4" s="926"/>
      <c r="O4" s="930"/>
      <c r="P4" s="930"/>
      <c r="Q4" s="933"/>
      <c r="R4" s="933"/>
      <c r="S4" s="933"/>
      <c r="T4" s="933"/>
      <c r="U4" s="930"/>
      <c r="V4" s="930"/>
      <c r="W4" s="930"/>
      <c r="X4" s="930"/>
      <c r="Y4" s="930"/>
      <c r="Z4" s="930"/>
      <c r="AA4" s="926"/>
      <c r="AB4" s="927"/>
      <c r="AC4" s="928"/>
      <c r="AD4" s="928"/>
      <c r="AE4" s="928"/>
      <c r="AF4" s="928"/>
      <c r="AG4" s="928"/>
      <c r="AH4" s="928"/>
      <c r="AI4" s="928"/>
      <c r="AJ4" s="928"/>
      <c r="AK4" s="928"/>
      <c r="AL4" s="928"/>
      <c r="AM4" s="928"/>
      <c r="AN4" s="928"/>
      <c r="AO4" s="928"/>
      <c r="AP4" s="928"/>
      <c r="AQ4" s="928"/>
      <c r="AR4" s="928"/>
      <c r="AS4" s="928"/>
    </row>
    <row r="5" spans="1:45" ht="21.9" customHeight="1">
      <c r="A5" s="2257" t="s">
        <v>1589</v>
      </c>
      <c r="B5" s="2854"/>
      <c r="C5" s="2854"/>
      <c r="D5" s="2855"/>
      <c r="E5" s="2858" t="s">
        <v>1588</v>
      </c>
      <c r="F5" s="2859"/>
      <c r="G5" s="2859"/>
      <c r="H5" s="2854"/>
      <c r="I5" s="2854"/>
      <c r="J5" s="2855"/>
      <c r="K5" s="2860" t="s">
        <v>1925</v>
      </c>
      <c r="L5" s="2861"/>
      <c r="M5" s="2239"/>
      <c r="N5" s="926"/>
      <c r="O5" s="933"/>
      <c r="P5" s="930"/>
      <c r="Q5" s="930"/>
      <c r="R5" s="930"/>
      <c r="S5" s="933"/>
      <c r="T5" s="933"/>
      <c r="U5" s="930"/>
      <c r="V5" s="930"/>
      <c r="W5" s="930"/>
      <c r="X5" s="930"/>
      <c r="Y5" s="930"/>
      <c r="Z5" s="930"/>
      <c r="AA5" s="926"/>
      <c r="AB5" s="927"/>
      <c r="AC5" s="928"/>
      <c r="AD5" s="928"/>
      <c r="AE5" s="928"/>
      <c r="AF5" s="928"/>
      <c r="AG5" s="928"/>
      <c r="AH5" s="928"/>
      <c r="AI5" s="928"/>
      <c r="AJ5" s="928"/>
      <c r="AK5" s="928"/>
      <c r="AL5" s="928"/>
      <c r="AM5" s="928"/>
      <c r="AN5" s="928"/>
      <c r="AO5" s="928"/>
      <c r="AP5" s="928"/>
      <c r="AQ5" s="928"/>
      <c r="AR5" s="928"/>
      <c r="AS5" s="928"/>
    </row>
    <row r="6" spans="1:45" ht="21.9" customHeight="1">
      <c r="A6" s="2862" t="s">
        <v>1141</v>
      </c>
      <c r="B6" s="2863"/>
      <c r="C6" s="2863"/>
      <c r="D6" s="2864"/>
      <c r="E6" s="2864"/>
      <c r="F6" s="2864"/>
      <c r="G6" s="2864"/>
      <c r="H6" s="2865"/>
      <c r="I6" s="2855"/>
      <c r="J6" s="2252" t="s">
        <v>1128</v>
      </c>
      <c r="K6" s="2866"/>
      <c r="L6" s="2866"/>
      <c r="M6" s="2867"/>
      <c r="N6" s="926"/>
      <c r="O6" s="1887"/>
      <c r="P6" s="1887"/>
      <c r="Q6" s="934"/>
      <c r="R6" s="934"/>
      <c r="S6" s="933"/>
      <c r="T6" s="933"/>
      <c r="U6" s="930"/>
      <c r="V6" s="930"/>
      <c r="W6" s="930"/>
      <c r="X6" s="930"/>
      <c r="Y6" s="930"/>
      <c r="Z6" s="930"/>
      <c r="AA6" s="926"/>
      <c r="AB6" s="927"/>
      <c r="AC6" s="928"/>
      <c r="AD6" s="928"/>
      <c r="AE6" s="928"/>
      <c r="AF6" s="928"/>
      <c r="AG6" s="928"/>
      <c r="AH6" s="928"/>
      <c r="AI6" s="928"/>
      <c r="AJ6" s="928"/>
      <c r="AK6" s="928"/>
      <c r="AL6" s="928"/>
      <c r="AM6" s="928"/>
      <c r="AN6" s="928"/>
      <c r="AO6" s="928"/>
      <c r="AP6" s="928"/>
      <c r="AQ6" s="928"/>
      <c r="AR6" s="928"/>
      <c r="AS6" s="928"/>
    </row>
    <row r="7" spans="1:45" ht="21.9" customHeight="1" thickBot="1">
      <c r="A7" s="2868" t="s">
        <v>1142</v>
      </c>
      <c r="B7" s="2869"/>
      <c r="C7" s="2870"/>
      <c r="D7" s="2870"/>
      <c r="E7" s="2870"/>
      <c r="F7" s="2870"/>
      <c r="G7" s="2870"/>
      <c r="H7" s="2870"/>
      <c r="I7" s="2871" t="s">
        <v>1143</v>
      </c>
      <c r="J7" s="2872"/>
      <c r="K7" s="2873"/>
      <c r="L7" s="2873"/>
      <c r="M7" s="2874"/>
      <c r="N7" s="930"/>
      <c r="O7" s="930"/>
      <c r="P7" s="930"/>
      <c r="Q7" s="930"/>
      <c r="R7" s="930"/>
      <c r="S7" s="930"/>
      <c r="T7" s="930"/>
      <c r="U7" s="930"/>
      <c r="V7" s="930"/>
      <c r="W7" s="930"/>
      <c r="X7" s="926"/>
      <c r="Y7" s="927"/>
      <c r="Z7" s="928"/>
      <c r="AA7" s="928"/>
      <c r="AB7" s="928"/>
      <c r="AC7" s="928"/>
      <c r="AD7" s="928"/>
      <c r="AE7" s="928"/>
      <c r="AF7" s="928"/>
      <c r="AG7" s="928"/>
      <c r="AH7" s="928"/>
      <c r="AI7" s="928"/>
      <c r="AJ7" s="928"/>
      <c r="AK7" s="928"/>
      <c r="AL7" s="928"/>
      <c r="AM7" s="928"/>
      <c r="AN7" s="928"/>
      <c r="AO7" s="928"/>
      <c r="AP7" s="928"/>
    </row>
    <row r="8" spans="1:45" ht="14.1" customHeight="1">
      <c r="A8" s="2892" t="s">
        <v>1144</v>
      </c>
      <c r="B8" s="2875" t="s">
        <v>669</v>
      </c>
      <c r="C8" s="2894" t="s">
        <v>1145</v>
      </c>
      <c r="D8" s="2896" t="s">
        <v>1146</v>
      </c>
      <c r="E8" s="2897"/>
      <c r="F8" s="2896" t="s">
        <v>1147</v>
      </c>
      <c r="G8" s="2900"/>
      <c r="H8" s="2875" t="s">
        <v>1148</v>
      </c>
      <c r="I8" s="2875" t="s">
        <v>1149</v>
      </c>
      <c r="J8" s="2877" t="s">
        <v>1150</v>
      </c>
      <c r="K8" s="2877"/>
      <c r="L8" s="2877"/>
      <c r="M8" s="2878"/>
      <c r="N8" s="926"/>
      <c r="O8" s="930"/>
      <c r="P8" s="930"/>
      <c r="Q8" s="930"/>
      <c r="R8" s="930"/>
      <c r="S8" s="930"/>
      <c r="T8" s="930"/>
      <c r="U8" s="930"/>
      <c r="V8" s="930"/>
      <c r="W8" s="930"/>
      <c r="X8" s="930"/>
      <c r="Y8" s="930"/>
      <c r="Z8" s="930"/>
      <c r="AA8" s="926"/>
      <c r="AB8" s="927"/>
      <c r="AC8" s="928"/>
      <c r="AD8" s="928"/>
      <c r="AE8" s="928"/>
      <c r="AF8" s="928"/>
      <c r="AG8" s="928"/>
      <c r="AH8" s="928"/>
      <c r="AI8" s="928"/>
      <c r="AJ8" s="928"/>
      <c r="AK8" s="928"/>
      <c r="AL8" s="928"/>
      <c r="AM8" s="928"/>
      <c r="AN8" s="928"/>
      <c r="AO8" s="928"/>
      <c r="AP8" s="928"/>
      <c r="AQ8" s="928"/>
      <c r="AR8" s="928"/>
      <c r="AS8" s="928"/>
    </row>
    <row r="9" spans="1:45" ht="14.1" customHeight="1" thickBot="1">
      <c r="A9" s="2893"/>
      <c r="B9" s="2876"/>
      <c r="C9" s="2895"/>
      <c r="D9" s="2898"/>
      <c r="E9" s="2899"/>
      <c r="F9" s="2901"/>
      <c r="G9" s="2902"/>
      <c r="H9" s="2876"/>
      <c r="I9" s="2876"/>
      <c r="J9" s="2253" t="s">
        <v>1151</v>
      </c>
      <c r="K9" s="2253" t="s">
        <v>671</v>
      </c>
      <c r="L9" s="2876" t="s">
        <v>672</v>
      </c>
      <c r="M9" s="2879"/>
      <c r="N9" s="926"/>
      <c r="O9" s="930"/>
      <c r="P9" s="930"/>
      <c r="Q9" s="930"/>
      <c r="R9" s="935"/>
      <c r="S9" s="936"/>
      <c r="T9" s="930"/>
      <c r="U9" s="930"/>
      <c r="V9" s="930"/>
      <c r="W9" s="930"/>
      <c r="X9" s="930"/>
      <c r="Y9" s="930"/>
      <c r="Z9" s="930"/>
      <c r="AA9" s="926"/>
      <c r="AB9" s="927"/>
      <c r="AC9" s="928"/>
      <c r="AD9" s="928"/>
      <c r="AE9" s="928"/>
      <c r="AF9" s="928"/>
      <c r="AG9" s="928"/>
      <c r="AH9" s="928"/>
      <c r="AI9" s="928"/>
      <c r="AJ9" s="928"/>
      <c r="AK9" s="928"/>
      <c r="AL9" s="928"/>
      <c r="AM9" s="928"/>
      <c r="AN9" s="928"/>
      <c r="AO9" s="928"/>
      <c r="AP9" s="928"/>
      <c r="AQ9" s="928"/>
      <c r="AR9" s="928"/>
      <c r="AS9" s="928"/>
    </row>
    <row r="10" spans="1:45" ht="21.9" customHeight="1" thickTop="1">
      <c r="A10" s="2880"/>
      <c r="B10" s="2882"/>
      <c r="C10" s="2884"/>
      <c r="D10" s="2027"/>
      <c r="E10" s="2028"/>
      <c r="F10" s="2027"/>
      <c r="G10" s="2028"/>
      <c r="H10" s="2254"/>
      <c r="I10" s="2254"/>
      <c r="J10" s="2886"/>
      <c r="K10" s="2886"/>
      <c r="L10" s="2888"/>
      <c r="M10" s="2889"/>
      <c r="N10" s="937"/>
      <c r="O10" s="930"/>
      <c r="P10" s="930"/>
      <c r="Q10" s="930"/>
      <c r="R10" s="1887"/>
      <c r="S10" s="936"/>
      <c r="T10" s="930"/>
      <c r="U10" s="930"/>
      <c r="V10" s="930"/>
      <c r="W10" s="930"/>
      <c r="X10" s="930"/>
      <c r="Y10" s="930"/>
      <c r="Z10" s="930"/>
      <c r="AA10" s="926"/>
      <c r="AB10" s="926"/>
      <c r="AC10" s="928"/>
      <c r="AD10" s="928"/>
      <c r="AE10" s="928"/>
      <c r="AF10" s="928"/>
      <c r="AG10" s="928"/>
      <c r="AH10" s="928"/>
      <c r="AI10" s="928"/>
      <c r="AJ10" s="928"/>
      <c r="AK10" s="928"/>
      <c r="AL10" s="928"/>
      <c r="AM10" s="928"/>
      <c r="AN10" s="928"/>
      <c r="AO10" s="928"/>
      <c r="AP10" s="928"/>
      <c r="AQ10" s="928"/>
      <c r="AR10" s="928"/>
      <c r="AS10" s="928"/>
    </row>
    <row r="11" spans="1:45" ht="21.9" customHeight="1">
      <c r="A11" s="2881"/>
      <c r="B11" s="2883"/>
      <c r="C11" s="2885"/>
      <c r="D11" s="2027"/>
      <c r="E11" s="2028"/>
      <c r="F11" s="2027"/>
      <c r="G11" s="2028"/>
      <c r="H11" s="1423"/>
      <c r="I11" s="1423"/>
      <c r="J11" s="2887"/>
      <c r="K11" s="2887"/>
      <c r="L11" s="2890"/>
      <c r="M11" s="2891"/>
      <c r="N11" s="937"/>
      <c r="O11" s="934"/>
      <c r="P11" s="934"/>
      <c r="Q11" s="934"/>
      <c r="R11" s="934"/>
      <c r="S11" s="934"/>
      <c r="T11" s="930"/>
      <c r="U11" s="930"/>
      <c r="V11" s="930"/>
      <c r="W11" s="930"/>
      <c r="X11" s="930"/>
      <c r="Y11" s="930"/>
      <c r="Z11" s="930"/>
      <c r="AA11" s="926"/>
      <c r="AB11" s="926"/>
      <c r="AC11" s="928"/>
      <c r="AD11" s="928"/>
      <c r="AE11" s="928"/>
      <c r="AF11" s="928"/>
      <c r="AG11" s="928"/>
      <c r="AH11" s="928"/>
      <c r="AI11" s="928"/>
      <c r="AJ11" s="928"/>
      <c r="AK11" s="928"/>
      <c r="AL11" s="928"/>
      <c r="AM11" s="928"/>
      <c r="AN11" s="928"/>
      <c r="AO11" s="928"/>
      <c r="AP11" s="928"/>
      <c r="AQ11" s="928"/>
      <c r="AR11" s="928"/>
      <c r="AS11" s="928"/>
    </row>
    <row r="12" spans="1:45" ht="21.9" customHeight="1">
      <c r="A12" s="2905"/>
      <c r="B12" s="2906"/>
      <c r="C12" s="2907"/>
      <c r="D12" s="2029"/>
      <c r="E12" s="2030"/>
      <c r="F12" s="2029"/>
      <c r="G12" s="2030"/>
      <c r="H12" s="1423"/>
      <c r="I12" s="1423"/>
      <c r="J12" s="2908"/>
      <c r="K12" s="2908"/>
      <c r="L12" s="2903"/>
      <c r="M12" s="2904"/>
      <c r="N12" s="937"/>
      <c r="O12" s="930"/>
      <c r="P12" s="930"/>
      <c r="Q12" s="930"/>
      <c r="R12" s="1887"/>
      <c r="S12" s="936"/>
      <c r="T12" s="930"/>
      <c r="U12" s="930"/>
      <c r="V12" s="930"/>
      <c r="W12" s="930"/>
      <c r="X12" s="930"/>
      <c r="Y12" s="930"/>
      <c r="Z12" s="930"/>
      <c r="AA12" s="926"/>
      <c r="AB12" s="926"/>
      <c r="AC12" s="928"/>
      <c r="AD12" s="928"/>
      <c r="AE12" s="928"/>
      <c r="AF12" s="928"/>
      <c r="AG12" s="928"/>
      <c r="AH12" s="928"/>
      <c r="AI12" s="928"/>
      <c r="AJ12" s="928"/>
      <c r="AK12" s="928"/>
      <c r="AL12" s="928"/>
      <c r="AM12" s="928"/>
      <c r="AN12" s="928"/>
      <c r="AO12" s="928"/>
      <c r="AP12" s="928"/>
      <c r="AQ12" s="928"/>
      <c r="AR12" s="928"/>
      <c r="AS12" s="928"/>
    </row>
    <row r="13" spans="1:45" ht="21.9" customHeight="1">
      <c r="A13" s="2881"/>
      <c r="B13" s="2883"/>
      <c r="C13" s="2885"/>
      <c r="D13" s="2027"/>
      <c r="E13" s="2028"/>
      <c r="F13" s="2027"/>
      <c r="G13" s="2028"/>
      <c r="H13" s="1423"/>
      <c r="I13" s="1423"/>
      <c r="J13" s="2887"/>
      <c r="K13" s="2887"/>
      <c r="L13" s="2890"/>
      <c r="M13" s="2891"/>
      <c r="N13" s="937"/>
      <c r="O13" s="934"/>
      <c r="P13" s="934"/>
      <c r="Q13" s="934"/>
      <c r="R13" s="934"/>
      <c r="S13" s="934"/>
      <c r="T13" s="930"/>
      <c r="U13" s="930"/>
      <c r="V13" s="930"/>
      <c r="W13" s="930"/>
      <c r="X13" s="930"/>
      <c r="Y13" s="930"/>
      <c r="Z13" s="930"/>
      <c r="AA13" s="926"/>
      <c r="AB13" s="926"/>
      <c r="AC13" s="928"/>
      <c r="AD13" s="928"/>
      <c r="AE13" s="928"/>
      <c r="AF13" s="928"/>
      <c r="AG13" s="928"/>
      <c r="AH13" s="928"/>
      <c r="AI13" s="928"/>
      <c r="AJ13" s="928"/>
      <c r="AK13" s="928"/>
      <c r="AL13" s="928"/>
      <c r="AM13" s="928"/>
      <c r="AN13" s="928"/>
      <c r="AO13" s="928"/>
      <c r="AP13" s="928"/>
      <c r="AQ13" s="928"/>
      <c r="AR13" s="928"/>
      <c r="AS13" s="928"/>
    </row>
    <row r="14" spans="1:45" ht="21.9" customHeight="1">
      <c r="A14" s="2905"/>
      <c r="B14" s="2906"/>
      <c r="C14" s="2907"/>
      <c r="D14" s="2029"/>
      <c r="E14" s="2030"/>
      <c r="F14" s="2029"/>
      <c r="G14" s="2030"/>
      <c r="H14" s="1423"/>
      <c r="I14" s="1423"/>
      <c r="J14" s="2908"/>
      <c r="K14" s="2908"/>
      <c r="L14" s="2903"/>
      <c r="M14" s="2904"/>
      <c r="N14" s="937"/>
      <c r="O14" s="930"/>
      <c r="P14" s="930"/>
      <c r="Q14" s="930"/>
      <c r="R14" s="1887"/>
      <c r="S14" s="936"/>
      <c r="T14" s="930"/>
      <c r="U14" s="930"/>
      <c r="V14" s="930"/>
      <c r="W14" s="930"/>
      <c r="X14" s="930"/>
      <c r="Y14" s="930"/>
      <c r="Z14" s="930"/>
      <c r="AA14" s="926"/>
      <c r="AB14" s="926"/>
      <c r="AC14" s="928"/>
      <c r="AD14" s="928"/>
      <c r="AE14" s="928"/>
      <c r="AF14" s="928"/>
      <c r="AG14" s="928"/>
      <c r="AH14" s="928"/>
      <c r="AI14" s="928"/>
      <c r="AJ14" s="928"/>
      <c r="AK14" s="928"/>
      <c r="AL14" s="928"/>
      <c r="AM14" s="928"/>
      <c r="AN14" s="928"/>
      <c r="AO14" s="928"/>
      <c r="AP14" s="928"/>
      <c r="AQ14" s="928"/>
      <c r="AR14" s="928"/>
      <c r="AS14" s="928"/>
    </row>
    <row r="15" spans="1:45" ht="21.9" customHeight="1">
      <c r="A15" s="2881"/>
      <c r="B15" s="2883"/>
      <c r="C15" s="2885"/>
      <c r="D15" s="2027"/>
      <c r="E15" s="2028"/>
      <c r="F15" s="2027"/>
      <c r="G15" s="2028"/>
      <c r="H15" s="1423"/>
      <c r="I15" s="1423"/>
      <c r="J15" s="2887"/>
      <c r="K15" s="2887"/>
      <c r="L15" s="2890"/>
      <c r="M15" s="2891"/>
      <c r="N15" s="937"/>
      <c r="O15" s="934"/>
      <c r="P15" s="934"/>
      <c r="Q15" s="934"/>
      <c r="R15" s="934"/>
      <c r="S15" s="934"/>
      <c r="T15" s="930"/>
      <c r="U15" s="930"/>
      <c r="V15" s="930"/>
      <c r="W15" s="930"/>
      <c r="X15" s="930"/>
      <c r="Y15" s="930"/>
      <c r="Z15" s="930"/>
      <c r="AA15" s="926"/>
      <c r="AB15" s="926"/>
      <c r="AC15" s="928"/>
      <c r="AD15" s="928"/>
      <c r="AE15" s="928"/>
      <c r="AF15" s="928"/>
      <c r="AG15" s="928"/>
      <c r="AH15" s="928"/>
      <c r="AI15" s="928"/>
      <c r="AJ15" s="928"/>
      <c r="AK15" s="928"/>
      <c r="AL15" s="928"/>
      <c r="AM15" s="928"/>
      <c r="AN15" s="928"/>
      <c r="AO15" s="928"/>
      <c r="AP15" s="928"/>
      <c r="AQ15" s="928"/>
      <c r="AR15" s="928"/>
      <c r="AS15" s="928"/>
    </row>
    <row r="16" spans="1:45" ht="21.9" customHeight="1">
      <c r="A16" s="2905"/>
      <c r="B16" s="2906"/>
      <c r="C16" s="2907"/>
      <c r="D16" s="2029"/>
      <c r="E16" s="2030"/>
      <c r="F16" s="2029"/>
      <c r="G16" s="2030"/>
      <c r="H16" s="1423"/>
      <c r="I16" s="1423"/>
      <c r="J16" s="2908"/>
      <c r="K16" s="2908"/>
      <c r="L16" s="2903"/>
      <c r="M16" s="2904"/>
      <c r="N16" s="937"/>
      <c r="O16" s="930"/>
      <c r="P16" s="930"/>
      <c r="Q16" s="930"/>
      <c r="R16" s="1887"/>
      <c r="S16" s="936"/>
      <c r="T16" s="930"/>
      <c r="U16" s="930"/>
      <c r="V16" s="930"/>
      <c r="W16" s="930"/>
      <c r="X16" s="930"/>
      <c r="Y16" s="930"/>
      <c r="Z16" s="930"/>
      <c r="AA16" s="926"/>
      <c r="AB16" s="926"/>
      <c r="AC16" s="928"/>
      <c r="AD16" s="928"/>
      <c r="AE16" s="928"/>
      <c r="AF16" s="928"/>
      <c r="AG16" s="928"/>
      <c r="AH16" s="928"/>
      <c r="AI16" s="928"/>
      <c r="AJ16" s="928"/>
      <c r="AK16" s="928"/>
      <c r="AL16" s="928"/>
      <c r="AM16" s="928"/>
      <c r="AN16" s="928"/>
      <c r="AO16" s="928"/>
      <c r="AP16" s="928"/>
      <c r="AQ16" s="928"/>
      <c r="AR16" s="928"/>
      <c r="AS16" s="928"/>
    </row>
    <row r="17" spans="1:45" ht="21.9" customHeight="1">
      <c r="A17" s="2881"/>
      <c r="B17" s="2883"/>
      <c r="C17" s="2885"/>
      <c r="D17" s="2027"/>
      <c r="E17" s="2028"/>
      <c r="F17" s="2027"/>
      <c r="G17" s="2028"/>
      <c r="H17" s="1423"/>
      <c r="I17" s="1423"/>
      <c r="J17" s="2887"/>
      <c r="K17" s="2887"/>
      <c r="L17" s="2890"/>
      <c r="M17" s="2891"/>
      <c r="N17" s="937"/>
      <c r="O17" s="934"/>
      <c r="P17" s="934"/>
      <c r="Q17" s="934"/>
      <c r="R17" s="934"/>
      <c r="S17" s="934"/>
      <c r="T17" s="930"/>
      <c r="U17" s="930"/>
      <c r="V17" s="930"/>
      <c r="W17" s="930"/>
      <c r="X17" s="930"/>
      <c r="Y17" s="930"/>
      <c r="Z17" s="930"/>
      <c r="AA17" s="926"/>
      <c r="AB17" s="926"/>
      <c r="AC17" s="928"/>
      <c r="AD17" s="928"/>
      <c r="AE17" s="928"/>
      <c r="AF17" s="928"/>
      <c r="AG17" s="928"/>
      <c r="AH17" s="928"/>
      <c r="AI17" s="928"/>
      <c r="AJ17" s="928"/>
      <c r="AK17" s="928"/>
      <c r="AL17" s="928"/>
      <c r="AM17" s="928"/>
      <c r="AN17" s="928"/>
      <c r="AO17" s="928"/>
      <c r="AP17" s="928"/>
      <c r="AQ17" s="928"/>
      <c r="AR17" s="928"/>
      <c r="AS17" s="928"/>
    </row>
    <row r="18" spans="1:45" ht="21.9" customHeight="1">
      <c r="A18" s="2905"/>
      <c r="B18" s="2906"/>
      <c r="C18" s="2907"/>
      <c r="D18" s="2029"/>
      <c r="E18" s="2030"/>
      <c r="F18" s="2029"/>
      <c r="G18" s="2030"/>
      <c r="H18" s="1423"/>
      <c r="I18" s="1423"/>
      <c r="J18" s="2908"/>
      <c r="K18" s="2908"/>
      <c r="L18" s="2903"/>
      <c r="M18" s="2904"/>
      <c r="N18" s="937"/>
      <c r="O18" s="930"/>
      <c r="P18" s="930"/>
      <c r="Q18" s="930"/>
      <c r="R18" s="1887"/>
      <c r="S18" s="936"/>
      <c r="T18" s="930"/>
      <c r="U18" s="930"/>
      <c r="V18" s="930"/>
      <c r="W18" s="930"/>
      <c r="X18" s="930"/>
      <c r="Y18" s="930"/>
      <c r="Z18" s="930"/>
      <c r="AA18" s="926"/>
      <c r="AB18" s="926"/>
      <c r="AC18" s="928"/>
      <c r="AD18" s="928"/>
      <c r="AE18" s="928"/>
      <c r="AF18" s="928"/>
      <c r="AG18" s="928"/>
      <c r="AH18" s="928"/>
      <c r="AI18" s="928"/>
      <c r="AJ18" s="928"/>
      <c r="AK18" s="928"/>
      <c r="AL18" s="928"/>
      <c r="AM18" s="928"/>
      <c r="AN18" s="928"/>
      <c r="AO18" s="928"/>
      <c r="AP18" s="928"/>
      <c r="AQ18" s="928"/>
      <c r="AR18" s="928"/>
      <c r="AS18" s="928"/>
    </row>
    <row r="19" spans="1:45" ht="21.9" customHeight="1">
      <c r="A19" s="2881"/>
      <c r="B19" s="2883"/>
      <c r="C19" s="2885"/>
      <c r="D19" s="2027"/>
      <c r="E19" s="2028"/>
      <c r="F19" s="2027"/>
      <c r="G19" s="2028"/>
      <c r="H19" s="1423"/>
      <c r="I19" s="1423"/>
      <c r="J19" s="2887"/>
      <c r="K19" s="2887"/>
      <c r="L19" s="2890"/>
      <c r="M19" s="2891"/>
      <c r="N19" s="937"/>
      <c r="O19" s="934"/>
      <c r="P19" s="934"/>
      <c r="Q19" s="934"/>
      <c r="R19" s="934"/>
      <c r="S19" s="934"/>
      <c r="T19" s="930"/>
      <c r="U19" s="930"/>
      <c r="V19" s="930"/>
      <c r="W19" s="930"/>
      <c r="X19" s="930"/>
      <c r="Y19" s="930"/>
      <c r="Z19" s="930"/>
      <c r="AA19" s="926"/>
      <c r="AB19" s="926"/>
      <c r="AC19" s="928"/>
      <c r="AD19" s="928"/>
      <c r="AE19" s="928"/>
      <c r="AF19" s="928"/>
      <c r="AG19" s="928"/>
      <c r="AH19" s="928"/>
      <c r="AI19" s="928"/>
      <c r="AJ19" s="928"/>
      <c r="AK19" s="928"/>
      <c r="AL19" s="928"/>
      <c r="AM19" s="928"/>
      <c r="AN19" s="928"/>
      <c r="AO19" s="928"/>
      <c r="AP19" s="928"/>
      <c r="AQ19" s="928"/>
      <c r="AR19" s="928"/>
      <c r="AS19" s="928"/>
    </row>
    <row r="20" spans="1:45" ht="21.9" customHeight="1">
      <c r="A20" s="2905"/>
      <c r="B20" s="2906"/>
      <c r="C20" s="2907"/>
      <c r="D20" s="2029"/>
      <c r="E20" s="2030"/>
      <c r="F20" s="2029"/>
      <c r="G20" s="2030"/>
      <c r="H20" s="1423"/>
      <c r="I20" s="1423"/>
      <c r="J20" s="2908"/>
      <c r="K20" s="2908"/>
      <c r="L20" s="2903"/>
      <c r="M20" s="2904"/>
      <c r="N20" s="937"/>
      <c r="O20" s="930"/>
      <c r="P20" s="930"/>
      <c r="Q20" s="930"/>
      <c r="R20" s="1887"/>
      <c r="S20" s="936"/>
      <c r="T20" s="930"/>
      <c r="U20" s="930"/>
      <c r="V20" s="930"/>
      <c r="W20" s="930"/>
      <c r="X20" s="930"/>
      <c r="Y20" s="930"/>
      <c r="Z20" s="930"/>
      <c r="AA20" s="926"/>
      <c r="AB20" s="926"/>
      <c r="AC20" s="928"/>
      <c r="AD20" s="928"/>
      <c r="AE20" s="928"/>
      <c r="AF20" s="928"/>
      <c r="AG20" s="928"/>
      <c r="AH20" s="928"/>
      <c r="AI20" s="928"/>
      <c r="AJ20" s="928"/>
      <c r="AK20" s="928"/>
      <c r="AL20" s="928"/>
      <c r="AM20" s="928"/>
      <c r="AN20" s="928"/>
      <c r="AO20" s="928"/>
      <c r="AP20" s="928"/>
      <c r="AQ20" s="928"/>
      <c r="AR20" s="928"/>
      <c r="AS20" s="928"/>
    </row>
    <row r="21" spans="1:45" ht="21.9" customHeight="1">
      <c r="A21" s="2881"/>
      <c r="B21" s="2883"/>
      <c r="C21" s="2885"/>
      <c r="D21" s="2027"/>
      <c r="E21" s="2028"/>
      <c r="F21" s="2027"/>
      <c r="G21" s="2028"/>
      <c r="H21" s="1423"/>
      <c r="I21" s="1423"/>
      <c r="J21" s="2887"/>
      <c r="K21" s="2887"/>
      <c r="L21" s="2890"/>
      <c r="M21" s="2891"/>
      <c r="N21" s="937"/>
      <c r="O21" s="934"/>
      <c r="P21" s="934"/>
      <c r="Q21" s="934"/>
      <c r="R21" s="934"/>
      <c r="S21" s="934"/>
      <c r="T21" s="930"/>
      <c r="U21" s="930"/>
      <c r="V21" s="930"/>
      <c r="W21" s="930"/>
      <c r="X21" s="930"/>
      <c r="Y21" s="930"/>
      <c r="Z21" s="930"/>
      <c r="AA21" s="926"/>
      <c r="AB21" s="926"/>
      <c r="AC21" s="928"/>
      <c r="AD21" s="928"/>
      <c r="AE21" s="928"/>
      <c r="AF21" s="928"/>
      <c r="AG21" s="928"/>
      <c r="AH21" s="928"/>
      <c r="AI21" s="928"/>
      <c r="AJ21" s="928"/>
      <c r="AK21" s="928"/>
      <c r="AL21" s="928"/>
      <c r="AM21" s="928"/>
      <c r="AN21" s="928"/>
      <c r="AO21" s="928"/>
      <c r="AP21" s="928"/>
      <c r="AQ21" s="928"/>
      <c r="AR21" s="928"/>
      <c r="AS21" s="928"/>
    </row>
    <row r="22" spans="1:45" ht="21.9" customHeight="1">
      <c r="A22" s="2905"/>
      <c r="B22" s="2906"/>
      <c r="C22" s="2907"/>
      <c r="D22" s="2029"/>
      <c r="E22" s="2030"/>
      <c r="F22" s="2029"/>
      <c r="G22" s="2030"/>
      <c r="H22" s="1423"/>
      <c r="I22" s="1423"/>
      <c r="J22" s="2908"/>
      <c r="K22" s="2908"/>
      <c r="L22" s="2903"/>
      <c r="M22" s="2904"/>
      <c r="N22" s="937"/>
      <c r="O22" s="930"/>
      <c r="P22" s="930"/>
      <c r="Q22" s="930"/>
      <c r="R22" s="1887"/>
      <c r="S22" s="936"/>
      <c r="T22" s="930"/>
      <c r="U22" s="930"/>
      <c r="V22" s="930"/>
      <c r="W22" s="930"/>
      <c r="X22" s="930"/>
      <c r="Y22" s="930"/>
      <c r="Z22" s="930"/>
      <c r="AA22" s="926"/>
      <c r="AB22" s="926"/>
      <c r="AC22" s="928"/>
      <c r="AD22" s="928"/>
      <c r="AE22" s="928"/>
      <c r="AF22" s="928"/>
      <c r="AG22" s="928"/>
      <c r="AH22" s="928"/>
      <c r="AI22" s="928"/>
      <c r="AJ22" s="928"/>
      <c r="AK22" s="928"/>
      <c r="AL22" s="928"/>
      <c r="AM22" s="928"/>
      <c r="AN22" s="928"/>
      <c r="AO22" s="928"/>
      <c r="AP22" s="928"/>
      <c r="AQ22" s="928"/>
      <c r="AR22" s="928"/>
      <c r="AS22" s="928"/>
    </row>
    <row r="23" spans="1:45" ht="21.9" customHeight="1" thickBot="1">
      <c r="A23" s="2911"/>
      <c r="B23" s="2912"/>
      <c r="C23" s="2913"/>
      <c r="D23" s="2031"/>
      <c r="E23" s="2032"/>
      <c r="F23" s="2031"/>
      <c r="G23" s="2032"/>
      <c r="H23" s="1952"/>
      <c r="I23" s="1952"/>
      <c r="J23" s="2914"/>
      <c r="K23" s="2914"/>
      <c r="L23" s="2909"/>
      <c r="M23" s="2910"/>
      <c r="N23" s="937"/>
      <c r="O23" s="934"/>
      <c r="P23" s="934"/>
      <c r="Q23" s="934"/>
      <c r="R23" s="934"/>
      <c r="S23" s="934"/>
      <c r="T23" s="930"/>
      <c r="U23" s="930"/>
      <c r="V23" s="930"/>
      <c r="W23" s="930"/>
      <c r="X23" s="930"/>
      <c r="Y23" s="930"/>
      <c r="Z23" s="930"/>
      <c r="AA23" s="926"/>
      <c r="AB23" s="926"/>
      <c r="AC23" s="928"/>
      <c r="AD23" s="928"/>
      <c r="AE23" s="928"/>
      <c r="AF23" s="928"/>
      <c r="AG23" s="928"/>
      <c r="AH23" s="928"/>
      <c r="AI23" s="928"/>
      <c r="AJ23" s="928"/>
      <c r="AK23" s="928"/>
      <c r="AL23" s="928"/>
      <c r="AM23" s="928"/>
      <c r="AN23" s="928"/>
      <c r="AO23" s="928"/>
      <c r="AP23" s="928"/>
      <c r="AQ23" s="928"/>
      <c r="AR23" s="928"/>
      <c r="AS23" s="928"/>
    </row>
    <row r="24" spans="1:45" s="942" customFormat="1" ht="6" customHeight="1">
      <c r="A24" s="952"/>
      <c r="B24" s="953"/>
      <c r="C24" s="953"/>
      <c r="D24" s="953"/>
      <c r="E24" s="953"/>
      <c r="F24" s="953"/>
      <c r="G24" s="953"/>
      <c r="H24" s="954"/>
      <c r="I24" s="954"/>
      <c r="J24" s="955"/>
      <c r="K24" s="955"/>
      <c r="L24" s="955"/>
      <c r="M24" s="956"/>
      <c r="N24" s="939"/>
      <c r="O24" s="926"/>
      <c r="P24" s="926"/>
      <c r="Q24" s="926"/>
      <c r="R24" s="930"/>
      <c r="S24" s="926"/>
      <c r="T24" s="926"/>
      <c r="U24" s="926"/>
      <c r="V24" s="930"/>
      <c r="W24" s="926"/>
      <c r="X24" s="926"/>
      <c r="Y24" s="926"/>
      <c r="Z24" s="926"/>
      <c r="AA24" s="940"/>
      <c r="AB24" s="940"/>
      <c r="AC24" s="941"/>
      <c r="AD24" s="941"/>
      <c r="AE24" s="941"/>
      <c r="AF24" s="941"/>
      <c r="AG24" s="941"/>
      <c r="AH24" s="941"/>
      <c r="AI24" s="941"/>
      <c r="AJ24" s="941"/>
      <c r="AK24" s="941"/>
      <c r="AL24" s="941"/>
      <c r="AM24" s="941"/>
      <c r="AN24" s="941"/>
      <c r="AO24" s="941"/>
      <c r="AP24" s="941"/>
      <c r="AQ24" s="941"/>
      <c r="AR24" s="941"/>
      <c r="AS24" s="941"/>
    </row>
    <row r="25" spans="1:45" ht="21.9" customHeight="1" thickBot="1">
      <c r="A25" s="943" t="s">
        <v>1152</v>
      </c>
      <c r="B25" s="2915"/>
      <c r="C25" s="2916"/>
      <c r="D25" s="2916"/>
      <c r="E25" s="2916"/>
      <c r="F25" s="2916"/>
      <c r="G25" s="2916"/>
      <c r="H25" s="2916"/>
      <c r="I25" s="2916"/>
      <c r="J25" s="2916"/>
      <c r="K25" s="2916"/>
      <c r="L25" s="2916"/>
      <c r="M25" s="2917"/>
      <c r="N25" s="938"/>
      <c r="O25" s="926"/>
      <c r="P25" s="944"/>
      <c r="Q25" s="944"/>
      <c r="R25" s="944"/>
      <c r="S25" s="944"/>
      <c r="T25" s="944"/>
      <c r="U25" s="944"/>
      <c r="V25" s="944"/>
      <c r="W25" s="926"/>
      <c r="X25" s="944"/>
      <c r="Y25" s="944"/>
      <c r="Z25" s="944"/>
      <c r="AA25" s="926"/>
      <c r="AB25" s="926"/>
      <c r="AC25" s="928"/>
      <c r="AD25" s="928"/>
      <c r="AE25" s="928"/>
      <c r="AF25" s="928"/>
      <c r="AG25" s="928"/>
      <c r="AH25" s="928"/>
      <c r="AI25" s="928"/>
      <c r="AJ25" s="928"/>
      <c r="AK25" s="928"/>
      <c r="AL25" s="928"/>
      <c r="AM25" s="928"/>
      <c r="AN25" s="928"/>
      <c r="AO25" s="928"/>
      <c r="AP25" s="928"/>
      <c r="AQ25" s="928"/>
      <c r="AR25" s="928"/>
      <c r="AS25" s="928"/>
    </row>
    <row r="26" spans="1:45" s="917" customFormat="1" ht="14.1" customHeight="1">
      <c r="A26" s="945" t="s">
        <v>135</v>
      </c>
      <c r="B26" s="946"/>
      <c r="C26" s="947"/>
      <c r="D26" s="948"/>
      <c r="E26" s="948"/>
      <c r="F26" s="948"/>
      <c r="G26" s="948"/>
      <c r="H26" s="948"/>
      <c r="I26" s="948"/>
      <c r="J26" s="948"/>
      <c r="K26" s="948"/>
      <c r="L26" s="948"/>
      <c r="M26" s="949"/>
      <c r="N26" s="2258"/>
      <c r="O26" s="926"/>
      <c r="P26" s="926"/>
      <c r="Q26" s="926"/>
      <c r="R26" s="930"/>
      <c r="S26" s="926"/>
      <c r="T26" s="926"/>
      <c r="U26" s="926"/>
      <c r="V26" s="930"/>
      <c r="W26" s="926"/>
      <c r="X26" s="926"/>
      <c r="Y26" s="926"/>
      <c r="Z26" s="926"/>
      <c r="AA26" s="950"/>
      <c r="AB26" s="950"/>
    </row>
    <row r="27" spans="1:45" s="917" customFormat="1" ht="21.9" customHeight="1" thickBot="1">
      <c r="A27" s="2918"/>
      <c r="B27" s="2919"/>
      <c r="C27" s="2919"/>
      <c r="D27" s="920"/>
      <c r="E27" s="2920"/>
      <c r="F27" s="2920"/>
      <c r="G27" s="2920"/>
      <c r="H27" s="2920"/>
      <c r="I27" s="918"/>
      <c r="J27" s="2338"/>
      <c r="K27" s="918"/>
      <c r="L27" s="2921"/>
      <c r="M27" s="2922"/>
      <c r="N27" s="951"/>
      <c r="O27" s="930"/>
      <c r="P27" s="926"/>
      <c r="Q27" s="926"/>
      <c r="R27" s="930"/>
      <c r="S27" s="926"/>
      <c r="T27" s="926"/>
      <c r="U27" s="926"/>
      <c r="V27" s="930"/>
      <c r="W27" s="930"/>
      <c r="X27" s="926"/>
      <c r="Y27" s="926"/>
      <c r="Z27" s="926"/>
      <c r="AA27" s="950"/>
      <c r="AB27" s="950"/>
    </row>
    <row r="28" spans="1:45" s="917" customFormat="1" ht="14.1" customHeight="1" thickBot="1">
      <c r="A28" s="2923" t="s">
        <v>1385</v>
      </c>
      <c r="B28" s="2924"/>
      <c r="C28" s="2924"/>
      <c r="D28" s="2256"/>
      <c r="E28" s="2924" t="s">
        <v>137</v>
      </c>
      <c r="F28" s="2924"/>
      <c r="G28" s="2924"/>
      <c r="H28" s="2925"/>
      <c r="I28" s="922"/>
      <c r="J28" s="2255" t="s">
        <v>138</v>
      </c>
      <c r="K28" s="922"/>
      <c r="L28" s="2926" t="s">
        <v>139</v>
      </c>
      <c r="M28" s="2927"/>
      <c r="N28" s="950"/>
      <c r="O28" s="930"/>
      <c r="P28" s="926"/>
      <c r="Q28" s="926"/>
      <c r="R28" s="930"/>
      <c r="S28" s="926"/>
      <c r="T28" s="926"/>
      <c r="U28" s="926"/>
      <c r="V28" s="930"/>
      <c r="W28" s="926"/>
      <c r="X28" s="926"/>
      <c r="Y28" s="926"/>
      <c r="Z28" s="926"/>
      <c r="AA28" s="950"/>
      <c r="AB28" s="950"/>
    </row>
    <row r="29" spans="1:45">
      <c r="K29" s="957"/>
      <c r="L29" s="928"/>
      <c r="M29" s="928"/>
      <c r="N29" s="960"/>
      <c r="O29" s="960"/>
      <c r="P29" s="960"/>
      <c r="Q29" s="960"/>
      <c r="R29" s="960"/>
      <c r="S29" s="960"/>
      <c r="T29" s="960"/>
      <c r="U29" s="960"/>
      <c r="V29" s="960"/>
      <c r="W29" s="960"/>
      <c r="X29" s="960"/>
      <c r="Y29" s="960"/>
      <c r="Z29" s="960"/>
      <c r="AA29" s="960"/>
      <c r="AB29" s="928"/>
      <c r="AC29" s="928"/>
      <c r="AD29" s="928"/>
      <c r="AE29" s="928"/>
      <c r="AF29" s="928"/>
      <c r="AG29" s="928"/>
      <c r="AH29" s="928"/>
      <c r="AI29" s="928"/>
      <c r="AJ29" s="928"/>
      <c r="AK29" s="928"/>
      <c r="AL29" s="928"/>
      <c r="AM29" s="928"/>
      <c r="AN29" s="928"/>
      <c r="AO29" s="928"/>
      <c r="AP29" s="928"/>
      <c r="AQ29" s="928"/>
      <c r="AR29" s="928"/>
      <c r="AS29" s="928"/>
    </row>
    <row r="30" spans="1:45">
      <c r="K30" s="957"/>
      <c r="L30" s="928"/>
      <c r="M30" s="928"/>
      <c r="N30" s="960"/>
      <c r="O30" s="960"/>
      <c r="P30" s="960"/>
      <c r="Q30" s="960"/>
      <c r="R30" s="960"/>
      <c r="S30" s="960"/>
      <c r="T30" s="960"/>
      <c r="U30" s="960"/>
      <c r="V30" s="960"/>
      <c r="W30" s="960"/>
      <c r="X30" s="960"/>
      <c r="Y30" s="960"/>
      <c r="Z30" s="960"/>
      <c r="AA30" s="960"/>
      <c r="AB30" s="928"/>
      <c r="AC30" s="928"/>
      <c r="AD30" s="928"/>
      <c r="AE30" s="928"/>
      <c r="AF30" s="928"/>
      <c r="AG30" s="928"/>
      <c r="AH30" s="928"/>
      <c r="AI30" s="928"/>
      <c r="AJ30" s="928"/>
      <c r="AK30" s="928"/>
      <c r="AL30" s="928"/>
      <c r="AM30" s="928"/>
      <c r="AN30" s="928"/>
      <c r="AO30" s="928"/>
      <c r="AP30" s="928"/>
      <c r="AQ30" s="928"/>
      <c r="AR30" s="928"/>
      <c r="AS30" s="928"/>
    </row>
    <row r="31" spans="1:45">
      <c r="K31" s="957"/>
      <c r="L31" s="928"/>
      <c r="M31" s="928"/>
      <c r="N31" s="960"/>
      <c r="O31" s="960"/>
      <c r="P31" s="960"/>
      <c r="Q31" s="960"/>
      <c r="R31" s="960"/>
      <c r="S31" s="960"/>
      <c r="T31" s="960"/>
      <c r="U31" s="960"/>
      <c r="V31" s="960"/>
      <c r="W31" s="960"/>
      <c r="X31" s="960"/>
      <c r="Y31" s="960"/>
      <c r="Z31" s="960"/>
      <c r="AA31" s="960"/>
      <c r="AB31" s="928"/>
      <c r="AC31" s="928"/>
      <c r="AD31" s="928"/>
      <c r="AE31" s="928"/>
      <c r="AF31" s="928"/>
      <c r="AG31" s="928"/>
      <c r="AH31" s="928"/>
      <c r="AI31" s="928"/>
      <c r="AJ31" s="928"/>
      <c r="AK31" s="928"/>
      <c r="AL31" s="928"/>
      <c r="AM31" s="928"/>
      <c r="AN31" s="928"/>
      <c r="AO31" s="928"/>
      <c r="AP31" s="928"/>
      <c r="AQ31" s="928"/>
      <c r="AR31" s="928"/>
      <c r="AS31" s="928"/>
    </row>
    <row r="32" spans="1:45">
      <c r="K32" s="957"/>
      <c r="L32" s="928"/>
      <c r="M32" s="928"/>
      <c r="N32" s="960"/>
      <c r="O32" s="960"/>
      <c r="P32" s="960"/>
      <c r="Q32" s="960"/>
      <c r="R32" s="960"/>
      <c r="S32" s="960"/>
      <c r="T32" s="960"/>
      <c r="U32" s="960"/>
      <c r="V32" s="960"/>
      <c r="W32" s="960"/>
      <c r="X32" s="960"/>
      <c r="Y32" s="960"/>
      <c r="Z32" s="960"/>
      <c r="AA32" s="960"/>
      <c r="AB32" s="928"/>
      <c r="AC32" s="928"/>
      <c r="AD32" s="928"/>
      <c r="AE32" s="928"/>
      <c r="AF32" s="928"/>
      <c r="AG32" s="928"/>
      <c r="AH32" s="928"/>
      <c r="AI32" s="928"/>
      <c r="AJ32" s="928"/>
      <c r="AK32" s="928"/>
      <c r="AL32" s="928"/>
      <c r="AM32" s="928"/>
      <c r="AN32" s="928"/>
      <c r="AO32" s="928"/>
      <c r="AP32" s="928"/>
      <c r="AQ32" s="928"/>
      <c r="AR32" s="928"/>
      <c r="AS32" s="928"/>
    </row>
    <row r="33" spans="11:45">
      <c r="K33" s="957"/>
      <c r="L33" s="928"/>
      <c r="M33" s="928"/>
      <c r="N33" s="960"/>
      <c r="O33" s="960"/>
      <c r="P33" s="960"/>
      <c r="Q33" s="960"/>
      <c r="R33" s="960"/>
      <c r="S33" s="960"/>
      <c r="T33" s="960"/>
      <c r="U33" s="960"/>
      <c r="V33" s="960"/>
      <c r="W33" s="960"/>
      <c r="X33" s="960"/>
      <c r="Y33" s="960"/>
      <c r="Z33" s="960"/>
      <c r="AA33" s="960"/>
      <c r="AB33" s="928"/>
      <c r="AC33" s="928"/>
      <c r="AD33" s="928"/>
      <c r="AE33" s="928"/>
      <c r="AF33" s="928"/>
      <c r="AG33" s="928"/>
      <c r="AH33" s="928"/>
      <c r="AI33" s="928"/>
      <c r="AJ33" s="928"/>
      <c r="AK33" s="928"/>
      <c r="AL33" s="928"/>
      <c r="AM33" s="928"/>
      <c r="AN33" s="928"/>
      <c r="AO33" s="928"/>
      <c r="AP33" s="928"/>
      <c r="AQ33" s="928"/>
      <c r="AR33" s="928"/>
      <c r="AS33" s="928"/>
    </row>
    <row r="34" spans="11:45">
      <c r="K34" s="957"/>
      <c r="L34" s="928"/>
      <c r="M34" s="928"/>
      <c r="N34" s="960"/>
      <c r="O34" s="960"/>
      <c r="P34" s="960"/>
      <c r="Q34" s="960"/>
      <c r="R34" s="960"/>
      <c r="S34" s="960"/>
      <c r="T34" s="960"/>
      <c r="U34" s="960"/>
      <c r="V34" s="960"/>
      <c r="W34" s="960"/>
      <c r="X34" s="960"/>
      <c r="Y34" s="960"/>
      <c r="Z34" s="960"/>
      <c r="AA34" s="960"/>
      <c r="AB34" s="928"/>
      <c r="AC34" s="928"/>
      <c r="AD34" s="928"/>
      <c r="AE34" s="928"/>
      <c r="AF34" s="928"/>
      <c r="AG34" s="928"/>
      <c r="AH34" s="928"/>
      <c r="AI34" s="928"/>
      <c r="AJ34" s="928"/>
      <c r="AK34" s="928"/>
      <c r="AL34" s="928"/>
      <c r="AM34" s="928"/>
      <c r="AN34" s="928"/>
      <c r="AO34" s="928"/>
      <c r="AP34" s="928"/>
      <c r="AQ34" s="928"/>
      <c r="AR34" s="928"/>
      <c r="AS34" s="928"/>
    </row>
    <row r="35" spans="11:45">
      <c r="K35" s="957"/>
      <c r="L35" s="928"/>
      <c r="M35" s="928"/>
      <c r="N35" s="960"/>
      <c r="O35" s="960"/>
      <c r="P35" s="960"/>
      <c r="Q35" s="960"/>
      <c r="R35" s="960"/>
      <c r="S35" s="960"/>
      <c r="T35" s="960"/>
      <c r="U35" s="960"/>
      <c r="V35" s="960"/>
      <c r="W35" s="960"/>
      <c r="X35" s="960"/>
      <c r="Y35" s="960"/>
      <c r="Z35" s="960"/>
      <c r="AA35" s="960"/>
      <c r="AB35" s="928"/>
      <c r="AC35" s="928"/>
      <c r="AD35" s="928"/>
      <c r="AE35" s="928"/>
      <c r="AF35" s="928"/>
      <c r="AG35" s="928"/>
      <c r="AH35" s="928"/>
      <c r="AI35" s="928"/>
      <c r="AJ35" s="928"/>
      <c r="AK35" s="928"/>
      <c r="AL35" s="928"/>
      <c r="AM35" s="928"/>
      <c r="AN35" s="928"/>
      <c r="AO35" s="928"/>
      <c r="AP35" s="928"/>
      <c r="AQ35" s="928"/>
      <c r="AR35" s="928"/>
      <c r="AS35" s="928"/>
    </row>
    <row r="36" spans="11:45">
      <c r="K36" s="957"/>
      <c r="L36" s="928"/>
      <c r="M36" s="928"/>
      <c r="N36" s="960"/>
      <c r="O36" s="960"/>
      <c r="P36" s="960"/>
      <c r="Q36" s="960"/>
      <c r="R36" s="960"/>
      <c r="S36" s="960"/>
      <c r="T36" s="960"/>
      <c r="U36" s="960"/>
      <c r="V36" s="960"/>
      <c r="W36" s="960"/>
      <c r="X36" s="960"/>
      <c r="Y36" s="960"/>
      <c r="Z36" s="960"/>
      <c r="AA36" s="960"/>
      <c r="AB36" s="928"/>
      <c r="AC36" s="928"/>
      <c r="AD36" s="928"/>
      <c r="AE36" s="928"/>
      <c r="AF36" s="928"/>
      <c r="AG36" s="928"/>
      <c r="AH36" s="928"/>
      <c r="AI36" s="928"/>
      <c r="AJ36" s="928"/>
      <c r="AK36" s="928"/>
      <c r="AL36" s="928"/>
      <c r="AM36" s="928"/>
      <c r="AN36" s="928"/>
      <c r="AO36" s="928"/>
      <c r="AP36" s="928"/>
      <c r="AQ36" s="928"/>
      <c r="AR36" s="928"/>
      <c r="AS36" s="928"/>
    </row>
    <row r="37" spans="11:45">
      <c r="K37" s="957"/>
      <c r="L37" s="928"/>
      <c r="M37" s="928"/>
      <c r="N37" s="960"/>
      <c r="O37" s="960"/>
      <c r="P37" s="960"/>
      <c r="Q37" s="960"/>
      <c r="R37" s="960"/>
      <c r="S37" s="960"/>
      <c r="T37" s="960"/>
      <c r="U37" s="960"/>
      <c r="V37" s="960"/>
      <c r="W37" s="960"/>
      <c r="X37" s="960"/>
      <c r="Y37" s="960"/>
      <c r="Z37" s="960"/>
      <c r="AA37" s="960"/>
      <c r="AB37" s="928"/>
      <c r="AC37" s="928"/>
      <c r="AD37" s="928"/>
      <c r="AE37" s="928"/>
      <c r="AF37" s="928"/>
      <c r="AG37" s="928"/>
      <c r="AH37" s="928"/>
      <c r="AI37" s="928"/>
      <c r="AJ37" s="928"/>
      <c r="AK37" s="928"/>
      <c r="AL37" s="928"/>
      <c r="AM37" s="928"/>
      <c r="AN37" s="928"/>
      <c r="AO37" s="928"/>
      <c r="AP37" s="928"/>
      <c r="AQ37" s="928"/>
      <c r="AR37" s="928"/>
      <c r="AS37" s="928"/>
    </row>
    <row r="38" spans="11:45">
      <c r="K38" s="957"/>
      <c r="L38" s="928"/>
      <c r="M38" s="928"/>
      <c r="N38" s="960"/>
      <c r="O38" s="960"/>
      <c r="P38" s="960"/>
      <c r="Q38" s="960"/>
      <c r="R38" s="960"/>
      <c r="S38" s="960"/>
      <c r="T38" s="960"/>
      <c r="U38" s="960"/>
      <c r="V38" s="960"/>
      <c r="W38" s="960"/>
      <c r="X38" s="960"/>
      <c r="Y38" s="960"/>
      <c r="Z38" s="960"/>
      <c r="AA38" s="960"/>
      <c r="AB38" s="928"/>
      <c r="AC38" s="928"/>
      <c r="AD38" s="928"/>
      <c r="AE38" s="928"/>
      <c r="AF38" s="928"/>
      <c r="AG38" s="928"/>
      <c r="AH38" s="928"/>
      <c r="AI38" s="928"/>
      <c r="AJ38" s="928"/>
      <c r="AK38" s="928"/>
      <c r="AL38" s="928"/>
      <c r="AM38" s="928"/>
      <c r="AN38" s="928"/>
      <c r="AO38" s="928"/>
      <c r="AP38" s="928"/>
      <c r="AQ38" s="928"/>
      <c r="AR38" s="928"/>
      <c r="AS38" s="928"/>
    </row>
    <row r="39" spans="11:45">
      <c r="K39" s="957"/>
      <c r="L39" s="928"/>
      <c r="M39" s="928"/>
      <c r="N39" s="960"/>
      <c r="O39" s="960"/>
      <c r="P39" s="960"/>
      <c r="Q39" s="960"/>
      <c r="R39" s="960"/>
      <c r="S39" s="960"/>
      <c r="T39" s="960"/>
      <c r="U39" s="960"/>
      <c r="V39" s="960"/>
      <c r="W39" s="960"/>
      <c r="X39" s="960"/>
      <c r="Y39" s="960"/>
      <c r="Z39" s="960"/>
      <c r="AA39" s="960"/>
      <c r="AB39" s="928"/>
      <c r="AC39" s="928"/>
      <c r="AD39" s="928"/>
      <c r="AE39" s="928"/>
      <c r="AF39" s="928"/>
      <c r="AG39" s="928"/>
      <c r="AH39" s="928"/>
      <c r="AI39" s="928"/>
      <c r="AJ39" s="928"/>
      <c r="AK39" s="928"/>
      <c r="AL39" s="928"/>
      <c r="AM39" s="928"/>
      <c r="AN39" s="928"/>
      <c r="AO39" s="928"/>
      <c r="AP39" s="928"/>
      <c r="AQ39" s="928"/>
      <c r="AR39" s="928"/>
      <c r="AS39" s="928"/>
    </row>
    <row r="40" spans="11:45">
      <c r="K40" s="957"/>
      <c r="L40" s="928"/>
      <c r="M40" s="928"/>
      <c r="N40" s="960"/>
      <c r="O40" s="960"/>
      <c r="P40" s="960"/>
      <c r="Q40" s="960"/>
      <c r="R40" s="960"/>
      <c r="S40" s="960"/>
      <c r="T40" s="960"/>
      <c r="U40" s="960"/>
      <c r="V40" s="960"/>
      <c r="W40" s="960"/>
      <c r="X40" s="960"/>
      <c r="Y40" s="960"/>
      <c r="Z40" s="960"/>
      <c r="AA40" s="960"/>
      <c r="AB40" s="928"/>
      <c r="AC40" s="928"/>
      <c r="AD40" s="928"/>
      <c r="AE40" s="928"/>
      <c r="AF40" s="928"/>
      <c r="AG40" s="928"/>
      <c r="AH40" s="928"/>
      <c r="AI40" s="928"/>
      <c r="AJ40" s="928"/>
      <c r="AK40" s="928"/>
      <c r="AL40" s="928"/>
      <c r="AM40" s="928"/>
      <c r="AN40" s="928"/>
      <c r="AO40" s="928"/>
      <c r="AP40" s="928"/>
      <c r="AQ40" s="928"/>
      <c r="AR40" s="928"/>
      <c r="AS40" s="928"/>
    </row>
    <row r="41" spans="11:45">
      <c r="K41" s="957"/>
      <c r="L41" s="928"/>
      <c r="M41" s="928"/>
      <c r="N41" s="960"/>
      <c r="O41" s="960"/>
      <c r="P41" s="960"/>
      <c r="Q41" s="960"/>
      <c r="R41" s="960"/>
      <c r="S41" s="960"/>
      <c r="T41" s="960"/>
      <c r="U41" s="960"/>
      <c r="V41" s="960"/>
      <c r="W41" s="960"/>
      <c r="X41" s="960"/>
      <c r="Y41" s="960"/>
      <c r="Z41" s="960"/>
      <c r="AA41" s="960"/>
      <c r="AB41" s="928"/>
      <c r="AC41" s="928"/>
      <c r="AD41" s="928"/>
      <c r="AE41" s="928"/>
      <c r="AF41" s="928"/>
      <c r="AG41" s="928"/>
      <c r="AH41" s="928"/>
      <c r="AI41" s="928"/>
      <c r="AJ41" s="928"/>
      <c r="AK41" s="928"/>
      <c r="AL41" s="928"/>
      <c r="AM41" s="928"/>
      <c r="AN41" s="928"/>
      <c r="AO41" s="928"/>
      <c r="AP41" s="928"/>
      <c r="AQ41" s="928"/>
      <c r="AR41" s="928"/>
      <c r="AS41" s="928"/>
    </row>
    <row r="42" spans="11:45">
      <c r="K42" s="957"/>
      <c r="L42" s="928"/>
      <c r="M42" s="928"/>
      <c r="N42" s="960"/>
      <c r="O42" s="960"/>
      <c r="P42" s="960"/>
      <c r="Q42" s="960"/>
      <c r="R42" s="960"/>
      <c r="S42" s="960"/>
      <c r="T42" s="960"/>
      <c r="U42" s="960"/>
      <c r="V42" s="960"/>
      <c r="W42" s="960"/>
      <c r="X42" s="960"/>
      <c r="Y42" s="960"/>
      <c r="Z42" s="960"/>
      <c r="AA42" s="960"/>
      <c r="AB42" s="928"/>
      <c r="AC42" s="928"/>
      <c r="AD42" s="928"/>
      <c r="AE42" s="928"/>
      <c r="AF42" s="928"/>
      <c r="AG42" s="928"/>
      <c r="AH42" s="928"/>
      <c r="AI42" s="928"/>
      <c r="AJ42" s="928"/>
      <c r="AK42" s="928"/>
      <c r="AL42" s="928"/>
      <c r="AM42" s="928"/>
      <c r="AN42" s="928"/>
      <c r="AO42" s="928"/>
      <c r="AP42" s="928"/>
      <c r="AQ42" s="928"/>
      <c r="AR42" s="928"/>
      <c r="AS42" s="928"/>
    </row>
    <row r="43" spans="11:45">
      <c r="K43" s="957"/>
      <c r="L43" s="928"/>
      <c r="M43" s="928"/>
      <c r="N43" s="960"/>
      <c r="O43" s="960"/>
      <c r="P43" s="960"/>
      <c r="Q43" s="960"/>
      <c r="R43" s="960"/>
      <c r="S43" s="960"/>
      <c r="T43" s="960"/>
      <c r="U43" s="960"/>
      <c r="V43" s="960"/>
      <c r="W43" s="960"/>
      <c r="X43" s="960"/>
      <c r="Y43" s="960"/>
      <c r="Z43" s="960"/>
      <c r="AA43" s="960"/>
      <c r="AB43" s="928"/>
      <c r="AC43" s="928"/>
      <c r="AD43" s="928"/>
      <c r="AE43" s="928"/>
      <c r="AF43" s="928"/>
      <c r="AG43" s="928"/>
      <c r="AH43" s="928"/>
      <c r="AI43" s="928"/>
      <c r="AJ43" s="928"/>
      <c r="AK43" s="928"/>
      <c r="AL43" s="928"/>
      <c r="AM43" s="928"/>
      <c r="AN43" s="928"/>
      <c r="AO43" s="928"/>
      <c r="AP43" s="928"/>
      <c r="AQ43" s="928"/>
      <c r="AR43" s="928"/>
      <c r="AS43" s="928"/>
    </row>
    <row r="44" spans="11:45">
      <c r="K44" s="957"/>
      <c r="L44" s="928"/>
      <c r="M44" s="928"/>
      <c r="N44" s="960"/>
      <c r="O44" s="960"/>
      <c r="P44" s="960"/>
      <c r="Q44" s="960"/>
      <c r="R44" s="960"/>
      <c r="S44" s="960"/>
      <c r="T44" s="960"/>
      <c r="U44" s="960"/>
      <c r="V44" s="960"/>
      <c r="W44" s="960"/>
      <c r="X44" s="960"/>
      <c r="Y44" s="960"/>
      <c r="Z44" s="960"/>
      <c r="AA44" s="960"/>
      <c r="AB44" s="928"/>
      <c r="AC44" s="928"/>
      <c r="AD44" s="928"/>
      <c r="AE44" s="928"/>
      <c r="AF44" s="928"/>
      <c r="AG44" s="928"/>
      <c r="AH44" s="928"/>
      <c r="AI44" s="928"/>
      <c r="AJ44" s="928"/>
      <c r="AK44" s="928"/>
      <c r="AL44" s="928"/>
      <c r="AM44" s="928"/>
      <c r="AN44" s="928"/>
      <c r="AO44" s="928"/>
      <c r="AP44" s="928"/>
      <c r="AQ44" s="928"/>
      <c r="AR44" s="928"/>
      <c r="AS44" s="928"/>
    </row>
    <row r="45" spans="11:45">
      <c r="K45" s="957"/>
      <c r="L45" s="928"/>
      <c r="M45" s="928"/>
      <c r="N45" s="960"/>
      <c r="O45" s="960"/>
      <c r="P45" s="960"/>
      <c r="Q45" s="960"/>
      <c r="R45" s="960"/>
      <c r="S45" s="960"/>
      <c r="T45" s="960"/>
      <c r="U45" s="960"/>
      <c r="V45" s="960"/>
      <c r="W45" s="960"/>
      <c r="X45" s="960"/>
      <c r="Y45" s="960"/>
      <c r="Z45" s="960"/>
      <c r="AA45" s="960"/>
      <c r="AB45" s="928"/>
      <c r="AC45" s="928"/>
      <c r="AD45" s="928"/>
      <c r="AE45" s="928"/>
      <c r="AF45" s="928"/>
      <c r="AG45" s="928"/>
      <c r="AH45" s="928"/>
      <c r="AI45" s="928"/>
      <c r="AJ45" s="928"/>
      <c r="AK45" s="928"/>
      <c r="AL45" s="928"/>
      <c r="AM45" s="928"/>
      <c r="AN45" s="928"/>
      <c r="AO45" s="928"/>
      <c r="AP45" s="928"/>
      <c r="AQ45" s="928"/>
      <c r="AR45" s="928"/>
      <c r="AS45" s="928"/>
    </row>
    <row r="46" spans="11:45">
      <c r="K46" s="957"/>
      <c r="L46" s="928"/>
      <c r="M46" s="928"/>
      <c r="N46" s="960"/>
      <c r="O46" s="960"/>
      <c r="P46" s="960"/>
      <c r="Q46" s="960"/>
      <c r="R46" s="960"/>
      <c r="S46" s="960"/>
      <c r="T46" s="960"/>
      <c r="U46" s="960"/>
      <c r="V46" s="960"/>
      <c r="W46" s="960"/>
      <c r="X46" s="960"/>
      <c r="Y46" s="960"/>
      <c r="Z46" s="960"/>
      <c r="AA46" s="960"/>
      <c r="AB46" s="928"/>
      <c r="AC46" s="928"/>
      <c r="AD46" s="928"/>
      <c r="AE46" s="928"/>
      <c r="AF46" s="928"/>
      <c r="AG46" s="928"/>
      <c r="AH46" s="928"/>
      <c r="AI46" s="928"/>
      <c r="AJ46" s="928"/>
      <c r="AK46" s="928"/>
      <c r="AL46" s="928"/>
      <c r="AM46" s="928"/>
      <c r="AN46" s="928"/>
      <c r="AO46" s="928"/>
      <c r="AP46" s="928"/>
      <c r="AQ46" s="928"/>
      <c r="AR46" s="928"/>
      <c r="AS46" s="928"/>
    </row>
    <row r="47" spans="11:45">
      <c r="K47" s="957"/>
      <c r="L47" s="928"/>
      <c r="M47" s="928"/>
      <c r="N47" s="960"/>
      <c r="O47" s="960"/>
      <c r="P47" s="960"/>
      <c r="Q47" s="960"/>
      <c r="R47" s="960"/>
      <c r="S47" s="960"/>
      <c r="T47" s="960"/>
      <c r="U47" s="960"/>
      <c r="V47" s="960"/>
      <c r="W47" s="960"/>
      <c r="X47" s="960"/>
      <c r="Y47" s="960"/>
      <c r="Z47" s="960"/>
      <c r="AA47" s="960"/>
      <c r="AB47" s="928"/>
      <c r="AC47" s="928"/>
      <c r="AD47" s="928"/>
      <c r="AE47" s="928"/>
      <c r="AF47" s="928"/>
      <c r="AG47" s="928"/>
      <c r="AH47" s="928"/>
      <c r="AI47" s="928"/>
      <c r="AJ47" s="928"/>
      <c r="AK47" s="928"/>
      <c r="AL47" s="928"/>
      <c r="AM47" s="928"/>
      <c r="AN47" s="928"/>
      <c r="AO47" s="928"/>
      <c r="AP47" s="928"/>
      <c r="AQ47" s="928"/>
      <c r="AR47" s="928"/>
      <c r="AS47" s="928"/>
    </row>
    <row r="48" spans="11:45">
      <c r="K48" s="957"/>
      <c r="L48" s="928"/>
      <c r="M48" s="928"/>
      <c r="N48" s="960"/>
      <c r="O48" s="960"/>
      <c r="P48" s="960"/>
      <c r="Q48" s="960"/>
      <c r="R48" s="960"/>
      <c r="S48" s="960"/>
      <c r="T48" s="960"/>
      <c r="U48" s="960"/>
      <c r="V48" s="960"/>
      <c r="W48" s="960"/>
      <c r="X48" s="960"/>
      <c r="Y48" s="960"/>
      <c r="Z48" s="960"/>
      <c r="AA48" s="960"/>
      <c r="AB48" s="928"/>
      <c r="AC48" s="928"/>
      <c r="AD48" s="928"/>
      <c r="AE48" s="928"/>
      <c r="AF48" s="928"/>
      <c r="AG48" s="928"/>
      <c r="AH48" s="928"/>
      <c r="AI48" s="928"/>
      <c r="AJ48" s="928"/>
      <c r="AK48" s="928"/>
      <c r="AL48" s="928"/>
      <c r="AM48" s="928"/>
      <c r="AN48" s="928"/>
      <c r="AO48" s="928"/>
      <c r="AP48" s="928"/>
      <c r="AQ48" s="928"/>
      <c r="AR48" s="928"/>
      <c r="AS48" s="928"/>
    </row>
    <row r="49" spans="11:45">
      <c r="K49" s="957"/>
      <c r="L49" s="928"/>
      <c r="M49" s="928"/>
      <c r="N49" s="960"/>
      <c r="O49" s="960"/>
      <c r="P49" s="960"/>
      <c r="Q49" s="960"/>
      <c r="R49" s="960"/>
      <c r="S49" s="960"/>
      <c r="T49" s="960"/>
      <c r="U49" s="960"/>
      <c r="V49" s="960"/>
      <c r="W49" s="960"/>
      <c r="X49" s="960"/>
      <c r="Y49" s="960"/>
      <c r="Z49" s="960"/>
      <c r="AA49" s="960"/>
      <c r="AB49" s="928"/>
      <c r="AC49" s="928"/>
      <c r="AD49" s="928"/>
      <c r="AE49" s="928"/>
      <c r="AF49" s="928"/>
      <c r="AG49" s="928"/>
      <c r="AH49" s="928"/>
      <c r="AI49" s="928"/>
      <c r="AJ49" s="928"/>
      <c r="AK49" s="928"/>
      <c r="AL49" s="928"/>
      <c r="AM49" s="928"/>
      <c r="AN49" s="928"/>
      <c r="AO49" s="928"/>
      <c r="AP49" s="928"/>
      <c r="AQ49" s="928"/>
      <c r="AR49" s="928"/>
      <c r="AS49" s="928"/>
    </row>
    <row r="50" spans="11:45">
      <c r="K50" s="957"/>
      <c r="L50" s="928"/>
      <c r="M50" s="928"/>
      <c r="N50" s="960"/>
      <c r="O50" s="960"/>
      <c r="P50" s="960"/>
      <c r="Q50" s="960"/>
      <c r="R50" s="960"/>
      <c r="S50" s="960"/>
      <c r="T50" s="960"/>
      <c r="U50" s="960"/>
      <c r="V50" s="960"/>
      <c r="W50" s="960"/>
      <c r="X50" s="960"/>
      <c r="Y50" s="960"/>
      <c r="Z50" s="960"/>
      <c r="AA50" s="960"/>
      <c r="AB50" s="928"/>
      <c r="AC50" s="928"/>
      <c r="AD50" s="928"/>
      <c r="AE50" s="928"/>
      <c r="AF50" s="928"/>
      <c r="AG50" s="928"/>
      <c r="AH50" s="928"/>
      <c r="AI50" s="928"/>
      <c r="AJ50" s="928"/>
      <c r="AK50" s="928"/>
      <c r="AL50" s="928"/>
      <c r="AM50" s="928"/>
      <c r="AN50" s="928"/>
      <c r="AO50" s="928"/>
      <c r="AP50" s="928"/>
      <c r="AQ50" s="928"/>
      <c r="AR50" s="928"/>
      <c r="AS50" s="928"/>
    </row>
    <row r="51" spans="11:45">
      <c r="K51" s="957"/>
      <c r="L51" s="928"/>
      <c r="M51" s="928"/>
      <c r="N51" s="960"/>
      <c r="O51" s="960"/>
      <c r="P51" s="960"/>
      <c r="Q51" s="960"/>
      <c r="R51" s="960"/>
      <c r="S51" s="960"/>
      <c r="T51" s="960"/>
      <c r="U51" s="960"/>
      <c r="V51" s="960"/>
      <c r="W51" s="960"/>
      <c r="X51" s="960"/>
      <c r="Y51" s="960"/>
      <c r="Z51" s="960"/>
      <c r="AA51" s="960"/>
      <c r="AB51" s="928"/>
      <c r="AC51" s="928"/>
      <c r="AD51" s="928"/>
      <c r="AE51" s="928"/>
      <c r="AF51" s="928"/>
      <c r="AG51" s="928"/>
      <c r="AH51" s="928"/>
      <c r="AI51" s="928"/>
      <c r="AJ51" s="928"/>
      <c r="AK51" s="928"/>
      <c r="AL51" s="928"/>
      <c r="AM51" s="928"/>
      <c r="AN51" s="928"/>
      <c r="AO51" s="928"/>
      <c r="AP51" s="928"/>
      <c r="AQ51" s="928"/>
      <c r="AR51" s="928"/>
      <c r="AS51" s="928"/>
    </row>
    <row r="52" spans="11:45">
      <c r="K52" s="957"/>
      <c r="L52" s="928"/>
      <c r="M52" s="928"/>
      <c r="N52" s="960"/>
      <c r="O52" s="960"/>
      <c r="P52" s="960"/>
      <c r="Q52" s="960"/>
      <c r="R52" s="960"/>
      <c r="S52" s="960"/>
      <c r="T52" s="960"/>
      <c r="U52" s="960"/>
      <c r="V52" s="960"/>
      <c r="W52" s="960"/>
      <c r="X52" s="960"/>
      <c r="Y52" s="960"/>
      <c r="Z52" s="960"/>
      <c r="AA52" s="960"/>
      <c r="AB52" s="928"/>
      <c r="AC52" s="928"/>
      <c r="AD52" s="928"/>
      <c r="AE52" s="928"/>
      <c r="AF52" s="928"/>
      <c r="AG52" s="928"/>
      <c r="AH52" s="928"/>
      <c r="AI52" s="928"/>
      <c r="AJ52" s="928"/>
      <c r="AK52" s="928"/>
      <c r="AL52" s="928"/>
      <c r="AM52" s="928"/>
      <c r="AN52" s="928"/>
      <c r="AO52" s="928"/>
      <c r="AP52" s="928"/>
      <c r="AQ52" s="928"/>
      <c r="AR52" s="928"/>
      <c r="AS52" s="928"/>
    </row>
    <row r="53" spans="11:45">
      <c r="K53" s="957"/>
      <c r="L53" s="928"/>
      <c r="M53" s="928"/>
      <c r="N53" s="960"/>
      <c r="O53" s="960"/>
      <c r="P53" s="960"/>
      <c r="Q53" s="960"/>
      <c r="R53" s="960"/>
      <c r="S53" s="960"/>
      <c r="T53" s="960"/>
      <c r="U53" s="960"/>
      <c r="V53" s="960"/>
      <c r="W53" s="960"/>
      <c r="X53" s="960"/>
      <c r="Y53" s="960"/>
      <c r="Z53" s="960"/>
      <c r="AA53" s="960"/>
      <c r="AB53" s="928"/>
      <c r="AC53" s="928"/>
      <c r="AD53" s="928"/>
      <c r="AE53" s="928"/>
      <c r="AF53" s="928"/>
      <c r="AG53" s="928"/>
      <c r="AH53" s="928"/>
      <c r="AI53" s="928"/>
      <c r="AJ53" s="928"/>
      <c r="AK53" s="928"/>
      <c r="AL53" s="928"/>
      <c r="AM53" s="928"/>
      <c r="AN53" s="928"/>
      <c r="AO53" s="928"/>
      <c r="AP53" s="928"/>
      <c r="AQ53" s="928"/>
      <c r="AR53" s="928"/>
      <c r="AS53" s="928"/>
    </row>
    <row r="54" spans="11:45">
      <c r="K54" s="957"/>
      <c r="L54" s="928"/>
      <c r="M54" s="928"/>
      <c r="N54" s="960"/>
      <c r="O54" s="960"/>
      <c r="P54" s="960"/>
      <c r="Q54" s="960"/>
      <c r="R54" s="960"/>
      <c r="S54" s="960"/>
      <c r="T54" s="960"/>
      <c r="U54" s="960"/>
      <c r="V54" s="960"/>
      <c r="W54" s="960"/>
      <c r="X54" s="960"/>
      <c r="Y54" s="960"/>
      <c r="Z54" s="960"/>
      <c r="AA54" s="960"/>
      <c r="AB54" s="928"/>
      <c r="AC54" s="928"/>
      <c r="AD54" s="928"/>
      <c r="AE54" s="928"/>
      <c r="AF54" s="928"/>
      <c r="AG54" s="928"/>
      <c r="AH54" s="928"/>
      <c r="AI54" s="928"/>
      <c r="AJ54" s="928"/>
      <c r="AK54" s="928"/>
      <c r="AL54" s="928"/>
      <c r="AM54" s="928"/>
      <c r="AN54" s="928"/>
      <c r="AO54" s="928"/>
      <c r="AP54" s="928"/>
      <c r="AQ54" s="928"/>
      <c r="AR54" s="928"/>
      <c r="AS54" s="928"/>
    </row>
    <row r="55" spans="11:45">
      <c r="K55" s="957"/>
      <c r="L55" s="928"/>
      <c r="M55" s="928"/>
      <c r="N55" s="960"/>
      <c r="O55" s="960"/>
      <c r="P55" s="960"/>
      <c r="Q55" s="960"/>
      <c r="R55" s="960"/>
      <c r="S55" s="960"/>
      <c r="T55" s="960"/>
      <c r="U55" s="960"/>
      <c r="V55" s="960"/>
      <c r="W55" s="960"/>
      <c r="X55" s="960"/>
      <c r="Y55" s="960"/>
      <c r="Z55" s="960"/>
      <c r="AA55" s="960"/>
      <c r="AB55" s="928"/>
      <c r="AC55" s="928"/>
      <c r="AD55" s="928"/>
      <c r="AE55" s="928"/>
      <c r="AF55" s="928"/>
      <c r="AG55" s="928"/>
      <c r="AH55" s="928"/>
      <c r="AI55" s="928"/>
      <c r="AJ55" s="928"/>
      <c r="AK55" s="928"/>
      <c r="AL55" s="928"/>
      <c r="AM55" s="928"/>
      <c r="AN55" s="928"/>
      <c r="AO55" s="928"/>
      <c r="AP55" s="928"/>
      <c r="AQ55" s="928"/>
      <c r="AR55" s="928"/>
      <c r="AS55" s="928"/>
    </row>
    <row r="56" spans="11:45">
      <c r="K56" s="957"/>
      <c r="L56" s="928"/>
      <c r="M56" s="928"/>
      <c r="N56" s="960"/>
      <c r="O56" s="960"/>
      <c r="P56" s="960"/>
      <c r="Q56" s="960"/>
      <c r="R56" s="960"/>
      <c r="S56" s="960"/>
      <c r="T56" s="960"/>
      <c r="U56" s="960"/>
      <c r="V56" s="960"/>
      <c r="W56" s="960"/>
      <c r="X56" s="960"/>
      <c r="Y56" s="960"/>
      <c r="Z56" s="960"/>
      <c r="AA56" s="960"/>
      <c r="AB56" s="928"/>
      <c r="AC56" s="928"/>
      <c r="AD56" s="928"/>
      <c r="AE56" s="928"/>
      <c r="AF56" s="928"/>
      <c r="AG56" s="928"/>
      <c r="AH56" s="928"/>
      <c r="AI56" s="928"/>
      <c r="AJ56" s="928"/>
      <c r="AK56" s="928"/>
      <c r="AL56" s="928"/>
      <c r="AM56" s="928"/>
      <c r="AN56" s="928"/>
      <c r="AO56" s="928"/>
      <c r="AP56" s="928"/>
      <c r="AQ56" s="928"/>
      <c r="AR56" s="928"/>
      <c r="AS56" s="928"/>
    </row>
    <row r="57" spans="11:45">
      <c r="K57" s="957"/>
      <c r="L57" s="928"/>
      <c r="M57" s="928"/>
      <c r="N57" s="960"/>
      <c r="O57" s="960"/>
      <c r="P57" s="960"/>
      <c r="Q57" s="960"/>
      <c r="R57" s="960"/>
      <c r="S57" s="960"/>
      <c r="T57" s="960"/>
      <c r="U57" s="960"/>
      <c r="V57" s="960"/>
      <c r="W57" s="960"/>
      <c r="X57" s="960"/>
      <c r="Y57" s="960"/>
      <c r="Z57" s="960"/>
      <c r="AA57" s="960"/>
      <c r="AB57" s="928"/>
      <c r="AC57" s="928"/>
      <c r="AD57" s="928"/>
      <c r="AE57" s="928"/>
      <c r="AF57" s="928"/>
      <c r="AG57" s="928"/>
      <c r="AH57" s="928"/>
      <c r="AI57" s="928"/>
      <c r="AJ57" s="928"/>
      <c r="AK57" s="928"/>
      <c r="AL57" s="928"/>
      <c r="AM57" s="928"/>
      <c r="AN57" s="928"/>
      <c r="AO57" s="928"/>
      <c r="AP57" s="928"/>
      <c r="AQ57" s="928"/>
      <c r="AR57" s="928"/>
      <c r="AS57" s="928"/>
    </row>
    <row r="58" spans="11:45">
      <c r="K58" s="957"/>
      <c r="L58" s="928"/>
      <c r="M58" s="928"/>
      <c r="N58" s="960"/>
      <c r="O58" s="960"/>
      <c r="P58" s="960"/>
      <c r="Q58" s="960"/>
      <c r="R58" s="960"/>
      <c r="S58" s="960"/>
      <c r="T58" s="960"/>
      <c r="U58" s="960"/>
      <c r="V58" s="960"/>
      <c r="W58" s="960"/>
      <c r="X58" s="960"/>
      <c r="Y58" s="960"/>
      <c r="Z58" s="960"/>
      <c r="AA58" s="960"/>
      <c r="AB58" s="928"/>
      <c r="AC58" s="928"/>
      <c r="AD58" s="928"/>
      <c r="AE58" s="928"/>
      <c r="AF58" s="928"/>
      <c r="AG58" s="928"/>
      <c r="AH58" s="928"/>
      <c r="AI58" s="928"/>
      <c r="AJ58" s="928"/>
      <c r="AK58" s="928"/>
      <c r="AL58" s="928"/>
      <c r="AM58" s="928"/>
      <c r="AN58" s="928"/>
      <c r="AO58" s="928"/>
      <c r="AP58" s="928"/>
      <c r="AQ58" s="928"/>
      <c r="AR58" s="928"/>
      <c r="AS58" s="928"/>
    </row>
    <row r="59" spans="11:45">
      <c r="K59" s="957"/>
      <c r="L59" s="928"/>
      <c r="M59" s="928"/>
      <c r="N59" s="960"/>
      <c r="O59" s="960"/>
      <c r="P59" s="960"/>
      <c r="Q59" s="960"/>
      <c r="R59" s="960"/>
      <c r="S59" s="960"/>
      <c r="T59" s="960"/>
      <c r="U59" s="960"/>
      <c r="V59" s="960"/>
      <c r="W59" s="960"/>
      <c r="X59" s="960"/>
      <c r="Y59" s="960"/>
      <c r="Z59" s="960"/>
      <c r="AA59" s="960"/>
      <c r="AB59" s="928"/>
      <c r="AC59" s="928"/>
      <c r="AD59" s="928"/>
      <c r="AE59" s="928"/>
      <c r="AF59" s="928"/>
      <c r="AG59" s="928"/>
      <c r="AH59" s="928"/>
      <c r="AI59" s="928"/>
      <c r="AJ59" s="928"/>
      <c r="AK59" s="928"/>
      <c r="AL59" s="928"/>
      <c r="AM59" s="928"/>
      <c r="AN59" s="928"/>
      <c r="AO59" s="928"/>
      <c r="AP59" s="928"/>
      <c r="AQ59" s="928"/>
      <c r="AR59" s="928"/>
      <c r="AS59" s="928"/>
    </row>
    <row r="60" spans="11:45">
      <c r="K60" s="957"/>
      <c r="L60" s="928"/>
      <c r="M60" s="928"/>
      <c r="N60" s="960"/>
      <c r="O60" s="960"/>
      <c r="P60" s="960"/>
      <c r="Q60" s="960"/>
      <c r="R60" s="960"/>
      <c r="S60" s="960"/>
      <c r="T60" s="960"/>
      <c r="U60" s="960"/>
      <c r="V60" s="960"/>
      <c r="W60" s="960"/>
      <c r="X60" s="960"/>
      <c r="Y60" s="960"/>
      <c r="Z60" s="960"/>
      <c r="AA60" s="960"/>
      <c r="AB60" s="928"/>
      <c r="AC60" s="928"/>
      <c r="AD60" s="928"/>
      <c r="AE60" s="928"/>
      <c r="AF60" s="928"/>
      <c r="AG60" s="928"/>
      <c r="AH60" s="928"/>
      <c r="AI60" s="928"/>
      <c r="AJ60" s="928"/>
      <c r="AK60" s="928"/>
      <c r="AL60" s="928"/>
      <c r="AM60" s="928"/>
      <c r="AN60" s="928"/>
      <c r="AO60" s="928"/>
      <c r="AP60" s="928"/>
      <c r="AQ60" s="928"/>
      <c r="AR60" s="928"/>
      <c r="AS60" s="928"/>
    </row>
    <row r="61" spans="11:45">
      <c r="K61" s="957"/>
      <c r="L61" s="928"/>
      <c r="M61" s="928"/>
      <c r="N61" s="960"/>
      <c r="O61" s="960"/>
      <c r="P61" s="960"/>
      <c r="Q61" s="960"/>
      <c r="R61" s="960"/>
      <c r="S61" s="960"/>
      <c r="T61" s="960"/>
      <c r="U61" s="960"/>
      <c r="V61" s="960"/>
      <c r="W61" s="960"/>
      <c r="X61" s="960"/>
      <c r="Y61" s="960"/>
      <c r="Z61" s="960"/>
      <c r="AA61" s="960"/>
      <c r="AB61" s="928"/>
      <c r="AC61" s="928"/>
      <c r="AD61" s="928"/>
      <c r="AE61" s="928"/>
      <c r="AF61" s="928"/>
      <c r="AG61" s="928"/>
      <c r="AH61" s="928"/>
      <c r="AI61" s="928"/>
      <c r="AJ61" s="928"/>
      <c r="AK61" s="928"/>
      <c r="AL61" s="928"/>
      <c r="AM61" s="928"/>
      <c r="AN61" s="928"/>
      <c r="AO61" s="928"/>
      <c r="AP61" s="928"/>
      <c r="AQ61" s="928"/>
      <c r="AR61" s="928"/>
      <c r="AS61" s="928"/>
    </row>
    <row r="62" spans="11:45">
      <c r="K62" s="957"/>
      <c r="L62" s="928"/>
      <c r="M62" s="928"/>
      <c r="N62" s="960"/>
      <c r="O62" s="960"/>
      <c r="P62" s="960"/>
      <c r="Q62" s="960"/>
      <c r="R62" s="960"/>
      <c r="S62" s="960"/>
      <c r="T62" s="960"/>
      <c r="U62" s="960"/>
      <c r="V62" s="960"/>
      <c r="W62" s="960"/>
      <c r="X62" s="960"/>
      <c r="Y62" s="960"/>
      <c r="Z62" s="960"/>
      <c r="AA62" s="960"/>
      <c r="AB62" s="928"/>
      <c r="AC62" s="928"/>
      <c r="AD62" s="928"/>
      <c r="AE62" s="928"/>
      <c r="AF62" s="928"/>
      <c r="AG62" s="928"/>
      <c r="AH62" s="928"/>
      <c r="AI62" s="928"/>
      <c r="AJ62" s="928"/>
      <c r="AK62" s="928"/>
      <c r="AL62" s="928"/>
      <c r="AM62" s="928"/>
      <c r="AN62" s="928"/>
      <c r="AO62" s="928"/>
      <c r="AP62" s="928"/>
      <c r="AQ62" s="928"/>
      <c r="AR62" s="928"/>
      <c r="AS62" s="928"/>
    </row>
    <row r="63" spans="11:45">
      <c r="K63" s="957"/>
      <c r="L63" s="928"/>
      <c r="M63" s="928"/>
      <c r="N63" s="960"/>
      <c r="O63" s="960"/>
      <c r="P63" s="960"/>
      <c r="Q63" s="960"/>
      <c r="R63" s="960"/>
      <c r="S63" s="960"/>
      <c r="T63" s="960"/>
      <c r="U63" s="960"/>
      <c r="V63" s="960"/>
      <c r="W63" s="960"/>
      <c r="X63" s="960"/>
      <c r="Y63" s="960"/>
      <c r="Z63" s="960"/>
      <c r="AA63" s="960"/>
      <c r="AB63" s="928"/>
      <c r="AC63" s="928"/>
      <c r="AD63" s="928"/>
      <c r="AE63" s="928"/>
      <c r="AF63" s="928"/>
      <c r="AG63" s="928"/>
      <c r="AH63" s="928"/>
      <c r="AI63" s="928"/>
      <c r="AJ63" s="928"/>
      <c r="AK63" s="928"/>
      <c r="AL63" s="928"/>
      <c r="AM63" s="928"/>
      <c r="AN63" s="928"/>
      <c r="AO63" s="928"/>
      <c r="AP63" s="928"/>
      <c r="AQ63" s="928"/>
      <c r="AR63" s="928"/>
      <c r="AS63" s="928"/>
    </row>
    <row r="64" spans="11:45">
      <c r="K64" s="957"/>
      <c r="L64" s="928"/>
      <c r="M64" s="928"/>
      <c r="N64" s="960"/>
      <c r="O64" s="960"/>
      <c r="P64" s="960"/>
      <c r="Q64" s="960"/>
      <c r="R64" s="960"/>
      <c r="S64" s="960"/>
      <c r="T64" s="960"/>
      <c r="U64" s="960"/>
      <c r="V64" s="960"/>
      <c r="W64" s="960"/>
      <c r="X64" s="960"/>
      <c r="Y64" s="960"/>
      <c r="Z64" s="960"/>
      <c r="AA64" s="960"/>
      <c r="AB64" s="928"/>
      <c r="AC64" s="928"/>
      <c r="AD64" s="928"/>
      <c r="AE64" s="928"/>
      <c r="AF64" s="928"/>
      <c r="AG64" s="928"/>
      <c r="AH64" s="928"/>
      <c r="AI64" s="928"/>
      <c r="AJ64" s="928"/>
      <c r="AK64" s="928"/>
      <c r="AL64" s="928"/>
      <c r="AM64" s="928"/>
      <c r="AN64" s="928"/>
      <c r="AO64" s="928"/>
      <c r="AP64" s="928"/>
      <c r="AQ64" s="928"/>
      <c r="AR64" s="928"/>
      <c r="AS64" s="928"/>
    </row>
    <row r="65" spans="11:45">
      <c r="K65" s="957"/>
      <c r="L65" s="928"/>
      <c r="M65" s="928"/>
      <c r="N65" s="960"/>
      <c r="O65" s="960"/>
      <c r="P65" s="960"/>
      <c r="Q65" s="960"/>
      <c r="R65" s="960"/>
      <c r="S65" s="960"/>
      <c r="T65" s="960"/>
      <c r="U65" s="960"/>
      <c r="V65" s="960"/>
      <c r="W65" s="960"/>
      <c r="X65" s="960"/>
      <c r="Y65" s="960"/>
      <c r="Z65" s="960"/>
      <c r="AA65" s="960"/>
      <c r="AB65" s="928"/>
      <c r="AC65" s="928"/>
      <c r="AD65" s="928"/>
      <c r="AE65" s="928"/>
      <c r="AF65" s="928"/>
      <c r="AG65" s="928"/>
      <c r="AH65" s="928"/>
      <c r="AI65" s="928"/>
      <c r="AJ65" s="928"/>
      <c r="AK65" s="928"/>
      <c r="AL65" s="928"/>
      <c r="AM65" s="928"/>
      <c r="AN65" s="928"/>
      <c r="AO65" s="928"/>
      <c r="AP65" s="928"/>
      <c r="AQ65" s="928"/>
      <c r="AR65" s="928"/>
      <c r="AS65" s="928"/>
    </row>
    <row r="66" spans="11:45">
      <c r="K66" s="957"/>
      <c r="L66" s="928"/>
      <c r="M66" s="928"/>
      <c r="N66" s="960"/>
      <c r="O66" s="960"/>
      <c r="P66" s="960"/>
      <c r="Q66" s="960"/>
      <c r="R66" s="960"/>
      <c r="S66" s="960"/>
      <c r="T66" s="960"/>
      <c r="U66" s="960"/>
      <c r="V66" s="960"/>
      <c r="W66" s="960"/>
      <c r="X66" s="960"/>
      <c r="Y66" s="960"/>
      <c r="Z66" s="960"/>
      <c r="AA66" s="960"/>
      <c r="AB66" s="928"/>
      <c r="AC66" s="928"/>
      <c r="AD66" s="928"/>
      <c r="AE66" s="928"/>
      <c r="AF66" s="928"/>
      <c r="AG66" s="928"/>
      <c r="AH66" s="928"/>
      <c r="AI66" s="928"/>
      <c r="AJ66" s="928"/>
      <c r="AK66" s="928"/>
      <c r="AL66" s="928"/>
      <c r="AM66" s="928"/>
      <c r="AN66" s="928"/>
      <c r="AO66" s="928"/>
      <c r="AP66" s="928"/>
      <c r="AQ66" s="928"/>
      <c r="AR66" s="928"/>
      <c r="AS66" s="928"/>
    </row>
    <row r="67" spans="11:45">
      <c r="K67" s="957"/>
      <c r="L67" s="928"/>
      <c r="M67" s="928"/>
      <c r="N67" s="960"/>
      <c r="O67" s="960"/>
      <c r="P67" s="960"/>
      <c r="Q67" s="960"/>
      <c r="R67" s="960"/>
      <c r="S67" s="960"/>
      <c r="T67" s="960"/>
      <c r="U67" s="960"/>
      <c r="V67" s="960"/>
      <c r="W67" s="960"/>
      <c r="X67" s="960"/>
      <c r="Y67" s="960"/>
      <c r="Z67" s="960"/>
      <c r="AA67" s="960"/>
      <c r="AB67" s="928"/>
      <c r="AC67" s="928"/>
      <c r="AD67" s="928"/>
      <c r="AE67" s="928"/>
      <c r="AF67" s="928"/>
      <c r="AG67" s="928"/>
      <c r="AH67" s="928"/>
      <c r="AI67" s="928"/>
      <c r="AJ67" s="928"/>
      <c r="AK67" s="928"/>
      <c r="AL67" s="928"/>
      <c r="AM67" s="928"/>
      <c r="AN67" s="928"/>
      <c r="AO67" s="928"/>
      <c r="AP67" s="928"/>
      <c r="AQ67" s="928"/>
      <c r="AR67" s="928"/>
      <c r="AS67" s="928"/>
    </row>
    <row r="68" spans="11:45">
      <c r="K68" s="957"/>
      <c r="L68" s="928"/>
      <c r="M68" s="928"/>
      <c r="N68" s="960"/>
      <c r="O68" s="960"/>
      <c r="P68" s="960"/>
      <c r="Q68" s="960"/>
      <c r="R68" s="960"/>
      <c r="S68" s="960"/>
      <c r="T68" s="960"/>
      <c r="U68" s="960"/>
      <c r="V68" s="960"/>
      <c r="W68" s="960"/>
      <c r="X68" s="960"/>
      <c r="Y68" s="960"/>
      <c r="Z68" s="960"/>
      <c r="AA68" s="960"/>
      <c r="AB68" s="928"/>
      <c r="AC68" s="928"/>
      <c r="AD68" s="928"/>
      <c r="AE68" s="928"/>
      <c r="AF68" s="928"/>
      <c r="AG68" s="928"/>
      <c r="AH68" s="928"/>
      <c r="AI68" s="928"/>
      <c r="AJ68" s="928"/>
      <c r="AK68" s="928"/>
      <c r="AL68" s="928"/>
      <c r="AM68" s="928"/>
      <c r="AN68" s="928"/>
      <c r="AO68" s="928"/>
      <c r="AP68" s="928"/>
      <c r="AQ68" s="928"/>
      <c r="AR68" s="928"/>
      <c r="AS68" s="928"/>
    </row>
    <row r="69" spans="11:45">
      <c r="K69" s="957"/>
      <c r="L69" s="928"/>
      <c r="M69" s="928"/>
      <c r="N69" s="960"/>
      <c r="O69" s="960"/>
      <c r="P69" s="960"/>
      <c r="Q69" s="960"/>
      <c r="R69" s="960"/>
      <c r="S69" s="960"/>
      <c r="T69" s="960"/>
      <c r="U69" s="960"/>
      <c r="V69" s="960"/>
      <c r="W69" s="960"/>
      <c r="X69" s="960"/>
      <c r="Y69" s="960"/>
      <c r="Z69" s="960"/>
      <c r="AA69" s="960"/>
      <c r="AB69" s="928"/>
      <c r="AC69" s="928"/>
      <c r="AD69" s="928"/>
      <c r="AE69" s="928"/>
      <c r="AF69" s="928"/>
      <c r="AG69" s="928"/>
      <c r="AH69" s="928"/>
      <c r="AI69" s="928"/>
      <c r="AJ69" s="928"/>
      <c r="AK69" s="928"/>
      <c r="AL69" s="928"/>
      <c r="AM69" s="928"/>
      <c r="AN69" s="928"/>
      <c r="AO69" s="928"/>
      <c r="AP69" s="928"/>
      <c r="AQ69" s="928"/>
      <c r="AR69" s="928"/>
      <c r="AS69" s="928"/>
    </row>
    <row r="70" spans="11:45">
      <c r="K70" s="957"/>
      <c r="L70" s="928"/>
      <c r="M70" s="928"/>
      <c r="N70" s="960"/>
      <c r="O70" s="960"/>
      <c r="P70" s="960"/>
      <c r="Q70" s="960"/>
      <c r="R70" s="960"/>
      <c r="S70" s="960"/>
      <c r="T70" s="960"/>
      <c r="U70" s="960"/>
      <c r="V70" s="960"/>
      <c r="W70" s="960"/>
      <c r="X70" s="960"/>
      <c r="Y70" s="960"/>
      <c r="Z70" s="960"/>
      <c r="AA70" s="960"/>
      <c r="AB70" s="928"/>
      <c r="AC70" s="928"/>
      <c r="AD70" s="928"/>
      <c r="AE70" s="928"/>
      <c r="AF70" s="928"/>
      <c r="AG70" s="928"/>
      <c r="AH70" s="928"/>
      <c r="AI70" s="928"/>
      <c r="AJ70" s="928"/>
      <c r="AK70" s="928"/>
      <c r="AL70" s="928"/>
      <c r="AM70" s="928"/>
      <c r="AN70" s="928"/>
      <c r="AO70" s="928"/>
      <c r="AP70" s="928"/>
      <c r="AQ70" s="928"/>
      <c r="AR70" s="928"/>
      <c r="AS70" s="928"/>
    </row>
    <row r="71" spans="11:45">
      <c r="K71" s="957"/>
      <c r="L71" s="928"/>
      <c r="M71" s="928"/>
      <c r="N71" s="960"/>
      <c r="O71" s="960"/>
      <c r="P71" s="960"/>
      <c r="Q71" s="960"/>
      <c r="R71" s="960"/>
      <c r="S71" s="960"/>
      <c r="T71" s="960"/>
      <c r="U71" s="960"/>
      <c r="V71" s="960"/>
      <c r="W71" s="960"/>
      <c r="X71" s="960"/>
      <c r="Y71" s="960"/>
      <c r="Z71" s="960"/>
      <c r="AA71" s="960"/>
      <c r="AB71" s="928"/>
      <c r="AC71" s="928"/>
      <c r="AD71" s="928"/>
      <c r="AE71" s="928"/>
      <c r="AF71" s="928"/>
      <c r="AG71" s="928"/>
      <c r="AH71" s="928"/>
      <c r="AI71" s="928"/>
      <c r="AJ71" s="928"/>
      <c r="AK71" s="928"/>
      <c r="AL71" s="928"/>
      <c r="AM71" s="928"/>
      <c r="AN71" s="928"/>
      <c r="AO71" s="928"/>
      <c r="AP71" s="928"/>
      <c r="AQ71" s="928"/>
      <c r="AR71" s="928"/>
      <c r="AS71" s="928"/>
    </row>
    <row r="72" spans="11:45">
      <c r="K72" s="957"/>
      <c r="L72" s="928"/>
      <c r="M72" s="928"/>
      <c r="N72" s="960"/>
      <c r="O72" s="960"/>
      <c r="P72" s="960"/>
      <c r="Q72" s="960"/>
      <c r="R72" s="960"/>
      <c r="S72" s="960"/>
      <c r="T72" s="960"/>
      <c r="U72" s="960"/>
      <c r="V72" s="960"/>
      <c r="W72" s="960"/>
      <c r="X72" s="960"/>
      <c r="Y72" s="960"/>
      <c r="Z72" s="960"/>
      <c r="AA72" s="960"/>
      <c r="AB72" s="928"/>
      <c r="AC72" s="928"/>
      <c r="AD72" s="928"/>
      <c r="AE72" s="928"/>
      <c r="AF72" s="928"/>
      <c r="AG72" s="928"/>
      <c r="AH72" s="928"/>
      <c r="AI72" s="928"/>
      <c r="AJ72" s="928"/>
      <c r="AK72" s="928"/>
      <c r="AL72" s="928"/>
      <c r="AM72" s="928"/>
      <c r="AN72" s="928"/>
      <c r="AO72" s="928"/>
      <c r="AP72" s="928"/>
      <c r="AQ72" s="928"/>
      <c r="AR72" s="928"/>
      <c r="AS72" s="928"/>
    </row>
    <row r="73" spans="11:45">
      <c r="K73" s="957"/>
      <c r="L73" s="928"/>
      <c r="M73" s="928"/>
      <c r="N73" s="960"/>
      <c r="O73" s="960"/>
      <c r="P73" s="960"/>
      <c r="Q73" s="960"/>
      <c r="R73" s="960"/>
      <c r="S73" s="960"/>
      <c r="T73" s="960"/>
      <c r="U73" s="960"/>
      <c r="V73" s="960"/>
      <c r="W73" s="960"/>
      <c r="X73" s="960"/>
      <c r="Y73" s="960"/>
      <c r="Z73" s="960"/>
      <c r="AA73" s="960"/>
      <c r="AB73" s="928"/>
      <c r="AC73" s="928"/>
      <c r="AD73" s="928"/>
      <c r="AE73" s="928"/>
      <c r="AF73" s="928"/>
      <c r="AG73" s="928"/>
      <c r="AH73" s="928"/>
      <c r="AI73" s="928"/>
      <c r="AJ73" s="928"/>
      <c r="AK73" s="928"/>
      <c r="AL73" s="928"/>
      <c r="AM73" s="928"/>
      <c r="AN73" s="928"/>
      <c r="AO73" s="928"/>
      <c r="AP73" s="928"/>
      <c r="AQ73" s="928"/>
      <c r="AR73" s="928"/>
      <c r="AS73" s="928"/>
    </row>
    <row r="74" spans="11:45">
      <c r="K74" s="957"/>
      <c r="L74" s="928"/>
      <c r="M74" s="928"/>
      <c r="N74" s="960"/>
      <c r="O74" s="960"/>
      <c r="P74" s="960"/>
      <c r="Q74" s="960"/>
      <c r="R74" s="960"/>
      <c r="S74" s="960"/>
      <c r="T74" s="960"/>
      <c r="U74" s="960"/>
      <c r="V74" s="960"/>
      <c r="W74" s="960"/>
      <c r="X74" s="960"/>
      <c r="Y74" s="960"/>
      <c r="Z74" s="960"/>
      <c r="AA74" s="960"/>
      <c r="AB74" s="928"/>
      <c r="AC74" s="928"/>
      <c r="AD74" s="928"/>
      <c r="AE74" s="928"/>
      <c r="AF74" s="928"/>
      <c r="AG74" s="928"/>
      <c r="AH74" s="928"/>
      <c r="AI74" s="928"/>
      <c r="AJ74" s="928"/>
      <c r="AK74" s="928"/>
      <c r="AL74" s="928"/>
      <c r="AM74" s="928"/>
      <c r="AN74" s="928"/>
      <c r="AO74" s="928"/>
      <c r="AP74" s="928"/>
      <c r="AQ74" s="928"/>
      <c r="AR74" s="928"/>
      <c r="AS74" s="928"/>
    </row>
    <row r="75" spans="11:45">
      <c r="K75" s="957"/>
      <c r="L75" s="928"/>
      <c r="M75" s="928"/>
      <c r="N75" s="960"/>
      <c r="O75" s="960"/>
      <c r="P75" s="960"/>
      <c r="Q75" s="960"/>
      <c r="R75" s="960"/>
      <c r="S75" s="960"/>
      <c r="T75" s="960"/>
      <c r="U75" s="960"/>
      <c r="V75" s="960"/>
      <c r="W75" s="960"/>
      <c r="X75" s="960"/>
      <c r="Y75" s="960"/>
      <c r="Z75" s="960"/>
      <c r="AA75" s="960"/>
      <c r="AB75" s="928"/>
      <c r="AC75" s="928"/>
      <c r="AD75" s="928"/>
      <c r="AE75" s="928"/>
      <c r="AF75" s="928"/>
      <c r="AG75" s="928"/>
      <c r="AH75" s="928"/>
      <c r="AI75" s="928"/>
      <c r="AJ75" s="928"/>
      <c r="AK75" s="928"/>
      <c r="AL75" s="928"/>
      <c r="AM75" s="928"/>
      <c r="AN75" s="928"/>
      <c r="AO75" s="928"/>
      <c r="AP75" s="928"/>
      <c r="AQ75" s="928"/>
      <c r="AR75" s="928"/>
      <c r="AS75" s="928"/>
    </row>
    <row r="76" spans="11:45">
      <c r="K76" s="957"/>
      <c r="L76" s="928"/>
      <c r="M76" s="928"/>
      <c r="N76" s="960"/>
      <c r="O76" s="960"/>
      <c r="P76" s="960"/>
      <c r="Q76" s="960"/>
      <c r="R76" s="960"/>
      <c r="S76" s="960"/>
      <c r="T76" s="960"/>
      <c r="U76" s="960"/>
      <c r="V76" s="960"/>
      <c r="W76" s="960"/>
      <c r="X76" s="960"/>
      <c r="Y76" s="960"/>
      <c r="Z76" s="960"/>
      <c r="AA76" s="960"/>
      <c r="AB76" s="928"/>
      <c r="AC76" s="928"/>
      <c r="AD76" s="928"/>
      <c r="AE76" s="928"/>
      <c r="AF76" s="928"/>
      <c r="AG76" s="928"/>
      <c r="AH76" s="928"/>
      <c r="AI76" s="928"/>
      <c r="AJ76" s="928"/>
      <c r="AK76" s="928"/>
      <c r="AL76" s="928"/>
      <c r="AM76" s="928"/>
      <c r="AN76" s="928"/>
      <c r="AO76" s="928"/>
      <c r="AP76" s="928"/>
      <c r="AQ76" s="928"/>
      <c r="AR76" s="928"/>
      <c r="AS76" s="928"/>
    </row>
    <row r="77" spans="11:45">
      <c r="K77" s="957"/>
      <c r="L77" s="928"/>
      <c r="M77" s="928"/>
      <c r="N77" s="960"/>
      <c r="O77" s="960"/>
      <c r="P77" s="960"/>
      <c r="Q77" s="960"/>
      <c r="R77" s="960"/>
      <c r="S77" s="960"/>
      <c r="T77" s="960"/>
      <c r="U77" s="960"/>
      <c r="V77" s="960"/>
      <c r="W77" s="960"/>
      <c r="X77" s="960"/>
      <c r="Y77" s="960"/>
      <c r="Z77" s="960"/>
      <c r="AA77" s="960"/>
      <c r="AB77" s="928"/>
      <c r="AC77" s="928"/>
      <c r="AD77" s="928"/>
      <c r="AE77" s="928"/>
      <c r="AF77" s="928"/>
      <c r="AG77" s="928"/>
      <c r="AH77" s="928"/>
      <c r="AI77" s="928"/>
      <c r="AJ77" s="928"/>
      <c r="AK77" s="928"/>
      <c r="AL77" s="928"/>
      <c r="AM77" s="928"/>
      <c r="AN77" s="928"/>
      <c r="AO77" s="928"/>
      <c r="AP77" s="928"/>
      <c r="AQ77" s="928"/>
      <c r="AR77" s="928"/>
      <c r="AS77" s="928"/>
    </row>
    <row r="78" spans="11:45">
      <c r="K78" s="957"/>
      <c r="L78" s="928"/>
      <c r="M78" s="928"/>
      <c r="N78" s="960"/>
      <c r="O78" s="960"/>
      <c r="P78" s="960"/>
      <c r="Q78" s="960"/>
      <c r="R78" s="960"/>
      <c r="S78" s="960"/>
      <c r="T78" s="960"/>
      <c r="U78" s="960"/>
      <c r="V78" s="960"/>
      <c r="W78" s="960"/>
      <c r="X78" s="960"/>
      <c r="Y78" s="960"/>
      <c r="Z78" s="960"/>
      <c r="AA78" s="960"/>
      <c r="AB78" s="928"/>
      <c r="AC78" s="928"/>
      <c r="AD78" s="928"/>
      <c r="AE78" s="928"/>
      <c r="AF78" s="928"/>
      <c r="AG78" s="928"/>
      <c r="AH78" s="928"/>
      <c r="AI78" s="928"/>
      <c r="AJ78" s="928"/>
      <c r="AK78" s="928"/>
      <c r="AL78" s="928"/>
      <c r="AM78" s="928"/>
      <c r="AN78" s="928"/>
      <c r="AO78" s="928"/>
      <c r="AP78" s="928"/>
      <c r="AQ78" s="928"/>
      <c r="AR78" s="928"/>
      <c r="AS78" s="928"/>
    </row>
    <row r="79" spans="11:45">
      <c r="K79" s="957"/>
      <c r="L79" s="928"/>
      <c r="M79" s="928"/>
      <c r="N79" s="960"/>
      <c r="O79" s="960"/>
      <c r="P79" s="960"/>
      <c r="Q79" s="960"/>
      <c r="R79" s="960"/>
      <c r="S79" s="960"/>
      <c r="T79" s="960"/>
      <c r="U79" s="960"/>
      <c r="V79" s="960"/>
      <c r="W79" s="960"/>
      <c r="X79" s="960"/>
      <c r="Y79" s="960"/>
      <c r="Z79" s="960"/>
      <c r="AA79" s="960"/>
      <c r="AB79" s="928"/>
      <c r="AC79" s="928"/>
      <c r="AD79" s="928"/>
      <c r="AE79" s="928"/>
      <c r="AF79" s="928"/>
      <c r="AG79" s="928"/>
      <c r="AH79" s="928"/>
      <c r="AI79" s="928"/>
      <c r="AJ79" s="928"/>
      <c r="AK79" s="928"/>
      <c r="AL79" s="928"/>
      <c r="AM79" s="928"/>
      <c r="AN79" s="928"/>
      <c r="AO79" s="928"/>
      <c r="AP79" s="928"/>
      <c r="AQ79" s="928"/>
      <c r="AR79" s="928"/>
      <c r="AS79" s="928"/>
    </row>
    <row r="80" spans="11:45">
      <c r="K80" s="957"/>
      <c r="L80" s="928"/>
      <c r="M80" s="928"/>
      <c r="N80" s="960"/>
      <c r="O80" s="960"/>
      <c r="P80" s="960"/>
      <c r="Q80" s="960"/>
      <c r="R80" s="960"/>
      <c r="S80" s="960"/>
      <c r="T80" s="960"/>
      <c r="U80" s="960"/>
      <c r="V80" s="960"/>
      <c r="W80" s="960"/>
      <c r="X80" s="960"/>
      <c r="Y80" s="960"/>
      <c r="Z80" s="960"/>
      <c r="AA80" s="960"/>
      <c r="AB80" s="928"/>
      <c r="AC80" s="928"/>
      <c r="AD80" s="928"/>
      <c r="AE80" s="928"/>
      <c r="AF80" s="928"/>
      <c r="AG80" s="928"/>
      <c r="AH80" s="928"/>
      <c r="AI80" s="928"/>
      <c r="AJ80" s="928"/>
      <c r="AK80" s="928"/>
      <c r="AL80" s="928"/>
      <c r="AM80" s="928"/>
      <c r="AN80" s="928"/>
      <c r="AO80" s="928"/>
      <c r="AP80" s="928"/>
      <c r="AQ80" s="928"/>
      <c r="AR80" s="928"/>
      <c r="AS80" s="928"/>
    </row>
    <row r="81" spans="11:45">
      <c r="K81" s="957"/>
      <c r="L81" s="928"/>
      <c r="M81" s="928"/>
      <c r="N81" s="960"/>
      <c r="O81" s="960"/>
      <c r="P81" s="960"/>
      <c r="Q81" s="960"/>
      <c r="R81" s="960"/>
      <c r="S81" s="960"/>
      <c r="T81" s="960"/>
      <c r="U81" s="960"/>
      <c r="V81" s="960"/>
      <c r="W81" s="960"/>
      <c r="X81" s="960"/>
      <c r="Y81" s="960"/>
      <c r="Z81" s="960"/>
      <c r="AA81" s="960"/>
      <c r="AB81" s="928"/>
      <c r="AC81" s="928"/>
      <c r="AD81" s="928"/>
      <c r="AE81" s="928"/>
      <c r="AF81" s="928"/>
      <c r="AG81" s="928"/>
      <c r="AH81" s="928"/>
      <c r="AI81" s="928"/>
      <c r="AJ81" s="928"/>
      <c r="AK81" s="928"/>
      <c r="AL81" s="928"/>
      <c r="AM81" s="928"/>
      <c r="AN81" s="928"/>
      <c r="AO81" s="928"/>
      <c r="AP81" s="928"/>
      <c r="AQ81" s="928"/>
      <c r="AR81" s="928"/>
      <c r="AS81" s="928"/>
    </row>
    <row r="82" spans="11:45">
      <c r="K82" s="957"/>
      <c r="L82" s="928"/>
      <c r="M82" s="928"/>
      <c r="N82" s="960"/>
      <c r="O82" s="960"/>
      <c r="P82" s="960"/>
      <c r="Q82" s="960"/>
      <c r="R82" s="960"/>
      <c r="S82" s="960"/>
      <c r="T82" s="960"/>
      <c r="U82" s="960"/>
      <c r="V82" s="960"/>
      <c r="W82" s="960"/>
      <c r="X82" s="960"/>
      <c r="Y82" s="960"/>
      <c r="Z82" s="960"/>
      <c r="AA82" s="960"/>
      <c r="AB82" s="928"/>
      <c r="AC82" s="928"/>
      <c r="AD82" s="928"/>
      <c r="AE82" s="928"/>
      <c r="AF82" s="928"/>
      <c r="AG82" s="928"/>
      <c r="AH82" s="928"/>
      <c r="AI82" s="928"/>
      <c r="AJ82" s="928"/>
      <c r="AK82" s="928"/>
      <c r="AL82" s="928"/>
      <c r="AM82" s="928"/>
      <c r="AN82" s="928"/>
      <c r="AO82" s="928"/>
      <c r="AP82" s="928"/>
      <c r="AQ82" s="928"/>
      <c r="AR82" s="928"/>
      <c r="AS82" s="928"/>
    </row>
    <row r="83" spans="11:45">
      <c r="K83" s="957"/>
      <c r="L83" s="928"/>
      <c r="M83" s="928"/>
      <c r="N83" s="960"/>
      <c r="O83" s="960"/>
      <c r="P83" s="960"/>
      <c r="Q83" s="960"/>
      <c r="R83" s="960"/>
      <c r="S83" s="960"/>
      <c r="T83" s="960"/>
      <c r="U83" s="960"/>
      <c r="V83" s="960"/>
      <c r="W83" s="960"/>
      <c r="X83" s="960"/>
      <c r="Y83" s="960"/>
      <c r="Z83" s="960"/>
      <c r="AA83" s="960"/>
      <c r="AB83" s="928"/>
      <c r="AC83" s="928"/>
      <c r="AD83" s="928"/>
      <c r="AE83" s="928"/>
      <c r="AF83" s="928"/>
      <c r="AG83" s="928"/>
      <c r="AH83" s="928"/>
      <c r="AI83" s="928"/>
      <c r="AJ83" s="928"/>
      <c r="AK83" s="928"/>
      <c r="AL83" s="928"/>
      <c r="AM83" s="928"/>
      <c r="AN83" s="928"/>
      <c r="AO83" s="928"/>
      <c r="AP83" s="928"/>
      <c r="AQ83" s="928"/>
      <c r="AR83" s="928"/>
      <c r="AS83" s="928"/>
    </row>
    <row r="84" spans="11:45">
      <c r="K84" s="957"/>
      <c r="L84" s="928"/>
      <c r="M84" s="928"/>
      <c r="N84" s="960"/>
      <c r="O84" s="960"/>
      <c r="P84" s="960"/>
      <c r="Q84" s="960"/>
      <c r="R84" s="960"/>
      <c r="S84" s="960"/>
      <c r="T84" s="960"/>
      <c r="U84" s="960"/>
      <c r="V84" s="960"/>
      <c r="W84" s="960"/>
      <c r="X84" s="960"/>
      <c r="Y84" s="960"/>
      <c r="Z84" s="960"/>
      <c r="AA84" s="960"/>
      <c r="AB84" s="928"/>
      <c r="AC84" s="928"/>
      <c r="AD84" s="928"/>
      <c r="AE84" s="928"/>
      <c r="AF84" s="928"/>
      <c r="AG84" s="928"/>
      <c r="AH84" s="928"/>
      <c r="AI84" s="928"/>
      <c r="AJ84" s="928"/>
      <c r="AK84" s="928"/>
      <c r="AL84" s="928"/>
      <c r="AM84" s="928"/>
      <c r="AN84" s="928"/>
      <c r="AO84" s="928"/>
      <c r="AP84" s="928"/>
      <c r="AQ84" s="928"/>
      <c r="AR84" s="928"/>
      <c r="AS84" s="928"/>
    </row>
    <row r="85" spans="11:45">
      <c r="K85" s="957"/>
      <c r="L85" s="928"/>
      <c r="M85" s="928"/>
      <c r="N85" s="960"/>
      <c r="O85" s="960"/>
      <c r="P85" s="960"/>
      <c r="Q85" s="960"/>
      <c r="R85" s="960"/>
      <c r="S85" s="960"/>
      <c r="T85" s="960"/>
      <c r="U85" s="960"/>
      <c r="V85" s="960"/>
      <c r="W85" s="960"/>
      <c r="X85" s="960"/>
      <c r="Y85" s="960"/>
      <c r="Z85" s="960"/>
      <c r="AA85" s="960"/>
      <c r="AB85" s="928"/>
      <c r="AC85" s="928"/>
      <c r="AD85" s="928"/>
      <c r="AE85" s="928"/>
      <c r="AF85" s="928"/>
      <c r="AG85" s="928"/>
      <c r="AH85" s="928"/>
      <c r="AI85" s="928"/>
      <c r="AJ85" s="928"/>
      <c r="AK85" s="928"/>
      <c r="AL85" s="928"/>
      <c r="AM85" s="928"/>
      <c r="AN85" s="928"/>
      <c r="AO85" s="928"/>
      <c r="AP85" s="928"/>
      <c r="AQ85" s="928"/>
      <c r="AR85" s="928"/>
      <c r="AS85" s="928"/>
    </row>
    <row r="86" spans="11:45">
      <c r="K86" s="957"/>
      <c r="L86" s="928"/>
      <c r="M86" s="928"/>
      <c r="N86" s="960"/>
      <c r="O86" s="960"/>
      <c r="P86" s="960"/>
      <c r="Q86" s="960"/>
      <c r="R86" s="960"/>
      <c r="S86" s="960"/>
      <c r="T86" s="960"/>
      <c r="U86" s="960"/>
      <c r="V86" s="960"/>
      <c r="W86" s="960"/>
      <c r="X86" s="960"/>
      <c r="Y86" s="960"/>
      <c r="Z86" s="960"/>
      <c r="AA86" s="960"/>
      <c r="AB86" s="928"/>
      <c r="AC86" s="928"/>
      <c r="AD86" s="928"/>
      <c r="AE86" s="928"/>
      <c r="AF86" s="928"/>
      <c r="AG86" s="928"/>
      <c r="AH86" s="928"/>
      <c r="AI86" s="928"/>
      <c r="AJ86" s="928"/>
      <c r="AK86" s="928"/>
      <c r="AL86" s="928"/>
      <c r="AM86" s="928"/>
      <c r="AN86" s="928"/>
      <c r="AO86" s="928"/>
      <c r="AP86" s="928"/>
      <c r="AQ86" s="928"/>
      <c r="AR86" s="928"/>
      <c r="AS86" s="928"/>
    </row>
    <row r="87" spans="11:45">
      <c r="K87" s="957"/>
      <c r="L87" s="928"/>
      <c r="M87" s="928"/>
      <c r="N87" s="960"/>
      <c r="O87" s="960"/>
      <c r="P87" s="960"/>
      <c r="Q87" s="960"/>
      <c r="R87" s="960"/>
      <c r="S87" s="960"/>
      <c r="T87" s="960"/>
      <c r="U87" s="960"/>
      <c r="V87" s="960"/>
      <c r="W87" s="960"/>
      <c r="X87" s="960"/>
      <c r="Y87" s="960"/>
      <c r="Z87" s="960"/>
      <c r="AA87" s="960"/>
      <c r="AB87" s="928"/>
      <c r="AC87" s="928"/>
      <c r="AD87" s="928"/>
      <c r="AE87" s="928"/>
      <c r="AF87" s="928"/>
      <c r="AG87" s="928"/>
      <c r="AH87" s="928"/>
      <c r="AI87" s="928"/>
      <c r="AJ87" s="928"/>
      <c r="AK87" s="928"/>
      <c r="AL87" s="928"/>
      <c r="AM87" s="928"/>
      <c r="AN87" s="928"/>
      <c r="AO87" s="928"/>
      <c r="AP87" s="928"/>
      <c r="AQ87" s="928"/>
      <c r="AR87" s="928"/>
      <c r="AS87" s="928"/>
    </row>
    <row r="88" spans="11:45">
      <c r="K88" s="957"/>
      <c r="L88" s="928"/>
      <c r="M88" s="928"/>
      <c r="N88" s="960"/>
      <c r="O88" s="960"/>
      <c r="P88" s="960"/>
      <c r="Q88" s="960"/>
      <c r="R88" s="960"/>
      <c r="S88" s="960"/>
      <c r="T88" s="960"/>
      <c r="U88" s="960"/>
      <c r="V88" s="960"/>
      <c r="W88" s="960"/>
      <c r="X88" s="960"/>
      <c r="Y88" s="960"/>
      <c r="Z88" s="960"/>
      <c r="AA88" s="960"/>
      <c r="AB88" s="928"/>
      <c r="AC88" s="928"/>
      <c r="AD88" s="928"/>
      <c r="AE88" s="928"/>
      <c r="AF88" s="928"/>
      <c r="AG88" s="928"/>
      <c r="AH88" s="928"/>
      <c r="AI88" s="928"/>
      <c r="AJ88" s="928"/>
      <c r="AK88" s="928"/>
      <c r="AL88" s="928"/>
      <c r="AM88" s="928"/>
      <c r="AN88" s="928"/>
      <c r="AO88" s="928"/>
      <c r="AP88" s="928"/>
      <c r="AQ88" s="928"/>
      <c r="AR88" s="928"/>
      <c r="AS88" s="928"/>
    </row>
    <row r="89" spans="11:45">
      <c r="K89" s="957"/>
      <c r="L89" s="928"/>
      <c r="M89" s="928"/>
      <c r="N89" s="960"/>
      <c r="O89" s="960"/>
      <c r="P89" s="960"/>
      <c r="Q89" s="960"/>
      <c r="R89" s="960"/>
      <c r="S89" s="960"/>
      <c r="T89" s="960"/>
      <c r="U89" s="960"/>
      <c r="V89" s="960"/>
      <c r="W89" s="960"/>
      <c r="X89" s="960"/>
      <c r="Y89" s="960"/>
      <c r="Z89" s="960"/>
      <c r="AA89" s="960"/>
      <c r="AB89" s="928"/>
      <c r="AC89" s="928"/>
      <c r="AD89" s="928"/>
      <c r="AE89" s="928"/>
      <c r="AF89" s="928"/>
      <c r="AG89" s="928"/>
      <c r="AH89" s="928"/>
      <c r="AI89" s="928"/>
      <c r="AJ89" s="928"/>
      <c r="AK89" s="928"/>
      <c r="AL89" s="928"/>
      <c r="AM89" s="928"/>
      <c r="AN89" s="928"/>
      <c r="AO89" s="928"/>
      <c r="AP89" s="928"/>
      <c r="AQ89" s="928"/>
      <c r="AR89" s="928"/>
      <c r="AS89" s="928"/>
    </row>
    <row r="90" spans="11:45">
      <c r="K90" s="957"/>
      <c r="L90" s="928"/>
      <c r="M90" s="928"/>
      <c r="N90" s="960"/>
      <c r="O90" s="960"/>
      <c r="P90" s="960"/>
      <c r="Q90" s="960"/>
      <c r="R90" s="960"/>
      <c r="S90" s="960"/>
      <c r="T90" s="960"/>
      <c r="U90" s="960"/>
      <c r="V90" s="960"/>
      <c r="W90" s="960"/>
      <c r="X90" s="960"/>
      <c r="Y90" s="960"/>
      <c r="Z90" s="960"/>
      <c r="AA90" s="960"/>
      <c r="AB90" s="928"/>
      <c r="AC90" s="928"/>
      <c r="AD90" s="928"/>
      <c r="AE90" s="928"/>
      <c r="AF90" s="928"/>
      <c r="AG90" s="928"/>
      <c r="AH90" s="928"/>
      <c r="AI90" s="928"/>
      <c r="AJ90" s="928"/>
      <c r="AK90" s="928"/>
      <c r="AL90" s="928"/>
      <c r="AM90" s="928"/>
      <c r="AN90" s="928"/>
      <c r="AO90" s="928"/>
      <c r="AP90" s="928"/>
      <c r="AQ90" s="928"/>
      <c r="AR90" s="928"/>
      <c r="AS90" s="928"/>
    </row>
    <row r="91" spans="11:45">
      <c r="K91" s="957"/>
      <c r="L91" s="928"/>
      <c r="M91" s="928"/>
      <c r="N91" s="960"/>
      <c r="O91" s="960"/>
      <c r="P91" s="960"/>
      <c r="Q91" s="960"/>
      <c r="R91" s="960"/>
      <c r="S91" s="960"/>
      <c r="T91" s="960"/>
      <c r="U91" s="960"/>
      <c r="V91" s="960"/>
      <c r="W91" s="960"/>
      <c r="X91" s="960"/>
      <c r="Y91" s="960"/>
      <c r="Z91" s="960"/>
      <c r="AA91" s="960"/>
      <c r="AB91" s="928"/>
      <c r="AC91" s="928"/>
      <c r="AD91" s="928"/>
      <c r="AE91" s="928"/>
      <c r="AF91" s="928"/>
      <c r="AG91" s="928"/>
      <c r="AH91" s="928"/>
      <c r="AI91" s="928"/>
      <c r="AJ91" s="928"/>
      <c r="AK91" s="928"/>
      <c r="AL91" s="928"/>
      <c r="AM91" s="928"/>
      <c r="AN91" s="928"/>
      <c r="AO91" s="928"/>
      <c r="AP91" s="928"/>
      <c r="AQ91" s="928"/>
      <c r="AR91" s="928"/>
      <c r="AS91" s="928"/>
    </row>
    <row r="92" spans="11:45">
      <c r="K92" s="957"/>
      <c r="L92" s="928"/>
      <c r="M92" s="928"/>
      <c r="N92" s="960"/>
      <c r="O92" s="960"/>
      <c r="P92" s="960"/>
      <c r="Q92" s="960"/>
      <c r="R92" s="960"/>
      <c r="S92" s="960"/>
      <c r="T92" s="960"/>
      <c r="U92" s="960"/>
      <c r="V92" s="960"/>
      <c r="W92" s="960"/>
      <c r="X92" s="960"/>
      <c r="Y92" s="960"/>
      <c r="Z92" s="960"/>
      <c r="AA92" s="960"/>
      <c r="AB92" s="928"/>
      <c r="AC92" s="928"/>
      <c r="AD92" s="928"/>
      <c r="AE92" s="928"/>
      <c r="AF92" s="928"/>
      <c r="AG92" s="928"/>
      <c r="AH92" s="928"/>
      <c r="AI92" s="928"/>
      <c r="AJ92" s="928"/>
      <c r="AK92" s="928"/>
      <c r="AL92" s="928"/>
      <c r="AM92" s="928"/>
      <c r="AN92" s="928"/>
      <c r="AO92" s="928"/>
      <c r="AP92" s="928"/>
      <c r="AQ92" s="928"/>
      <c r="AR92" s="928"/>
      <c r="AS92" s="928"/>
    </row>
    <row r="93" spans="11:45">
      <c r="K93" s="957"/>
      <c r="L93" s="928"/>
      <c r="M93" s="928"/>
      <c r="N93" s="960"/>
      <c r="O93" s="960"/>
      <c r="P93" s="960"/>
      <c r="Q93" s="960"/>
      <c r="R93" s="960"/>
      <c r="S93" s="960"/>
      <c r="T93" s="960"/>
      <c r="U93" s="960"/>
      <c r="V93" s="960"/>
      <c r="W93" s="960"/>
      <c r="X93" s="960"/>
      <c r="Y93" s="960"/>
      <c r="Z93" s="960"/>
      <c r="AA93" s="960"/>
      <c r="AB93" s="928"/>
      <c r="AC93" s="928"/>
      <c r="AD93" s="928"/>
      <c r="AE93" s="928"/>
      <c r="AF93" s="928"/>
      <c r="AG93" s="928"/>
      <c r="AH93" s="928"/>
      <c r="AI93" s="928"/>
      <c r="AJ93" s="928"/>
      <c r="AK93" s="928"/>
      <c r="AL93" s="928"/>
      <c r="AM93" s="928"/>
      <c r="AN93" s="928"/>
      <c r="AO93" s="928"/>
      <c r="AP93" s="928"/>
      <c r="AQ93" s="928"/>
      <c r="AR93" s="928"/>
      <c r="AS93" s="928"/>
    </row>
    <row r="94" spans="11:45">
      <c r="K94" s="957"/>
      <c r="L94" s="928"/>
      <c r="M94" s="928"/>
      <c r="N94" s="960"/>
      <c r="O94" s="960"/>
      <c r="P94" s="960"/>
      <c r="Q94" s="960"/>
      <c r="R94" s="960"/>
      <c r="S94" s="960"/>
      <c r="T94" s="960"/>
      <c r="U94" s="960"/>
      <c r="V94" s="960"/>
      <c r="W94" s="960"/>
      <c r="X94" s="960"/>
      <c r="Y94" s="960"/>
      <c r="Z94" s="960"/>
      <c r="AA94" s="960"/>
      <c r="AB94" s="928"/>
      <c r="AC94" s="928"/>
      <c r="AD94" s="928"/>
      <c r="AE94" s="928"/>
      <c r="AF94" s="928"/>
      <c r="AG94" s="928"/>
      <c r="AH94" s="928"/>
      <c r="AI94" s="928"/>
      <c r="AJ94" s="928"/>
      <c r="AK94" s="928"/>
      <c r="AL94" s="928"/>
      <c r="AM94" s="928"/>
      <c r="AN94" s="928"/>
      <c r="AO94" s="928"/>
      <c r="AP94" s="928"/>
      <c r="AQ94" s="928"/>
      <c r="AR94" s="928"/>
      <c r="AS94" s="928"/>
    </row>
    <row r="95" spans="11:45">
      <c r="K95" s="957"/>
      <c r="L95" s="928"/>
      <c r="M95" s="928"/>
      <c r="N95" s="960"/>
      <c r="O95" s="960"/>
      <c r="P95" s="960"/>
      <c r="Q95" s="960"/>
      <c r="R95" s="960"/>
      <c r="S95" s="960"/>
      <c r="T95" s="960"/>
      <c r="U95" s="960"/>
      <c r="V95" s="960"/>
      <c r="W95" s="960"/>
      <c r="X95" s="960"/>
      <c r="Y95" s="960"/>
      <c r="Z95" s="960"/>
      <c r="AA95" s="960"/>
      <c r="AB95" s="928"/>
      <c r="AC95" s="928"/>
      <c r="AD95" s="928"/>
      <c r="AE95" s="928"/>
      <c r="AF95" s="928"/>
      <c r="AG95" s="928"/>
      <c r="AH95" s="928"/>
      <c r="AI95" s="928"/>
      <c r="AJ95" s="928"/>
      <c r="AK95" s="928"/>
      <c r="AL95" s="928"/>
      <c r="AM95" s="928"/>
      <c r="AN95" s="928"/>
      <c r="AO95" s="928"/>
      <c r="AP95" s="928"/>
      <c r="AQ95" s="928"/>
      <c r="AR95" s="928"/>
      <c r="AS95" s="928"/>
    </row>
    <row r="96" spans="11:45">
      <c r="K96" s="957"/>
      <c r="L96" s="928"/>
      <c r="M96" s="928"/>
      <c r="N96" s="960"/>
      <c r="O96" s="960"/>
      <c r="P96" s="960"/>
      <c r="Q96" s="960"/>
      <c r="R96" s="960"/>
      <c r="S96" s="960"/>
      <c r="T96" s="960"/>
      <c r="U96" s="960"/>
      <c r="V96" s="960"/>
      <c r="W96" s="960"/>
      <c r="X96" s="960"/>
      <c r="Y96" s="960"/>
      <c r="Z96" s="960"/>
      <c r="AA96" s="960"/>
      <c r="AB96" s="928"/>
      <c r="AC96" s="928"/>
      <c r="AD96" s="928"/>
      <c r="AE96" s="928"/>
      <c r="AF96" s="928"/>
      <c r="AG96" s="928"/>
      <c r="AH96" s="928"/>
      <c r="AI96" s="928"/>
      <c r="AJ96" s="928"/>
      <c r="AK96" s="928"/>
      <c r="AL96" s="928"/>
      <c r="AM96" s="928"/>
      <c r="AN96" s="928"/>
      <c r="AO96" s="928"/>
      <c r="AP96" s="928"/>
      <c r="AQ96" s="928"/>
      <c r="AR96" s="928"/>
      <c r="AS96" s="928"/>
    </row>
    <row r="97" spans="11:45">
      <c r="K97" s="957"/>
      <c r="L97" s="928"/>
      <c r="M97" s="928"/>
      <c r="N97" s="960"/>
      <c r="O97" s="960"/>
      <c r="P97" s="960"/>
      <c r="Q97" s="960"/>
      <c r="R97" s="960"/>
      <c r="S97" s="960"/>
      <c r="T97" s="960"/>
      <c r="U97" s="960"/>
      <c r="V97" s="960"/>
      <c r="W97" s="960"/>
      <c r="X97" s="960"/>
      <c r="Y97" s="960"/>
      <c r="Z97" s="960"/>
      <c r="AA97" s="960"/>
      <c r="AB97" s="928"/>
      <c r="AC97" s="928"/>
      <c r="AD97" s="928"/>
      <c r="AE97" s="928"/>
      <c r="AF97" s="928"/>
      <c r="AG97" s="928"/>
      <c r="AH97" s="928"/>
      <c r="AI97" s="928"/>
      <c r="AJ97" s="928"/>
      <c r="AK97" s="928"/>
      <c r="AL97" s="928"/>
      <c r="AM97" s="928"/>
      <c r="AN97" s="928"/>
      <c r="AO97" s="928"/>
      <c r="AP97" s="928"/>
      <c r="AQ97" s="928"/>
      <c r="AR97" s="928"/>
      <c r="AS97" s="928"/>
    </row>
    <row r="98" spans="11:45">
      <c r="K98" s="957"/>
      <c r="L98" s="928"/>
      <c r="M98" s="928"/>
      <c r="N98" s="960"/>
      <c r="O98" s="960"/>
      <c r="P98" s="960"/>
      <c r="Q98" s="960"/>
      <c r="R98" s="960"/>
      <c r="S98" s="960"/>
      <c r="T98" s="960"/>
      <c r="U98" s="960"/>
      <c r="V98" s="960"/>
      <c r="W98" s="960"/>
      <c r="X98" s="960"/>
      <c r="Y98" s="960"/>
      <c r="Z98" s="960"/>
      <c r="AA98" s="960"/>
      <c r="AB98" s="928"/>
      <c r="AC98" s="928"/>
      <c r="AD98" s="928"/>
      <c r="AE98" s="928"/>
      <c r="AF98" s="928"/>
      <c r="AG98" s="928"/>
      <c r="AH98" s="928"/>
      <c r="AI98" s="928"/>
      <c r="AJ98" s="928"/>
      <c r="AK98" s="928"/>
      <c r="AL98" s="928"/>
      <c r="AM98" s="928"/>
      <c r="AN98" s="928"/>
      <c r="AO98" s="928"/>
      <c r="AP98" s="928"/>
      <c r="AQ98" s="928"/>
      <c r="AR98" s="928"/>
      <c r="AS98" s="928"/>
    </row>
    <row r="99" spans="11:45">
      <c r="K99" s="957"/>
      <c r="L99" s="928"/>
      <c r="M99" s="928"/>
      <c r="N99" s="960"/>
      <c r="O99" s="960"/>
      <c r="P99" s="960"/>
      <c r="Q99" s="960"/>
      <c r="R99" s="960"/>
      <c r="S99" s="960"/>
      <c r="T99" s="960"/>
      <c r="U99" s="960"/>
      <c r="V99" s="960"/>
      <c r="W99" s="960"/>
      <c r="X99" s="960"/>
      <c r="Y99" s="960"/>
      <c r="Z99" s="960"/>
      <c r="AA99" s="960"/>
      <c r="AB99" s="928"/>
      <c r="AC99" s="928"/>
      <c r="AD99" s="928"/>
      <c r="AE99" s="928"/>
      <c r="AF99" s="928"/>
      <c r="AG99" s="928"/>
      <c r="AH99" s="928"/>
      <c r="AI99" s="928"/>
      <c r="AJ99" s="928"/>
      <c r="AK99" s="928"/>
      <c r="AL99" s="928"/>
      <c r="AM99" s="928"/>
      <c r="AN99" s="928"/>
      <c r="AO99" s="928"/>
      <c r="AP99" s="928"/>
      <c r="AQ99" s="928"/>
      <c r="AR99" s="928"/>
      <c r="AS99" s="928"/>
    </row>
    <row r="100" spans="11:45">
      <c r="K100" s="957"/>
      <c r="L100" s="928"/>
      <c r="M100" s="928"/>
      <c r="N100" s="960"/>
      <c r="O100" s="960"/>
      <c r="P100" s="960"/>
      <c r="Q100" s="960"/>
      <c r="R100" s="960"/>
      <c r="S100" s="960"/>
      <c r="T100" s="960"/>
      <c r="U100" s="960"/>
      <c r="V100" s="960"/>
      <c r="W100" s="960"/>
      <c r="X100" s="960"/>
      <c r="Y100" s="960"/>
      <c r="Z100" s="960"/>
      <c r="AA100" s="960"/>
      <c r="AB100" s="928"/>
      <c r="AC100" s="928"/>
      <c r="AD100" s="928"/>
      <c r="AE100" s="928"/>
      <c r="AF100" s="928"/>
      <c r="AG100" s="928"/>
      <c r="AH100" s="928"/>
      <c r="AI100" s="928"/>
      <c r="AJ100" s="928"/>
      <c r="AK100" s="928"/>
      <c r="AL100" s="928"/>
      <c r="AM100" s="928"/>
      <c r="AN100" s="928"/>
      <c r="AO100" s="928"/>
      <c r="AP100" s="928"/>
      <c r="AQ100" s="928"/>
      <c r="AR100" s="928"/>
      <c r="AS100" s="928"/>
    </row>
    <row r="101" spans="11:45">
      <c r="K101" s="957"/>
      <c r="L101" s="928"/>
      <c r="M101" s="928"/>
      <c r="N101" s="960"/>
      <c r="O101" s="960"/>
      <c r="P101" s="960"/>
      <c r="Q101" s="960"/>
      <c r="R101" s="960"/>
      <c r="S101" s="960"/>
      <c r="T101" s="960"/>
      <c r="U101" s="960"/>
      <c r="V101" s="960"/>
      <c r="W101" s="960"/>
      <c r="X101" s="960"/>
      <c r="Y101" s="960"/>
      <c r="Z101" s="960"/>
      <c r="AA101" s="960"/>
      <c r="AB101" s="928"/>
      <c r="AC101" s="928"/>
      <c r="AD101" s="928"/>
      <c r="AE101" s="928"/>
      <c r="AF101" s="928"/>
      <c r="AG101" s="928"/>
      <c r="AH101" s="928"/>
      <c r="AI101" s="928"/>
      <c r="AJ101" s="928"/>
      <c r="AK101" s="928"/>
      <c r="AL101" s="928"/>
      <c r="AM101" s="928"/>
      <c r="AN101" s="928"/>
      <c r="AO101" s="928"/>
      <c r="AP101" s="928"/>
      <c r="AQ101" s="928"/>
      <c r="AR101" s="928"/>
      <c r="AS101" s="928"/>
    </row>
    <row r="102" spans="11:45">
      <c r="K102" s="957"/>
      <c r="L102" s="928"/>
      <c r="M102" s="928"/>
      <c r="N102" s="960"/>
      <c r="O102" s="960"/>
      <c r="P102" s="960"/>
      <c r="Q102" s="960"/>
      <c r="R102" s="960"/>
      <c r="S102" s="960"/>
      <c r="T102" s="960"/>
      <c r="U102" s="960"/>
      <c r="V102" s="960"/>
      <c r="W102" s="960"/>
      <c r="X102" s="960"/>
      <c r="Y102" s="960"/>
      <c r="Z102" s="960"/>
      <c r="AA102" s="960"/>
      <c r="AB102" s="928"/>
      <c r="AC102" s="928"/>
      <c r="AD102" s="928"/>
      <c r="AE102" s="928"/>
      <c r="AF102" s="928"/>
      <c r="AG102" s="928"/>
      <c r="AH102" s="928"/>
      <c r="AI102" s="928"/>
      <c r="AJ102" s="928"/>
      <c r="AK102" s="928"/>
      <c r="AL102" s="928"/>
      <c r="AM102" s="928"/>
      <c r="AN102" s="928"/>
      <c r="AO102" s="928"/>
      <c r="AP102" s="928"/>
      <c r="AQ102" s="928"/>
      <c r="AR102" s="928"/>
      <c r="AS102" s="928"/>
    </row>
    <row r="103" spans="11:45">
      <c r="K103" s="957"/>
      <c r="L103" s="928"/>
      <c r="M103" s="928"/>
      <c r="N103" s="960"/>
      <c r="O103" s="960"/>
      <c r="P103" s="960"/>
      <c r="Q103" s="960"/>
      <c r="R103" s="960"/>
      <c r="S103" s="960"/>
      <c r="T103" s="960"/>
      <c r="U103" s="960"/>
      <c r="V103" s="960"/>
      <c r="W103" s="960"/>
      <c r="X103" s="960"/>
      <c r="Y103" s="960"/>
      <c r="Z103" s="960"/>
      <c r="AA103" s="960"/>
      <c r="AB103" s="928"/>
      <c r="AC103" s="928"/>
      <c r="AD103" s="928"/>
      <c r="AE103" s="928"/>
      <c r="AF103" s="928"/>
      <c r="AG103" s="928"/>
      <c r="AH103" s="928"/>
      <c r="AI103" s="928"/>
      <c r="AJ103" s="928"/>
      <c r="AK103" s="928"/>
      <c r="AL103" s="928"/>
      <c r="AM103" s="928"/>
      <c r="AN103" s="928"/>
      <c r="AO103" s="928"/>
      <c r="AP103" s="928"/>
      <c r="AQ103" s="928"/>
      <c r="AR103" s="928"/>
      <c r="AS103" s="928"/>
    </row>
    <row r="104" spans="11:45">
      <c r="K104" s="957"/>
      <c r="L104" s="928"/>
      <c r="M104" s="928"/>
      <c r="N104" s="960"/>
      <c r="O104" s="960"/>
      <c r="P104" s="960"/>
      <c r="Q104" s="960"/>
      <c r="R104" s="960"/>
      <c r="S104" s="960"/>
      <c r="T104" s="960"/>
      <c r="U104" s="960"/>
      <c r="V104" s="960"/>
      <c r="W104" s="960"/>
      <c r="X104" s="960"/>
      <c r="Y104" s="960"/>
      <c r="Z104" s="960"/>
      <c r="AA104" s="960"/>
      <c r="AB104" s="928"/>
      <c r="AC104" s="928"/>
      <c r="AD104" s="928"/>
      <c r="AE104" s="928"/>
      <c r="AF104" s="928"/>
      <c r="AG104" s="928"/>
      <c r="AH104" s="928"/>
      <c r="AI104" s="928"/>
      <c r="AJ104" s="928"/>
      <c r="AK104" s="928"/>
      <c r="AL104" s="928"/>
      <c r="AM104" s="928"/>
      <c r="AN104" s="928"/>
      <c r="AO104" s="928"/>
      <c r="AP104" s="928"/>
      <c r="AQ104" s="928"/>
      <c r="AR104" s="928"/>
      <c r="AS104" s="928"/>
    </row>
    <row r="105" spans="11:45">
      <c r="K105" s="957"/>
      <c r="L105" s="928"/>
      <c r="M105" s="928"/>
      <c r="N105" s="960"/>
      <c r="O105" s="960"/>
      <c r="P105" s="960"/>
      <c r="Q105" s="960"/>
      <c r="R105" s="960"/>
      <c r="S105" s="960"/>
      <c r="T105" s="960"/>
      <c r="U105" s="960"/>
      <c r="V105" s="960"/>
      <c r="W105" s="960"/>
      <c r="X105" s="960"/>
      <c r="Y105" s="960"/>
      <c r="Z105" s="960"/>
      <c r="AA105" s="960"/>
      <c r="AB105" s="928"/>
      <c r="AC105" s="928"/>
      <c r="AD105" s="928"/>
      <c r="AE105" s="928"/>
      <c r="AF105" s="928"/>
      <c r="AG105" s="928"/>
      <c r="AH105" s="928"/>
      <c r="AI105" s="928"/>
      <c r="AJ105" s="928"/>
      <c r="AK105" s="928"/>
      <c r="AL105" s="928"/>
      <c r="AM105" s="928"/>
      <c r="AN105" s="928"/>
      <c r="AO105" s="928"/>
      <c r="AP105" s="928"/>
      <c r="AQ105" s="928"/>
      <c r="AR105" s="928"/>
      <c r="AS105" s="928"/>
    </row>
    <row r="106" spans="11:45">
      <c r="K106" s="957"/>
      <c r="L106" s="928"/>
      <c r="M106" s="928"/>
      <c r="N106" s="960"/>
      <c r="O106" s="960"/>
      <c r="P106" s="960"/>
      <c r="Q106" s="960"/>
      <c r="R106" s="960"/>
      <c r="S106" s="960"/>
      <c r="T106" s="960"/>
      <c r="U106" s="960"/>
      <c r="V106" s="960"/>
      <c r="W106" s="960"/>
      <c r="X106" s="960"/>
      <c r="Y106" s="960"/>
      <c r="Z106" s="960"/>
      <c r="AA106" s="960"/>
      <c r="AB106" s="928"/>
      <c r="AC106" s="928"/>
      <c r="AD106" s="928"/>
      <c r="AE106" s="928"/>
      <c r="AF106" s="928"/>
      <c r="AG106" s="928"/>
      <c r="AH106" s="928"/>
      <c r="AI106" s="928"/>
      <c r="AJ106" s="928"/>
      <c r="AK106" s="928"/>
      <c r="AL106" s="928"/>
      <c r="AM106" s="928"/>
      <c r="AN106" s="928"/>
      <c r="AO106" s="928"/>
      <c r="AP106" s="928"/>
      <c r="AQ106" s="928"/>
      <c r="AR106" s="928"/>
      <c r="AS106" s="928"/>
    </row>
    <row r="107" spans="11:45">
      <c r="K107" s="957"/>
      <c r="L107" s="928"/>
      <c r="M107" s="928"/>
      <c r="N107" s="960"/>
      <c r="O107" s="960"/>
      <c r="P107" s="960"/>
      <c r="Q107" s="960"/>
      <c r="R107" s="960"/>
      <c r="S107" s="960"/>
      <c r="T107" s="960"/>
      <c r="U107" s="960"/>
      <c r="V107" s="960"/>
      <c r="W107" s="960"/>
      <c r="X107" s="960"/>
      <c r="Y107" s="960"/>
      <c r="Z107" s="960"/>
      <c r="AA107" s="960"/>
      <c r="AB107" s="928"/>
      <c r="AC107" s="928"/>
      <c r="AD107" s="928"/>
      <c r="AE107" s="928"/>
      <c r="AF107" s="928"/>
      <c r="AG107" s="928"/>
      <c r="AH107" s="928"/>
      <c r="AI107" s="928"/>
      <c r="AJ107" s="928"/>
      <c r="AK107" s="928"/>
      <c r="AL107" s="928"/>
      <c r="AM107" s="928"/>
      <c r="AN107" s="928"/>
      <c r="AO107" s="928"/>
      <c r="AP107" s="928"/>
      <c r="AQ107" s="928"/>
      <c r="AR107" s="928"/>
      <c r="AS107" s="928"/>
    </row>
    <row r="108" spans="11:45">
      <c r="K108" s="957"/>
      <c r="L108" s="928"/>
      <c r="M108" s="928"/>
      <c r="N108" s="960"/>
      <c r="O108" s="960"/>
      <c r="P108" s="960"/>
      <c r="Q108" s="960"/>
      <c r="R108" s="960"/>
      <c r="S108" s="960"/>
      <c r="T108" s="960"/>
      <c r="U108" s="960"/>
      <c r="V108" s="960"/>
      <c r="W108" s="960"/>
      <c r="X108" s="960"/>
      <c r="Y108" s="960"/>
      <c r="Z108" s="960"/>
      <c r="AA108" s="960"/>
      <c r="AB108" s="928"/>
      <c r="AC108" s="928"/>
      <c r="AD108" s="928"/>
      <c r="AE108" s="928"/>
      <c r="AF108" s="928"/>
      <c r="AG108" s="928"/>
      <c r="AH108" s="928"/>
      <c r="AI108" s="928"/>
      <c r="AJ108" s="928"/>
      <c r="AK108" s="928"/>
      <c r="AL108" s="928"/>
      <c r="AM108" s="928"/>
      <c r="AN108" s="928"/>
      <c r="AO108" s="928"/>
      <c r="AP108" s="928"/>
      <c r="AQ108" s="928"/>
      <c r="AR108" s="928"/>
      <c r="AS108" s="928"/>
    </row>
    <row r="109" spans="11:45">
      <c r="K109" s="957"/>
      <c r="L109" s="928"/>
      <c r="M109" s="928"/>
      <c r="N109" s="960"/>
      <c r="O109" s="960"/>
      <c r="P109" s="960"/>
      <c r="Q109" s="960"/>
      <c r="R109" s="960"/>
      <c r="S109" s="960"/>
      <c r="T109" s="960"/>
      <c r="U109" s="960"/>
      <c r="V109" s="960"/>
      <c r="W109" s="960"/>
      <c r="X109" s="960"/>
      <c r="Y109" s="960"/>
      <c r="Z109" s="960"/>
      <c r="AA109" s="960"/>
      <c r="AB109" s="928"/>
      <c r="AC109" s="928"/>
      <c r="AD109" s="928"/>
      <c r="AE109" s="928"/>
      <c r="AF109" s="928"/>
      <c r="AG109" s="928"/>
      <c r="AH109" s="928"/>
      <c r="AI109" s="928"/>
      <c r="AJ109" s="928"/>
      <c r="AK109" s="928"/>
      <c r="AL109" s="928"/>
      <c r="AM109" s="928"/>
      <c r="AN109" s="928"/>
      <c r="AO109" s="928"/>
      <c r="AP109" s="928"/>
      <c r="AQ109" s="928"/>
      <c r="AR109" s="928"/>
      <c r="AS109" s="928"/>
    </row>
    <row r="110" spans="11:45">
      <c r="K110" s="957"/>
      <c r="L110" s="928"/>
      <c r="M110" s="928"/>
      <c r="N110" s="960"/>
      <c r="O110" s="960"/>
      <c r="P110" s="960"/>
      <c r="Q110" s="960"/>
      <c r="R110" s="960"/>
      <c r="S110" s="960"/>
      <c r="T110" s="960"/>
      <c r="U110" s="960"/>
      <c r="V110" s="960"/>
      <c r="W110" s="960"/>
      <c r="X110" s="960"/>
      <c r="Y110" s="960"/>
      <c r="Z110" s="960"/>
      <c r="AA110" s="960"/>
      <c r="AB110" s="928"/>
      <c r="AC110" s="928"/>
      <c r="AD110" s="928"/>
      <c r="AE110" s="928"/>
      <c r="AF110" s="928"/>
      <c r="AG110" s="928"/>
      <c r="AH110" s="928"/>
      <c r="AI110" s="928"/>
      <c r="AJ110" s="928"/>
      <c r="AK110" s="928"/>
      <c r="AL110" s="928"/>
      <c r="AM110" s="928"/>
      <c r="AN110" s="928"/>
      <c r="AO110" s="928"/>
      <c r="AP110" s="928"/>
      <c r="AQ110" s="928"/>
      <c r="AR110" s="928"/>
      <c r="AS110" s="928"/>
    </row>
    <row r="111" spans="11:45">
      <c r="K111" s="957"/>
      <c r="L111" s="928"/>
      <c r="M111" s="928"/>
      <c r="N111" s="960"/>
      <c r="O111" s="960"/>
      <c r="P111" s="960"/>
      <c r="Q111" s="960"/>
      <c r="R111" s="960"/>
      <c r="S111" s="960"/>
      <c r="T111" s="960"/>
      <c r="U111" s="960"/>
      <c r="V111" s="960"/>
      <c r="W111" s="960"/>
      <c r="X111" s="960"/>
      <c r="Y111" s="960"/>
      <c r="Z111" s="960"/>
      <c r="AA111" s="960"/>
      <c r="AB111" s="928"/>
      <c r="AC111" s="928"/>
      <c r="AD111" s="928"/>
      <c r="AE111" s="928"/>
      <c r="AF111" s="928"/>
      <c r="AG111" s="928"/>
      <c r="AH111" s="928"/>
      <c r="AI111" s="928"/>
      <c r="AJ111" s="928"/>
      <c r="AK111" s="928"/>
      <c r="AL111" s="928"/>
      <c r="AM111" s="928"/>
      <c r="AN111" s="928"/>
      <c r="AO111" s="928"/>
      <c r="AP111" s="928"/>
      <c r="AQ111" s="928"/>
      <c r="AR111" s="928"/>
      <c r="AS111" s="928"/>
    </row>
    <row r="112" spans="11:45">
      <c r="K112" s="957"/>
      <c r="L112" s="928"/>
      <c r="M112" s="928"/>
      <c r="N112" s="960"/>
      <c r="O112" s="960"/>
      <c r="P112" s="960"/>
      <c r="Q112" s="960"/>
      <c r="R112" s="960"/>
      <c r="S112" s="960"/>
      <c r="T112" s="960"/>
      <c r="U112" s="960"/>
      <c r="V112" s="960"/>
      <c r="W112" s="960"/>
      <c r="X112" s="960"/>
      <c r="Y112" s="960"/>
      <c r="Z112" s="960"/>
      <c r="AA112" s="960"/>
      <c r="AB112" s="928"/>
      <c r="AC112" s="928"/>
      <c r="AD112" s="928"/>
      <c r="AE112" s="928"/>
      <c r="AF112" s="928"/>
      <c r="AG112" s="928"/>
      <c r="AH112" s="928"/>
      <c r="AI112" s="928"/>
      <c r="AJ112" s="928"/>
      <c r="AK112" s="928"/>
      <c r="AL112" s="928"/>
      <c r="AM112" s="928"/>
      <c r="AN112" s="928"/>
      <c r="AO112" s="928"/>
      <c r="AP112" s="928"/>
      <c r="AQ112" s="928"/>
      <c r="AR112" s="928"/>
      <c r="AS112" s="928"/>
    </row>
    <row r="113" spans="11:45">
      <c r="K113" s="957"/>
      <c r="L113" s="928"/>
      <c r="M113" s="928"/>
      <c r="N113" s="960"/>
      <c r="O113" s="960"/>
      <c r="P113" s="960"/>
      <c r="Q113" s="960"/>
      <c r="R113" s="960"/>
      <c r="S113" s="960"/>
      <c r="T113" s="960"/>
      <c r="U113" s="960"/>
      <c r="V113" s="960"/>
      <c r="W113" s="960"/>
      <c r="X113" s="960"/>
      <c r="Y113" s="960"/>
      <c r="Z113" s="960"/>
      <c r="AA113" s="960"/>
      <c r="AB113" s="928"/>
      <c r="AC113" s="928"/>
      <c r="AD113" s="928"/>
      <c r="AE113" s="928"/>
      <c r="AF113" s="928"/>
      <c r="AG113" s="928"/>
      <c r="AH113" s="928"/>
      <c r="AI113" s="928"/>
      <c r="AJ113" s="928"/>
      <c r="AK113" s="928"/>
      <c r="AL113" s="928"/>
      <c r="AM113" s="928"/>
      <c r="AN113" s="928"/>
      <c r="AO113" s="928"/>
      <c r="AP113" s="928"/>
      <c r="AQ113" s="928"/>
      <c r="AR113" s="928"/>
      <c r="AS113" s="928"/>
    </row>
    <row r="114" spans="11:45">
      <c r="K114" s="957"/>
      <c r="L114" s="928"/>
      <c r="M114" s="928"/>
      <c r="N114" s="960"/>
      <c r="O114" s="960"/>
      <c r="P114" s="960"/>
      <c r="Q114" s="960"/>
      <c r="R114" s="960"/>
      <c r="S114" s="960"/>
      <c r="T114" s="960"/>
      <c r="U114" s="960"/>
      <c r="V114" s="960"/>
      <c r="W114" s="960"/>
      <c r="X114" s="960"/>
      <c r="Y114" s="960"/>
      <c r="Z114" s="960"/>
      <c r="AA114" s="960"/>
      <c r="AB114" s="928"/>
      <c r="AC114" s="928"/>
      <c r="AD114" s="928"/>
      <c r="AE114" s="928"/>
      <c r="AF114" s="928"/>
      <c r="AG114" s="928"/>
      <c r="AH114" s="928"/>
      <c r="AI114" s="928"/>
      <c r="AJ114" s="928"/>
      <c r="AK114" s="928"/>
      <c r="AL114" s="928"/>
      <c r="AM114" s="928"/>
      <c r="AN114" s="928"/>
      <c r="AO114" s="928"/>
      <c r="AP114" s="928"/>
      <c r="AQ114" s="928"/>
      <c r="AR114" s="928"/>
      <c r="AS114" s="928"/>
    </row>
    <row r="115" spans="11:45">
      <c r="K115" s="957"/>
      <c r="L115" s="928"/>
      <c r="M115" s="928"/>
      <c r="N115" s="960"/>
      <c r="O115" s="960"/>
      <c r="P115" s="960"/>
      <c r="Q115" s="960"/>
      <c r="R115" s="960"/>
      <c r="S115" s="960"/>
      <c r="T115" s="960"/>
      <c r="U115" s="960"/>
      <c r="V115" s="960"/>
      <c r="W115" s="960"/>
      <c r="X115" s="960"/>
      <c r="Y115" s="960"/>
      <c r="Z115" s="960"/>
      <c r="AA115" s="960"/>
      <c r="AB115" s="928"/>
      <c r="AC115" s="928"/>
      <c r="AD115" s="928"/>
      <c r="AE115" s="928"/>
      <c r="AF115" s="928"/>
      <c r="AG115" s="928"/>
      <c r="AH115" s="928"/>
      <c r="AI115" s="928"/>
      <c r="AJ115" s="928"/>
      <c r="AK115" s="928"/>
      <c r="AL115" s="928"/>
      <c r="AM115" s="928"/>
      <c r="AN115" s="928"/>
      <c r="AO115" s="928"/>
      <c r="AP115" s="928"/>
      <c r="AQ115" s="928"/>
      <c r="AR115" s="928"/>
      <c r="AS115" s="928"/>
    </row>
    <row r="116" spans="11:45">
      <c r="K116" s="957"/>
      <c r="L116" s="928"/>
      <c r="M116" s="928"/>
      <c r="N116" s="960"/>
      <c r="O116" s="960"/>
      <c r="P116" s="960"/>
      <c r="Q116" s="960"/>
      <c r="R116" s="960"/>
      <c r="S116" s="960"/>
      <c r="T116" s="960"/>
      <c r="U116" s="960"/>
      <c r="V116" s="960"/>
      <c r="W116" s="960"/>
      <c r="X116" s="960"/>
      <c r="Y116" s="960"/>
      <c r="Z116" s="960"/>
      <c r="AA116" s="960"/>
      <c r="AB116" s="928"/>
      <c r="AC116" s="928"/>
      <c r="AD116" s="928"/>
      <c r="AE116" s="928"/>
      <c r="AF116" s="928"/>
      <c r="AG116" s="928"/>
      <c r="AH116" s="928"/>
      <c r="AI116" s="928"/>
      <c r="AJ116" s="928"/>
      <c r="AK116" s="928"/>
      <c r="AL116" s="928"/>
      <c r="AM116" s="928"/>
      <c r="AN116" s="928"/>
      <c r="AO116" s="928"/>
      <c r="AP116" s="928"/>
      <c r="AQ116" s="928"/>
      <c r="AR116" s="928"/>
      <c r="AS116" s="928"/>
    </row>
    <row r="117" spans="11:45">
      <c r="K117" s="957"/>
      <c r="L117" s="928"/>
      <c r="M117" s="928"/>
      <c r="N117" s="960"/>
      <c r="O117" s="960"/>
      <c r="P117" s="960"/>
      <c r="Q117" s="960"/>
      <c r="R117" s="960"/>
      <c r="S117" s="960"/>
      <c r="T117" s="960"/>
      <c r="U117" s="960"/>
      <c r="V117" s="960"/>
      <c r="W117" s="960"/>
      <c r="X117" s="960"/>
      <c r="Y117" s="960"/>
      <c r="Z117" s="960"/>
      <c r="AA117" s="960"/>
      <c r="AB117" s="928"/>
      <c r="AC117" s="928"/>
      <c r="AD117" s="928"/>
      <c r="AE117" s="928"/>
      <c r="AF117" s="928"/>
      <c r="AG117" s="928"/>
      <c r="AH117" s="928"/>
      <c r="AI117" s="928"/>
      <c r="AJ117" s="928"/>
      <c r="AK117" s="928"/>
      <c r="AL117" s="928"/>
      <c r="AM117" s="928"/>
      <c r="AN117" s="928"/>
      <c r="AO117" s="928"/>
      <c r="AP117" s="928"/>
      <c r="AQ117" s="928"/>
      <c r="AR117" s="928"/>
      <c r="AS117" s="928"/>
    </row>
    <row r="118" spans="11:45">
      <c r="K118" s="957"/>
      <c r="L118" s="928"/>
      <c r="M118" s="928"/>
      <c r="N118" s="960"/>
      <c r="O118" s="960"/>
      <c r="P118" s="960"/>
      <c r="Q118" s="960"/>
      <c r="R118" s="960"/>
      <c r="S118" s="960"/>
      <c r="T118" s="960"/>
      <c r="U118" s="960"/>
      <c r="V118" s="960"/>
      <c r="W118" s="960"/>
      <c r="X118" s="960"/>
      <c r="Y118" s="960"/>
      <c r="Z118" s="960"/>
      <c r="AA118" s="960"/>
      <c r="AB118" s="928"/>
      <c r="AC118" s="928"/>
      <c r="AD118" s="928"/>
      <c r="AE118" s="928"/>
      <c r="AF118" s="928"/>
      <c r="AG118" s="928"/>
      <c r="AH118" s="928"/>
      <c r="AI118" s="928"/>
      <c r="AJ118" s="928"/>
      <c r="AK118" s="928"/>
      <c r="AL118" s="928"/>
      <c r="AM118" s="928"/>
      <c r="AN118" s="928"/>
      <c r="AO118" s="928"/>
      <c r="AP118" s="928"/>
      <c r="AQ118" s="928"/>
      <c r="AR118" s="928"/>
      <c r="AS118" s="928"/>
    </row>
    <row r="119" spans="11:45">
      <c r="K119" s="957"/>
      <c r="L119" s="928"/>
      <c r="M119" s="928"/>
      <c r="N119" s="960"/>
      <c r="O119" s="960"/>
      <c r="P119" s="960"/>
      <c r="Q119" s="960"/>
      <c r="R119" s="960"/>
      <c r="S119" s="960"/>
      <c r="T119" s="960"/>
      <c r="U119" s="960"/>
      <c r="V119" s="960"/>
      <c r="W119" s="960"/>
      <c r="X119" s="960"/>
      <c r="Y119" s="960"/>
      <c r="Z119" s="960"/>
      <c r="AA119" s="960"/>
      <c r="AB119" s="928"/>
      <c r="AC119" s="928"/>
      <c r="AD119" s="928"/>
      <c r="AE119" s="928"/>
      <c r="AF119" s="928"/>
      <c r="AG119" s="928"/>
      <c r="AH119" s="928"/>
      <c r="AI119" s="928"/>
      <c r="AJ119" s="928"/>
      <c r="AK119" s="928"/>
      <c r="AL119" s="928"/>
      <c r="AM119" s="928"/>
      <c r="AN119" s="928"/>
      <c r="AO119" s="928"/>
      <c r="AP119" s="928"/>
      <c r="AQ119" s="928"/>
      <c r="AR119" s="928"/>
      <c r="AS119" s="928"/>
    </row>
    <row r="120" spans="11:45">
      <c r="K120" s="957"/>
      <c r="L120" s="928"/>
      <c r="M120" s="928"/>
      <c r="N120" s="960"/>
      <c r="O120" s="960"/>
      <c r="P120" s="960"/>
      <c r="Q120" s="960"/>
      <c r="R120" s="960"/>
      <c r="S120" s="960"/>
      <c r="T120" s="960"/>
      <c r="U120" s="960"/>
      <c r="V120" s="960"/>
      <c r="W120" s="960"/>
      <c r="X120" s="960"/>
      <c r="Y120" s="960"/>
      <c r="Z120" s="960"/>
      <c r="AA120" s="960"/>
      <c r="AB120" s="928"/>
      <c r="AC120" s="928"/>
      <c r="AD120" s="928"/>
      <c r="AE120" s="928"/>
      <c r="AF120" s="928"/>
      <c r="AG120" s="928"/>
      <c r="AH120" s="928"/>
      <c r="AI120" s="928"/>
      <c r="AJ120" s="928"/>
      <c r="AK120" s="928"/>
      <c r="AL120" s="928"/>
      <c r="AM120" s="928"/>
      <c r="AN120" s="928"/>
      <c r="AO120" s="928"/>
      <c r="AP120" s="928"/>
      <c r="AQ120" s="928"/>
      <c r="AR120" s="928"/>
      <c r="AS120" s="928"/>
    </row>
    <row r="121" spans="11:45">
      <c r="K121" s="957"/>
      <c r="L121" s="928"/>
      <c r="M121" s="928"/>
      <c r="N121" s="960"/>
      <c r="O121" s="960"/>
      <c r="P121" s="960"/>
      <c r="Q121" s="960"/>
      <c r="R121" s="960"/>
      <c r="S121" s="960"/>
      <c r="T121" s="960"/>
      <c r="U121" s="960"/>
      <c r="V121" s="960"/>
      <c r="W121" s="960"/>
      <c r="X121" s="960"/>
      <c r="Y121" s="960"/>
      <c r="Z121" s="960"/>
      <c r="AA121" s="960"/>
      <c r="AB121" s="928"/>
      <c r="AC121" s="928"/>
      <c r="AD121" s="928"/>
      <c r="AE121" s="928"/>
      <c r="AF121" s="928"/>
      <c r="AG121" s="928"/>
      <c r="AH121" s="928"/>
      <c r="AI121" s="928"/>
      <c r="AJ121" s="928"/>
      <c r="AK121" s="928"/>
      <c r="AL121" s="928"/>
      <c r="AM121" s="928"/>
      <c r="AN121" s="928"/>
      <c r="AO121" s="928"/>
      <c r="AP121" s="928"/>
      <c r="AQ121" s="928"/>
      <c r="AR121" s="928"/>
      <c r="AS121" s="928"/>
    </row>
    <row r="122" spans="11:45">
      <c r="K122" s="957"/>
      <c r="L122" s="928"/>
      <c r="M122" s="928"/>
      <c r="N122" s="960"/>
      <c r="O122" s="960"/>
      <c r="P122" s="960"/>
      <c r="Q122" s="960"/>
      <c r="R122" s="960"/>
      <c r="S122" s="960"/>
      <c r="T122" s="960"/>
      <c r="U122" s="960"/>
      <c r="V122" s="960"/>
      <c r="W122" s="960"/>
      <c r="X122" s="960"/>
      <c r="Y122" s="960"/>
      <c r="Z122" s="960"/>
      <c r="AA122" s="960"/>
      <c r="AB122" s="928"/>
      <c r="AC122" s="928"/>
      <c r="AD122" s="928"/>
      <c r="AE122" s="928"/>
      <c r="AF122" s="928"/>
      <c r="AG122" s="928"/>
      <c r="AH122" s="928"/>
      <c r="AI122" s="928"/>
      <c r="AJ122" s="928"/>
      <c r="AK122" s="928"/>
      <c r="AL122" s="928"/>
      <c r="AM122" s="928"/>
      <c r="AN122" s="928"/>
      <c r="AO122" s="928"/>
      <c r="AP122" s="928"/>
      <c r="AQ122" s="928"/>
      <c r="AR122" s="928"/>
      <c r="AS122" s="928"/>
    </row>
    <row r="123" spans="11:45">
      <c r="K123" s="957"/>
      <c r="L123" s="928"/>
      <c r="M123" s="928"/>
      <c r="N123" s="960"/>
      <c r="O123" s="960"/>
      <c r="P123" s="960"/>
      <c r="Q123" s="960"/>
      <c r="R123" s="960"/>
      <c r="S123" s="960"/>
      <c r="T123" s="960"/>
      <c r="U123" s="960"/>
      <c r="V123" s="960"/>
      <c r="W123" s="960"/>
      <c r="X123" s="960"/>
      <c r="Y123" s="960"/>
      <c r="Z123" s="960"/>
      <c r="AA123" s="960"/>
      <c r="AB123" s="928"/>
      <c r="AC123" s="928"/>
      <c r="AD123" s="928"/>
      <c r="AE123" s="928"/>
      <c r="AF123" s="928"/>
      <c r="AG123" s="928"/>
      <c r="AH123" s="928"/>
      <c r="AI123" s="928"/>
      <c r="AJ123" s="928"/>
      <c r="AK123" s="928"/>
      <c r="AL123" s="928"/>
      <c r="AM123" s="928"/>
      <c r="AN123" s="928"/>
      <c r="AO123" s="928"/>
      <c r="AP123" s="928"/>
      <c r="AQ123" s="928"/>
      <c r="AR123" s="928"/>
      <c r="AS123" s="928"/>
    </row>
    <row r="124" spans="11:45">
      <c r="K124" s="957"/>
      <c r="L124" s="928"/>
      <c r="M124" s="928"/>
      <c r="N124" s="960"/>
      <c r="O124" s="960"/>
      <c r="P124" s="960"/>
      <c r="Q124" s="960"/>
      <c r="R124" s="960"/>
      <c r="S124" s="960"/>
      <c r="T124" s="960"/>
      <c r="U124" s="960"/>
      <c r="V124" s="960"/>
      <c r="W124" s="960"/>
      <c r="X124" s="960"/>
      <c r="Y124" s="960"/>
      <c r="Z124" s="960"/>
      <c r="AA124" s="960"/>
      <c r="AB124" s="928"/>
      <c r="AC124" s="928"/>
      <c r="AD124" s="928"/>
      <c r="AE124" s="928"/>
      <c r="AF124" s="928"/>
      <c r="AG124" s="928"/>
      <c r="AH124" s="928"/>
      <c r="AI124" s="928"/>
      <c r="AJ124" s="928"/>
      <c r="AK124" s="928"/>
      <c r="AL124" s="928"/>
      <c r="AM124" s="928"/>
      <c r="AN124" s="928"/>
      <c r="AO124" s="928"/>
      <c r="AP124" s="928"/>
      <c r="AQ124" s="928"/>
      <c r="AR124" s="928"/>
      <c r="AS124" s="928"/>
    </row>
    <row r="125" spans="11:45">
      <c r="K125" s="957"/>
      <c r="L125" s="928"/>
      <c r="M125" s="928"/>
      <c r="N125" s="960"/>
      <c r="O125" s="960"/>
      <c r="P125" s="960"/>
      <c r="Q125" s="960"/>
      <c r="R125" s="960"/>
      <c r="S125" s="960"/>
      <c r="T125" s="960"/>
      <c r="U125" s="960"/>
      <c r="V125" s="960"/>
      <c r="W125" s="960"/>
      <c r="X125" s="960"/>
      <c r="Y125" s="960"/>
      <c r="Z125" s="960"/>
      <c r="AA125" s="960"/>
      <c r="AB125" s="928"/>
      <c r="AC125" s="928"/>
      <c r="AD125" s="928"/>
      <c r="AE125" s="928"/>
      <c r="AF125" s="928"/>
      <c r="AG125" s="928"/>
      <c r="AH125" s="928"/>
      <c r="AI125" s="928"/>
      <c r="AJ125" s="928"/>
      <c r="AK125" s="928"/>
      <c r="AL125" s="928"/>
      <c r="AM125" s="928"/>
      <c r="AN125" s="928"/>
      <c r="AO125" s="928"/>
      <c r="AP125" s="928"/>
      <c r="AQ125" s="928"/>
      <c r="AR125" s="928"/>
      <c r="AS125" s="928"/>
    </row>
    <row r="126" spans="11:45">
      <c r="K126" s="957"/>
      <c r="L126" s="928"/>
      <c r="M126" s="928"/>
      <c r="N126" s="960"/>
      <c r="O126" s="960"/>
      <c r="P126" s="960"/>
      <c r="Q126" s="960"/>
      <c r="R126" s="960"/>
      <c r="S126" s="960"/>
      <c r="T126" s="960"/>
      <c r="U126" s="960"/>
      <c r="V126" s="960"/>
      <c r="W126" s="960"/>
      <c r="X126" s="960"/>
      <c r="Y126" s="960"/>
      <c r="Z126" s="960"/>
      <c r="AA126" s="960"/>
      <c r="AB126" s="928"/>
      <c r="AC126" s="928"/>
      <c r="AD126" s="928"/>
      <c r="AE126" s="928"/>
      <c r="AF126" s="928"/>
      <c r="AG126" s="928"/>
      <c r="AH126" s="928"/>
      <c r="AI126" s="928"/>
      <c r="AJ126" s="928"/>
      <c r="AK126" s="928"/>
      <c r="AL126" s="928"/>
      <c r="AM126" s="928"/>
      <c r="AN126" s="928"/>
      <c r="AO126" s="928"/>
      <c r="AP126" s="928"/>
      <c r="AQ126" s="928"/>
      <c r="AR126" s="928"/>
      <c r="AS126" s="928"/>
    </row>
    <row r="127" spans="11:45">
      <c r="K127" s="957"/>
      <c r="L127" s="928"/>
      <c r="M127" s="928"/>
      <c r="N127" s="960"/>
      <c r="O127" s="960"/>
      <c r="P127" s="960"/>
      <c r="Q127" s="960"/>
      <c r="R127" s="960"/>
      <c r="S127" s="960"/>
      <c r="T127" s="960"/>
      <c r="U127" s="960"/>
      <c r="V127" s="960"/>
      <c r="W127" s="960"/>
      <c r="X127" s="960"/>
      <c r="Y127" s="960"/>
      <c r="Z127" s="960"/>
      <c r="AA127" s="960"/>
      <c r="AB127" s="928"/>
      <c r="AC127" s="928"/>
      <c r="AD127" s="928"/>
      <c r="AE127" s="928"/>
      <c r="AF127" s="928"/>
      <c r="AG127" s="928"/>
      <c r="AH127" s="928"/>
      <c r="AI127" s="928"/>
      <c r="AJ127" s="928"/>
      <c r="AK127" s="928"/>
      <c r="AL127" s="928"/>
      <c r="AM127" s="928"/>
      <c r="AN127" s="928"/>
      <c r="AO127" s="928"/>
      <c r="AP127" s="928"/>
      <c r="AQ127" s="928"/>
      <c r="AR127" s="928"/>
      <c r="AS127" s="928"/>
    </row>
    <row r="128" spans="11:45">
      <c r="K128" s="957"/>
      <c r="L128" s="928"/>
      <c r="M128" s="928"/>
      <c r="N128" s="960"/>
      <c r="O128" s="960"/>
      <c r="P128" s="960"/>
      <c r="Q128" s="960"/>
      <c r="R128" s="960"/>
      <c r="S128" s="960"/>
      <c r="T128" s="960"/>
      <c r="U128" s="960"/>
      <c r="V128" s="960"/>
      <c r="W128" s="960"/>
      <c r="X128" s="960"/>
      <c r="Y128" s="960"/>
      <c r="Z128" s="960"/>
      <c r="AA128" s="960"/>
      <c r="AB128" s="928"/>
      <c r="AC128" s="928"/>
      <c r="AD128" s="928"/>
      <c r="AE128" s="928"/>
      <c r="AF128" s="928"/>
      <c r="AG128" s="928"/>
      <c r="AH128" s="928"/>
      <c r="AI128" s="928"/>
      <c r="AJ128" s="928"/>
      <c r="AK128" s="928"/>
      <c r="AL128" s="928"/>
      <c r="AM128" s="928"/>
      <c r="AN128" s="928"/>
      <c r="AO128" s="928"/>
      <c r="AP128" s="928"/>
      <c r="AQ128" s="928"/>
      <c r="AR128" s="928"/>
      <c r="AS128" s="928"/>
    </row>
    <row r="129" spans="11:45">
      <c r="K129" s="957"/>
      <c r="L129" s="928"/>
      <c r="M129" s="928"/>
      <c r="N129" s="960"/>
      <c r="O129" s="960"/>
      <c r="P129" s="960"/>
      <c r="Q129" s="960"/>
      <c r="R129" s="960"/>
      <c r="S129" s="960"/>
      <c r="T129" s="960"/>
      <c r="U129" s="960"/>
      <c r="V129" s="960"/>
      <c r="W129" s="960"/>
      <c r="X129" s="960"/>
      <c r="Y129" s="960"/>
      <c r="Z129" s="960"/>
      <c r="AA129" s="960"/>
      <c r="AB129" s="928"/>
      <c r="AC129" s="928"/>
      <c r="AD129" s="928"/>
      <c r="AE129" s="928"/>
      <c r="AF129" s="928"/>
      <c r="AG129" s="928"/>
      <c r="AH129" s="928"/>
      <c r="AI129" s="928"/>
      <c r="AJ129" s="928"/>
      <c r="AK129" s="928"/>
      <c r="AL129" s="928"/>
      <c r="AM129" s="928"/>
      <c r="AN129" s="928"/>
      <c r="AO129" s="928"/>
      <c r="AP129" s="928"/>
      <c r="AQ129" s="928"/>
      <c r="AR129" s="928"/>
      <c r="AS129" s="928"/>
    </row>
    <row r="130" spans="11:45">
      <c r="K130" s="957"/>
      <c r="L130" s="928"/>
      <c r="M130" s="928"/>
      <c r="N130" s="960"/>
      <c r="O130" s="960"/>
      <c r="P130" s="960"/>
      <c r="Q130" s="960"/>
      <c r="R130" s="960"/>
      <c r="S130" s="960"/>
      <c r="T130" s="960"/>
      <c r="U130" s="960"/>
      <c r="V130" s="960"/>
      <c r="W130" s="960"/>
      <c r="X130" s="960"/>
      <c r="Y130" s="960"/>
      <c r="Z130" s="960"/>
      <c r="AA130" s="960"/>
      <c r="AB130" s="928"/>
      <c r="AC130" s="928"/>
      <c r="AD130" s="928"/>
      <c r="AE130" s="928"/>
      <c r="AF130" s="928"/>
      <c r="AG130" s="928"/>
      <c r="AH130" s="928"/>
      <c r="AI130" s="928"/>
      <c r="AJ130" s="928"/>
      <c r="AK130" s="928"/>
      <c r="AL130" s="928"/>
      <c r="AM130" s="928"/>
      <c r="AN130" s="928"/>
      <c r="AO130" s="928"/>
      <c r="AP130" s="928"/>
      <c r="AQ130" s="928"/>
      <c r="AR130" s="928"/>
      <c r="AS130" s="928"/>
    </row>
    <row r="131" spans="11:45">
      <c r="K131" s="957"/>
      <c r="L131" s="928"/>
      <c r="M131" s="928"/>
      <c r="N131" s="960"/>
      <c r="O131" s="960"/>
      <c r="P131" s="960"/>
      <c r="Q131" s="960"/>
      <c r="R131" s="960"/>
      <c r="S131" s="960"/>
      <c r="T131" s="960"/>
      <c r="U131" s="960"/>
      <c r="V131" s="960"/>
      <c r="W131" s="960"/>
      <c r="X131" s="960"/>
      <c r="Y131" s="960"/>
      <c r="Z131" s="960"/>
      <c r="AA131" s="960"/>
      <c r="AB131" s="928"/>
      <c r="AC131" s="928"/>
      <c r="AD131" s="928"/>
      <c r="AE131" s="928"/>
      <c r="AF131" s="928"/>
      <c r="AG131" s="928"/>
      <c r="AH131" s="928"/>
      <c r="AI131" s="928"/>
      <c r="AJ131" s="928"/>
      <c r="AK131" s="928"/>
      <c r="AL131" s="928"/>
      <c r="AM131" s="928"/>
      <c r="AN131" s="928"/>
      <c r="AO131" s="928"/>
      <c r="AP131" s="928"/>
      <c r="AQ131" s="928"/>
      <c r="AR131" s="928"/>
      <c r="AS131" s="928"/>
    </row>
    <row r="132" spans="11:45">
      <c r="K132" s="957"/>
      <c r="L132" s="928"/>
      <c r="M132" s="928"/>
      <c r="N132" s="960"/>
      <c r="O132" s="960"/>
      <c r="P132" s="960"/>
      <c r="Q132" s="960"/>
      <c r="R132" s="960"/>
      <c r="S132" s="960"/>
      <c r="T132" s="960"/>
      <c r="U132" s="960"/>
      <c r="V132" s="960"/>
      <c r="W132" s="960"/>
      <c r="X132" s="960"/>
      <c r="Y132" s="960"/>
      <c r="Z132" s="960"/>
      <c r="AA132" s="960"/>
      <c r="AB132" s="928"/>
      <c r="AC132" s="928"/>
      <c r="AD132" s="928"/>
      <c r="AE132" s="928"/>
      <c r="AF132" s="928"/>
      <c r="AG132" s="928"/>
      <c r="AH132" s="928"/>
      <c r="AI132" s="928"/>
      <c r="AJ132" s="928"/>
      <c r="AK132" s="928"/>
      <c r="AL132" s="928"/>
      <c r="AM132" s="928"/>
      <c r="AN132" s="928"/>
      <c r="AO132" s="928"/>
      <c r="AP132" s="928"/>
      <c r="AQ132" s="928"/>
      <c r="AR132" s="928"/>
      <c r="AS132" s="928"/>
    </row>
    <row r="133" spans="11:45">
      <c r="K133" s="957"/>
      <c r="L133" s="928"/>
      <c r="M133" s="928"/>
      <c r="N133" s="960"/>
      <c r="O133" s="960"/>
      <c r="P133" s="960"/>
      <c r="Q133" s="960"/>
      <c r="R133" s="960"/>
      <c r="S133" s="960"/>
      <c r="T133" s="960"/>
      <c r="U133" s="960"/>
      <c r="V133" s="960"/>
      <c r="W133" s="960"/>
      <c r="X133" s="960"/>
      <c r="Y133" s="960"/>
      <c r="Z133" s="960"/>
      <c r="AA133" s="960"/>
      <c r="AB133" s="928"/>
      <c r="AC133" s="928"/>
      <c r="AD133" s="928"/>
      <c r="AE133" s="928"/>
      <c r="AF133" s="928"/>
      <c r="AG133" s="928"/>
      <c r="AH133" s="928"/>
      <c r="AI133" s="928"/>
      <c r="AJ133" s="928"/>
      <c r="AK133" s="928"/>
      <c r="AL133" s="928"/>
      <c r="AM133" s="928"/>
      <c r="AN133" s="928"/>
      <c r="AO133" s="928"/>
      <c r="AP133" s="928"/>
      <c r="AQ133" s="928"/>
      <c r="AR133" s="928"/>
      <c r="AS133" s="928"/>
    </row>
    <row r="134" spans="11:45">
      <c r="K134" s="957"/>
      <c r="L134" s="928"/>
      <c r="M134" s="928"/>
      <c r="N134" s="960"/>
      <c r="O134" s="960"/>
      <c r="P134" s="960"/>
      <c r="Q134" s="960"/>
      <c r="R134" s="960"/>
      <c r="S134" s="960"/>
      <c r="T134" s="960"/>
      <c r="U134" s="960"/>
      <c r="V134" s="960"/>
      <c r="W134" s="960"/>
      <c r="X134" s="960"/>
      <c r="Y134" s="960"/>
      <c r="Z134" s="960"/>
      <c r="AA134" s="960"/>
      <c r="AB134" s="928"/>
      <c r="AC134" s="928"/>
      <c r="AD134" s="928"/>
      <c r="AE134" s="928"/>
      <c r="AF134" s="928"/>
      <c r="AG134" s="928"/>
      <c r="AH134" s="928"/>
      <c r="AI134" s="928"/>
      <c r="AJ134" s="928"/>
      <c r="AK134" s="928"/>
      <c r="AL134" s="928"/>
      <c r="AM134" s="928"/>
      <c r="AN134" s="928"/>
      <c r="AO134" s="928"/>
      <c r="AP134" s="928"/>
      <c r="AQ134" s="928"/>
      <c r="AR134" s="928"/>
      <c r="AS134" s="928"/>
    </row>
    <row r="135" spans="11:45">
      <c r="K135" s="957"/>
      <c r="L135" s="928"/>
      <c r="M135" s="928"/>
      <c r="N135" s="960"/>
      <c r="O135" s="960"/>
      <c r="P135" s="960"/>
      <c r="Q135" s="960"/>
      <c r="R135" s="960"/>
      <c r="S135" s="960"/>
      <c r="T135" s="960"/>
      <c r="U135" s="960"/>
      <c r="V135" s="960"/>
      <c r="W135" s="960"/>
      <c r="X135" s="960"/>
      <c r="Y135" s="960"/>
      <c r="Z135" s="960"/>
      <c r="AA135" s="960"/>
      <c r="AB135" s="928"/>
      <c r="AC135" s="928"/>
      <c r="AD135" s="928"/>
      <c r="AE135" s="928"/>
      <c r="AF135" s="928"/>
      <c r="AG135" s="928"/>
      <c r="AH135" s="928"/>
      <c r="AI135" s="928"/>
      <c r="AJ135" s="928"/>
      <c r="AK135" s="928"/>
      <c r="AL135" s="928"/>
      <c r="AM135" s="928"/>
      <c r="AN135" s="928"/>
      <c r="AO135" s="928"/>
      <c r="AP135" s="928"/>
      <c r="AQ135" s="928"/>
      <c r="AR135" s="928"/>
      <c r="AS135" s="928"/>
    </row>
    <row r="136" spans="11:45">
      <c r="K136" s="957"/>
      <c r="L136" s="928"/>
      <c r="M136" s="928"/>
      <c r="N136" s="960"/>
      <c r="O136" s="960"/>
      <c r="P136" s="960"/>
      <c r="Q136" s="960"/>
      <c r="R136" s="960"/>
      <c r="S136" s="960"/>
      <c r="T136" s="960"/>
      <c r="U136" s="960"/>
      <c r="V136" s="960"/>
      <c r="W136" s="960"/>
      <c r="X136" s="960"/>
      <c r="Y136" s="960"/>
      <c r="Z136" s="960"/>
      <c r="AA136" s="960"/>
      <c r="AB136" s="928"/>
      <c r="AC136" s="928"/>
      <c r="AD136" s="928"/>
      <c r="AE136" s="928"/>
      <c r="AF136" s="928"/>
      <c r="AG136" s="928"/>
      <c r="AH136" s="928"/>
      <c r="AI136" s="928"/>
      <c r="AJ136" s="928"/>
      <c r="AK136" s="928"/>
      <c r="AL136" s="928"/>
      <c r="AM136" s="928"/>
      <c r="AN136" s="928"/>
      <c r="AO136" s="928"/>
      <c r="AP136" s="928"/>
      <c r="AQ136" s="928"/>
      <c r="AR136" s="928"/>
      <c r="AS136" s="928"/>
    </row>
    <row r="137" spans="11:45">
      <c r="K137" s="957"/>
      <c r="L137" s="928"/>
      <c r="M137" s="928"/>
      <c r="N137" s="960"/>
      <c r="O137" s="960"/>
      <c r="P137" s="960"/>
      <c r="Q137" s="960"/>
      <c r="R137" s="960"/>
      <c r="S137" s="960"/>
      <c r="T137" s="960"/>
      <c r="U137" s="960"/>
      <c r="V137" s="960"/>
      <c r="W137" s="960"/>
      <c r="X137" s="960"/>
      <c r="Y137" s="960"/>
      <c r="Z137" s="960"/>
      <c r="AA137" s="960"/>
      <c r="AB137" s="928"/>
      <c r="AC137" s="928"/>
      <c r="AD137" s="928"/>
      <c r="AE137" s="928"/>
      <c r="AF137" s="928"/>
      <c r="AG137" s="928"/>
      <c r="AH137" s="928"/>
      <c r="AI137" s="928"/>
      <c r="AJ137" s="928"/>
      <c r="AK137" s="928"/>
      <c r="AL137" s="928"/>
      <c r="AM137" s="928"/>
      <c r="AN137" s="928"/>
      <c r="AO137" s="928"/>
      <c r="AP137" s="928"/>
      <c r="AQ137" s="928"/>
      <c r="AR137" s="928"/>
      <c r="AS137" s="928"/>
    </row>
    <row r="138" spans="11:45">
      <c r="K138" s="957"/>
      <c r="L138" s="928"/>
      <c r="M138" s="928"/>
      <c r="N138" s="960"/>
      <c r="O138" s="960"/>
      <c r="P138" s="960"/>
      <c r="Q138" s="960"/>
      <c r="R138" s="960"/>
      <c r="S138" s="960"/>
      <c r="T138" s="960"/>
      <c r="U138" s="960"/>
      <c r="V138" s="960"/>
      <c r="W138" s="960"/>
      <c r="X138" s="960"/>
      <c r="Y138" s="960"/>
      <c r="Z138" s="960"/>
      <c r="AA138" s="960"/>
      <c r="AB138" s="928"/>
      <c r="AC138" s="928"/>
      <c r="AD138" s="928"/>
      <c r="AE138" s="928"/>
      <c r="AF138" s="928"/>
      <c r="AG138" s="928"/>
      <c r="AH138" s="928"/>
      <c r="AI138" s="928"/>
      <c r="AJ138" s="928"/>
      <c r="AK138" s="928"/>
      <c r="AL138" s="928"/>
      <c r="AM138" s="928"/>
      <c r="AN138" s="928"/>
      <c r="AO138" s="928"/>
      <c r="AP138" s="928"/>
      <c r="AQ138" s="928"/>
      <c r="AR138" s="928"/>
      <c r="AS138" s="928"/>
    </row>
    <row r="139" spans="11:45">
      <c r="K139" s="957"/>
      <c r="L139" s="928"/>
      <c r="M139" s="928"/>
      <c r="N139" s="960"/>
      <c r="O139" s="960"/>
      <c r="P139" s="960"/>
      <c r="Q139" s="960"/>
      <c r="R139" s="960"/>
      <c r="S139" s="960"/>
      <c r="T139" s="960"/>
      <c r="U139" s="960"/>
      <c r="V139" s="960"/>
      <c r="W139" s="960"/>
      <c r="X139" s="960"/>
      <c r="Y139" s="960"/>
      <c r="Z139" s="960"/>
      <c r="AA139" s="960"/>
      <c r="AB139" s="928"/>
      <c r="AC139" s="928"/>
      <c r="AD139" s="928"/>
      <c r="AE139" s="928"/>
      <c r="AF139" s="928"/>
      <c r="AG139" s="928"/>
      <c r="AH139" s="928"/>
      <c r="AI139" s="928"/>
      <c r="AJ139" s="928"/>
      <c r="AK139" s="928"/>
      <c r="AL139" s="928"/>
      <c r="AM139" s="928"/>
      <c r="AN139" s="928"/>
      <c r="AO139" s="928"/>
      <c r="AP139" s="928"/>
      <c r="AQ139" s="928"/>
      <c r="AR139" s="928"/>
      <c r="AS139" s="928"/>
    </row>
    <row r="140" spans="11:45">
      <c r="K140" s="957"/>
      <c r="L140" s="928"/>
      <c r="M140" s="928"/>
      <c r="N140" s="960"/>
      <c r="O140" s="960"/>
      <c r="P140" s="960"/>
      <c r="Q140" s="960"/>
      <c r="R140" s="960"/>
      <c r="S140" s="960"/>
      <c r="T140" s="960"/>
      <c r="U140" s="960"/>
      <c r="V140" s="960"/>
      <c r="W140" s="960"/>
      <c r="X140" s="960"/>
      <c r="Y140" s="960"/>
      <c r="Z140" s="960"/>
      <c r="AA140" s="960"/>
      <c r="AB140" s="928"/>
      <c r="AC140" s="928"/>
      <c r="AD140" s="928"/>
      <c r="AE140" s="928"/>
      <c r="AF140" s="928"/>
      <c r="AG140" s="928"/>
      <c r="AH140" s="928"/>
      <c r="AI140" s="928"/>
      <c r="AJ140" s="928"/>
      <c r="AK140" s="928"/>
      <c r="AL140" s="928"/>
      <c r="AM140" s="928"/>
      <c r="AN140" s="928"/>
      <c r="AO140" s="928"/>
      <c r="AP140" s="928"/>
      <c r="AQ140" s="928"/>
      <c r="AR140" s="928"/>
      <c r="AS140" s="928"/>
    </row>
    <row r="141" spans="11:45">
      <c r="K141" s="957"/>
      <c r="L141" s="928"/>
      <c r="M141" s="928"/>
      <c r="N141" s="960"/>
      <c r="O141" s="960"/>
      <c r="P141" s="960"/>
      <c r="Q141" s="960"/>
      <c r="R141" s="960"/>
      <c r="S141" s="960"/>
      <c r="T141" s="960"/>
      <c r="U141" s="960"/>
      <c r="V141" s="960"/>
      <c r="W141" s="960"/>
      <c r="X141" s="960"/>
      <c r="Y141" s="960"/>
      <c r="Z141" s="960"/>
      <c r="AA141" s="960"/>
      <c r="AB141" s="928"/>
      <c r="AC141" s="928"/>
      <c r="AD141" s="928"/>
      <c r="AE141" s="928"/>
      <c r="AF141" s="928"/>
      <c r="AG141" s="928"/>
      <c r="AH141" s="928"/>
      <c r="AI141" s="928"/>
      <c r="AJ141" s="928"/>
      <c r="AK141" s="928"/>
      <c r="AL141" s="928"/>
      <c r="AM141" s="928"/>
      <c r="AN141" s="928"/>
      <c r="AO141" s="928"/>
      <c r="AP141" s="928"/>
      <c r="AQ141" s="928"/>
      <c r="AR141" s="928"/>
      <c r="AS141" s="928"/>
    </row>
    <row r="142" spans="11:45">
      <c r="K142" s="957"/>
      <c r="L142" s="928"/>
      <c r="M142" s="928"/>
      <c r="N142" s="960"/>
      <c r="O142" s="960"/>
      <c r="P142" s="960"/>
      <c r="Q142" s="960"/>
      <c r="R142" s="960"/>
      <c r="S142" s="960"/>
      <c r="T142" s="960"/>
      <c r="U142" s="960"/>
      <c r="V142" s="960"/>
      <c r="W142" s="960"/>
      <c r="X142" s="960"/>
      <c r="Y142" s="960"/>
      <c r="Z142" s="960"/>
      <c r="AA142" s="960"/>
      <c r="AB142" s="928"/>
      <c r="AC142" s="928"/>
      <c r="AD142" s="928"/>
      <c r="AE142" s="928"/>
      <c r="AF142" s="928"/>
      <c r="AG142" s="928"/>
      <c r="AH142" s="928"/>
      <c r="AI142" s="928"/>
      <c r="AJ142" s="928"/>
      <c r="AK142" s="928"/>
      <c r="AL142" s="928"/>
      <c r="AM142" s="928"/>
      <c r="AN142" s="928"/>
      <c r="AO142" s="928"/>
      <c r="AP142" s="928"/>
      <c r="AQ142" s="928"/>
      <c r="AR142" s="928"/>
      <c r="AS142" s="928"/>
    </row>
    <row r="143" spans="11:45">
      <c r="K143" s="957"/>
      <c r="L143" s="928"/>
      <c r="M143" s="928"/>
      <c r="N143" s="960"/>
      <c r="O143" s="960"/>
      <c r="P143" s="960"/>
      <c r="Q143" s="960"/>
      <c r="R143" s="960"/>
      <c r="S143" s="960"/>
      <c r="T143" s="960"/>
      <c r="U143" s="960"/>
      <c r="V143" s="960"/>
      <c r="W143" s="960"/>
      <c r="X143" s="960"/>
      <c r="Y143" s="960"/>
      <c r="Z143" s="960"/>
      <c r="AA143" s="960"/>
      <c r="AB143" s="928"/>
      <c r="AC143" s="928"/>
      <c r="AD143" s="928"/>
      <c r="AE143" s="928"/>
      <c r="AF143" s="928"/>
      <c r="AG143" s="928"/>
      <c r="AH143" s="928"/>
      <c r="AI143" s="928"/>
      <c r="AJ143" s="928"/>
      <c r="AK143" s="928"/>
      <c r="AL143" s="928"/>
      <c r="AM143" s="928"/>
      <c r="AN143" s="928"/>
      <c r="AO143" s="928"/>
      <c r="AP143" s="928"/>
      <c r="AQ143" s="928"/>
      <c r="AR143" s="928"/>
      <c r="AS143" s="928"/>
    </row>
    <row r="144" spans="11:45">
      <c r="K144" s="957"/>
      <c r="L144" s="928"/>
      <c r="M144" s="928"/>
      <c r="N144" s="960"/>
      <c r="O144" s="960"/>
      <c r="P144" s="960"/>
      <c r="Q144" s="960"/>
      <c r="R144" s="960"/>
      <c r="S144" s="960"/>
      <c r="T144" s="960"/>
      <c r="U144" s="960"/>
      <c r="V144" s="960"/>
      <c r="W144" s="960"/>
      <c r="X144" s="960"/>
      <c r="Y144" s="960"/>
      <c r="Z144" s="960"/>
      <c r="AA144" s="960"/>
      <c r="AB144" s="928"/>
      <c r="AC144" s="928"/>
      <c r="AD144" s="928"/>
      <c r="AE144" s="928"/>
      <c r="AF144" s="928"/>
      <c r="AG144" s="928"/>
      <c r="AH144" s="928"/>
      <c r="AI144" s="928"/>
      <c r="AJ144" s="928"/>
      <c r="AK144" s="928"/>
      <c r="AL144" s="928"/>
      <c r="AM144" s="928"/>
      <c r="AN144" s="928"/>
      <c r="AO144" s="928"/>
      <c r="AP144" s="928"/>
      <c r="AQ144" s="928"/>
      <c r="AR144" s="928"/>
      <c r="AS144" s="928"/>
    </row>
    <row r="145" spans="11:45">
      <c r="K145" s="957"/>
      <c r="L145" s="928"/>
      <c r="M145" s="928"/>
      <c r="N145" s="960"/>
      <c r="O145" s="960"/>
      <c r="P145" s="960"/>
      <c r="Q145" s="960"/>
      <c r="R145" s="960"/>
      <c r="S145" s="960"/>
      <c r="T145" s="960"/>
      <c r="U145" s="960"/>
      <c r="V145" s="960"/>
      <c r="W145" s="960"/>
      <c r="X145" s="960"/>
      <c r="Y145" s="960"/>
      <c r="Z145" s="960"/>
      <c r="AA145" s="960"/>
      <c r="AB145" s="928"/>
      <c r="AC145" s="928"/>
      <c r="AD145" s="928"/>
      <c r="AE145" s="928"/>
      <c r="AF145" s="928"/>
      <c r="AG145" s="928"/>
      <c r="AH145" s="928"/>
      <c r="AI145" s="928"/>
      <c r="AJ145" s="928"/>
      <c r="AK145" s="928"/>
      <c r="AL145" s="928"/>
      <c r="AM145" s="928"/>
      <c r="AN145" s="928"/>
      <c r="AO145" s="928"/>
      <c r="AP145" s="928"/>
      <c r="AQ145" s="928"/>
      <c r="AR145" s="928"/>
      <c r="AS145" s="928"/>
    </row>
    <row r="146" spans="11:45">
      <c r="K146" s="957"/>
      <c r="L146" s="928"/>
      <c r="M146" s="928"/>
      <c r="N146" s="960"/>
      <c r="O146" s="960"/>
      <c r="P146" s="960"/>
      <c r="Q146" s="960"/>
      <c r="R146" s="960"/>
      <c r="S146" s="960"/>
      <c r="T146" s="960"/>
      <c r="U146" s="960"/>
      <c r="V146" s="960"/>
      <c r="W146" s="960"/>
      <c r="X146" s="960"/>
      <c r="Y146" s="960"/>
      <c r="Z146" s="960"/>
      <c r="AA146" s="960"/>
      <c r="AB146" s="928"/>
      <c r="AC146" s="928"/>
      <c r="AD146" s="928"/>
      <c r="AE146" s="928"/>
      <c r="AF146" s="928"/>
      <c r="AG146" s="928"/>
      <c r="AH146" s="928"/>
      <c r="AI146" s="928"/>
      <c r="AJ146" s="928"/>
      <c r="AK146" s="928"/>
      <c r="AL146" s="928"/>
      <c r="AM146" s="928"/>
      <c r="AN146" s="928"/>
      <c r="AO146" s="928"/>
      <c r="AP146" s="928"/>
      <c r="AQ146" s="928"/>
      <c r="AR146" s="928"/>
      <c r="AS146" s="928"/>
    </row>
    <row r="147" spans="11:45">
      <c r="K147" s="957"/>
      <c r="L147" s="928"/>
      <c r="M147" s="928"/>
      <c r="N147" s="960"/>
      <c r="O147" s="960"/>
      <c r="P147" s="960"/>
      <c r="Q147" s="960"/>
      <c r="R147" s="960"/>
      <c r="S147" s="960"/>
      <c r="T147" s="960"/>
      <c r="U147" s="960"/>
      <c r="V147" s="960"/>
      <c r="W147" s="960"/>
      <c r="X147" s="960"/>
      <c r="Y147" s="960"/>
      <c r="Z147" s="960"/>
      <c r="AA147" s="960"/>
      <c r="AB147" s="928"/>
      <c r="AC147" s="928"/>
      <c r="AD147" s="928"/>
      <c r="AE147" s="928"/>
      <c r="AF147" s="928"/>
      <c r="AG147" s="928"/>
      <c r="AH147" s="928"/>
      <c r="AI147" s="928"/>
      <c r="AJ147" s="928"/>
      <c r="AK147" s="928"/>
      <c r="AL147" s="928"/>
      <c r="AM147" s="928"/>
      <c r="AN147" s="928"/>
      <c r="AO147" s="928"/>
      <c r="AP147" s="928"/>
      <c r="AQ147" s="928"/>
      <c r="AR147" s="928"/>
      <c r="AS147" s="928"/>
    </row>
    <row r="148" spans="11:45">
      <c r="K148" s="957"/>
      <c r="L148" s="928"/>
      <c r="M148" s="928"/>
      <c r="N148" s="960"/>
      <c r="O148" s="960"/>
      <c r="P148" s="960"/>
      <c r="Q148" s="960"/>
      <c r="R148" s="960"/>
      <c r="S148" s="960"/>
      <c r="T148" s="960"/>
      <c r="U148" s="960"/>
      <c r="V148" s="960"/>
      <c r="W148" s="960"/>
      <c r="X148" s="960"/>
      <c r="Y148" s="960"/>
      <c r="Z148" s="960"/>
      <c r="AA148" s="960"/>
      <c r="AB148" s="928"/>
      <c r="AC148" s="928"/>
      <c r="AD148" s="928"/>
      <c r="AE148" s="928"/>
      <c r="AF148" s="928"/>
      <c r="AG148" s="928"/>
      <c r="AH148" s="928"/>
      <c r="AI148" s="928"/>
      <c r="AJ148" s="928"/>
      <c r="AK148" s="928"/>
      <c r="AL148" s="928"/>
      <c r="AM148" s="928"/>
      <c r="AN148" s="928"/>
      <c r="AO148" s="928"/>
      <c r="AP148" s="928"/>
      <c r="AQ148" s="928"/>
      <c r="AR148" s="928"/>
      <c r="AS148" s="928"/>
    </row>
    <row r="149" spans="11:45">
      <c r="K149" s="957"/>
      <c r="L149" s="928"/>
      <c r="M149" s="928"/>
      <c r="N149" s="960"/>
      <c r="O149" s="960"/>
      <c r="P149" s="960"/>
      <c r="Q149" s="960"/>
      <c r="R149" s="960"/>
      <c r="S149" s="960"/>
      <c r="T149" s="960"/>
      <c r="U149" s="960"/>
      <c r="V149" s="960"/>
      <c r="W149" s="960"/>
      <c r="X149" s="960"/>
      <c r="Y149" s="960"/>
      <c r="Z149" s="960"/>
      <c r="AA149" s="960"/>
      <c r="AB149" s="928"/>
      <c r="AC149" s="928"/>
      <c r="AD149" s="928"/>
      <c r="AE149" s="928"/>
      <c r="AF149" s="928"/>
      <c r="AG149" s="928"/>
      <c r="AH149" s="928"/>
      <c r="AI149" s="928"/>
      <c r="AJ149" s="928"/>
      <c r="AK149" s="928"/>
      <c r="AL149" s="928"/>
      <c r="AM149" s="928"/>
      <c r="AN149" s="928"/>
      <c r="AO149" s="928"/>
      <c r="AP149" s="928"/>
      <c r="AQ149" s="928"/>
      <c r="AR149" s="928"/>
      <c r="AS149" s="928"/>
    </row>
    <row r="150" spans="11:45">
      <c r="K150" s="957"/>
      <c r="L150" s="928"/>
      <c r="M150" s="928"/>
      <c r="N150" s="960"/>
      <c r="O150" s="960"/>
      <c r="P150" s="960"/>
      <c r="Q150" s="960"/>
      <c r="R150" s="960"/>
      <c r="S150" s="960"/>
      <c r="T150" s="960"/>
      <c r="U150" s="960"/>
      <c r="V150" s="960"/>
      <c r="W150" s="960"/>
      <c r="X150" s="960"/>
      <c r="Y150" s="960"/>
      <c r="Z150" s="960"/>
      <c r="AA150" s="960"/>
      <c r="AB150" s="928"/>
      <c r="AC150" s="928"/>
      <c r="AD150" s="928"/>
      <c r="AE150" s="928"/>
      <c r="AF150" s="928"/>
      <c r="AG150" s="928"/>
      <c r="AH150" s="928"/>
      <c r="AI150" s="928"/>
      <c r="AJ150" s="928"/>
      <c r="AK150" s="928"/>
      <c r="AL150" s="928"/>
      <c r="AM150" s="928"/>
      <c r="AN150" s="928"/>
      <c r="AO150" s="928"/>
      <c r="AP150" s="928"/>
      <c r="AQ150" s="928"/>
      <c r="AR150" s="928"/>
      <c r="AS150" s="928"/>
    </row>
    <row r="151" spans="11:45">
      <c r="K151" s="957"/>
      <c r="L151" s="928"/>
      <c r="M151" s="928"/>
      <c r="N151" s="960"/>
      <c r="O151" s="960"/>
      <c r="P151" s="960"/>
      <c r="Q151" s="960"/>
      <c r="R151" s="960"/>
      <c r="S151" s="960"/>
      <c r="T151" s="960"/>
      <c r="U151" s="960"/>
      <c r="V151" s="960"/>
      <c r="W151" s="960"/>
      <c r="X151" s="960"/>
      <c r="Y151" s="960"/>
      <c r="Z151" s="960"/>
      <c r="AA151" s="960"/>
      <c r="AB151" s="928"/>
      <c r="AC151" s="928"/>
      <c r="AD151" s="928"/>
      <c r="AE151" s="928"/>
      <c r="AF151" s="928"/>
      <c r="AG151" s="928"/>
      <c r="AH151" s="928"/>
      <c r="AI151" s="928"/>
      <c r="AJ151" s="928"/>
      <c r="AK151" s="928"/>
      <c r="AL151" s="928"/>
      <c r="AM151" s="928"/>
      <c r="AN151" s="928"/>
      <c r="AO151" s="928"/>
      <c r="AP151" s="928"/>
      <c r="AQ151" s="928"/>
      <c r="AR151" s="928"/>
      <c r="AS151" s="928"/>
    </row>
    <row r="152" spans="11:45">
      <c r="K152" s="957"/>
      <c r="L152" s="928"/>
      <c r="M152" s="928"/>
      <c r="N152" s="960"/>
      <c r="O152" s="960"/>
      <c r="P152" s="960"/>
      <c r="Q152" s="960"/>
      <c r="R152" s="960"/>
      <c r="S152" s="960"/>
      <c r="T152" s="960"/>
      <c r="U152" s="960"/>
      <c r="V152" s="960"/>
      <c r="W152" s="960"/>
      <c r="X152" s="960"/>
      <c r="Y152" s="960"/>
      <c r="Z152" s="960"/>
      <c r="AA152" s="960"/>
      <c r="AB152" s="928"/>
      <c r="AC152" s="928"/>
      <c r="AD152" s="928"/>
      <c r="AE152" s="928"/>
      <c r="AF152" s="928"/>
      <c r="AG152" s="928"/>
      <c r="AH152" s="928"/>
      <c r="AI152" s="928"/>
      <c r="AJ152" s="928"/>
      <c r="AK152" s="928"/>
      <c r="AL152" s="928"/>
      <c r="AM152" s="928"/>
      <c r="AN152" s="928"/>
      <c r="AO152" s="928"/>
      <c r="AP152" s="928"/>
      <c r="AQ152" s="928"/>
      <c r="AR152" s="928"/>
      <c r="AS152" s="928"/>
    </row>
    <row r="153" spans="11:45">
      <c r="K153" s="957"/>
      <c r="L153" s="928"/>
      <c r="M153" s="928"/>
      <c r="N153" s="960"/>
      <c r="O153" s="960"/>
      <c r="P153" s="960"/>
      <c r="Q153" s="960"/>
      <c r="R153" s="960"/>
      <c r="S153" s="960"/>
      <c r="T153" s="960"/>
      <c r="U153" s="960"/>
      <c r="V153" s="960"/>
      <c r="W153" s="960"/>
      <c r="X153" s="960"/>
      <c r="Y153" s="960"/>
      <c r="Z153" s="960"/>
      <c r="AA153" s="960"/>
      <c r="AB153" s="928"/>
      <c r="AC153" s="928"/>
      <c r="AD153" s="928"/>
      <c r="AE153" s="928"/>
      <c r="AF153" s="928"/>
      <c r="AG153" s="928"/>
      <c r="AH153" s="928"/>
      <c r="AI153" s="928"/>
      <c r="AJ153" s="928"/>
      <c r="AK153" s="928"/>
      <c r="AL153" s="928"/>
      <c r="AM153" s="928"/>
      <c r="AN153" s="928"/>
      <c r="AO153" s="928"/>
      <c r="AP153" s="928"/>
      <c r="AQ153" s="928"/>
      <c r="AR153" s="928"/>
      <c r="AS153" s="928"/>
    </row>
    <row r="154" spans="11:45">
      <c r="K154" s="957"/>
      <c r="L154" s="928"/>
      <c r="M154" s="928"/>
      <c r="N154" s="960"/>
      <c r="O154" s="960"/>
      <c r="P154" s="960"/>
      <c r="Q154" s="960"/>
      <c r="R154" s="960"/>
      <c r="S154" s="960"/>
      <c r="T154" s="960"/>
      <c r="U154" s="960"/>
      <c r="V154" s="960"/>
      <c r="W154" s="960"/>
      <c r="X154" s="960"/>
      <c r="Y154" s="960"/>
      <c r="Z154" s="960"/>
      <c r="AA154" s="960"/>
      <c r="AB154" s="928"/>
      <c r="AC154" s="928"/>
      <c r="AD154" s="928"/>
      <c r="AE154" s="928"/>
      <c r="AF154" s="928"/>
      <c r="AG154" s="928"/>
      <c r="AH154" s="928"/>
      <c r="AI154" s="928"/>
      <c r="AJ154" s="928"/>
      <c r="AK154" s="928"/>
      <c r="AL154" s="928"/>
      <c r="AM154" s="928"/>
      <c r="AN154" s="928"/>
      <c r="AO154" s="928"/>
      <c r="AP154" s="928"/>
      <c r="AQ154" s="928"/>
      <c r="AR154" s="928"/>
      <c r="AS154" s="928"/>
    </row>
    <row r="155" spans="11:45">
      <c r="K155" s="957"/>
      <c r="L155" s="928"/>
      <c r="M155" s="928"/>
      <c r="N155" s="960"/>
      <c r="O155" s="960"/>
      <c r="P155" s="960"/>
      <c r="Q155" s="960"/>
      <c r="R155" s="960"/>
      <c r="S155" s="960"/>
      <c r="T155" s="960"/>
      <c r="U155" s="960"/>
      <c r="V155" s="960"/>
      <c r="W155" s="960"/>
      <c r="X155" s="960"/>
      <c r="Y155" s="960"/>
      <c r="Z155" s="960"/>
      <c r="AA155" s="960"/>
      <c r="AB155" s="928"/>
      <c r="AC155" s="928"/>
      <c r="AD155" s="928"/>
      <c r="AE155" s="928"/>
      <c r="AF155" s="928"/>
      <c r="AG155" s="928"/>
      <c r="AH155" s="928"/>
      <c r="AI155" s="928"/>
      <c r="AJ155" s="928"/>
      <c r="AK155" s="928"/>
      <c r="AL155" s="928"/>
      <c r="AM155" s="928"/>
      <c r="AN155" s="928"/>
      <c r="AO155" s="928"/>
      <c r="AP155" s="928"/>
      <c r="AQ155" s="928"/>
      <c r="AR155" s="928"/>
      <c r="AS155" s="928"/>
    </row>
    <row r="156" spans="11:45">
      <c r="K156" s="957"/>
      <c r="L156" s="928"/>
      <c r="M156" s="928"/>
      <c r="N156" s="960"/>
      <c r="O156" s="960"/>
      <c r="P156" s="960"/>
      <c r="Q156" s="960"/>
      <c r="R156" s="960"/>
      <c r="S156" s="960"/>
      <c r="T156" s="960"/>
      <c r="U156" s="960"/>
      <c r="V156" s="960"/>
      <c r="W156" s="960"/>
      <c r="X156" s="960"/>
      <c r="Y156" s="960"/>
      <c r="Z156" s="960"/>
      <c r="AA156" s="960"/>
      <c r="AB156" s="928"/>
      <c r="AC156" s="928"/>
      <c r="AD156" s="928"/>
      <c r="AE156" s="928"/>
      <c r="AF156" s="928"/>
      <c r="AG156" s="928"/>
      <c r="AH156" s="928"/>
      <c r="AI156" s="928"/>
      <c r="AJ156" s="928"/>
      <c r="AK156" s="928"/>
      <c r="AL156" s="928"/>
      <c r="AM156" s="928"/>
      <c r="AN156" s="928"/>
      <c r="AO156" s="928"/>
      <c r="AP156" s="928"/>
      <c r="AQ156" s="928"/>
      <c r="AR156" s="928"/>
      <c r="AS156" s="928"/>
    </row>
    <row r="157" spans="11:45">
      <c r="K157" s="957"/>
      <c r="L157" s="928"/>
      <c r="M157" s="928"/>
      <c r="N157" s="960"/>
      <c r="O157" s="960"/>
      <c r="P157" s="960"/>
      <c r="Q157" s="960"/>
      <c r="R157" s="960"/>
      <c r="S157" s="960"/>
      <c r="T157" s="960"/>
      <c r="U157" s="960"/>
      <c r="V157" s="960"/>
      <c r="W157" s="960"/>
      <c r="X157" s="960"/>
      <c r="Y157" s="960"/>
      <c r="Z157" s="960"/>
      <c r="AA157" s="960"/>
      <c r="AB157" s="928"/>
      <c r="AC157" s="928"/>
      <c r="AD157" s="928"/>
      <c r="AE157" s="928"/>
      <c r="AF157" s="928"/>
      <c r="AG157" s="928"/>
      <c r="AH157" s="928"/>
      <c r="AI157" s="928"/>
      <c r="AJ157" s="928"/>
      <c r="AK157" s="928"/>
      <c r="AL157" s="928"/>
      <c r="AM157" s="928"/>
      <c r="AN157" s="928"/>
      <c r="AO157" s="928"/>
      <c r="AP157" s="928"/>
      <c r="AQ157" s="928"/>
      <c r="AR157" s="928"/>
      <c r="AS157" s="928"/>
    </row>
    <row r="158" spans="11:45">
      <c r="K158" s="957"/>
      <c r="L158" s="928"/>
      <c r="M158" s="928"/>
      <c r="N158" s="960"/>
      <c r="O158" s="960"/>
      <c r="P158" s="960"/>
      <c r="Q158" s="960"/>
      <c r="R158" s="960"/>
      <c r="S158" s="960"/>
      <c r="T158" s="960"/>
      <c r="U158" s="960"/>
      <c r="V158" s="960"/>
      <c r="W158" s="960"/>
      <c r="X158" s="960"/>
      <c r="Y158" s="960"/>
      <c r="Z158" s="960"/>
      <c r="AA158" s="960"/>
      <c r="AB158" s="928"/>
      <c r="AC158" s="928"/>
      <c r="AD158" s="928"/>
      <c r="AE158" s="928"/>
      <c r="AF158" s="928"/>
      <c r="AG158" s="928"/>
      <c r="AH158" s="928"/>
      <c r="AI158" s="928"/>
      <c r="AJ158" s="928"/>
      <c r="AK158" s="928"/>
      <c r="AL158" s="928"/>
      <c r="AM158" s="928"/>
      <c r="AN158" s="928"/>
      <c r="AO158" s="928"/>
      <c r="AP158" s="928"/>
      <c r="AQ158" s="928"/>
      <c r="AR158" s="928"/>
      <c r="AS158" s="928"/>
    </row>
    <row r="159" spans="11:45">
      <c r="K159" s="957"/>
      <c r="L159" s="928"/>
      <c r="M159" s="928"/>
      <c r="N159" s="960"/>
      <c r="O159" s="960"/>
      <c r="P159" s="960"/>
      <c r="Q159" s="960"/>
      <c r="R159" s="960"/>
      <c r="S159" s="960"/>
      <c r="T159" s="960"/>
      <c r="U159" s="960"/>
      <c r="V159" s="960"/>
      <c r="W159" s="960"/>
      <c r="X159" s="960"/>
      <c r="Y159" s="960"/>
      <c r="Z159" s="960"/>
      <c r="AA159" s="960"/>
      <c r="AB159" s="928"/>
      <c r="AC159" s="928"/>
      <c r="AD159" s="928"/>
      <c r="AE159" s="928"/>
      <c r="AF159" s="928"/>
      <c r="AG159" s="928"/>
      <c r="AH159" s="928"/>
      <c r="AI159" s="928"/>
      <c r="AJ159" s="928"/>
      <c r="AK159" s="928"/>
      <c r="AL159" s="928"/>
      <c r="AM159" s="928"/>
      <c r="AN159" s="928"/>
      <c r="AO159" s="928"/>
      <c r="AP159" s="928"/>
      <c r="AQ159" s="928"/>
      <c r="AR159" s="928"/>
      <c r="AS159" s="928"/>
    </row>
    <row r="160" spans="11:45">
      <c r="K160" s="957"/>
      <c r="L160" s="928"/>
      <c r="M160" s="928"/>
      <c r="N160" s="960"/>
      <c r="O160" s="960"/>
      <c r="P160" s="960"/>
      <c r="Q160" s="960"/>
      <c r="R160" s="960"/>
      <c r="S160" s="960"/>
      <c r="T160" s="960"/>
      <c r="U160" s="960"/>
      <c r="V160" s="960"/>
      <c r="W160" s="960"/>
      <c r="X160" s="960"/>
      <c r="Y160" s="960"/>
      <c r="Z160" s="960"/>
      <c r="AA160" s="960"/>
      <c r="AB160" s="928"/>
      <c r="AC160" s="928"/>
      <c r="AD160" s="928"/>
      <c r="AE160" s="928"/>
      <c r="AF160" s="928"/>
      <c r="AG160" s="928"/>
      <c r="AH160" s="928"/>
      <c r="AI160" s="928"/>
      <c r="AJ160" s="928"/>
      <c r="AK160" s="928"/>
      <c r="AL160" s="928"/>
      <c r="AM160" s="928"/>
      <c r="AN160" s="928"/>
      <c r="AO160" s="928"/>
      <c r="AP160" s="928"/>
      <c r="AQ160" s="928"/>
      <c r="AR160" s="928"/>
      <c r="AS160" s="928"/>
    </row>
    <row r="161" spans="11:45">
      <c r="K161" s="957"/>
      <c r="L161" s="928"/>
      <c r="M161" s="928"/>
      <c r="N161" s="960"/>
      <c r="O161" s="960"/>
      <c r="P161" s="960"/>
      <c r="Q161" s="960"/>
      <c r="R161" s="960"/>
      <c r="S161" s="960"/>
      <c r="T161" s="960"/>
      <c r="U161" s="960"/>
      <c r="V161" s="960"/>
      <c r="W161" s="960"/>
      <c r="X161" s="960"/>
      <c r="Y161" s="960"/>
      <c r="Z161" s="960"/>
      <c r="AA161" s="960"/>
      <c r="AB161" s="928"/>
      <c r="AC161" s="928"/>
      <c r="AD161" s="928"/>
      <c r="AE161" s="928"/>
      <c r="AF161" s="928"/>
      <c r="AG161" s="928"/>
      <c r="AH161" s="928"/>
      <c r="AI161" s="928"/>
      <c r="AJ161" s="928"/>
      <c r="AK161" s="928"/>
      <c r="AL161" s="928"/>
      <c r="AM161" s="928"/>
      <c r="AN161" s="928"/>
      <c r="AO161" s="928"/>
      <c r="AP161" s="928"/>
      <c r="AQ161" s="928"/>
      <c r="AR161" s="928"/>
      <c r="AS161" s="928"/>
    </row>
    <row r="162" spans="11:45">
      <c r="K162" s="957"/>
      <c r="L162" s="928"/>
      <c r="M162" s="928"/>
      <c r="N162" s="960"/>
      <c r="O162" s="960"/>
      <c r="P162" s="960"/>
      <c r="Q162" s="960"/>
      <c r="R162" s="960"/>
      <c r="S162" s="960"/>
      <c r="T162" s="960"/>
      <c r="U162" s="960"/>
      <c r="V162" s="960"/>
      <c r="W162" s="960"/>
      <c r="X162" s="960"/>
      <c r="Y162" s="960"/>
      <c r="Z162" s="960"/>
      <c r="AA162" s="960"/>
      <c r="AB162" s="928"/>
      <c r="AC162" s="928"/>
      <c r="AD162" s="928"/>
      <c r="AE162" s="928"/>
      <c r="AF162" s="928"/>
      <c r="AG162" s="928"/>
      <c r="AH162" s="928"/>
      <c r="AI162" s="928"/>
      <c r="AJ162" s="928"/>
      <c r="AK162" s="928"/>
      <c r="AL162" s="928"/>
      <c r="AM162" s="928"/>
      <c r="AN162" s="928"/>
      <c r="AO162" s="928"/>
      <c r="AP162" s="928"/>
      <c r="AQ162" s="928"/>
      <c r="AR162" s="928"/>
      <c r="AS162" s="928"/>
    </row>
    <row r="163" spans="11:45">
      <c r="K163" s="957"/>
      <c r="L163" s="928"/>
      <c r="M163" s="928"/>
      <c r="N163" s="960"/>
      <c r="O163" s="960"/>
      <c r="P163" s="960"/>
      <c r="Q163" s="960"/>
      <c r="R163" s="960"/>
      <c r="S163" s="960"/>
      <c r="T163" s="960"/>
      <c r="U163" s="960"/>
      <c r="V163" s="960"/>
      <c r="W163" s="960"/>
      <c r="X163" s="960"/>
      <c r="Y163" s="960"/>
      <c r="Z163" s="960"/>
      <c r="AA163" s="960"/>
      <c r="AB163" s="928"/>
      <c r="AC163" s="928"/>
      <c r="AD163" s="928"/>
      <c r="AE163" s="928"/>
      <c r="AF163" s="928"/>
      <c r="AG163" s="928"/>
      <c r="AH163" s="928"/>
      <c r="AI163" s="928"/>
      <c r="AJ163" s="928"/>
      <c r="AK163" s="928"/>
      <c r="AL163" s="928"/>
      <c r="AM163" s="928"/>
      <c r="AN163" s="928"/>
      <c r="AO163" s="928"/>
      <c r="AP163" s="928"/>
      <c r="AQ163" s="928"/>
      <c r="AR163" s="928"/>
      <c r="AS163" s="928"/>
    </row>
    <row r="164" spans="11:45">
      <c r="K164" s="957"/>
      <c r="L164" s="928"/>
      <c r="M164" s="928"/>
      <c r="N164" s="960"/>
      <c r="O164" s="960"/>
      <c r="P164" s="960"/>
      <c r="Q164" s="960"/>
      <c r="R164" s="960"/>
      <c r="S164" s="960"/>
      <c r="T164" s="960"/>
      <c r="U164" s="960"/>
      <c r="V164" s="960"/>
      <c r="W164" s="960"/>
      <c r="X164" s="960"/>
      <c r="Y164" s="960"/>
      <c r="Z164" s="960"/>
      <c r="AA164" s="960"/>
      <c r="AB164" s="928"/>
      <c r="AC164" s="928"/>
      <c r="AD164" s="928"/>
      <c r="AE164" s="928"/>
      <c r="AF164" s="928"/>
      <c r="AG164" s="928"/>
      <c r="AH164" s="928"/>
      <c r="AI164" s="928"/>
      <c r="AJ164" s="928"/>
      <c r="AK164" s="928"/>
      <c r="AL164" s="928"/>
      <c r="AM164" s="928"/>
      <c r="AN164" s="928"/>
      <c r="AO164" s="928"/>
      <c r="AP164" s="928"/>
      <c r="AQ164" s="928"/>
      <c r="AR164" s="928"/>
      <c r="AS164" s="928"/>
    </row>
    <row r="165" spans="11:45">
      <c r="K165" s="957"/>
      <c r="L165" s="928"/>
      <c r="M165" s="928"/>
      <c r="N165" s="960"/>
      <c r="O165" s="960"/>
      <c r="P165" s="960"/>
      <c r="Q165" s="960"/>
      <c r="R165" s="960"/>
      <c r="S165" s="960"/>
      <c r="T165" s="960"/>
      <c r="U165" s="960"/>
      <c r="V165" s="960"/>
      <c r="W165" s="960"/>
      <c r="X165" s="960"/>
      <c r="Y165" s="960"/>
      <c r="Z165" s="960"/>
      <c r="AA165" s="960"/>
      <c r="AB165" s="928"/>
      <c r="AC165" s="928"/>
      <c r="AD165" s="928"/>
      <c r="AE165" s="928"/>
      <c r="AF165" s="928"/>
      <c r="AG165" s="928"/>
      <c r="AH165" s="928"/>
      <c r="AI165" s="928"/>
      <c r="AJ165" s="928"/>
      <c r="AK165" s="928"/>
      <c r="AL165" s="928"/>
      <c r="AM165" s="928"/>
      <c r="AN165" s="928"/>
      <c r="AO165" s="928"/>
      <c r="AP165" s="928"/>
      <c r="AQ165" s="928"/>
      <c r="AR165" s="928"/>
      <c r="AS165" s="928"/>
    </row>
    <row r="166" spans="11:45">
      <c r="K166" s="957"/>
      <c r="L166" s="928"/>
      <c r="M166" s="928"/>
      <c r="N166" s="960"/>
      <c r="O166" s="960"/>
      <c r="P166" s="960"/>
      <c r="Q166" s="960"/>
      <c r="R166" s="960"/>
      <c r="S166" s="960"/>
      <c r="T166" s="960"/>
      <c r="U166" s="960"/>
      <c r="V166" s="960"/>
      <c r="W166" s="960"/>
      <c r="X166" s="960"/>
      <c r="Y166" s="960"/>
      <c r="Z166" s="960"/>
      <c r="AA166" s="960"/>
      <c r="AB166" s="928"/>
      <c r="AC166" s="928"/>
      <c r="AD166" s="928"/>
      <c r="AE166" s="928"/>
      <c r="AF166" s="928"/>
      <c r="AG166" s="928"/>
      <c r="AH166" s="928"/>
      <c r="AI166" s="928"/>
      <c r="AJ166" s="928"/>
      <c r="AK166" s="928"/>
      <c r="AL166" s="928"/>
      <c r="AM166" s="928"/>
      <c r="AN166" s="928"/>
      <c r="AO166" s="928"/>
      <c r="AP166" s="928"/>
      <c r="AQ166" s="928"/>
      <c r="AR166" s="928"/>
      <c r="AS166" s="928"/>
    </row>
    <row r="167" spans="11:45">
      <c r="K167" s="957"/>
      <c r="L167" s="928"/>
      <c r="M167" s="928"/>
      <c r="N167" s="960"/>
      <c r="O167" s="960"/>
      <c r="P167" s="960"/>
      <c r="Q167" s="960"/>
      <c r="R167" s="960"/>
      <c r="S167" s="960"/>
      <c r="T167" s="960"/>
      <c r="U167" s="960"/>
      <c r="V167" s="960"/>
      <c r="W167" s="960"/>
      <c r="X167" s="960"/>
      <c r="Y167" s="960"/>
      <c r="Z167" s="960"/>
      <c r="AA167" s="960"/>
      <c r="AB167" s="928"/>
      <c r="AC167" s="928"/>
      <c r="AD167" s="928"/>
      <c r="AE167" s="928"/>
      <c r="AF167" s="928"/>
      <c r="AG167" s="928"/>
      <c r="AH167" s="928"/>
      <c r="AI167" s="928"/>
      <c r="AJ167" s="928"/>
      <c r="AK167" s="928"/>
      <c r="AL167" s="928"/>
      <c r="AM167" s="928"/>
      <c r="AN167" s="928"/>
      <c r="AO167" s="928"/>
      <c r="AP167" s="928"/>
      <c r="AQ167" s="928"/>
      <c r="AR167" s="928"/>
      <c r="AS167" s="928"/>
    </row>
    <row r="168" spans="11:45">
      <c r="K168" s="957"/>
      <c r="L168" s="928"/>
      <c r="M168" s="928"/>
      <c r="N168" s="960"/>
      <c r="O168" s="960"/>
      <c r="P168" s="960"/>
      <c r="Q168" s="960"/>
      <c r="R168" s="960"/>
      <c r="S168" s="960"/>
      <c r="T168" s="960"/>
      <c r="U168" s="960"/>
      <c r="V168" s="960"/>
      <c r="W168" s="960"/>
      <c r="X168" s="960"/>
      <c r="Y168" s="960"/>
      <c r="Z168" s="960"/>
      <c r="AA168" s="960"/>
      <c r="AB168" s="928"/>
      <c r="AC168" s="928"/>
      <c r="AD168" s="928"/>
      <c r="AE168" s="928"/>
      <c r="AF168" s="928"/>
      <c r="AG168" s="928"/>
      <c r="AH168" s="928"/>
      <c r="AI168" s="928"/>
      <c r="AJ168" s="928"/>
      <c r="AK168" s="928"/>
      <c r="AL168" s="928"/>
      <c r="AM168" s="928"/>
      <c r="AN168" s="928"/>
      <c r="AO168" s="928"/>
      <c r="AP168" s="928"/>
      <c r="AQ168" s="928"/>
      <c r="AR168" s="928"/>
      <c r="AS168" s="928"/>
    </row>
    <row r="169" spans="11:45">
      <c r="K169" s="957"/>
      <c r="L169" s="928"/>
      <c r="M169" s="928"/>
      <c r="N169" s="960"/>
      <c r="O169" s="960"/>
      <c r="P169" s="960"/>
      <c r="Q169" s="960"/>
      <c r="R169" s="960"/>
      <c r="S169" s="960"/>
      <c r="T169" s="960"/>
      <c r="U169" s="960"/>
      <c r="V169" s="960"/>
      <c r="W169" s="960"/>
      <c r="X169" s="960"/>
      <c r="Y169" s="960"/>
      <c r="Z169" s="960"/>
      <c r="AA169" s="960"/>
      <c r="AB169" s="928"/>
      <c r="AC169" s="928"/>
      <c r="AD169" s="928"/>
      <c r="AE169" s="928"/>
      <c r="AF169" s="928"/>
      <c r="AG169" s="928"/>
      <c r="AH169" s="928"/>
      <c r="AI169" s="928"/>
      <c r="AJ169" s="928"/>
      <c r="AK169" s="928"/>
      <c r="AL169" s="928"/>
      <c r="AM169" s="928"/>
      <c r="AN169" s="928"/>
      <c r="AO169" s="928"/>
      <c r="AP169" s="928"/>
      <c r="AQ169" s="928"/>
      <c r="AR169" s="928"/>
      <c r="AS169" s="928"/>
    </row>
    <row r="170" spans="11:45">
      <c r="K170" s="957"/>
      <c r="L170" s="928"/>
      <c r="M170" s="928"/>
      <c r="N170" s="960"/>
      <c r="O170" s="960"/>
      <c r="P170" s="960"/>
      <c r="Q170" s="960"/>
      <c r="R170" s="960"/>
      <c r="S170" s="960"/>
      <c r="T170" s="960"/>
      <c r="U170" s="960"/>
      <c r="V170" s="960"/>
      <c r="W170" s="960"/>
      <c r="X170" s="960"/>
      <c r="Y170" s="960"/>
      <c r="Z170" s="960"/>
      <c r="AA170" s="960"/>
      <c r="AB170" s="928"/>
      <c r="AC170" s="928"/>
      <c r="AD170" s="928"/>
      <c r="AE170" s="928"/>
      <c r="AF170" s="928"/>
      <c r="AG170" s="928"/>
      <c r="AH170" s="928"/>
      <c r="AI170" s="928"/>
      <c r="AJ170" s="928"/>
      <c r="AK170" s="928"/>
      <c r="AL170" s="928"/>
      <c r="AM170" s="928"/>
      <c r="AN170" s="928"/>
      <c r="AO170" s="928"/>
      <c r="AP170" s="928"/>
      <c r="AQ170" s="928"/>
      <c r="AR170" s="928"/>
      <c r="AS170" s="928"/>
    </row>
    <row r="171" spans="11:45">
      <c r="K171" s="957"/>
      <c r="L171" s="928"/>
      <c r="M171" s="928"/>
      <c r="N171" s="960"/>
      <c r="O171" s="960"/>
      <c r="P171" s="960"/>
      <c r="Q171" s="960"/>
      <c r="R171" s="960"/>
      <c r="S171" s="960"/>
      <c r="T171" s="960"/>
      <c r="U171" s="960"/>
      <c r="V171" s="960"/>
      <c r="W171" s="960"/>
      <c r="X171" s="960"/>
      <c r="Y171" s="960"/>
      <c r="Z171" s="960"/>
      <c r="AA171" s="960"/>
      <c r="AB171" s="928"/>
      <c r="AC171" s="928"/>
      <c r="AD171" s="928"/>
      <c r="AE171" s="928"/>
      <c r="AF171" s="928"/>
      <c r="AG171" s="928"/>
      <c r="AH171" s="928"/>
      <c r="AI171" s="928"/>
      <c r="AJ171" s="928"/>
      <c r="AK171" s="928"/>
      <c r="AL171" s="928"/>
      <c r="AM171" s="928"/>
      <c r="AN171" s="928"/>
      <c r="AO171" s="928"/>
      <c r="AP171" s="928"/>
      <c r="AQ171" s="928"/>
      <c r="AR171" s="928"/>
      <c r="AS171" s="928"/>
    </row>
    <row r="172" spans="11:45">
      <c r="K172" s="957"/>
      <c r="L172" s="928"/>
      <c r="M172" s="928"/>
      <c r="N172" s="960"/>
      <c r="O172" s="960"/>
      <c r="P172" s="960"/>
      <c r="Q172" s="960"/>
      <c r="R172" s="960"/>
      <c r="S172" s="960"/>
      <c r="T172" s="960"/>
      <c r="U172" s="960"/>
      <c r="V172" s="960"/>
      <c r="W172" s="960"/>
      <c r="X172" s="960"/>
      <c r="Y172" s="960"/>
      <c r="Z172" s="960"/>
      <c r="AA172" s="960"/>
      <c r="AB172" s="928"/>
      <c r="AC172" s="928"/>
      <c r="AD172" s="928"/>
      <c r="AE172" s="928"/>
      <c r="AF172" s="928"/>
      <c r="AG172" s="928"/>
      <c r="AH172" s="928"/>
      <c r="AI172" s="928"/>
      <c r="AJ172" s="928"/>
      <c r="AK172" s="928"/>
      <c r="AL172" s="928"/>
      <c r="AM172" s="928"/>
      <c r="AN172" s="928"/>
      <c r="AO172" s="928"/>
      <c r="AP172" s="928"/>
      <c r="AQ172" s="928"/>
      <c r="AR172" s="928"/>
      <c r="AS172" s="928"/>
    </row>
    <row r="173" spans="11:45">
      <c r="K173" s="957"/>
      <c r="L173" s="928"/>
      <c r="M173" s="928"/>
      <c r="N173" s="960"/>
      <c r="O173" s="960"/>
      <c r="P173" s="960"/>
      <c r="Q173" s="960"/>
      <c r="R173" s="960"/>
      <c r="S173" s="960"/>
      <c r="T173" s="960"/>
      <c r="U173" s="960"/>
      <c r="V173" s="960"/>
      <c r="W173" s="960"/>
      <c r="X173" s="960"/>
      <c r="Y173" s="960"/>
      <c r="Z173" s="960"/>
      <c r="AA173" s="960"/>
      <c r="AB173" s="928"/>
      <c r="AC173" s="928"/>
      <c r="AD173" s="928"/>
      <c r="AE173" s="928"/>
      <c r="AF173" s="928"/>
      <c r="AG173" s="928"/>
      <c r="AH173" s="928"/>
      <c r="AI173" s="928"/>
      <c r="AJ173" s="928"/>
      <c r="AK173" s="928"/>
      <c r="AL173" s="928"/>
      <c r="AM173" s="928"/>
      <c r="AN173" s="928"/>
      <c r="AO173" s="928"/>
      <c r="AP173" s="928"/>
      <c r="AQ173" s="928"/>
      <c r="AR173" s="928"/>
      <c r="AS173" s="928"/>
    </row>
    <row r="174" spans="11:45">
      <c r="K174" s="957"/>
      <c r="L174" s="928"/>
      <c r="M174" s="928"/>
      <c r="N174" s="960"/>
      <c r="O174" s="960"/>
      <c r="P174" s="960"/>
      <c r="Q174" s="960"/>
      <c r="R174" s="960"/>
      <c r="S174" s="960"/>
      <c r="T174" s="960"/>
      <c r="U174" s="960"/>
      <c r="V174" s="960"/>
      <c r="W174" s="960"/>
      <c r="X174" s="960"/>
      <c r="Y174" s="960"/>
      <c r="Z174" s="960"/>
      <c r="AA174" s="960"/>
      <c r="AB174" s="928"/>
      <c r="AC174" s="928"/>
      <c r="AD174" s="928"/>
      <c r="AE174" s="928"/>
      <c r="AF174" s="928"/>
      <c r="AG174" s="928"/>
      <c r="AH174" s="928"/>
      <c r="AI174" s="928"/>
      <c r="AJ174" s="928"/>
      <c r="AK174" s="928"/>
      <c r="AL174" s="928"/>
      <c r="AM174" s="928"/>
      <c r="AN174" s="928"/>
      <c r="AO174" s="928"/>
      <c r="AP174" s="928"/>
      <c r="AQ174" s="928"/>
      <c r="AR174" s="928"/>
      <c r="AS174" s="928"/>
    </row>
    <row r="175" spans="11:45">
      <c r="K175" s="957"/>
      <c r="L175" s="928"/>
      <c r="M175" s="928"/>
      <c r="N175" s="960"/>
      <c r="O175" s="960"/>
      <c r="P175" s="960"/>
      <c r="Q175" s="960"/>
      <c r="R175" s="960"/>
      <c r="S175" s="960"/>
      <c r="T175" s="960"/>
      <c r="U175" s="960"/>
      <c r="V175" s="960"/>
      <c r="W175" s="960"/>
      <c r="X175" s="960"/>
      <c r="Y175" s="960"/>
      <c r="Z175" s="960"/>
      <c r="AA175" s="960"/>
      <c r="AB175" s="928"/>
      <c r="AC175" s="928"/>
      <c r="AD175" s="928"/>
      <c r="AE175" s="928"/>
      <c r="AF175" s="928"/>
      <c r="AG175" s="928"/>
      <c r="AH175" s="928"/>
      <c r="AI175" s="928"/>
      <c r="AJ175" s="928"/>
      <c r="AK175" s="928"/>
      <c r="AL175" s="928"/>
      <c r="AM175" s="928"/>
      <c r="AN175" s="928"/>
      <c r="AO175" s="928"/>
      <c r="AP175" s="928"/>
      <c r="AQ175" s="928"/>
      <c r="AR175" s="928"/>
      <c r="AS175" s="928"/>
    </row>
    <row r="176" spans="11:45">
      <c r="K176" s="957"/>
      <c r="L176" s="928"/>
      <c r="M176" s="928"/>
      <c r="N176" s="960"/>
      <c r="O176" s="960"/>
      <c r="P176" s="960"/>
      <c r="Q176" s="960"/>
      <c r="R176" s="960"/>
      <c r="S176" s="960"/>
      <c r="T176" s="960"/>
      <c r="U176" s="960"/>
      <c r="V176" s="960"/>
      <c r="W176" s="960"/>
      <c r="X176" s="960"/>
      <c r="Y176" s="960"/>
      <c r="Z176" s="960"/>
      <c r="AA176" s="960"/>
      <c r="AB176" s="928"/>
      <c r="AC176" s="928"/>
      <c r="AD176" s="928"/>
      <c r="AE176" s="928"/>
      <c r="AF176" s="928"/>
      <c r="AG176" s="928"/>
      <c r="AH176" s="928"/>
      <c r="AI176" s="928"/>
      <c r="AJ176" s="928"/>
      <c r="AK176" s="928"/>
      <c r="AL176" s="928"/>
      <c r="AM176" s="928"/>
      <c r="AN176" s="928"/>
      <c r="AO176" s="928"/>
      <c r="AP176" s="928"/>
      <c r="AQ176" s="928"/>
      <c r="AR176" s="928"/>
      <c r="AS176" s="928"/>
    </row>
    <row r="177" spans="11:45">
      <c r="K177" s="957"/>
      <c r="L177" s="928"/>
      <c r="M177" s="928"/>
      <c r="N177" s="960"/>
      <c r="O177" s="960"/>
      <c r="P177" s="960"/>
      <c r="Q177" s="960"/>
      <c r="R177" s="960"/>
      <c r="S177" s="960"/>
      <c r="T177" s="960"/>
      <c r="U177" s="960"/>
      <c r="V177" s="960"/>
      <c r="W177" s="960"/>
      <c r="X177" s="960"/>
      <c r="Y177" s="960"/>
      <c r="Z177" s="960"/>
      <c r="AA177" s="960"/>
      <c r="AB177" s="928"/>
      <c r="AC177" s="928"/>
      <c r="AD177" s="928"/>
      <c r="AE177" s="928"/>
      <c r="AF177" s="928"/>
      <c r="AG177" s="928"/>
      <c r="AH177" s="928"/>
      <c r="AI177" s="928"/>
      <c r="AJ177" s="928"/>
      <c r="AK177" s="928"/>
      <c r="AL177" s="928"/>
      <c r="AM177" s="928"/>
      <c r="AN177" s="928"/>
      <c r="AO177" s="928"/>
      <c r="AP177" s="928"/>
      <c r="AQ177" s="928"/>
      <c r="AR177" s="928"/>
      <c r="AS177" s="928"/>
    </row>
    <row r="178" spans="11:45">
      <c r="K178" s="957"/>
      <c r="L178" s="928"/>
      <c r="M178" s="928"/>
      <c r="N178" s="960"/>
      <c r="O178" s="960"/>
      <c r="P178" s="960"/>
      <c r="Q178" s="960"/>
      <c r="R178" s="960"/>
      <c r="S178" s="960"/>
      <c r="T178" s="960"/>
      <c r="U178" s="960"/>
      <c r="V178" s="960"/>
      <c r="W178" s="960"/>
      <c r="X178" s="960"/>
      <c r="Y178" s="960"/>
      <c r="Z178" s="960"/>
      <c r="AA178" s="960"/>
      <c r="AB178" s="928"/>
      <c r="AC178" s="928"/>
      <c r="AD178" s="928"/>
      <c r="AE178" s="928"/>
      <c r="AF178" s="928"/>
      <c r="AG178" s="928"/>
      <c r="AH178" s="928"/>
      <c r="AI178" s="928"/>
      <c r="AJ178" s="928"/>
      <c r="AK178" s="928"/>
      <c r="AL178" s="928"/>
      <c r="AM178" s="928"/>
      <c r="AN178" s="928"/>
      <c r="AO178" s="928"/>
      <c r="AP178" s="928"/>
      <c r="AQ178" s="928"/>
      <c r="AR178" s="928"/>
      <c r="AS178" s="928"/>
    </row>
    <row r="179" spans="11:45">
      <c r="K179" s="957"/>
      <c r="L179" s="928"/>
      <c r="M179" s="928"/>
      <c r="N179" s="960"/>
      <c r="O179" s="960"/>
      <c r="P179" s="960"/>
      <c r="Q179" s="960"/>
      <c r="R179" s="960"/>
      <c r="S179" s="960"/>
      <c r="T179" s="960"/>
      <c r="U179" s="960"/>
      <c r="V179" s="960"/>
      <c r="W179" s="960"/>
      <c r="X179" s="960"/>
      <c r="Y179" s="960"/>
      <c r="Z179" s="960"/>
      <c r="AA179" s="960"/>
      <c r="AB179" s="928"/>
      <c r="AC179" s="928"/>
      <c r="AD179" s="928"/>
      <c r="AE179" s="928"/>
      <c r="AF179" s="928"/>
      <c r="AG179" s="928"/>
      <c r="AH179" s="928"/>
      <c r="AI179" s="928"/>
      <c r="AJ179" s="928"/>
      <c r="AK179" s="928"/>
      <c r="AL179" s="928"/>
      <c r="AM179" s="928"/>
      <c r="AN179" s="928"/>
      <c r="AO179" s="928"/>
      <c r="AP179" s="928"/>
      <c r="AQ179" s="928"/>
      <c r="AR179" s="928"/>
      <c r="AS179" s="928"/>
    </row>
    <row r="180" spans="11:45">
      <c r="K180" s="957"/>
      <c r="L180" s="928"/>
      <c r="M180" s="928"/>
      <c r="N180" s="960"/>
      <c r="O180" s="960"/>
      <c r="P180" s="960"/>
      <c r="Q180" s="960"/>
      <c r="R180" s="960"/>
      <c r="S180" s="960"/>
      <c r="T180" s="960"/>
      <c r="U180" s="960"/>
      <c r="V180" s="960"/>
      <c r="W180" s="960"/>
      <c r="X180" s="960"/>
      <c r="Y180" s="960"/>
      <c r="Z180" s="960"/>
      <c r="AA180" s="960"/>
      <c r="AB180" s="928"/>
      <c r="AC180" s="928"/>
      <c r="AD180" s="928"/>
      <c r="AE180" s="928"/>
      <c r="AF180" s="928"/>
      <c r="AG180" s="928"/>
      <c r="AH180" s="928"/>
      <c r="AI180" s="928"/>
      <c r="AJ180" s="928"/>
      <c r="AK180" s="928"/>
      <c r="AL180" s="928"/>
      <c r="AM180" s="928"/>
      <c r="AN180" s="928"/>
      <c r="AO180" s="928"/>
      <c r="AP180" s="928"/>
      <c r="AQ180" s="928"/>
      <c r="AR180" s="928"/>
      <c r="AS180" s="928"/>
    </row>
    <row r="181" spans="11:45">
      <c r="K181" s="957"/>
      <c r="L181" s="928"/>
      <c r="M181" s="928"/>
      <c r="N181" s="960"/>
      <c r="O181" s="960"/>
      <c r="P181" s="960"/>
      <c r="Q181" s="960"/>
      <c r="R181" s="960"/>
      <c r="S181" s="960"/>
      <c r="T181" s="960"/>
      <c r="U181" s="960"/>
      <c r="V181" s="960"/>
      <c r="W181" s="960"/>
      <c r="X181" s="960"/>
      <c r="Y181" s="960"/>
      <c r="Z181" s="960"/>
      <c r="AA181" s="960"/>
      <c r="AB181" s="928"/>
      <c r="AC181" s="928"/>
      <c r="AD181" s="928"/>
      <c r="AE181" s="928"/>
      <c r="AF181" s="928"/>
      <c r="AG181" s="928"/>
      <c r="AH181" s="928"/>
      <c r="AI181" s="928"/>
      <c r="AJ181" s="928"/>
      <c r="AK181" s="928"/>
      <c r="AL181" s="928"/>
      <c r="AM181" s="928"/>
      <c r="AN181" s="928"/>
      <c r="AO181" s="928"/>
      <c r="AP181" s="928"/>
      <c r="AQ181" s="928"/>
      <c r="AR181" s="928"/>
      <c r="AS181" s="928"/>
    </row>
    <row r="182" spans="11:45">
      <c r="K182" s="957"/>
      <c r="L182" s="928"/>
      <c r="M182" s="928"/>
      <c r="N182" s="960"/>
      <c r="O182" s="960"/>
      <c r="P182" s="960"/>
      <c r="Q182" s="960"/>
      <c r="R182" s="960"/>
      <c r="S182" s="960"/>
      <c r="T182" s="960"/>
      <c r="U182" s="960"/>
      <c r="V182" s="960"/>
      <c r="W182" s="960"/>
      <c r="X182" s="960"/>
      <c r="Y182" s="960"/>
      <c r="Z182" s="960"/>
      <c r="AA182" s="960"/>
      <c r="AB182" s="928"/>
      <c r="AC182" s="928"/>
      <c r="AD182" s="928"/>
      <c r="AE182" s="928"/>
      <c r="AF182" s="928"/>
      <c r="AG182" s="928"/>
      <c r="AH182" s="928"/>
      <c r="AI182" s="928"/>
      <c r="AJ182" s="928"/>
      <c r="AK182" s="928"/>
      <c r="AL182" s="928"/>
      <c r="AM182" s="928"/>
      <c r="AN182" s="928"/>
      <c r="AO182" s="928"/>
      <c r="AP182" s="928"/>
      <c r="AQ182" s="928"/>
      <c r="AR182" s="928"/>
      <c r="AS182" s="928"/>
    </row>
    <row r="183" spans="11:45">
      <c r="K183" s="957"/>
      <c r="L183" s="928"/>
      <c r="M183" s="928"/>
      <c r="N183" s="960"/>
      <c r="O183" s="960"/>
      <c r="P183" s="960"/>
      <c r="Q183" s="960"/>
      <c r="R183" s="960"/>
      <c r="S183" s="960"/>
      <c r="T183" s="960"/>
      <c r="U183" s="960"/>
      <c r="V183" s="960"/>
      <c r="W183" s="960"/>
      <c r="X183" s="960"/>
      <c r="Y183" s="960"/>
      <c r="Z183" s="960"/>
      <c r="AA183" s="960"/>
      <c r="AB183" s="928"/>
      <c r="AC183" s="928"/>
      <c r="AD183" s="928"/>
      <c r="AE183" s="928"/>
      <c r="AF183" s="928"/>
      <c r="AG183" s="928"/>
      <c r="AH183" s="928"/>
      <c r="AI183" s="928"/>
      <c r="AJ183" s="928"/>
      <c r="AK183" s="928"/>
      <c r="AL183" s="928"/>
      <c r="AM183" s="928"/>
      <c r="AN183" s="928"/>
      <c r="AO183" s="928"/>
      <c r="AP183" s="928"/>
      <c r="AQ183" s="928"/>
      <c r="AR183" s="928"/>
      <c r="AS183" s="928"/>
    </row>
    <row r="184" spans="11:45">
      <c r="K184" s="957"/>
      <c r="L184" s="928"/>
      <c r="M184" s="928"/>
      <c r="N184" s="960"/>
      <c r="O184" s="960"/>
      <c r="P184" s="960"/>
      <c r="Q184" s="960"/>
      <c r="R184" s="960"/>
      <c r="S184" s="960"/>
      <c r="T184" s="960"/>
      <c r="U184" s="960"/>
      <c r="V184" s="960"/>
      <c r="W184" s="960"/>
      <c r="X184" s="960"/>
      <c r="Y184" s="960"/>
      <c r="Z184" s="960"/>
      <c r="AA184" s="960"/>
      <c r="AB184" s="928"/>
      <c r="AC184" s="928"/>
      <c r="AD184" s="928"/>
      <c r="AE184" s="928"/>
      <c r="AF184" s="928"/>
      <c r="AG184" s="928"/>
      <c r="AH184" s="928"/>
      <c r="AI184" s="928"/>
      <c r="AJ184" s="928"/>
      <c r="AK184" s="928"/>
      <c r="AL184" s="928"/>
      <c r="AM184" s="928"/>
      <c r="AN184" s="928"/>
      <c r="AO184" s="928"/>
      <c r="AP184" s="928"/>
      <c r="AQ184" s="928"/>
      <c r="AR184" s="928"/>
      <c r="AS184" s="928"/>
    </row>
    <row r="185" spans="11:45">
      <c r="K185" s="957"/>
      <c r="L185" s="928"/>
      <c r="M185" s="928"/>
      <c r="N185" s="960"/>
      <c r="O185" s="960"/>
      <c r="P185" s="960"/>
      <c r="Q185" s="960"/>
      <c r="R185" s="960"/>
      <c r="S185" s="960"/>
      <c r="T185" s="960"/>
      <c r="U185" s="960"/>
      <c r="V185" s="960"/>
      <c r="W185" s="960"/>
      <c r="X185" s="960"/>
      <c r="Y185" s="960"/>
      <c r="Z185" s="960"/>
      <c r="AA185" s="960"/>
      <c r="AB185" s="928"/>
      <c r="AC185" s="928"/>
      <c r="AD185" s="928"/>
      <c r="AE185" s="928"/>
      <c r="AF185" s="928"/>
      <c r="AG185" s="928"/>
      <c r="AH185" s="928"/>
      <c r="AI185" s="928"/>
      <c r="AJ185" s="928"/>
      <c r="AK185" s="928"/>
      <c r="AL185" s="928"/>
      <c r="AM185" s="928"/>
      <c r="AN185" s="928"/>
      <c r="AO185" s="928"/>
      <c r="AP185" s="928"/>
      <c r="AQ185" s="928"/>
      <c r="AR185" s="928"/>
      <c r="AS185" s="928"/>
    </row>
    <row r="186" spans="11:45">
      <c r="K186" s="957"/>
      <c r="L186" s="928"/>
      <c r="M186" s="928"/>
      <c r="N186" s="960"/>
      <c r="O186" s="960"/>
      <c r="P186" s="960"/>
      <c r="Q186" s="960"/>
      <c r="R186" s="960"/>
      <c r="S186" s="960"/>
      <c r="T186" s="960"/>
      <c r="U186" s="960"/>
      <c r="V186" s="960"/>
      <c r="W186" s="960"/>
      <c r="X186" s="960"/>
      <c r="Y186" s="960"/>
      <c r="Z186" s="960"/>
      <c r="AA186" s="960"/>
      <c r="AB186" s="928"/>
      <c r="AC186" s="928"/>
      <c r="AD186" s="928"/>
      <c r="AE186" s="928"/>
      <c r="AF186" s="928"/>
      <c r="AG186" s="928"/>
      <c r="AH186" s="928"/>
      <c r="AI186" s="928"/>
      <c r="AJ186" s="928"/>
      <c r="AK186" s="928"/>
      <c r="AL186" s="928"/>
      <c r="AM186" s="928"/>
      <c r="AN186" s="928"/>
      <c r="AO186" s="928"/>
      <c r="AP186" s="928"/>
      <c r="AQ186" s="928"/>
      <c r="AR186" s="928"/>
      <c r="AS186" s="928"/>
    </row>
    <row r="187" spans="11:45">
      <c r="K187" s="957"/>
      <c r="L187" s="928"/>
      <c r="M187" s="928"/>
      <c r="N187" s="960"/>
      <c r="O187" s="960"/>
      <c r="P187" s="960"/>
      <c r="Q187" s="960"/>
      <c r="R187" s="960"/>
      <c r="S187" s="960"/>
      <c r="T187" s="960"/>
      <c r="U187" s="960"/>
      <c r="V187" s="960"/>
      <c r="W187" s="960"/>
      <c r="X187" s="960"/>
      <c r="Y187" s="960"/>
      <c r="Z187" s="960"/>
      <c r="AA187" s="960"/>
      <c r="AB187" s="928"/>
      <c r="AC187" s="928"/>
      <c r="AD187" s="928"/>
      <c r="AE187" s="928"/>
      <c r="AF187" s="928"/>
      <c r="AG187" s="928"/>
      <c r="AH187" s="928"/>
      <c r="AI187" s="928"/>
      <c r="AJ187" s="928"/>
      <c r="AK187" s="928"/>
      <c r="AL187" s="928"/>
      <c r="AM187" s="928"/>
      <c r="AN187" s="928"/>
      <c r="AO187" s="928"/>
      <c r="AP187" s="928"/>
      <c r="AQ187" s="928"/>
      <c r="AR187" s="928"/>
      <c r="AS187" s="928"/>
    </row>
    <row r="188" spans="11:45">
      <c r="K188" s="957"/>
      <c r="L188" s="928"/>
      <c r="M188" s="928"/>
      <c r="N188" s="960"/>
      <c r="O188" s="960"/>
      <c r="P188" s="960"/>
      <c r="Q188" s="960"/>
      <c r="R188" s="960"/>
      <c r="S188" s="960"/>
      <c r="T188" s="960"/>
      <c r="U188" s="960"/>
      <c r="V188" s="960"/>
      <c r="W188" s="960"/>
      <c r="X188" s="960"/>
      <c r="Y188" s="960"/>
      <c r="Z188" s="960"/>
      <c r="AA188" s="960"/>
      <c r="AB188" s="928"/>
      <c r="AC188" s="928"/>
      <c r="AD188" s="928"/>
      <c r="AE188" s="928"/>
      <c r="AF188" s="928"/>
      <c r="AG188" s="928"/>
      <c r="AH188" s="928"/>
      <c r="AI188" s="928"/>
      <c r="AJ188" s="928"/>
      <c r="AK188" s="928"/>
      <c r="AL188" s="928"/>
      <c r="AM188" s="928"/>
      <c r="AN188" s="928"/>
      <c r="AO188" s="928"/>
      <c r="AP188" s="928"/>
      <c r="AQ188" s="928"/>
      <c r="AR188" s="928"/>
      <c r="AS188" s="928"/>
    </row>
    <row r="189" spans="11:45">
      <c r="K189" s="957"/>
      <c r="L189" s="928"/>
      <c r="M189" s="928"/>
      <c r="N189" s="960"/>
      <c r="O189" s="960"/>
      <c r="P189" s="960"/>
      <c r="Q189" s="960"/>
      <c r="R189" s="960"/>
      <c r="S189" s="960"/>
      <c r="T189" s="960"/>
      <c r="U189" s="960"/>
      <c r="V189" s="960"/>
      <c r="W189" s="960"/>
      <c r="X189" s="960"/>
      <c r="Y189" s="960"/>
      <c r="Z189" s="960"/>
      <c r="AA189" s="960"/>
      <c r="AB189" s="928"/>
      <c r="AC189" s="928"/>
      <c r="AD189" s="928"/>
      <c r="AE189" s="928"/>
      <c r="AF189" s="928"/>
      <c r="AG189" s="928"/>
      <c r="AH189" s="928"/>
      <c r="AI189" s="928"/>
      <c r="AJ189" s="928"/>
      <c r="AK189" s="928"/>
      <c r="AL189" s="928"/>
      <c r="AM189" s="928"/>
      <c r="AN189" s="928"/>
      <c r="AO189" s="928"/>
      <c r="AP189" s="928"/>
      <c r="AQ189" s="928"/>
      <c r="AR189" s="928"/>
      <c r="AS189" s="928"/>
    </row>
    <row r="190" spans="11:45">
      <c r="K190" s="957"/>
      <c r="L190" s="928"/>
      <c r="M190" s="928"/>
      <c r="N190" s="960"/>
      <c r="O190" s="960"/>
      <c r="P190" s="960"/>
      <c r="Q190" s="960"/>
      <c r="R190" s="960"/>
      <c r="S190" s="960"/>
      <c r="T190" s="960"/>
      <c r="U190" s="960"/>
      <c r="V190" s="960"/>
      <c r="W190" s="960"/>
      <c r="X190" s="960"/>
      <c r="Y190" s="960"/>
      <c r="Z190" s="960"/>
      <c r="AA190" s="960"/>
      <c r="AB190" s="928"/>
      <c r="AC190" s="928"/>
      <c r="AD190" s="928"/>
      <c r="AE190" s="928"/>
      <c r="AF190" s="928"/>
      <c r="AG190" s="928"/>
      <c r="AH190" s="928"/>
      <c r="AI190" s="928"/>
      <c r="AJ190" s="928"/>
      <c r="AK190" s="928"/>
      <c r="AL190" s="928"/>
      <c r="AM190" s="928"/>
      <c r="AN190" s="928"/>
      <c r="AO190" s="928"/>
      <c r="AP190" s="928"/>
      <c r="AQ190" s="928"/>
      <c r="AR190" s="928"/>
      <c r="AS190" s="928"/>
    </row>
    <row r="191" spans="11:45">
      <c r="K191" s="957"/>
      <c r="L191" s="928"/>
      <c r="M191" s="928"/>
      <c r="N191" s="960"/>
      <c r="O191" s="960"/>
      <c r="P191" s="960"/>
      <c r="Q191" s="960"/>
      <c r="R191" s="960"/>
      <c r="S191" s="960"/>
      <c r="T191" s="960"/>
      <c r="U191" s="960"/>
      <c r="V191" s="960"/>
      <c r="W191" s="960"/>
      <c r="X191" s="960"/>
      <c r="Y191" s="960"/>
      <c r="Z191" s="960"/>
      <c r="AA191" s="960"/>
      <c r="AB191" s="928"/>
      <c r="AC191" s="928"/>
      <c r="AD191" s="928"/>
      <c r="AE191" s="928"/>
      <c r="AF191" s="928"/>
      <c r="AG191" s="928"/>
      <c r="AH191" s="928"/>
      <c r="AI191" s="928"/>
      <c r="AJ191" s="928"/>
      <c r="AK191" s="928"/>
      <c r="AL191" s="928"/>
      <c r="AM191" s="928"/>
      <c r="AN191" s="928"/>
      <c r="AO191" s="928"/>
      <c r="AP191" s="928"/>
      <c r="AQ191" s="928"/>
      <c r="AR191" s="928"/>
      <c r="AS191" s="928"/>
    </row>
    <row r="192" spans="11:45">
      <c r="K192" s="957"/>
      <c r="L192" s="928"/>
      <c r="M192" s="928"/>
      <c r="N192" s="960"/>
      <c r="O192" s="960"/>
      <c r="P192" s="960"/>
      <c r="Q192" s="960"/>
      <c r="R192" s="960"/>
      <c r="S192" s="960"/>
      <c r="T192" s="960"/>
      <c r="U192" s="960"/>
      <c r="V192" s="960"/>
      <c r="W192" s="960"/>
      <c r="X192" s="960"/>
      <c r="Y192" s="960"/>
      <c r="Z192" s="960"/>
      <c r="AA192" s="960"/>
      <c r="AB192" s="928"/>
      <c r="AC192" s="928"/>
      <c r="AD192" s="928"/>
      <c r="AE192" s="928"/>
      <c r="AF192" s="928"/>
      <c r="AG192" s="928"/>
      <c r="AH192" s="928"/>
      <c r="AI192" s="928"/>
      <c r="AJ192" s="928"/>
      <c r="AK192" s="928"/>
      <c r="AL192" s="928"/>
      <c r="AM192" s="928"/>
      <c r="AN192" s="928"/>
      <c r="AO192" s="928"/>
      <c r="AP192" s="928"/>
      <c r="AQ192" s="928"/>
      <c r="AR192" s="928"/>
      <c r="AS192" s="928"/>
    </row>
    <row r="193" spans="11:45">
      <c r="K193" s="957"/>
      <c r="L193" s="928"/>
      <c r="M193" s="928"/>
      <c r="N193" s="960"/>
      <c r="O193" s="960"/>
      <c r="P193" s="960"/>
      <c r="Q193" s="960"/>
      <c r="R193" s="960"/>
      <c r="S193" s="960"/>
      <c r="T193" s="960"/>
      <c r="U193" s="960"/>
      <c r="V193" s="960"/>
      <c r="W193" s="960"/>
      <c r="X193" s="960"/>
      <c r="Y193" s="960"/>
      <c r="Z193" s="960"/>
      <c r="AA193" s="960"/>
      <c r="AB193" s="928"/>
      <c r="AC193" s="928"/>
      <c r="AD193" s="928"/>
      <c r="AE193" s="928"/>
      <c r="AF193" s="928"/>
      <c r="AG193" s="928"/>
      <c r="AH193" s="928"/>
      <c r="AI193" s="928"/>
      <c r="AJ193" s="928"/>
      <c r="AK193" s="928"/>
      <c r="AL193" s="928"/>
      <c r="AM193" s="928"/>
      <c r="AN193" s="928"/>
      <c r="AO193" s="928"/>
      <c r="AP193" s="928"/>
      <c r="AQ193" s="928"/>
      <c r="AR193" s="928"/>
      <c r="AS193" s="928"/>
    </row>
    <row r="194" spans="11:45">
      <c r="K194" s="957"/>
      <c r="L194" s="928"/>
      <c r="M194" s="928"/>
      <c r="N194" s="960"/>
      <c r="O194" s="960"/>
      <c r="P194" s="960"/>
      <c r="Q194" s="960"/>
      <c r="R194" s="960"/>
      <c r="S194" s="960"/>
      <c r="T194" s="960"/>
      <c r="U194" s="960"/>
      <c r="V194" s="960"/>
      <c r="W194" s="960"/>
      <c r="X194" s="960"/>
      <c r="Y194" s="960"/>
      <c r="Z194" s="960"/>
      <c r="AA194" s="960"/>
      <c r="AB194" s="928"/>
      <c r="AC194" s="928"/>
      <c r="AD194" s="928"/>
      <c r="AE194" s="928"/>
      <c r="AF194" s="928"/>
      <c r="AG194" s="928"/>
      <c r="AH194" s="928"/>
      <c r="AI194" s="928"/>
      <c r="AJ194" s="928"/>
      <c r="AK194" s="928"/>
      <c r="AL194" s="928"/>
      <c r="AM194" s="928"/>
      <c r="AN194" s="928"/>
      <c r="AO194" s="928"/>
      <c r="AP194" s="928"/>
      <c r="AQ194" s="928"/>
      <c r="AR194" s="928"/>
      <c r="AS194" s="928"/>
    </row>
    <row r="195" spans="11:45">
      <c r="K195" s="957"/>
      <c r="L195" s="928"/>
      <c r="M195" s="928"/>
      <c r="N195" s="960"/>
      <c r="O195" s="960"/>
      <c r="P195" s="960"/>
      <c r="Q195" s="960"/>
      <c r="R195" s="960"/>
      <c r="S195" s="960"/>
      <c r="T195" s="960"/>
      <c r="U195" s="960"/>
      <c r="V195" s="960"/>
      <c r="W195" s="960"/>
      <c r="X195" s="960"/>
      <c r="Y195" s="960"/>
      <c r="Z195" s="960"/>
      <c r="AA195" s="960"/>
      <c r="AB195" s="928"/>
      <c r="AC195" s="928"/>
      <c r="AD195" s="928"/>
      <c r="AE195" s="928"/>
      <c r="AF195" s="928"/>
      <c r="AG195" s="928"/>
      <c r="AH195" s="928"/>
      <c r="AI195" s="928"/>
      <c r="AJ195" s="928"/>
      <c r="AK195" s="928"/>
      <c r="AL195" s="928"/>
      <c r="AM195" s="928"/>
      <c r="AN195" s="928"/>
      <c r="AO195" s="928"/>
      <c r="AP195" s="928"/>
      <c r="AQ195" s="928"/>
      <c r="AR195" s="928"/>
      <c r="AS195" s="928"/>
    </row>
    <row r="196" spans="11:45">
      <c r="K196" s="957"/>
      <c r="L196" s="928"/>
      <c r="M196" s="928"/>
      <c r="N196" s="960"/>
      <c r="O196" s="960"/>
      <c r="P196" s="960"/>
      <c r="Q196" s="960"/>
      <c r="R196" s="960"/>
      <c r="S196" s="960"/>
      <c r="T196" s="960"/>
      <c r="U196" s="960"/>
      <c r="V196" s="960"/>
      <c r="W196" s="960"/>
      <c r="X196" s="960"/>
      <c r="Y196" s="960"/>
      <c r="Z196" s="960"/>
      <c r="AA196" s="960"/>
      <c r="AB196" s="928"/>
      <c r="AC196" s="928"/>
      <c r="AD196" s="928"/>
      <c r="AE196" s="928"/>
      <c r="AF196" s="928"/>
      <c r="AG196" s="928"/>
      <c r="AH196" s="928"/>
      <c r="AI196" s="928"/>
      <c r="AJ196" s="928"/>
      <c r="AK196" s="928"/>
      <c r="AL196" s="928"/>
      <c r="AM196" s="928"/>
      <c r="AN196" s="928"/>
      <c r="AO196" s="928"/>
      <c r="AP196" s="928"/>
      <c r="AQ196" s="928"/>
      <c r="AR196" s="928"/>
      <c r="AS196" s="928"/>
    </row>
    <row r="197" spans="11:45">
      <c r="K197" s="957"/>
      <c r="L197" s="928"/>
      <c r="M197" s="928"/>
      <c r="N197" s="960"/>
      <c r="O197" s="960"/>
      <c r="P197" s="960"/>
      <c r="Q197" s="960"/>
      <c r="R197" s="960"/>
      <c r="S197" s="960"/>
      <c r="T197" s="960"/>
      <c r="U197" s="960"/>
      <c r="V197" s="960"/>
      <c r="W197" s="960"/>
      <c r="X197" s="960"/>
      <c r="Y197" s="960"/>
      <c r="Z197" s="960"/>
      <c r="AA197" s="960"/>
      <c r="AB197" s="928"/>
      <c r="AC197" s="928"/>
      <c r="AD197" s="928"/>
      <c r="AE197" s="928"/>
      <c r="AF197" s="928"/>
      <c r="AG197" s="928"/>
      <c r="AH197" s="928"/>
      <c r="AI197" s="928"/>
      <c r="AJ197" s="928"/>
      <c r="AK197" s="928"/>
      <c r="AL197" s="928"/>
      <c r="AM197" s="928"/>
      <c r="AN197" s="928"/>
      <c r="AO197" s="928"/>
      <c r="AP197" s="928"/>
      <c r="AQ197" s="928"/>
      <c r="AR197" s="928"/>
      <c r="AS197" s="928"/>
    </row>
    <row r="198" spans="11:45">
      <c r="K198" s="957"/>
      <c r="L198" s="928"/>
      <c r="M198" s="928"/>
      <c r="N198" s="960"/>
      <c r="O198" s="960"/>
      <c r="P198" s="960"/>
      <c r="Q198" s="960"/>
      <c r="R198" s="960"/>
      <c r="S198" s="960"/>
      <c r="T198" s="960"/>
      <c r="U198" s="960"/>
      <c r="V198" s="960"/>
      <c r="W198" s="960"/>
      <c r="X198" s="960"/>
      <c r="Y198" s="960"/>
      <c r="Z198" s="960"/>
      <c r="AA198" s="960"/>
      <c r="AB198" s="928"/>
      <c r="AC198" s="928"/>
      <c r="AD198" s="928"/>
      <c r="AE198" s="928"/>
      <c r="AF198" s="928"/>
      <c r="AG198" s="928"/>
      <c r="AH198" s="928"/>
      <c r="AI198" s="928"/>
      <c r="AJ198" s="928"/>
      <c r="AK198" s="928"/>
      <c r="AL198" s="928"/>
      <c r="AM198" s="928"/>
      <c r="AN198" s="928"/>
      <c r="AO198" s="928"/>
      <c r="AP198" s="928"/>
      <c r="AQ198" s="928"/>
      <c r="AR198" s="928"/>
      <c r="AS198" s="928"/>
    </row>
    <row r="199" spans="11:45">
      <c r="K199" s="957"/>
      <c r="L199" s="928"/>
      <c r="M199" s="928"/>
      <c r="N199" s="960"/>
      <c r="O199" s="960"/>
      <c r="P199" s="960"/>
      <c r="Q199" s="960"/>
      <c r="R199" s="960"/>
      <c r="S199" s="960"/>
      <c r="T199" s="960"/>
      <c r="U199" s="960"/>
      <c r="V199" s="960"/>
      <c r="W199" s="960"/>
      <c r="X199" s="960"/>
      <c r="Y199" s="960"/>
      <c r="Z199" s="960"/>
      <c r="AA199" s="960"/>
      <c r="AB199" s="928"/>
      <c r="AC199" s="928"/>
      <c r="AD199" s="928"/>
      <c r="AE199" s="928"/>
      <c r="AF199" s="928"/>
      <c r="AG199" s="928"/>
      <c r="AH199" s="928"/>
      <c r="AI199" s="928"/>
      <c r="AJ199" s="928"/>
      <c r="AK199" s="928"/>
      <c r="AL199" s="928"/>
      <c r="AM199" s="928"/>
      <c r="AN199" s="928"/>
      <c r="AO199" s="928"/>
      <c r="AP199" s="928"/>
      <c r="AQ199" s="928"/>
      <c r="AR199" s="928"/>
      <c r="AS199" s="928"/>
    </row>
    <row r="200" spans="11:45">
      <c r="K200" s="957"/>
      <c r="L200" s="928"/>
      <c r="M200" s="928"/>
      <c r="N200" s="960"/>
      <c r="O200" s="960"/>
      <c r="P200" s="960"/>
      <c r="Q200" s="960"/>
      <c r="R200" s="960"/>
      <c r="S200" s="960"/>
      <c r="T200" s="960"/>
      <c r="U200" s="960"/>
      <c r="V200" s="960"/>
      <c r="W200" s="960"/>
      <c r="X200" s="960"/>
      <c r="Y200" s="960"/>
      <c r="Z200" s="960"/>
      <c r="AA200" s="960"/>
      <c r="AB200" s="928"/>
      <c r="AC200" s="928"/>
      <c r="AD200" s="928"/>
      <c r="AE200" s="928"/>
      <c r="AF200" s="928"/>
      <c r="AG200" s="928"/>
      <c r="AH200" s="928"/>
      <c r="AI200" s="928"/>
      <c r="AJ200" s="928"/>
      <c r="AK200" s="928"/>
      <c r="AL200" s="928"/>
      <c r="AM200" s="928"/>
      <c r="AN200" s="928"/>
      <c r="AO200" s="928"/>
      <c r="AP200" s="928"/>
      <c r="AQ200" s="928"/>
      <c r="AR200" s="928"/>
      <c r="AS200" s="928"/>
    </row>
    <row r="201" spans="11:45">
      <c r="K201" s="957"/>
      <c r="L201" s="928"/>
      <c r="M201" s="928"/>
      <c r="N201" s="960"/>
      <c r="O201" s="960"/>
      <c r="P201" s="960"/>
      <c r="Q201" s="960"/>
      <c r="R201" s="960"/>
      <c r="S201" s="960"/>
      <c r="T201" s="960"/>
      <c r="U201" s="960"/>
      <c r="V201" s="960"/>
      <c r="W201" s="960"/>
      <c r="X201" s="960"/>
      <c r="Y201" s="960"/>
      <c r="Z201" s="960"/>
      <c r="AA201" s="960"/>
      <c r="AB201" s="928"/>
      <c r="AC201" s="928"/>
      <c r="AD201" s="928"/>
      <c r="AE201" s="928"/>
      <c r="AF201" s="928"/>
      <c r="AG201" s="928"/>
      <c r="AH201" s="928"/>
      <c r="AI201" s="928"/>
      <c r="AJ201" s="928"/>
      <c r="AK201" s="928"/>
      <c r="AL201" s="928"/>
      <c r="AM201" s="928"/>
      <c r="AN201" s="928"/>
      <c r="AO201" s="928"/>
      <c r="AP201" s="928"/>
      <c r="AQ201" s="928"/>
      <c r="AR201" s="928"/>
      <c r="AS201" s="928"/>
    </row>
    <row r="202" spans="11:45">
      <c r="K202" s="957"/>
      <c r="L202" s="928"/>
      <c r="M202" s="928"/>
      <c r="N202" s="960"/>
      <c r="O202" s="960"/>
      <c r="P202" s="960"/>
      <c r="Q202" s="960"/>
      <c r="R202" s="960"/>
      <c r="S202" s="960"/>
      <c r="T202" s="960"/>
      <c r="U202" s="960"/>
      <c r="V202" s="960"/>
      <c r="W202" s="960"/>
      <c r="X202" s="960"/>
      <c r="Y202" s="960"/>
      <c r="Z202" s="960"/>
      <c r="AA202" s="960"/>
      <c r="AB202" s="928"/>
      <c r="AC202" s="928"/>
      <c r="AD202" s="928"/>
      <c r="AE202" s="928"/>
      <c r="AF202" s="928"/>
      <c r="AG202" s="928"/>
      <c r="AH202" s="928"/>
      <c r="AI202" s="928"/>
      <c r="AJ202" s="928"/>
      <c r="AK202" s="928"/>
      <c r="AL202" s="928"/>
      <c r="AM202" s="928"/>
      <c r="AN202" s="928"/>
      <c r="AO202" s="928"/>
      <c r="AP202" s="928"/>
      <c r="AQ202" s="928"/>
      <c r="AR202" s="928"/>
      <c r="AS202" s="928"/>
    </row>
    <row r="203" spans="11:45">
      <c r="K203" s="957"/>
      <c r="L203" s="928"/>
      <c r="M203" s="928"/>
      <c r="N203" s="960"/>
      <c r="O203" s="960"/>
      <c r="P203" s="960"/>
      <c r="Q203" s="960"/>
      <c r="R203" s="960"/>
      <c r="S203" s="960"/>
      <c r="T203" s="960"/>
      <c r="U203" s="960"/>
      <c r="V203" s="960"/>
      <c r="W203" s="960"/>
      <c r="X203" s="960"/>
      <c r="Y203" s="960"/>
      <c r="Z203" s="960"/>
      <c r="AA203" s="960"/>
      <c r="AB203" s="928"/>
      <c r="AC203" s="928"/>
      <c r="AD203" s="928"/>
      <c r="AE203" s="928"/>
      <c r="AF203" s="928"/>
      <c r="AG203" s="928"/>
      <c r="AH203" s="928"/>
      <c r="AI203" s="928"/>
      <c r="AJ203" s="928"/>
      <c r="AK203" s="928"/>
      <c r="AL203" s="928"/>
      <c r="AM203" s="928"/>
      <c r="AN203" s="928"/>
      <c r="AO203" s="928"/>
      <c r="AP203" s="928"/>
      <c r="AQ203" s="928"/>
      <c r="AR203" s="928"/>
      <c r="AS203" s="928"/>
    </row>
    <row r="204" spans="11:45">
      <c r="K204" s="957"/>
      <c r="L204" s="928"/>
      <c r="M204" s="928"/>
      <c r="N204" s="960"/>
      <c r="O204" s="960"/>
      <c r="P204" s="960"/>
      <c r="Q204" s="960"/>
      <c r="R204" s="960"/>
      <c r="S204" s="960"/>
      <c r="T204" s="960"/>
      <c r="U204" s="960"/>
      <c r="V204" s="960"/>
      <c r="W204" s="960"/>
      <c r="X204" s="960"/>
      <c r="Y204" s="960"/>
      <c r="Z204" s="960"/>
      <c r="AA204" s="960"/>
      <c r="AB204" s="928"/>
      <c r="AC204" s="928"/>
      <c r="AD204" s="928"/>
      <c r="AE204" s="928"/>
      <c r="AF204" s="928"/>
      <c r="AG204" s="928"/>
      <c r="AH204" s="928"/>
      <c r="AI204" s="928"/>
      <c r="AJ204" s="928"/>
      <c r="AK204" s="928"/>
      <c r="AL204" s="928"/>
      <c r="AM204" s="928"/>
      <c r="AN204" s="928"/>
      <c r="AO204" s="928"/>
      <c r="AP204" s="928"/>
      <c r="AQ204" s="928"/>
      <c r="AR204" s="928"/>
      <c r="AS204" s="928"/>
    </row>
    <row r="205" spans="11:45">
      <c r="K205" s="957"/>
      <c r="L205" s="928"/>
      <c r="M205" s="928"/>
      <c r="N205" s="960"/>
      <c r="O205" s="960"/>
      <c r="P205" s="960"/>
      <c r="Q205" s="960"/>
      <c r="R205" s="960"/>
      <c r="S205" s="960"/>
      <c r="T205" s="960"/>
      <c r="U205" s="960"/>
      <c r="V205" s="960"/>
      <c r="W205" s="960"/>
      <c r="X205" s="960"/>
      <c r="Y205" s="960"/>
      <c r="Z205" s="960"/>
      <c r="AA205" s="960"/>
      <c r="AB205" s="928"/>
      <c r="AC205" s="928"/>
      <c r="AD205" s="928"/>
      <c r="AE205" s="928"/>
      <c r="AF205" s="928"/>
      <c r="AG205" s="928"/>
      <c r="AH205" s="928"/>
      <c r="AI205" s="928"/>
      <c r="AJ205" s="928"/>
      <c r="AK205" s="928"/>
      <c r="AL205" s="928"/>
      <c r="AM205" s="928"/>
      <c r="AN205" s="928"/>
      <c r="AO205" s="928"/>
      <c r="AP205" s="928"/>
      <c r="AQ205" s="928"/>
      <c r="AR205" s="928"/>
      <c r="AS205" s="928"/>
    </row>
    <row r="206" spans="11:45">
      <c r="K206" s="957"/>
      <c r="L206" s="928"/>
      <c r="M206" s="928"/>
      <c r="N206" s="960"/>
      <c r="O206" s="960"/>
      <c r="P206" s="960"/>
      <c r="Q206" s="960"/>
      <c r="R206" s="960"/>
      <c r="S206" s="960"/>
      <c r="T206" s="960"/>
      <c r="U206" s="960"/>
      <c r="V206" s="960"/>
      <c r="W206" s="960"/>
      <c r="X206" s="960"/>
      <c r="Y206" s="960"/>
      <c r="Z206" s="960"/>
      <c r="AA206" s="960"/>
      <c r="AB206" s="928"/>
      <c r="AC206" s="928"/>
      <c r="AD206" s="928"/>
      <c r="AE206" s="928"/>
      <c r="AF206" s="928"/>
      <c r="AG206" s="928"/>
      <c r="AH206" s="928"/>
      <c r="AI206" s="928"/>
      <c r="AJ206" s="928"/>
      <c r="AK206" s="928"/>
      <c r="AL206" s="928"/>
      <c r="AM206" s="928"/>
      <c r="AN206" s="928"/>
      <c r="AO206" s="928"/>
      <c r="AP206" s="928"/>
      <c r="AQ206" s="928"/>
      <c r="AR206" s="928"/>
      <c r="AS206" s="928"/>
    </row>
    <row r="207" spans="11:45">
      <c r="K207" s="957"/>
      <c r="L207" s="928"/>
      <c r="M207" s="928"/>
      <c r="N207" s="960"/>
      <c r="O207" s="960"/>
      <c r="P207" s="960"/>
      <c r="Q207" s="960"/>
      <c r="R207" s="960"/>
      <c r="S207" s="960"/>
      <c r="T207" s="960"/>
      <c r="U207" s="960"/>
      <c r="V207" s="960"/>
      <c r="W207" s="960"/>
      <c r="X207" s="960"/>
      <c r="Y207" s="960"/>
      <c r="Z207" s="960"/>
      <c r="AA207" s="960"/>
      <c r="AB207" s="928"/>
      <c r="AC207" s="928"/>
      <c r="AD207" s="928"/>
      <c r="AE207" s="928"/>
      <c r="AF207" s="928"/>
      <c r="AG207" s="928"/>
      <c r="AH207" s="928"/>
      <c r="AI207" s="928"/>
      <c r="AJ207" s="928"/>
      <c r="AK207" s="928"/>
      <c r="AL207" s="928"/>
      <c r="AM207" s="928"/>
      <c r="AN207" s="928"/>
      <c r="AO207" s="928"/>
      <c r="AP207" s="928"/>
      <c r="AQ207" s="928"/>
      <c r="AR207" s="928"/>
      <c r="AS207" s="928"/>
    </row>
    <row r="208" spans="11:45">
      <c r="K208" s="957"/>
      <c r="L208" s="928"/>
      <c r="M208" s="928"/>
      <c r="N208" s="960"/>
      <c r="O208" s="960"/>
      <c r="P208" s="960"/>
      <c r="Q208" s="960"/>
      <c r="R208" s="960"/>
      <c r="S208" s="960"/>
      <c r="T208" s="960"/>
      <c r="U208" s="960"/>
      <c r="V208" s="960"/>
      <c r="W208" s="960"/>
      <c r="X208" s="960"/>
      <c r="Y208" s="960"/>
      <c r="Z208" s="960"/>
      <c r="AA208" s="960"/>
      <c r="AB208" s="928"/>
      <c r="AC208" s="928"/>
      <c r="AD208" s="928"/>
      <c r="AE208" s="928"/>
      <c r="AF208" s="928"/>
      <c r="AG208" s="928"/>
      <c r="AH208" s="928"/>
      <c r="AI208" s="928"/>
      <c r="AJ208" s="928"/>
      <c r="AK208" s="928"/>
      <c r="AL208" s="928"/>
      <c r="AM208" s="928"/>
      <c r="AN208" s="928"/>
      <c r="AO208" s="928"/>
      <c r="AP208" s="928"/>
      <c r="AQ208" s="928"/>
      <c r="AR208" s="928"/>
      <c r="AS208" s="928"/>
    </row>
    <row r="209" spans="11:45">
      <c r="K209" s="957"/>
      <c r="L209" s="928"/>
      <c r="M209" s="928"/>
      <c r="N209" s="960"/>
      <c r="O209" s="960"/>
      <c r="P209" s="960"/>
      <c r="Q209" s="960"/>
      <c r="R209" s="960"/>
      <c r="S209" s="960"/>
      <c r="T209" s="960"/>
      <c r="U209" s="960"/>
      <c r="V209" s="960"/>
      <c r="W209" s="960"/>
      <c r="X209" s="960"/>
      <c r="Y209" s="960"/>
      <c r="Z209" s="960"/>
      <c r="AA209" s="960"/>
      <c r="AB209" s="928"/>
      <c r="AC209" s="928"/>
      <c r="AD209" s="928"/>
      <c r="AE209" s="928"/>
      <c r="AF209" s="928"/>
      <c r="AG209" s="928"/>
      <c r="AH209" s="928"/>
      <c r="AI209" s="928"/>
      <c r="AJ209" s="928"/>
      <c r="AK209" s="928"/>
      <c r="AL209" s="928"/>
      <c r="AM209" s="928"/>
      <c r="AN209" s="928"/>
      <c r="AO209" s="928"/>
      <c r="AP209" s="928"/>
      <c r="AQ209" s="928"/>
      <c r="AR209" s="928"/>
      <c r="AS209" s="928"/>
    </row>
    <row r="210" spans="11:45">
      <c r="K210" s="957"/>
      <c r="L210" s="928"/>
      <c r="M210" s="928"/>
      <c r="N210" s="960"/>
      <c r="O210" s="960"/>
      <c r="P210" s="960"/>
      <c r="Q210" s="960"/>
      <c r="R210" s="960"/>
      <c r="S210" s="960"/>
      <c r="T210" s="960"/>
      <c r="U210" s="960"/>
      <c r="V210" s="960"/>
      <c r="W210" s="960"/>
      <c r="X210" s="960"/>
      <c r="Y210" s="960"/>
      <c r="Z210" s="960"/>
      <c r="AA210" s="960"/>
      <c r="AB210" s="928"/>
      <c r="AC210" s="928"/>
      <c r="AD210" s="928"/>
      <c r="AE210" s="928"/>
      <c r="AF210" s="928"/>
      <c r="AG210" s="928"/>
      <c r="AH210" s="928"/>
      <c r="AI210" s="928"/>
      <c r="AJ210" s="928"/>
      <c r="AK210" s="928"/>
      <c r="AL210" s="928"/>
      <c r="AM210" s="928"/>
      <c r="AN210" s="928"/>
      <c r="AO210" s="928"/>
      <c r="AP210" s="928"/>
      <c r="AQ210" s="928"/>
      <c r="AR210" s="928"/>
      <c r="AS210" s="928"/>
    </row>
    <row r="211" spans="11:45">
      <c r="K211" s="957"/>
      <c r="L211" s="928"/>
      <c r="M211" s="928"/>
      <c r="N211" s="960"/>
      <c r="O211" s="960"/>
      <c r="P211" s="960"/>
      <c r="Q211" s="960"/>
      <c r="R211" s="960"/>
      <c r="S211" s="960"/>
      <c r="T211" s="960"/>
      <c r="U211" s="960"/>
      <c r="V211" s="960"/>
      <c r="W211" s="960"/>
      <c r="X211" s="960"/>
      <c r="Y211" s="960"/>
      <c r="Z211" s="960"/>
      <c r="AA211" s="960"/>
      <c r="AB211" s="928"/>
      <c r="AC211" s="928"/>
      <c r="AD211" s="928"/>
      <c r="AE211" s="928"/>
      <c r="AF211" s="928"/>
      <c r="AG211" s="928"/>
      <c r="AH211" s="928"/>
      <c r="AI211" s="928"/>
      <c r="AJ211" s="928"/>
      <c r="AK211" s="928"/>
      <c r="AL211" s="928"/>
      <c r="AM211" s="928"/>
      <c r="AN211" s="928"/>
      <c r="AO211" s="928"/>
      <c r="AP211" s="928"/>
      <c r="AQ211" s="928"/>
      <c r="AR211" s="928"/>
      <c r="AS211" s="928"/>
    </row>
    <row r="212" spans="11:45">
      <c r="K212" s="957"/>
      <c r="L212" s="928"/>
      <c r="M212" s="928"/>
      <c r="N212" s="960"/>
      <c r="O212" s="960"/>
      <c r="P212" s="960"/>
      <c r="Q212" s="960"/>
      <c r="R212" s="960"/>
      <c r="S212" s="960"/>
      <c r="T212" s="960"/>
      <c r="U212" s="960"/>
      <c r="V212" s="960"/>
      <c r="W212" s="960"/>
      <c r="X212" s="960"/>
      <c r="Y212" s="960"/>
      <c r="Z212" s="960"/>
      <c r="AA212" s="960"/>
      <c r="AB212" s="928"/>
      <c r="AC212" s="928"/>
      <c r="AD212" s="928"/>
      <c r="AE212" s="928"/>
      <c r="AF212" s="928"/>
      <c r="AG212" s="928"/>
      <c r="AH212" s="928"/>
      <c r="AI212" s="928"/>
      <c r="AJ212" s="928"/>
      <c r="AK212" s="928"/>
      <c r="AL212" s="928"/>
      <c r="AM212" s="928"/>
      <c r="AN212" s="928"/>
      <c r="AO212" s="928"/>
      <c r="AP212" s="928"/>
      <c r="AQ212" s="928"/>
      <c r="AR212" s="928"/>
      <c r="AS212" s="928"/>
    </row>
    <row r="213" spans="11:45">
      <c r="K213" s="957"/>
      <c r="L213" s="928"/>
      <c r="M213" s="928"/>
      <c r="N213" s="960"/>
      <c r="O213" s="960"/>
      <c r="P213" s="960"/>
      <c r="Q213" s="960"/>
      <c r="R213" s="960"/>
      <c r="S213" s="960"/>
      <c r="T213" s="960"/>
      <c r="U213" s="960"/>
      <c r="V213" s="960"/>
      <c r="W213" s="960"/>
      <c r="X213" s="960"/>
      <c r="Y213" s="960"/>
      <c r="Z213" s="960"/>
      <c r="AA213" s="960"/>
      <c r="AB213" s="928"/>
      <c r="AC213" s="928"/>
      <c r="AD213" s="928"/>
      <c r="AE213" s="928"/>
      <c r="AF213" s="928"/>
      <c r="AG213" s="928"/>
      <c r="AH213" s="928"/>
      <c r="AI213" s="928"/>
      <c r="AJ213" s="928"/>
      <c r="AK213" s="928"/>
      <c r="AL213" s="928"/>
      <c r="AM213" s="928"/>
      <c r="AN213" s="928"/>
      <c r="AO213" s="928"/>
      <c r="AP213" s="928"/>
      <c r="AQ213" s="928"/>
      <c r="AR213" s="928"/>
      <c r="AS213" s="928"/>
    </row>
    <row r="214" spans="11:45">
      <c r="K214" s="957"/>
      <c r="L214" s="928"/>
      <c r="M214" s="928"/>
      <c r="N214" s="960"/>
      <c r="O214" s="960"/>
      <c r="P214" s="960"/>
      <c r="Q214" s="960"/>
      <c r="R214" s="960"/>
      <c r="S214" s="960"/>
      <c r="T214" s="960"/>
      <c r="U214" s="960"/>
      <c r="V214" s="960"/>
      <c r="W214" s="960"/>
      <c r="X214" s="960"/>
      <c r="Y214" s="960"/>
      <c r="Z214" s="960"/>
      <c r="AA214" s="960"/>
      <c r="AB214" s="928"/>
      <c r="AC214" s="928"/>
      <c r="AD214" s="928"/>
      <c r="AE214" s="928"/>
      <c r="AF214" s="928"/>
      <c r="AG214" s="928"/>
      <c r="AH214" s="928"/>
      <c r="AI214" s="928"/>
      <c r="AJ214" s="928"/>
      <c r="AK214" s="928"/>
      <c r="AL214" s="928"/>
      <c r="AM214" s="928"/>
      <c r="AN214" s="928"/>
      <c r="AO214" s="928"/>
      <c r="AP214" s="928"/>
      <c r="AQ214" s="928"/>
      <c r="AR214" s="928"/>
      <c r="AS214" s="928"/>
    </row>
    <row r="215" spans="11:45">
      <c r="K215" s="957"/>
      <c r="L215" s="928"/>
      <c r="M215" s="928"/>
      <c r="N215" s="960"/>
      <c r="O215" s="960"/>
      <c r="P215" s="960"/>
      <c r="Q215" s="960"/>
      <c r="R215" s="960"/>
      <c r="S215" s="960"/>
      <c r="T215" s="960"/>
      <c r="U215" s="960"/>
      <c r="V215" s="960"/>
      <c r="W215" s="960"/>
      <c r="X215" s="960"/>
      <c r="Y215" s="960"/>
      <c r="Z215" s="960"/>
      <c r="AA215" s="960"/>
      <c r="AB215" s="928"/>
      <c r="AC215" s="928"/>
      <c r="AD215" s="928"/>
      <c r="AE215" s="928"/>
      <c r="AF215" s="928"/>
      <c r="AG215" s="928"/>
      <c r="AH215" s="928"/>
      <c r="AI215" s="928"/>
      <c r="AJ215" s="928"/>
      <c r="AK215" s="928"/>
      <c r="AL215" s="928"/>
      <c r="AM215" s="928"/>
      <c r="AN215" s="928"/>
      <c r="AO215" s="928"/>
      <c r="AP215" s="928"/>
      <c r="AQ215" s="928"/>
      <c r="AR215" s="928"/>
      <c r="AS215" s="928"/>
    </row>
    <row r="216" spans="11:45">
      <c r="K216" s="957"/>
      <c r="L216" s="928"/>
      <c r="M216" s="928"/>
      <c r="N216" s="960"/>
      <c r="O216" s="960"/>
      <c r="P216" s="960"/>
      <c r="Q216" s="960"/>
      <c r="R216" s="960"/>
      <c r="S216" s="960"/>
      <c r="T216" s="960"/>
      <c r="U216" s="960"/>
      <c r="V216" s="960"/>
      <c r="W216" s="960"/>
      <c r="X216" s="960"/>
      <c r="Y216" s="960"/>
      <c r="Z216" s="960"/>
      <c r="AA216" s="960"/>
      <c r="AB216" s="928"/>
      <c r="AC216" s="928"/>
      <c r="AD216" s="928"/>
      <c r="AE216" s="928"/>
      <c r="AF216" s="928"/>
      <c r="AG216" s="928"/>
      <c r="AH216" s="928"/>
      <c r="AI216" s="928"/>
      <c r="AJ216" s="928"/>
      <c r="AK216" s="928"/>
      <c r="AL216" s="928"/>
      <c r="AM216" s="928"/>
      <c r="AN216" s="928"/>
      <c r="AO216" s="928"/>
      <c r="AP216" s="928"/>
      <c r="AQ216" s="928"/>
      <c r="AR216" s="928"/>
      <c r="AS216" s="928"/>
    </row>
    <row r="217" spans="11:45">
      <c r="K217" s="957"/>
      <c r="L217" s="928"/>
      <c r="M217" s="928"/>
      <c r="N217" s="960"/>
      <c r="O217" s="960"/>
      <c r="P217" s="960"/>
      <c r="Q217" s="960"/>
      <c r="R217" s="960"/>
      <c r="S217" s="960"/>
      <c r="T217" s="960"/>
      <c r="U217" s="960"/>
      <c r="V217" s="960"/>
      <c r="W217" s="960"/>
      <c r="X217" s="960"/>
      <c r="Y217" s="960"/>
      <c r="Z217" s="960"/>
      <c r="AA217" s="960"/>
      <c r="AB217" s="928"/>
      <c r="AC217" s="928"/>
      <c r="AD217" s="928"/>
      <c r="AE217" s="928"/>
      <c r="AF217" s="928"/>
      <c r="AG217" s="928"/>
      <c r="AH217" s="928"/>
      <c r="AI217" s="928"/>
      <c r="AJ217" s="928"/>
      <c r="AK217" s="928"/>
      <c r="AL217" s="928"/>
      <c r="AM217" s="928"/>
      <c r="AN217" s="928"/>
      <c r="AO217" s="928"/>
      <c r="AP217" s="928"/>
      <c r="AQ217" s="928"/>
      <c r="AR217" s="928"/>
      <c r="AS217" s="928"/>
    </row>
    <row r="218" spans="11:45">
      <c r="K218" s="957"/>
      <c r="L218" s="928"/>
      <c r="M218" s="928"/>
      <c r="N218" s="960"/>
      <c r="O218" s="960"/>
      <c r="P218" s="960"/>
      <c r="Q218" s="960"/>
      <c r="R218" s="960"/>
      <c r="S218" s="960"/>
      <c r="T218" s="960"/>
      <c r="U218" s="960"/>
      <c r="V218" s="960"/>
      <c r="W218" s="960"/>
      <c r="X218" s="960"/>
      <c r="Y218" s="960"/>
      <c r="Z218" s="960"/>
      <c r="AA218" s="960"/>
      <c r="AB218" s="928"/>
      <c r="AC218" s="928"/>
      <c r="AD218" s="928"/>
      <c r="AE218" s="928"/>
      <c r="AF218" s="928"/>
      <c r="AG218" s="928"/>
      <c r="AH218" s="928"/>
      <c r="AI218" s="928"/>
      <c r="AJ218" s="928"/>
      <c r="AK218" s="928"/>
      <c r="AL218" s="928"/>
      <c r="AM218" s="928"/>
      <c r="AN218" s="928"/>
      <c r="AO218" s="928"/>
      <c r="AP218" s="928"/>
      <c r="AQ218" s="928"/>
      <c r="AR218" s="928"/>
      <c r="AS218" s="928"/>
    </row>
    <row r="219" spans="11:45">
      <c r="K219" s="957"/>
      <c r="L219" s="928"/>
      <c r="M219" s="928"/>
      <c r="N219" s="960"/>
      <c r="O219" s="960"/>
      <c r="P219" s="960"/>
      <c r="Q219" s="960"/>
      <c r="R219" s="960"/>
      <c r="S219" s="960"/>
      <c r="T219" s="960"/>
      <c r="U219" s="960"/>
      <c r="V219" s="960"/>
      <c r="W219" s="960"/>
      <c r="X219" s="960"/>
      <c r="Y219" s="960"/>
      <c r="Z219" s="960"/>
      <c r="AA219" s="960"/>
      <c r="AB219" s="928"/>
      <c r="AC219" s="928"/>
      <c r="AD219" s="928"/>
      <c r="AE219" s="928"/>
      <c r="AF219" s="928"/>
      <c r="AG219" s="928"/>
      <c r="AH219" s="928"/>
      <c r="AI219" s="928"/>
      <c r="AJ219" s="928"/>
      <c r="AK219" s="928"/>
      <c r="AL219" s="928"/>
      <c r="AM219" s="928"/>
      <c r="AN219" s="928"/>
      <c r="AO219" s="928"/>
      <c r="AP219" s="928"/>
      <c r="AQ219" s="928"/>
      <c r="AR219" s="928"/>
      <c r="AS219" s="928"/>
    </row>
    <row r="220" spans="11:45">
      <c r="K220" s="957"/>
      <c r="L220" s="928"/>
      <c r="M220" s="928"/>
      <c r="N220" s="960"/>
      <c r="O220" s="960"/>
      <c r="P220" s="960"/>
      <c r="Q220" s="960"/>
      <c r="R220" s="960"/>
      <c r="S220" s="960"/>
      <c r="T220" s="960"/>
      <c r="U220" s="960"/>
      <c r="V220" s="960"/>
      <c r="W220" s="960"/>
      <c r="X220" s="960"/>
      <c r="Y220" s="960"/>
      <c r="Z220" s="960"/>
      <c r="AA220" s="960"/>
      <c r="AB220" s="928"/>
      <c r="AC220" s="928"/>
      <c r="AD220" s="928"/>
      <c r="AE220" s="928"/>
      <c r="AF220" s="928"/>
      <c r="AG220" s="928"/>
      <c r="AH220" s="928"/>
      <c r="AI220" s="928"/>
      <c r="AJ220" s="928"/>
      <c r="AK220" s="928"/>
      <c r="AL220" s="928"/>
      <c r="AM220" s="928"/>
      <c r="AN220" s="928"/>
      <c r="AO220" s="928"/>
      <c r="AP220" s="928"/>
      <c r="AQ220" s="928"/>
      <c r="AR220" s="928"/>
      <c r="AS220" s="928"/>
    </row>
    <row r="221" spans="11:45">
      <c r="K221" s="957"/>
      <c r="L221" s="928"/>
      <c r="M221" s="928"/>
      <c r="N221" s="960"/>
      <c r="O221" s="960"/>
      <c r="P221" s="960"/>
      <c r="Q221" s="960"/>
      <c r="R221" s="960"/>
      <c r="S221" s="960"/>
      <c r="T221" s="960"/>
      <c r="U221" s="960"/>
      <c r="V221" s="960"/>
      <c r="W221" s="960"/>
      <c r="X221" s="960"/>
      <c r="Y221" s="960"/>
      <c r="Z221" s="960"/>
      <c r="AA221" s="960"/>
      <c r="AB221" s="928"/>
      <c r="AC221" s="928"/>
      <c r="AD221" s="928"/>
      <c r="AE221" s="928"/>
      <c r="AF221" s="928"/>
      <c r="AG221" s="928"/>
      <c r="AH221" s="928"/>
      <c r="AI221" s="928"/>
      <c r="AJ221" s="928"/>
      <c r="AK221" s="928"/>
      <c r="AL221" s="928"/>
      <c r="AM221" s="928"/>
      <c r="AN221" s="928"/>
      <c r="AO221" s="928"/>
      <c r="AP221" s="928"/>
      <c r="AQ221" s="928"/>
      <c r="AR221" s="928"/>
      <c r="AS221" s="928"/>
    </row>
    <row r="222" spans="11:45">
      <c r="K222" s="957"/>
      <c r="L222" s="928"/>
      <c r="M222" s="928"/>
      <c r="N222" s="960"/>
      <c r="O222" s="960"/>
      <c r="P222" s="960"/>
      <c r="Q222" s="960"/>
      <c r="R222" s="960"/>
      <c r="S222" s="960"/>
      <c r="T222" s="960"/>
      <c r="U222" s="960"/>
      <c r="V222" s="960"/>
      <c r="W222" s="960"/>
      <c r="X222" s="960"/>
      <c r="Y222" s="960"/>
      <c r="Z222" s="960"/>
      <c r="AA222" s="960"/>
      <c r="AB222" s="928"/>
      <c r="AC222" s="928"/>
      <c r="AD222" s="928"/>
      <c r="AE222" s="928"/>
      <c r="AF222" s="928"/>
      <c r="AG222" s="928"/>
      <c r="AH222" s="928"/>
      <c r="AI222" s="928"/>
      <c r="AJ222" s="928"/>
      <c r="AK222" s="928"/>
      <c r="AL222" s="928"/>
      <c r="AM222" s="928"/>
      <c r="AN222" s="928"/>
      <c r="AO222" s="928"/>
      <c r="AP222" s="928"/>
      <c r="AQ222" s="928"/>
      <c r="AR222" s="928"/>
      <c r="AS222" s="928"/>
    </row>
    <row r="223" spans="11:45">
      <c r="K223" s="957"/>
      <c r="L223" s="928"/>
      <c r="M223" s="928"/>
      <c r="N223" s="960"/>
      <c r="O223" s="960"/>
      <c r="P223" s="960"/>
      <c r="Q223" s="960"/>
      <c r="R223" s="960"/>
      <c r="S223" s="960"/>
      <c r="T223" s="960"/>
      <c r="U223" s="960"/>
      <c r="V223" s="960"/>
      <c r="W223" s="960"/>
      <c r="X223" s="960"/>
      <c r="Y223" s="960"/>
      <c r="Z223" s="960"/>
      <c r="AA223" s="960"/>
      <c r="AB223" s="928"/>
      <c r="AC223" s="928"/>
      <c r="AD223" s="928"/>
      <c r="AE223" s="928"/>
      <c r="AF223" s="928"/>
      <c r="AG223" s="928"/>
      <c r="AH223" s="928"/>
      <c r="AI223" s="928"/>
      <c r="AJ223" s="928"/>
      <c r="AK223" s="928"/>
      <c r="AL223" s="928"/>
      <c r="AM223" s="928"/>
      <c r="AN223" s="928"/>
      <c r="AO223" s="928"/>
      <c r="AP223" s="928"/>
      <c r="AQ223" s="928"/>
      <c r="AR223" s="928"/>
      <c r="AS223" s="928"/>
    </row>
    <row r="224" spans="11:45">
      <c r="K224" s="957"/>
      <c r="L224" s="928"/>
      <c r="M224" s="928"/>
      <c r="N224" s="960"/>
      <c r="O224" s="960"/>
      <c r="P224" s="960"/>
      <c r="Q224" s="960"/>
      <c r="R224" s="960"/>
      <c r="S224" s="960"/>
      <c r="T224" s="960"/>
      <c r="U224" s="960"/>
      <c r="V224" s="960"/>
      <c r="W224" s="960"/>
      <c r="X224" s="960"/>
      <c r="Y224" s="960"/>
      <c r="Z224" s="960"/>
      <c r="AA224" s="960"/>
      <c r="AB224" s="928"/>
      <c r="AC224" s="928"/>
      <c r="AD224" s="928"/>
      <c r="AE224" s="928"/>
      <c r="AF224" s="928"/>
      <c r="AG224" s="928"/>
      <c r="AH224" s="928"/>
      <c r="AI224" s="928"/>
      <c r="AJ224" s="928"/>
      <c r="AK224" s="928"/>
      <c r="AL224" s="928"/>
      <c r="AM224" s="928"/>
      <c r="AN224" s="928"/>
      <c r="AO224" s="928"/>
      <c r="AP224" s="928"/>
      <c r="AQ224" s="928"/>
      <c r="AR224" s="928"/>
      <c r="AS224" s="928"/>
    </row>
    <row r="225" spans="11:45">
      <c r="K225" s="957"/>
      <c r="L225" s="928"/>
      <c r="M225" s="928"/>
      <c r="N225" s="960"/>
      <c r="O225" s="960"/>
      <c r="P225" s="960"/>
      <c r="Q225" s="960"/>
      <c r="R225" s="960"/>
      <c r="S225" s="960"/>
      <c r="T225" s="960"/>
      <c r="U225" s="960"/>
      <c r="V225" s="960"/>
      <c r="W225" s="960"/>
      <c r="X225" s="960"/>
      <c r="Y225" s="960"/>
      <c r="Z225" s="960"/>
      <c r="AA225" s="960"/>
      <c r="AB225" s="928"/>
      <c r="AC225" s="928"/>
      <c r="AD225" s="928"/>
      <c r="AE225" s="928"/>
      <c r="AF225" s="928"/>
      <c r="AG225" s="928"/>
      <c r="AH225" s="928"/>
      <c r="AI225" s="928"/>
      <c r="AJ225" s="928"/>
      <c r="AK225" s="928"/>
      <c r="AL225" s="928"/>
      <c r="AM225" s="928"/>
      <c r="AN225" s="928"/>
      <c r="AO225" s="928"/>
      <c r="AP225" s="928"/>
      <c r="AQ225" s="928"/>
      <c r="AR225" s="928"/>
      <c r="AS225" s="928"/>
    </row>
    <row r="226" spans="11:45">
      <c r="K226" s="957"/>
      <c r="L226" s="928"/>
      <c r="M226" s="928"/>
      <c r="N226" s="960"/>
      <c r="O226" s="960"/>
      <c r="P226" s="960"/>
      <c r="Q226" s="960"/>
      <c r="R226" s="960"/>
      <c r="S226" s="960"/>
      <c r="T226" s="960"/>
      <c r="U226" s="960"/>
      <c r="V226" s="960"/>
      <c r="W226" s="960"/>
      <c r="X226" s="960"/>
      <c r="Y226" s="960"/>
      <c r="Z226" s="960"/>
      <c r="AA226" s="960"/>
      <c r="AB226" s="928"/>
      <c r="AC226" s="928"/>
      <c r="AD226" s="928"/>
      <c r="AE226" s="928"/>
      <c r="AF226" s="928"/>
      <c r="AG226" s="928"/>
      <c r="AH226" s="928"/>
      <c r="AI226" s="928"/>
      <c r="AJ226" s="928"/>
      <c r="AK226" s="928"/>
      <c r="AL226" s="928"/>
      <c r="AM226" s="928"/>
      <c r="AN226" s="928"/>
      <c r="AO226" s="928"/>
      <c r="AP226" s="928"/>
      <c r="AQ226" s="928"/>
      <c r="AR226" s="928"/>
      <c r="AS226" s="928"/>
    </row>
    <row r="227" spans="11:45">
      <c r="K227" s="957"/>
      <c r="L227" s="928"/>
      <c r="M227" s="928"/>
      <c r="N227" s="960"/>
      <c r="O227" s="960"/>
      <c r="P227" s="960"/>
      <c r="Q227" s="960"/>
      <c r="R227" s="960"/>
      <c r="S227" s="960"/>
      <c r="T227" s="960"/>
      <c r="U227" s="960"/>
      <c r="V227" s="960"/>
      <c r="W227" s="960"/>
      <c r="X227" s="960"/>
      <c r="Y227" s="960"/>
      <c r="Z227" s="960"/>
      <c r="AA227" s="960"/>
      <c r="AB227" s="928"/>
      <c r="AC227" s="928"/>
      <c r="AD227" s="928"/>
      <c r="AE227" s="928"/>
      <c r="AF227" s="928"/>
      <c r="AG227" s="928"/>
      <c r="AH227" s="928"/>
      <c r="AI227" s="928"/>
      <c r="AJ227" s="928"/>
      <c r="AK227" s="928"/>
      <c r="AL227" s="928"/>
      <c r="AM227" s="928"/>
      <c r="AN227" s="928"/>
      <c r="AO227" s="928"/>
      <c r="AP227" s="928"/>
      <c r="AQ227" s="928"/>
      <c r="AR227" s="928"/>
      <c r="AS227" s="928"/>
    </row>
    <row r="228" spans="11:45">
      <c r="K228" s="957"/>
      <c r="L228" s="928"/>
      <c r="M228" s="928"/>
      <c r="N228" s="960"/>
      <c r="O228" s="960"/>
      <c r="P228" s="960"/>
      <c r="Q228" s="960"/>
      <c r="R228" s="960"/>
      <c r="S228" s="960"/>
      <c r="T228" s="960"/>
      <c r="U228" s="960"/>
      <c r="V228" s="960"/>
      <c r="W228" s="960"/>
      <c r="X228" s="960"/>
      <c r="Y228" s="960"/>
      <c r="Z228" s="960"/>
      <c r="AA228" s="960"/>
      <c r="AB228" s="928"/>
      <c r="AC228" s="928"/>
      <c r="AD228" s="928"/>
      <c r="AE228" s="928"/>
      <c r="AF228" s="928"/>
      <c r="AG228" s="928"/>
      <c r="AH228" s="928"/>
      <c r="AI228" s="928"/>
      <c r="AJ228" s="928"/>
      <c r="AK228" s="928"/>
      <c r="AL228" s="928"/>
      <c r="AM228" s="928"/>
      <c r="AN228" s="928"/>
      <c r="AO228" s="928"/>
      <c r="AP228" s="928"/>
      <c r="AQ228" s="928"/>
      <c r="AR228" s="928"/>
      <c r="AS228" s="928"/>
    </row>
    <row r="229" spans="11:45">
      <c r="K229" s="957"/>
      <c r="L229" s="928"/>
      <c r="M229" s="928"/>
      <c r="N229" s="960"/>
      <c r="O229" s="960"/>
      <c r="P229" s="960"/>
      <c r="Q229" s="960"/>
      <c r="R229" s="960"/>
      <c r="S229" s="960"/>
      <c r="T229" s="960"/>
      <c r="U229" s="960"/>
      <c r="V229" s="960"/>
      <c r="W229" s="960"/>
      <c r="X229" s="960"/>
      <c r="Y229" s="960"/>
      <c r="Z229" s="960"/>
      <c r="AA229" s="960"/>
      <c r="AB229" s="928"/>
      <c r="AC229" s="928"/>
      <c r="AD229" s="928"/>
      <c r="AE229" s="928"/>
      <c r="AF229" s="928"/>
      <c r="AG229" s="928"/>
      <c r="AH229" s="928"/>
      <c r="AI229" s="928"/>
      <c r="AJ229" s="928"/>
      <c r="AK229" s="928"/>
      <c r="AL229" s="928"/>
      <c r="AM229" s="928"/>
      <c r="AN229" s="928"/>
      <c r="AO229" s="928"/>
      <c r="AP229" s="928"/>
      <c r="AQ229" s="928"/>
      <c r="AR229" s="928"/>
      <c r="AS229" s="928"/>
    </row>
    <row r="230" spans="11:45">
      <c r="K230" s="957"/>
      <c r="L230" s="928"/>
      <c r="M230" s="928"/>
      <c r="N230" s="960"/>
      <c r="O230" s="960"/>
      <c r="P230" s="960"/>
      <c r="Q230" s="960"/>
      <c r="R230" s="960"/>
      <c r="S230" s="960"/>
      <c r="T230" s="960"/>
      <c r="U230" s="960"/>
      <c r="V230" s="960"/>
      <c r="W230" s="960"/>
      <c r="X230" s="960"/>
      <c r="Y230" s="960"/>
      <c r="Z230" s="960"/>
      <c r="AA230" s="960"/>
      <c r="AB230" s="928"/>
      <c r="AC230" s="928"/>
      <c r="AD230" s="928"/>
      <c r="AE230" s="928"/>
      <c r="AF230" s="928"/>
      <c r="AG230" s="928"/>
      <c r="AH230" s="928"/>
      <c r="AI230" s="928"/>
      <c r="AJ230" s="928"/>
      <c r="AK230" s="928"/>
      <c r="AL230" s="928"/>
      <c r="AM230" s="928"/>
      <c r="AN230" s="928"/>
      <c r="AO230" s="928"/>
      <c r="AP230" s="928"/>
      <c r="AQ230" s="928"/>
      <c r="AR230" s="928"/>
      <c r="AS230" s="928"/>
    </row>
    <row r="231" spans="11:45">
      <c r="K231" s="957"/>
      <c r="L231" s="928"/>
      <c r="M231" s="928"/>
      <c r="N231" s="960"/>
      <c r="O231" s="960"/>
      <c r="P231" s="960"/>
      <c r="Q231" s="960"/>
      <c r="R231" s="960"/>
      <c r="S231" s="960"/>
      <c r="T231" s="960"/>
      <c r="U231" s="960"/>
      <c r="V231" s="960"/>
      <c r="W231" s="960"/>
      <c r="X231" s="960"/>
      <c r="Y231" s="960"/>
      <c r="Z231" s="960"/>
      <c r="AA231" s="960"/>
      <c r="AB231" s="928"/>
      <c r="AC231" s="928"/>
      <c r="AD231" s="928"/>
      <c r="AE231" s="928"/>
      <c r="AF231" s="928"/>
      <c r="AG231" s="928"/>
      <c r="AH231" s="928"/>
      <c r="AI231" s="928"/>
      <c r="AJ231" s="928"/>
      <c r="AK231" s="928"/>
      <c r="AL231" s="928"/>
      <c r="AM231" s="928"/>
      <c r="AN231" s="928"/>
      <c r="AO231" s="928"/>
      <c r="AP231" s="928"/>
      <c r="AQ231" s="928"/>
      <c r="AR231" s="928"/>
      <c r="AS231" s="928"/>
    </row>
    <row r="232" spans="11:45">
      <c r="K232" s="957"/>
      <c r="L232" s="928"/>
      <c r="M232" s="928"/>
      <c r="N232" s="960"/>
      <c r="O232" s="960"/>
      <c r="P232" s="960"/>
      <c r="Q232" s="960"/>
      <c r="R232" s="960"/>
      <c r="S232" s="960"/>
      <c r="T232" s="960"/>
      <c r="U232" s="960"/>
      <c r="V232" s="960"/>
      <c r="W232" s="960"/>
      <c r="X232" s="960"/>
      <c r="Y232" s="960"/>
      <c r="Z232" s="960"/>
      <c r="AA232" s="960"/>
      <c r="AB232" s="928"/>
      <c r="AC232" s="928"/>
      <c r="AD232" s="928"/>
      <c r="AE232" s="928"/>
      <c r="AF232" s="928"/>
      <c r="AG232" s="928"/>
      <c r="AH232" s="928"/>
      <c r="AI232" s="928"/>
      <c r="AJ232" s="928"/>
      <c r="AK232" s="928"/>
      <c r="AL232" s="928"/>
      <c r="AM232" s="928"/>
      <c r="AN232" s="928"/>
      <c r="AO232" s="928"/>
      <c r="AP232" s="928"/>
      <c r="AQ232" s="928"/>
      <c r="AR232" s="928"/>
      <c r="AS232" s="928"/>
    </row>
    <row r="233" spans="11:45">
      <c r="K233" s="957"/>
      <c r="L233" s="928"/>
      <c r="M233" s="928"/>
      <c r="N233" s="960"/>
      <c r="O233" s="960"/>
      <c r="P233" s="960"/>
      <c r="Q233" s="960"/>
      <c r="R233" s="960"/>
      <c r="S233" s="960"/>
      <c r="T233" s="960"/>
      <c r="U233" s="960"/>
      <c r="V233" s="960"/>
      <c r="W233" s="960"/>
      <c r="X233" s="960"/>
      <c r="Y233" s="960"/>
      <c r="Z233" s="960"/>
      <c r="AA233" s="960"/>
      <c r="AB233" s="928"/>
      <c r="AC233" s="928"/>
      <c r="AD233" s="928"/>
      <c r="AE233" s="928"/>
      <c r="AF233" s="928"/>
      <c r="AG233" s="928"/>
      <c r="AH233" s="928"/>
      <c r="AI233" s="928"/>
      <c r="AJ233" s="928"/>
      <c r="AK233" s="928"/>
      <c r="AL233" s="928"/>
      <c r="AM233" s="928"/>
      <c r="AN233" s="928"/>
      <c r="AO233" s="928"/>
      <c r="AP233" s="928"/>
      <c r="AQ233" s="928"/>
      <c r="AR233" s="928"/>
      <c r="AS233" s="928"/>
    </row>
    <row r="234" spans="11:45">
      <c r="K234" s="957"/>
      <c r="L234" s="928"/>
      <c r="M234" s="928"/>
      <c r="N234" s="960"/>
      <c r="O234" s="960"/>
      <c r="P234" s="960"/>
      <c r="Q234" s="960"/>
      <c r="R234" s="960"/>
      <c r="S234" s="960"/>
      <c r="T234" s="960"/>
      <c r="U234" s="960"/>
      <c r="V234" s="960"/>
      <c r="W234" s="960"/>
      <c r="X234" s="960"/>
      <c r="Y234" s="960"/>
      <c r="Z234" s="960"/>
      <c r="AA234" s="960"/>
      <c r="AB234" s="928"/>
      <c r="AC234" s="928"/>
      <c r="AD234" s="928"/>
      <c r="AE234" s="928"/>
      <c r="AF234" s="928"/>
      <c r="AG234" s="928"/>
      <c r="AH234" s="928"/>
      <c r="AI234" s="928"/>
      <c r="AJ234" s="928"/>
      <c r="AK234" s="928"/>
      <c r="AL234" s="928"/>
      <c r="AM234" s="928"/>
      <c r="AN234" s="928"/>
      <c r="AO234" s="928"/>
      <c r="AP234" s="928"/>
      <c r="AQ234" s="928"/>
      <c r="AR234" s="928"/>
      <c r="AS234" s="928"/>
    </row>
    <row r="235" spans="11:45">
      <c r="K235" s="957"/>
      <c r="L235" s="928"/>
      <c r="M235" s="928"/>
      <c r="N235" s="960"/>
      <c r="O235" s="960"/>
      <c r="P235" s="960"/>
      <c r="Q235" s="960"/>
      <c r="R235" s="960"/>
      <c r="S235" s="960"/>
      <c r="T235" s="960"/>
      <c r="U235" s="960"/>
      <c r="V235" s="960"/>
      <c r="W235" s="960"/>
      <c r="X235" s="960"/>
      <c r="Y235" s="960"/>
      <c r="Z235" s="960"/>
      <c r="AA235" s="960"/>
      <c r="AB235" s="928"/>
      <c r="AC235" s="928"/>
      <c r="AD235" s="928"/>
      <c r="AE235" s="928"/>
      <c r="AF235" s="928"/>
      <c r="AG235" s="928"/>
      <c r="AH235" s="928"/>
      <c r="AI235" s="928"/>
      <c r="AJ235" s="928"/>
      <c r="AK235" s="928"/>
      <c r="AL235" s="928"/>
      <c r="AM235" s="928"/>
      <c r="AN235" s="928"/>
      <c r="AO235" s="928"/>
      <c r="AP235" s="928"/>
      <c r="AQ235" s="928"/>
      <c r="AR235" s="928"/>
      <c r="AS235" s="928"/>
    </row>
    <row r="236" spans="11:45">
      <c r="K236" s="957"/>
      <c r="L236" s="928"/>
      <c r="M236" s="928"/>
      <c r="N236" s="960"/>
      <c r="O236" s="960"/>
      <c r="P236" s="960"/>
      <c r="Q236" s="960"/>
      <c r="R236" s="960"/>
      <c r="S236" s="960"/>
      <c r="T236" s="960"/>
      <c r="U236" s="960"/>
      <c r="V236" s="960"/>
      <c r="W236" s="960"/>
      <c r="X236" s="960"/>
      <c r="Y236" s="960"/>
      <c r="Z236" s="960"/>
      <c r="AA236" s="960"/>
      <c r="AB236" s="928"/>
      <c r="AC236" s="928"/>
      <c r="AD236" s="928"/>
      <c r="AE236" s="928"/>
      <c r="AF236" s="928"/>
      <c r="AG236" s="928"/>
      <c r="AH236" s="928"/>
      <c r="AI236" s="928"/>
      <c r="AJ236" s="928"/>
      <c r="AK236" s="928"/>
      <c r="AL236" s="928"/>
      <c r="AM236" s="928"/>
      <c r="AN236" s="928"/>
      <c r="AO236" s="928"/>
      <c r="AP236" s="928"/>
      <c r="AQ236" s="928"/>
      <c r="AR236" s="928"/>
      <c r="AS236" s="928"/>
    </row>
    <row r="237" spans="11:45">
      <c r="K237" s="957"/>
      <c r="L237" s="928"/>
      <c r="M237" s="928"/>
      <c r="N237" s="960"/>
      <c r="O237" s="960"/>
      <c r="P237" s="960"/>
      <c r="Q237" s="960"/>
      <c r="R237" s="960"/>
      <c r="S237" s="960"/>
      <c r="T237" s="960"/>
      <c r="U237" s="960"/>
      <c r="V237" s="960"/>
      <c r="W237" s="960"/>
      <c r="X237" s="960"/>
      <c r="Y237" s="960"/>
      <c r="Z237" s="960"/>
      <c r="AA237" s="960"/>
      <c r="AB237" s="928"/>
      <c r="AC237" s="928"/>
      <c r="AD237" s="928"/>
      <c r="AE237" s="928"/>
      <c r="AF237" s="928"/>
      <c r="AG237" s="928"/>
      <c r="AH237" s="928"/>
      <c r="AI237" s="928"/>
      <c r="AJ237" s="928"/>
      <c r="AK237" s="928"/>
      <c r="AL237" s="928"/>
      <c r="AM237" s="928"/>
      <c r="AN237" s="928"/>
      <c r="AO237" s="928"/>
      <c r="AP237" s="928"/>
      <c r="AQ237" s="928"/>
      <c r="AR237" s="928"/>
      <c r="AS237" s="928"/>
    </row>
    <row r="238" spans="11:45">
      <c r="K238" s="957"/>
      <c r="L238" s="928"/>
      <c r="M238" s="928"/>
      <c r="N238" s="960"/>
      <c r="O238" s="960"/>
      <c r="P238" s="960"/>
      <c r="Q238" s="960"/>
      <c r="R238" s="960"/>
      <c r="S238" s="960"/>
      <c r="T238" s="960"/>
      <c r="U238" s="960"/>
      <c r="V238" s="960"/>
      <c r="W238" s="960"/>
      <c r="X238" s="960"/>
      <c r="Y238" s="960"/>
      <c r="Z238" s="960"/>
      <c r="AA238" s="960"/>
      <c r="AB238" s="928"/>
      <c r="AC238" s="928"/>
      <c r="AD238" s="928"/>
      <c r="AE238" s="928"/>
      <c r="AF238" s="928"/>
      <c r="AG238" s="928"/>
      <c r="AH238" s="928"/>
      <c r="AI238" s="928"/>
      <c r="AJ238" s="928"/>
      <c r="AK238" s="928"/>
      <c r="AL238" s="928"/>
      <c r="AM238" s="928"/>
      <c r="AN238" s="928"/>
      <c r="AO238" s="928"/>
      <c r="AP238" s="928"/>
      <c r="AQ238" s="928"/>
      <c r="AR238" s="928"/>
      <c r="AS238" s="928"/>
    </row>
    <row r="239" spans="11:45">
      <c r="K239" s="957"/>
      <c r="L239" s="928"/>
      <c r="M239" s="928"/>
      <c r="N239" s="960"/>
      <c r="O239" s="960"/>
      <c r="P239" s="960"/>
      <c r="Q239" s="960"/>
      <c r="R239" s="960"/>
      <c r="S239" s="960"/>
      <c r="T239" s="960"/>
      <c r="U239" s="960"/>
      <c r="V239" s="960"/>
      <c r="W239" s="960"/>
      <c r="X239" s="960"/>
      <c r="Y239" s="960"/>
      <c r="Z239" s="960"/>
      <c r="AA239" s="960"/>
      <c r="AB239" s="928"/>
      <c r="AC239" s="928"/>
      <c r="AD239" s="928"/>
      <c r="AE239" s="928"/>
      <c r="AF239" s="928"/>
      <c r="AG239" s="928"/>
      <c r="AH239" s="928"/>
      <c r="AI239" s="928"/>
      <c r="AJ239" s="928"/>
      <c r="AK239" s="928"/>
      <c r="AL239" s="928"/>
      <c r="AM239" s="928"/>
      <c r="AN239" s="928"/>
      <c r="AO239" s="928"/>
      <c r="AP239" s="928"/>
      <c r="AQ239" s="928"/>
      <c r="AR239" s="928"/>
      <c r="AS239" s="928"/>
    </row>
    <row r="240" spans="11:45">
      <c r="K240" s="957"/>
      <c r="L240" s="928"/>
      <c r="M240" s="928"/>
      <c r="N240" s="960"/>
      <c r="O240" s="960"/>
      <c r="P240" s="960"/>
      <c r="Q240" s="960"/>
      <c r="R240" s="960"/>
      <c r="S240" s="960"/>
      <c r="T240" s="960"/>
      <c r="U240" s="960"/>
      <c r="V240" s="960"/>
      <c r="W240" s="960"/>
      <c r="X240" s="960"/>
      <c r="Y240" s="960"/>
      <c r="Z240" s="960"/>
      <c r="AA240" s="960"/>
      <c r="AB240" s="928"/>
      <c r="AC240" s="928"/>
      <c r="AD240" s="928"/>
      <c r="AE240" s="928"/>
      <c r="AF240" s="928"/>
      <c r="AG240" s="928"/>
      <c r="AH240" s="928"/>
      <c r="AI240" s="928"/>
      <c r="AJ240" s="928"/>
      <c r="AK240" s="928"/>
      <c r="AL240" s="928"/>
      <c r="AM240" s="928"/>
      <c r="AN240" s="928"/>
      <c r="AO240" s="928"/>
      <c r="AP240" s="928"/>
      <c r="AQ240" s="928"/>
      <c r="AR240" s="928"/>
      <c r="AS240" s="928"/>
    </row>
    <row r="241" spans="11:45">
      <c r="K241" s="957"/>
      <c r="L241" s="928"/>
      <c r="M241" s="928"/>
      <c r="N241" s="960"/>
      <c r="O241" s="960"/>
      <c r="P241" s="960"/>
      <c r="Q241" s="960"/>
      <c r="R241" s="960"/>
      <c r="S241" s="960"/>
      <c r="T241" s="960"/>
      <c r="U241" s="960"/>
      <c r="V241" s="960"/>
      <c r="W241" s="960"/>
      <c r="X241" s="960"/>
      <c r="Y241" s="960"/>
      <c r="Z241" s="960"/>
      <c r="AA241" s="960"/>
      <c r="AB241" s="928"/>
      <c r="AC241" s="928"/>
      <c r="AD241" s="928"/>
      <c r="AE241" s="928"/>
      <c r="AF241" s="928"/>
      <c r="AG241" s="928"/>
      <c r="AH241" s="928"/>
      <c r="AI241" s="928"/>
      <c r="AJ241" s="928"/>
      <c r="AK241" s="928"/>
      <c r="AL241" s="928"/>
      <c r="AM241" s="928"/>
      <c r="AN241" s="928"/>
      <c r="AO241" s="928"/>
      <c r="AP241" s="928"/>
      <c r="AQ241" s="928"/>
      <c r="AR241" s="928"/>
      <c r="AS241" s="928"/>
    </row>
    <row r="242" spans="11:45">
      <c r="K242" s="957"/>
      <c r="L242" s="928"/>
      <c r="M242" s="928"/>
      <c r="N242" s="960"/>
      <c r="O242" s="960"/>
      <c r="P242" s="960"/>
      <c r="Q242" s="960"/>
      <c r="R242" s="960"/>
      <c r="S242" s="960"/>
      <c r="T242" s="960"/>
      <c r="U242" s="960"/>
      <c r="V242" s="960"/>
      <c r="W242" s="960"/>
      <c r="X242" s="960"/>
      <c r="Y242" s="960"/>
      <c r="Z242" s="960"/>
      <c r="AA242" s="960"/>
      <c r="AB242" s="928"/>
      <c r="AC242" s="928"/>
      <c r="AD242" s="928"/>
      <c r="AE242" s="928"/>
      <c r="AF242" s="928"/>
      <c r="AG242" s="928"/>
      <c r="AH242" s="928"/>
      <c r="AI242" s="928"/>
      <c r="AJ242" s="928"/>
      <c r="AK242" s="928"/>
      <c r="AL242" s="928"/>
      <c r="AM242" s="928"/>
      <c r="AN242" s="928"/>
      <c r="AO242" s="928"/>
      <c r="AP242" s="928"/>
      <c r="AQ242" s="928"/>
      <c r="AR242" s="928"/>
      <c r="AS242" s="928"/>
    </row>
    <row r="243" spans="11:45">
      <c r="K243" s="957"/>
      <c r="L243" s="928"/>
      <c r="M243" s="928"/>
      <c r="N243" s="960"/>
      <c r="O243" s="960"/>
      <c r="P243" s="960"/>
      <c r="Q243" s="960"/>
      <c r="R243" s="960"/>
      <c r="S243" s="960"/>
      <c r="T243" s="960"/>
      <c r="U243" s="960"/>
      <c r="V243" s="960"/>
      <c r="W243" s="960"/>
      <c r="X243" s="960"/>
      <c r="Y243" s="960"/>
      <c r="Z243" s="960"/>
      <c r="AA243" s="960"/>
      <c r="AB243" s="928"/>
      <c r="AC243" s="928"/>
      <c r="AD243" s="928"/>
      <c r="AE243" s="928"/>
      <c r="AF243" s="928"/>
      <c r="AG243" s="928"/>
      <c r="AH243" s="928"/>
      <c r="AI243" s="928"/>
      <c r="AJ243" s="928"/>
      <c r="AK243" s="928"/>
      <c r="AL243" s="928"/>
      <c r="AM243" s="928"/>
      <c r="AN243" s="928"/>
      <c r="AO243" s="928"/>
      <c r="AP243" s="928"/>
      <c r="AQ243" s="928"/>
      <c r="AR243" s="928"/>
      <c r="AS243" s="928"/>
    </row>
    <row r="244" spans="11:45">
      <c r="K244" s="957"/>
      <c r="L244" s="928"/>
      <c r="M244" s="928"/>
      <c r="N244" s="960"/>
      <c r="O244" s="960"/>
      <c r="P244" s="960"/>
      <c r="Q244" s="960"/>
      <c r="R244" s="960"/>
      <c r="S244" s="960"/>
      <c r="T244" s="960"/>
      <c r="U244" s="960"/>
      <c r="V244" s="960"/>
      <c r="W244" s="960"/>
      <c r="X244" s="960"/>
      <c r="Y244" s="960"/>
      <c r="Z244" s="960"/>
      <c r="AA244" s="960"/>
      <c r="AB244" s="928"/>
      <c r="AC244" s="928"/>
      <c r="AD244" s="928"/>
      <c r="AE244" s="928"/>
      <c r="AF244" s="928"/>
      <c r="AG244" s="928"/>
      <c r="AH244" s="928"/>
      <c r="AI244" s="928"/>
      <c r="AJ244" s="928"/>
      <c r="AK244" s="928"/>
      <c r="AL244" s="928"/>
      <c r="AM244" s="928"/>
      <c r="AN244" s="928"/>
      <c r="AO244" s="928"/>
      <c r="AP244" s="928"/>
      <c r="AQ244" s="928"/>
      <c r="AR244" s="928"/>
      <c r="AS244" s="928"/>
    </row>
    <row r="245" spans="11:45">
      <c r="K245" s="957"/>
      <c r="L245" s="928"/>
      <c r="M245" s="928"/>
      <c r="N245" s="960"/>
      <c r="O245" s="960"/>
      <c r="P245" s="960"/>
      <c r="Q245" s="960"/>
      <c r="R245" s="960"/>
      <c r="S245" s="960"/>
      <c r="T245" s="960"/>
      <c r="U245" s="960"/>
      <c r="V245" s="960"/>
      <c r="W245" s="960"/>
      <c r="X245" s="960"/>
      <c r="Y245" s="960"/>
      <c r="Z245" s="960"/>
      <c r="AA245" s="960"/>
      <c r="AB245" s="928"/>
      <c r="AC245" s="928"/>
      <c r="AD245" s="928"/>
      <c r="AE245" s="928"/>
      <c r="AF245" s="928"/>
      <c r="AG245" s="928"/>
      <c r="AH245" s="928"/>
      <c r="AI245" s="928"/>
      <c r="AJ245" s="928"/>
      <c r="AK245" s="928"/>
      <c r="AL245" s="928"/>
      <c r="AM245" s="928"/>
      <c r="AN245" s="928"/>
      <c r="AO245" s="928"/>
      <c r="AP245" s="928"/>
      <c r="AQ245" s="928"/>
      <c r="AR245" s="928"/>
      <c r="AS245" s="928"/>
    </row>
    <row r="246" spans="11:45">
      <c r="K246" s="957"/>
      <c r="L246" s="928"/>
      <c r="M246" s="928"/>
      <c r="N246" s="960"/>
      <c r="O246" s="960"/>
      <c r="P246" s="960"/>
      <c r="Q246" s="960"/>
      <c r="R246" s="960"/>
      <c r="S246" s="960"/>
      <c r="T246" s="960"/>
      <c r="U246" s="960"/>
      <c r="V246" s="960"/>
      <c r="W246" s="960"/>
      <c r="X246" s="960"/>
      <c r="Y246" s="960"/>
      <c r="Z246" s="960"/>
      <c r="AA246" s="960"/>
      <c r="AB246" s="928"/>
      <c r="AC246" s="928"/>
      <c r="AD246" s="928"/>
      <c r="AE246" s="928"/>
      <c r="AF246" s="928"/>
      <c r="AG246" s="928"/>
      <c r="AH246" s="928"/>
      <c r="AI246" s="928"/>
      <c r="AJ246" s="928"/>
      <c r="AK246" s="928"/>
      <c r="AL246" s="928"/>
      <c r="AM246" s="928"/>
      <c r="AN246" s="928"/>
      <c r="AO246" s="928"/>
      <c r="AP246" s="928"/>
      <c r="AQ246" s="928"/>
      <c r="AR246" s="928"/>
      <c r="AS246" s="928"/>
    </row>
    <row r="247" spans="11:45">
      <c r="K247" s="957"/>
      <c r="L247" s="928"/>
      <c r="M247" s="928"/>
      <c r="N247" s="960"/>
      <c r="O247" s="960"/>
      <c r="P247" s="960"/>
      <c r="Q247" s="960"/>
      <c r="R247" s="960"/>
      <c r="S247" s="960"/>
      <c r="T247" s="960"/>
      <c r="U247" s="960"/>
      <c r="V247" s="960"/>
      <c r="W247" s="960"/>
      <c r="X247" s="960"/>
      <c r="Y247" s="960"/>
      <c r="Z247" s="960"/>
      <c r="AA247" s="960"/>
      <c r="AB247" s="928"/>
      <c r="AC247" s="928"/>
      <c r="AD247" s="928"/>
      <c r="AE247" s="928"/>
      <c r="AF247" s="928"/>
      <c r="AG247" s="928"/>
      <c r="AH247" s="928"/>
      <c r="AI247" s="928"/>
      <c r="AJ247" s="928"/>
      <c r="AK247" s="928"/>
      <c r="AL247" s="928"/>
      <c r="AM247" s="928"/>
      <c r="AN247" s="928"/>
      <c r="AO247" s="928"/>
      <c r="AP247" s="928"/>
      <c r="AQ247" s="928"/>
      <c r="AR247" s="928"/>
      <c r="AS247" s="928"/>
    </row>
    <row r="248" spans="11:45">
      <c r="K248" s="957"/>
      <c r="L248" s="928"/>
      <c r="M248" s="928"/>
      <c r="N248" s="960"/>
      <c r="O248" s="960"/>
      <c r="P248" s="960"/>
      <c r="Q248" s="960"/>
      <c r="R248" s="960"/>
      <c r="S248" s="960"/>
      <c r="T248" s="960"/>
      <c r="U248" s="960"/>
      <c r="V248" s="960"/>
      <c r="W248" s="960"/>
      <c r="X248" s="960"/>
      <c r="Y248" s="960"/>
      <c r="Z248" s="960"/>
      <c r="AA248" s="960"/>
      <c r="AB248" s="928"/>
      <c r="AC248" s="928"/>
      <c r="AD248" s="928"/>
      <c r="AE248" s="928"/>
      <c r="AF248" s="928"/>
      <c r="AG248" s="928"/>
      <c r="AH248" s="928"/>
      <c r="AI248" s="928"/>
      <c r="AJ248" s="928"/>
      <c r="AK248" s="928"/>
      <c r="AL248" s="928"/>
      <c r="AM248" s="928"/>
      <c r="AN248" s="928"/>
      <c r="AO248" s="928"/>
      <c r="AP248" s="928"/>
      <c r="AQ248" s="928"/>
      <c r="AR248" s="928"/>
      <c r="AS248" s="928"/>
    </row>
    <row r="249" spans="11:45">
      <c r="K249" s="957"/>
      <c r="L249" s="928"/>
      <c r="M249" s="928"/>
      <c r="N249" s="960"/>
      <c r="O249" s="960"/>
      <c r="P249" s="960"/>
      <c r="Q249" s="960"/>
      <c r="R249" s="960"/>
      <c r="S249" s="960"/>
      <c r="T249" s="960"/>
      <c r="U249" s="960"/>
      <c r="V249" s="960"/>
      <c r="W249" s="960"/>
      <c r="X249" s="960"/>
      <c r="Y249" s="960"/>
      <c r="Z249" s="960"/>
      <c r="AA249" s="960"/>
      <c r="AB249" s="928"/>
      <c r="AC249" s="928"/>
      <c r="AD249" s="928"/>
      <c r="AE249" s="928"/>
      <c r="AF249" s="928"/>
      <c r="AG249" s="928"/>
      <c r="AH249" s="928"/>
      <c r="AI249" s="928"/>
      <c r="AJ249" s="928"/>
      <c r="AK249" s="928"/>
      <c r="AL249" s="928"/>
      <c r="AM249" s="928"/>
      <c r="AN249" s="928"/>
      <c r="AO249" s="928"/>
      <c r="AP249" s="928"/>
      <c r="AQ249" s="928"/>
      <c r="AR249" s="928"/>
      <c r="AS249" s="928"/>
    </row>
    <row r="250" spans="11:45">
      <c r="K250" s="957"/>
      <c r="L250" s="928"/>
      <c r="M250" s="928"/>
      <c r="N250" s="960"/>
      <c r="O250" s="960"/>
      <c r="P250" s="960"/>
      <c r="Q250" s="960"/>
      <c r="R250" s="960"/>
      <c r="S250" s="960"/>
      <c r="T250" s="960"/>
      <c r="U250" s="960"/>
      <c r="V250" s="960"/>
      <c r="W250" s="960"/>
      <c r="X250" s="960"/>
      <c r="Y250" s="960"/>
      <c r="Z250" s="960"/>
      <c r="AA250" s="960"/>
      <c r="AB250" s="928"/>
      <c r="AC250" s="928"/>
      <c r="AD250" s="928"/>
      <c r="AE250" s="928"/>
      <c r="AF250" s="928"/>
      <c r="AG250" s="928"/>
      <c r="AH250" s="928"/>
      <c r="AI250" s="928"/>
      <c r="AJ250" s="928"/>
      <c r="AK250" s="928"/>
      <c r="AL250" s="928"/>
      <c r="AM250" s="928"/>
      <c r="AN250" s="928"/>
      <c r="AO250" s="928"/>
      <c r="AP250" s="928"/>
      <c r="AQ250" s="928"/>
      <c r="AR250" s="928"/>
      <c r="AS250" s="928"/>
    </row>
    <row r="251" spans="11:45">
      <c r="K251" s="957"/>
      <c r="L251" s="928"/>
      <c r="M251" s="928"/>
      <c r="N251" s="960"/>
      <c r="O251" s="960"/>
      <c r="P251" s="960"/>
      <c r="Q251" s="960"/>
      <c r="R251" s="960"/>
      <c r="S251" s="960"/>
      <c r="T251" s="960"/>
      <c r="U251" s="960"/>
      <c r="V251" s="960"/>
      <c r="W251" s="960"/>
      <c r="X251" s="960"/>
      <c r="Y251" s="960"/>
      <c r="Z251" s="960"/>
      <c r="AA251" s="960"/>
      <c r="AB251" s="928"/>
      <c r="AC251" s="928"/>
      <c r="AD251" s="928"/>
      <c r="AE251" s="928"/>
      <c r="AF251" s="928"/>
      <c r="AG251" s="928"/>
      <c r="AH251" s="928"/>
      <c r="AI251" s="928"/>
      <c r="AJ251" s="928"/>
      <c r="AK251" s="928"/>
      <c r="AL251" s="928"/>
      <c r="AM251" s="928"/>
      <c r="AN251" s="928"/>
      <c r="AO251" s="928"/>
      <c r="AP251" s="928"/>
      <c r="AQ251" s="928"/>
      <c r="AR251" s="928"/>
      <c r="AS251" s="928"/>
    </row>
    <row r="252" spans="11:45">
      <c r="K252" s="957"/>
      <c r="L252" s="928"/>
      <c r="M252" s="928"/>
      <c r="N252" s="960"/>
      <c r="O252" s="960"/>
      <c r="P252" s="960"/>
      <c r="Q252" s="960"/>
      <c r="R252" s="960"/>
      <c r="S252" s="960"/>
      <c r="T252" s="960"/>
      <c r="U252" s="960"/>
      <c r="V252" s="960"/>
      <c r="W252" s="960"/>
      <c r="X252" s="960"/>
      <c r="Y252" s="960"/>
      <c r="Z252" s="960"/>
      <c r="AA252" s="960"/>
      <c r="AB252" s="928"/>
      <c r="AC252" s="928"/>
      <c r="AD252" s="928"/>
      <c r="AE252" s="928"/>
      <c r="AF252" s="928"/>
      <c r="AG252" s="928"/>
      <c r="AH252" s="928"/>
      <c r="AI252" s="928"/>
      <c r="AJ252" s="928"/>
      <c r="AK252" s="928"/>
      <c r="AL252" s="928"/>
      <c r="AM252" s="928"/>
      <c r="AN252" s="928"/>
      <c r="AO252" s="928"/>
      <c r="AP252" s="928"/>
      <c r="AQ252" s="928"/>
      <c r="AR252" s="928"/>
      <c r="AS252" s="928"/>
    </row>
    <row r="253" spans="11:45">
      <c r="K253" s="957"/>
      <c r="L253" s="928"/>
      <c r="M253" s="928"/>
      <c r="N253" s="960"/>
      <c r="O253" s="960"/>
      <c r="P253" s="960"/>
      <c r="Q253" s="960"/>
      <c r="R253" s="960"/>
      <c r="S253" s="960"/>
      <c r="T253" s="960"/>
      <c r="U253" s="960"/>
      <c r="V253" s="960"/>
      <c r="W253" s="960"/>
      <c r="X253" s="960"/>
      <c r="Y253" s="960"/>
      <c r="Z253" s="960"/>
      <c r="AA253" s="960"/>
      <c r="AB253" s="928"/>
      <c r="AC253" s="928"/>
      <c r="AD253" s="928"/>
      <c r="AE253" s="928"/>
      <c r="AF253" s="928"/>
      <c r="AG253" s="928"/>
      <c r="AH253" s="928"/>
      <c r="AI253" s="928"/>
      <c r="AJ253" s="928"/>
      <c r="AK253" s="928"/>
      <c r="AL253" s="928"/>
      <c r="AM253" s="928"/>
      <c r="AN253" s="928"/>
      <c r="AO253" s="928"/>
      <c r="AP253" s="928"/>
      <c r="AQ253" s="928"/>
      <c r="AR253" s="928"/>
      <c r="AS253" s="928"/>
    </row>
    <row r="254" spans="11:45">
      <c r="K254" s="957"/>
      <c r="L254" s="928"/>
      <c r="M254" s="928"/>
      <c r="N254" s="960"/>
      <c r="O254" s="960"/>
      <c r="P254" s="960"/>
      <c r="Q254" s="960"/>
      <c r="R254" s="960"/>
      <c r="S254" s="960"/>
      <c r="T254" s="960"/>
      <c r="U254" s="960"/>
      <c r="V254" s="960"/>
      <c r="W254" s="960"/>
      <c r="X254" s="960"/>
      <c r="Y254" s="960"/>
      <c r="Z254" s="960"/>
      <c r="AA254" s="960"/>
      <c r="AB254" s="928"/>
      <c r="AC254" s="928"/>
      <c r="AD254" s="928"/>
      <c r="AE254" s="928"/>
      <c r="AF254" s="928"/>
      <c r="AG254" s="928"/>
      <c r="AH254" s="928"/>
      <c r="AI254" s="928"/>
      <c r="AJ254" s="928"/>
      <c r="AK254" s="928"/>
      <c r="AL254" s="928"/>
      <c r="AM254" s="928"/>
      <c r="AN254" s="928"/>
      <c r="AO254" s="928"/>
      <c r="AP254" s="928"/>
      <c r="AQ254" s="928"/>
      <c r="AR254" s="928"/>
      <c r="AS254" s="928"/>
    </row>
    <row r="255" spans="11:45">
      <c r="K255" s="957"/>
      <c r="L255" s="928"/>
      <c r="M255" s="928"/>
      <c r="N255" s="960"/>
      <c r="O255" s="960"/>
      <c r="P255" s="960"/>
      <c r="Q255" s="960"/>
      <c r="R255" s="960"/>
      <c r="S255" s="960"/>
      <c r="T255" s="960"/>
      <c r="U255" s="960"/>
      <c r="V255" s="960"/>
      <c r="W255" s="960"/>
      <c r="X255" s="960"/>
      <c r="Y255" s="960"/>
      <c r="Z255" s="960"/>
      <c r="AA255" s="960"/>
      <c r="AB255" s="928"/>
      <c r="AC255" s="928"/>
      <c r="AD255" s="928"/>
      <c r="AE255" s="928"/>
      <c r="AF255" s="928"/>
      <c r="AG255" s="928"/>
      <c r="AH255" s="928"/>
      <c r="AI255" s="928"/>
      <c r="AJ255" s="928"/>
      <c r="AK255" s="928"/>
      <c r="AL255" s="928"/>
      <c r="AM255" s="928"/>
      <c r="AN255" s="928"/>
      <c r="AO255" s="928"/>
      <c r="AP255" s="928"/>
      <c r="AQ255" s="928"/>
      <c r="AR255" s="928"/>
      <c r="AS255" s="928"/>
    </row>
    <row r="256" spans="11:45">
      <c r="K256" s="957"/>
      <c r="L256" s="928"/>
      <c r="M256" s="928"/>
      <c r="N256" s="960"/>
      <c r="O256" s="960"/>
      <c r="P256" s="960"/>
      <c r="Q256" s="960"/>
      <c r="R256" s="960"/>
      <c r="S256" s="960"/>
      <c r="T256" s="960"/>
      <c r="U256" s="960"/>
      <c r="V256" s="960"/>
      <c r="W256" s="960"/>
      <c r="X256" s="960"/>
      <c r="Y256" s="960"/>
      <c r="Z256" s="960"/>
      <c r="AA256" s="960"/>
      <c r="AB256" s="928"/>
      <c r="AC256" s="928"/>
      <c r="AD256" s="928"/>
      <c r="AE256" s="928"/>
      <c r="AF256" s="928"/>
      <c r="AG256" s="928"/>
      <c r="AH256" s="928"/>
      <c r="AI256" s="928"/>
      <c r="AJ256" s="928"/>
      <c r="AK256" s="928"/>
      <c r="AL256" s="928"/>
      <c r="AM256" s="928"/>
      <c r="AN256" s="928"/>
      <c r="AO256" s="928"/>
      <c r="AP256" s="928"/>
      <c r="AQ256" s="928"/>
      <c r="AR256" s="928"/>
      <c r="AS256" s="928"/>
    </row>
    <row r="257" spans="11:45">
      <c r="K257" s="957"/>
      <c r="L257" s="928"/>
      <c r="M257" s="928"/>
      <c r="N257" s="960"/>
      <c r="O257" s="960"/>
      <c r="P257" s="960"/>
      <c r="Q257" s="960"/>
      <c r="R257" s="960"/>
      <c r="S257" s="960"/>
      <c r="T257" s="960"/>
      <c r="U257" s="960"/>
      <c r="V257" s="960"/>
      <c r="W257" s="960"/>
      <c r="X257" s="960"/>
      <c r="Y257" s="960"/>
      <c r="Z257" s="960"/>
      <c r="AA257" s="960"/>
      <c r="AB257" s="928"/>
      <c r="AC257" s="928"/>
      <c r="AD257" s="928"/>
      <c r="AE257" s="928"/>
      <c r="AF257" s="928"/>
      <c r="AG257" s="928"/>
      <c r="AH257" s="928"/>
      <c r="AI257" s="928"/>
      <c r="AJ257" s="928"/>
      <c r="AK257" s="928"/>
      <c r="AL257" s="928"/>
      <c r="AM257" s="928"/>
      <c r="AN257" s="928"/>
      <c r="AO257" s="928"/>
      <c r="AP257" s="928"/>
      <c r="AQ257" s="928"/>
      <c r="AR257" s="928"/>
      <c r="AS257" s="928"/>
    </row>
    <row r="258" spans="11:45">
      <c r="K258" s="957"/>
      <c r="L258" s="928"/>
      <c r="M258" s="928"/>
      <c r="N258" s="960"/>
      <c r="O258" s="960"/>
      <c r="P258" s="960"/>
      <c r="Q258" s="960"/>
      <c r="R258" s="960"/>
      <c r="S258" s="960"/>
      <c r="T258" s="960"/>
      <c r="U258" s="960"/>
      <c r="V258" s="960"/>
      <c r="W258" s="960"/>
      <c r="X258" s="960"/>
      <c r="Y258" s="960"/>
      <c r="Z258" s="960"/>
      <c r="AA258" s="960"/>
      <c r="AB258" s="928"/>
      <c r="AC258" s="928"/>
      <c r="AD258" s="928"/>
      <c r="AE258" s="928"/>
      <c r="AF258" s="928"/>
      <c r="AG258" s="928"/>
      <c r="AH258" s="928"/>
      <c r="AI258" s="928"/>
      <c r="AJ258" s="928"/>
      <c r="AK258" s="928"/>
      <c r="AL258" s="928"/>
      <c r="AM258" s="928"/>
      <c r="AN258" s="928"/>
      <c r="AO258" s="928"/>
      <c r="AP258" s="928"/>
      <c r="AQ258" s="928"/>
      <c r="AR258" s="928"/>
      <c r="AS258" s="928"/>
    </row>
    <row r="259" spans="11:45">
      <c r="K259" s="957"/>
      <c r="L259" s="928"/>
      <c r="M259" s="928"/>
      <c r="N259" s="960"/>
      <c r="O259" s="960"/>
      <c r="P259" s="960"/>
      <c r="Q259" s="960"/>
      <c r="R259" s="960"/>
      <c r="S259" s="960"/>
      <c r="T259" s="960"/>
      <c r="U259" s="960"/>
      <c r="V259" s="960"/>
      <c r="W259" s="960"/>
      <c r="X259" s="960"/>
      <c r="Y259" s="960"/>
      <c r="Z259" s="960"/>
      <c r="AA259" s="960"/>
      <c r="AB259" s="928"/>
      <c r="AC259" s="928"/>
      <c r="AD259" s="928"/>
      <c r="AE259" s="928"/>
      <c r="AF259" s="928"/>
      <c r="AG259" s="928"/>
      <c r="AH259" s="928"/>
      <c r="AI259" s="928"/>
      <c r="AJ259" s="928"/>
      <c r="AK259" s="928"/>
      <c r="AL259" s="928"/>
      <c r="AM259" s="928"/>
      <c r="AN259" s="928"/>
      <c r="AO259" s="928"/>
      <c r="AP259" s="928"/>
      <c r="AQ259" s="928"/>
      <c r="AR259" s="928"/>
      <c r="AS259" s="928"/>
    </row>
    <row r="260" spans="11:45">
      <c r="K260" s="957"/>
      <c r="L260" s="928"/>
      <c r="M260" s="928"/>
      <c r="N260" s="960"/>
      <c r="O260" s="960"/>
      <c r="P260" s="960"/>
      <c r="Q260" s="960"/>
      <c r="R260" s="960"/>
      <c r="S260" s="960"/>
      <c r="T260" s="960"/>
      <c r="U260" s="960"/>
      <c r="V260" s="960"/>
      <c r="W260" s="960"/>
      <c r="X260" s="960"/>
      <c r="Y260" s="960"/>
      <c r="Z260" s="960"/>
      <c r="AA260" s="960"/>
      <c r="AB260" s="928"/>
      <c r="AC260" s="928"/>
      <c r="AD260" s="928"/>
      <c r="AE260" s="928"/>
      <c r="AF260" s="928"/>
      <c r="AG260" s="928"/>
      <c r="AH260" s="928"/>
      <c r="AI260" s="928"/>
      <c r="AJ260" s="928"/>
      <c r="AK260" s="928"/>
      <c r="AL260" s="928"/>
      <c r="AM260" s="928"/>
      <c r="AN260" s="928"/>
      <c r="AO260" s="928"/>
      <c r="AP260" s="928"/>
      <c r="AQ260" s="928"/>
      <c r="AR260" s="928"/>
      <c r="AS260" s="928"/>
    </row>
    <row r="261" spans="11:45">
      <c r="K261" s="957"/>
      <c r="L261" s="928"/>
      <c r="M261" s="928"/>
      <c r="N261" s="960"/>
      <c r="O261" s="960"/>
      <c r="P261" s="960"/>
      <c r="Q261" s="960"/>
      <c r="R261" s="960"/>
      <c r="S261" s="960"/>
      <c r="T261" s="960"/>
      <c r="U261" s="960"/>
      <c r="V261" s="960"/>
      <c r="W261" s="960"/>
      <c r="X261" s="960"/>
      <c r="Y261" s="960"/>
      <c r="Z261" s="960"/>
      <c r="AA261" s="960"/>
      <c r="AB261" s="928"/>
      <c r="AC261" s="928"/>
      <c r="AD261" s="928"/>
      <c r="AE261" s="928"/>
      <c r="AF261" s="928"/>
      <c r="AG261" s="928"/>
      <c r="AH261" s="928"/>
      <c r="AI261" s="928"/>
      <c r="AJ261" s="928"/>
      <c r="AK261" s="928"/>
      <c r="AL261" s="928"/>
      <c r="AM261" s="928"/>
      <c r="AN261" s="928"/>
      <c r="AO261" s="928"/>
      <c r="AP261" s="928"/>
      <c r="AQ261" s="928"/>
      <c r="AR261" s="928"/>
      <c r="AS261" s="928"/>
    </row>
    <row r="262" spans="11:45">
      <c r="K262" s="957"/>
      <c r="L262" s="928"/>
      <c r="M262" s="928"/>
      <c r="N262" s="960"/>
      <c r="O262" s="960"/>
      <c r="P262" s="960"/>
      <c r="Q262" s="960"/>
      <c r="R262" s="960"/>
      <c r="S262" s="960"/>
      <c r="T262" s="960"/>
      <c r="U262" s="960"/>
      <c r="V262" s="960"/>
      <c r="W262" s="960"/>
      <c r="X262" s="960"/>
      <c r="Y262" s="960"/>
      <c r="Z262" s="960"/>
      <c r="AA262" s="960"/>
      <c r="AB262" s="928"/>
      <c r="AC262" s="928"/>
      <c r="AD262" s="928"/>
      <c r="AE262" s="928"/>
      <c r="AF262" s="928"/>
      <c r="AG262" s="928"/>
      <c r="AH262" s="928"/>
      <c r="AI262" s="928"/>
      <c r="AJ262" s="928"/>
      <c r="AK262" s="928"/>
      <c r="AL262" s="928"/>
      <c r="AM262" s="928"/>
      <c r="AN262" s="928"/>
      <c r="AO262" s="928"/>
      <c r="AP262" s="928"/>
      <c r="AQ262" s="928"/>
      <c r="AR262" s="928"/>
      <c r="AS262" s="928"/>
    </row>
    <row r="263" spans="11:45">
      <c r="K263" s="957"/>
      <c r="L263" s="928"/>
      <c r="M263" s="928"/>
      <c r="N263" s="960"/>
      <c r="O263" s="960"/>
      <c r="P263" s="960"/>
      <c r="Q263" s="960"/>
      <c r="R263" s="960"/>
      <c r="S263" s="960"/>
      <c r="T263" s="960"/>
      <c r="U263" s="960"/>
      <c r="V263" s="960"/>
      <c r="W263" s="960"/>
      <c r="X263" s="960"/>
      <c r="Y263" s="960"/>
      <c r="Z263" s="960"/>
      <c r="AA263" s="960"/>
      <c r="AB263" s="928"/>
      <c r="AC263" s="928"/>
      <c r="AD263" s="928"/>
      <c r="AE263" s="928"/>
      <c r="AF263" s="928"/>
      <c r="AG263" s="928"/>
      <c r="AH263" s="928"/>
      <c r="AI263" s="928"/>
      <c r="AJ263" s="928"/>
      <c r="AK263" s="928"/>
      <c r="AL263" s="928"/>
      <c r="AM263" s="928"/>
      <c r="AN263" s="928"/>
      <c r="AO263" s="928"/>
      <c r="AP263" s="928"/>
      <c r="AQ263" s="928"/>
      <c r="AR263" s="928"/>
      <c r="AS263" s="928"/>
    </row>
    <row r="264" spans="11:45">
      <c r="K264" s="957"/>
      <c r="L264" s="928"/>
      <c r="M264" s="928"/>
      <c r="N264" s="960"/>
      <c r="O264" s="960"/>
      <c r="P264" s="960"/>
      <c r="Q264" s="960"/>
      <c r="R264" s="960"/>
      <c r="S264" s="960"/>
      <c r="T264" s="960"/>
      <c r="U264" s="960"/>
      <c r="V264" s="960"/>
      <c r="W264" s="960"/>
      <c r="X264" s="960"/>
      <c r="Y264" s="960"/>
      <c r="Z264" s="960"/>
      <c r="AA264" s="960"/>
      <c r="AB264" s="928"/>
      <c r="AC264" s="928"/>
      <c r="AD264" s="928"/>
      <c r="AE264" s="928"/>
      <c r="AF264" s="928"/>
      <c r="AG264" s="928"/>
      <c r="AH264" s="928"/>
      <c r="AI264" s="928"/>
      <c r="AJ264" s="928"/>
      <c r="AK264" s="928"/>
      <c r="AL264" s="928"/>
      <c r="AM264" s="928"/>
      <c r="AN264" s="928"/>
      <c r="AO264" s="928"/>
      <c r="AP264" s="928"/>
      <c r="AQ264" s="928"/>
      <c r="AR264" s="928"/>
      <c r="AS264" s="928"/>
    </row>
    <row r="265" spans="11:45">
      <c r="K265" s="957"/>
      <c r="L265" s="928"/>
      <c r="M265" s="928"/>
      <c r="N265" s="960"/>
      <c r="O265" s="960"/>
      <c r="P265" s="960"/>
      <c r="Q265" s="960"/>
      <c r="R265" s="960"/>
      <c r="S265" s="960"/>
      <c r="T265" s="960"/>
      <c r="U265" s="960"/>
      <c r="V265" s="960"/>
      <c r="W265" s="960"/>
      <c r="X265" s="960"/>
      <c r="Y265" s="960"/>
      <c r="Z265" s="960"/>
      <c r="AA265" s="960"/>
      <c r="AB265" s="928"/>
      <c r="AC265" s="928"/>
      <c r="AD265" s="928"/>
      <c r="AE265" s="928"/>
      <c r="AF265" s="928"/>
      <c r="AG265" s="928"/>
      <c r="AH265" s="928"/>
      <c r="AI265" s="928"/>
      <c r="AJ265" s="928"/>
      <c r="AK265" s="928"/>
      <c r="AL265" s="928"/>
      <c r="AM265" s="928"/>
      <c r="AN265" s="928"/>
      <c r="AO265" s="928"/>
      <c r="AP265" s="928"/>
      <c r="AQ265" s="928"/>
      <c r="AR265" s="928"/>
      <c r="AS265" s="928"/>
    </row>
    <row r="266" spans="11:45">
      <c r="K266" s="957"/>
      <c r="L266" s="928"/>
      <c r="M266" s="928"/>
      <c r="N266" s="960"/>
      <c r="O266" s="960"/>
      <c r="P266" s="960"/>
      <c r="Q266" s="960"/>
      <c r="R266" s="960"/>
      <c r="S266" s="960"/>
      <c r="T266" s="960"/>
      <c r="U266" s="960"/>
      <c r="V266" s="960"/>
      <c r="W266" s="960"/>
      <c r="X266" s="960"/>
      <c r="Y266" s="960"/>
      <c r="Z266" s="960"/>
      <c r="AA266" s="960"/>
      <c r="AB266" s="928"/>
      <c r="AC266" s="928"/>
      <c r="AD266" s="928"/>
      <c r="AE266" s="928"/>
      <c r="AF266" s="928"/>
      <c r="AG266" s="928"/>
      <c r="AH266" s="928"/>
      <c r="AI266" s="928"/>
      <c r="AJ266" s="928"/>
      <c r="AK266" s="928"/>
      <c r="AL266" s="928"/>
      <c r="AM266" s="928"/>
      <c r="AN266" s="928"/>
      <c r="AO266" s="928"/>
      <c r="AP266" s="928"/>
      <c r="AQ266" s="928"/>
      <c r="AR266" s="928"/>
      <c r="AS266" s="928"/>
    </row>
    <row r="267" spans="11:45">
      <c r="K267" s="957"/>
      <c r="L267" s="928"/>
      <c r="M267" s="928"/>
      <c r="N267" s="960"/>
      <c r="O267" s="960"/>
      <c r="P267" s="960"/>
      <c r="Q267" s="960"/>
      <c r="R267" s="960"/>
      <c r="S267" s="960"/>
      <c r="T267" s="960"/>
      <c r="U267" s="960"/>
      <c r="V267" s="960"/>
      <c r="W267" s="960"/>
      <c r="X267" s="960"/>
      <c r="Y267" s="960"/>
      <c r="Z267" s="960"/>
      <c r="AA267" s="960"/>
      <c r="AB267" s="928"/>
      <c r="AC267" s="928"/>
      <c r="AD267" s="928"/>
      <c r="AE267" s="928"/>
      <c r="AF267" s="928"/>
      <c r="AG267" s="928"/>
      <c r="AH267" s="928"/>
      <c r="AI267" s="928"/>
      <c r="AJ267" s="928"/>
      <c r="AK267" s="928"/>
      <c r="AL267" s="928"/>
      <c r="AM267" s="928"/>
      <c r="AN267" s="928"/>
      <c r="AO267" s="928"/>
      <c r="AP267" s="928"/>
      <c r="AQ267" s="928"/>
      <c r="AR267" s="928"/>
      <c r="AS267" s="928"/>
    </row>
    <row r="268" spans="11:45">
      <c r="K268" s="957"/>
      <c r="L268" s="928"/>
      <c r="M268" s="928"/>
      <c r="N268" s="960"/>
      <c r="O268" s="960"/>
      <c r="P268" s="960"/>
      <c r="Q268" s="960"/>
      <c r="R268" s="960"/>
      <c r="S268" s="960"/>
      <c r="T268" s="960"/>
      <c r="U268" s="960"/>
      <c r="V268" s="960"/>
      <c r="W268" s="960"/>
      <c r="X268" s="960"/>
      <c r="Y268" s="960"/>
      <c r="Z268" s="960"/>
      <c r="AA268" s="960"/>
      <c r="AB268" s="928"/>
      <c r="AC268" s="928"/>
      <c r="AD268" s="928"/>
      <c r="AE268" s="928"/>
      <c r="AF268" s="928"/>
      <c r="AG268" s="928"/>
      <c r="AH268" s="928"/>
      <c r="AI268" s="928"/>
      <c r="AJ268" s="928"/>
      <c r="AK268" s="928"/>
      <c r="AL268" s="928"/>
      <c r="AM268" s="928"/>
      <c r="AN268" s="928"/>
      <c r="AO268" s="928"/>
      <c r="AP268" s="928"/>
      <c r="AQ268" s="928"/>
      <c r="AR268" s="928"/>
      <c r="AS268" s="928"/>
    </row>
    <row r="269" spans="11:45">
      <c r="K269" s="957"/>
      <c r="L269" s="928"/>
      <c r="M269" s="928"/>
      <c r="N269" s="960"/>
      <c r="O269" s="960"/>
      <c r="P269" s="960"/>
      <c r="Q269" s="960"/>
      <c r="R269" s="960"/>
      <c r="S269" s="960"/>
      <c r="T269" s="960"/>
      <c r="U269" s="960"/>
      <c r="V269" s="960"/>
      <c r="W269" s="960"/>
      <c r="X269" s="960"/>
      <c r="Y269" s="960"/>
      <c r="Z269" s="960"/>
      <c r="AA269" s="960"/>
      <c r="AB269" s="928"/>
      <c r="AC269" s="928"/>
      <c r="AD269" s="928"/>
      <c r="AE269" s="928"/>
      <c r="AF269" s="928"/>
      <c r="AG269" s="928"/>
      <c r="AH269" s="928"/>
      <c r="AI269" s="928"/>
      <c r="AJ269" s="928"/>
      <c r="AK269" s="928"/>
      <c r="AL269" s="928"/>
      <c r="AM269" s="928"/>
      <c r="AN269" s="928"/>
      <c r="AO269" s="928"/>
      <c r="AP269" s="928"/>
      <c r="AQ269" s="928"/>
      <c r="AR269" s="928"/>
      <c r="AS269" s="928"/>
    </row>
    <row r="270" spans="11:45">
      <c r="K270" s="957"/>
      <c r="L270" s="928"/>
      <c r="M270" s="928"/>
      <c r="N270" s="960"/>
      <c r="O270" s="960"/>
      <c r="P270" s="960"/>
      <c r="Q270" s="960"/>
      <c r="R270" s="960"/>
      <c r="S270" s="960"/>
      <c r="T270" s="960"/>
      <c r="U270" s="960"/>
      <c r="V270" s="960"/>
      <c r="W270" s="960"/>
      <c r="X270" s="960"/>
      <c r="Y270" s="960"/>
      <c r="Z270" s="960"/>
      <c r="AA270" s="960"/>
      <c r="AB270" s="928"/>
      <c r="AC270" s="928"/>
      <c r="AD270" s="928"/>
      <c r="AE270" s="928"/>
      <c r="AF270" s="928"/>
      <c r="AG270" s="928"/>
      <c r="AH270" s="928"/>
      <c r="AI270" s="928"/>
      <c r="AJ270" s="928"/>
      <c r="AK270" s="928"/>
      <c r="AL270" s="928"/>
      <c r="AM270" s="928"/>
      <c r="AN270" s="928"/>
      <c r="AO270" s="928"/>
      <c r="AP270" s="928"/>
      <c r="AQ270" s="928"/>
      <c r="AR270" s="928"/>
      <c r="AS270" s="928"/>
    </row>
    <row r="271" spans="11:45">
      <c r="K271" s="957"/>
      <c r="L271" s="928"/>
      <c r="M271" s="928"/>
      <c r="N271" s="960"/>
      <c r="O271" s="960"/>
      <c r="P271" s="960"/>
      <c r="Q271" s="960"/>
      <c r="R271" s="960"/>
      <c r="S271" s="960"/>
      <c r="T271" s="960"/>
      <c r="U271" s="960"/>
      <c r="V271" s="960"/>
      <c r="W271" s="960"/>
      <c r="X271" s="960"/>
      <c r="Y271" s="960"/>
      <c r="Z271" s="960"/>
      <c r="AA271" s="960"/>
      <c r="AB271" s="928"/>
      <c r="AC271" s="928"/>
      <c r="AD271" s="928"/>
      <c r="AE271" s="928"/>
      <c r="AF271" s="928"/>
      <c r="AG271" s="928"/>
      <c r="AH271" s="928"/>
      <c r="AI271" s="928"/>
      <c r="AJ271" s="928"/>
      <c r="AK271" s="928"/>
      <c r="AL271" s="928"/>
      <c r="AM271" s="928"/>
      <c r="AN271" s="928"/>
      <c r="AO271" s="928"/>
      <c r="AP271" s="928"/>
      <c r="AQ271" s="928"/>
      <c r="AR271" s="928"/>
      <c r="AS271" s="928"/>
    </row>
    <row r="272" spans="11:45">
      <c r="K272" s="957"/>
      <c r="L272" s="928"/>
      <c r="M272" s="928"/>
      <c r="N272" s="960"/>
      <c r="O272" s="960"/>
      <c r="P272" s="960"/>
      <c r="Q272" s="960"/>
      <c r="R272" s="960"/>
      <c r="S272" s="960"/>
      <c r="T272" s="960"/>
      <c r="U272" s="960"/>
      <c r="V272" s="960"/>
      <c r="W272" s="960"/>
      <c r="X272" s="960"/>
      <c r="Y272" s="960"/>
      <c r="Z272" s="960"/>
      <c r="AA272" s="960"/>
      <c r="AB272" s="928"/>
      <c r="AC272" s="928"/>
      <c r="AD272" s="928"/>
      <c r="AE272" s="928"/>
      <c r="AF272" s="928"/>
      <c r="AG272" s="928"/>
      <c r="AH272" s="928"/>
      <c r="AI272" s="928"/>
      <c r="AJ272" s="928"/>
      <c r="AK272" s="928"/>
      <c r="AL272" s="928"/>
      <c r="AM272" s="928"/>
      <c r="AN272" s="928"/>
      <c r="AO272" s="928"/>
      <c r="AP272" s="928"/>
      <c r="AQ272" s="928"/>
      <c r="AR272" s="928"/>
      <c r="AS272" s="928"/>
    </row>
    <row r="273" spans="11:45">
      <c r="K273" s="957"/>
      <c r="L273" s="928"/>
      <c r="M273" s="928"/>
      <c r="N273" s="960"/>
      <c r="O273" s="960"/>
      <c r="P273" s="960"/>
      <c r="Q273" s="960"/>
      <c r="R273" s="960"/>
      <c r="S273" s="960"/>
      <c r="T273" s="960"/>
      <c r="U273" s="960"/>
      <c r="V273" s="960"/>
      <c r="W273" s="960"/>
      <c r="X273" s="960"/>
      <c r="Y273" s="960"/>
      <c r="Z273" s="960"/>
      <c r="AA273" s="960"/>
      <c r="AB273" s="928"/>
      <c r="AC273" s="928"/>
      <c r="AD273" s="928"/>
      <c r="AE273" s="928"/>
      <c r="AF273" s="928"/>
      <c r="AG273" s="928"/>
      <c r="AH273" s="928"/>
      <c r="AI273" s="928"/>
      <c r="AJ273" s="928"/>
      <c r="AK273" s="928"/>
      <c r="AL273" s="928"/>
      <c r="AM273" s="928"/>
      <c r="AN273" s="928"/>
      <c r="AO273" s="928"/>
      <c r="AP273" s="928"/>
      <c r="AQ273" s="928"/>
      <c r="AR273" s="928"/>
      <c r="AS273" s="928"/>
    </row>
    <row r="274" spans="11:45">
      <c r="K274" s="957"/>
      <c r="L274" s="928"/>
      <c r="M274" s="928"/>
      <c r="N274" s="960"/>
      <c r="O274" s="960"/>
      <c r="P274" s="960"/>
      <c r="Q274" s="960"/>
      <c r="R274" s="960"/>
      <c r="S274" s="960"/>
      <c r="T274" s="960"/>
      <c r="U274" s="960"/>
      <c r="V274" s="960"/>
      <c r="W274" s="960"/>
      <c r="X274" s="960"/>
      <c r="Y274" s="960"/>
      <c r="Z274" s="960"/>
      <c r="AA274" s="960"/>
      <c r="AB274" s="928"/>
      <c r="AC274" s="928"/>
      <c r="AD274" s="928"/>
      <c r="AE274" s="928"/>
      <c r="AF274" s="928"/>
      <c r="AG274" s="928"/>
      <c r="AH274" s="928"/>
      <c r="AI274" s="928"/>
      <c r="AJ274" s="928"/>
      <c r="AK274" s="928"/>
      <c r="AL274" s="928"/>
      <c r="AM274" s="928"/>
      <c r="AN274" s="928"/>
      <c r="AO274" s="928"/>
      <c r="AP274" s="928"/>
      <c r="AQ274" s="928"/>
      <c r="AR274" s="928"/>
      <c r="AS274" s="928"/>
    </row>
    <row r="275" spans="11:45">
      <c r="K275" s="957"/>
      <c r="L275" s="928"/>
      <c r="M275" s="928"/>
      <c r="N275" s="960"/>
      <c r="O275" s="960"/>
      <c r="P275" s="960"/>
      <c r="Q275" s="960"/>
      <c r="R275" s="960"/>
      <c r="S275" s="960"/>
      <c r="T275" s="960"/>
      <c r="U275" s="960"/>
      <c r="V275" s="960"/>
      <c r="W275" s="960"/>
      <c r="X275" s="960"/>
      <c r="Y275" s="960"/>
      <c r="Z275" s="960"/>
      <c r="AA275" s="960"/>
      <c r="AB275" s="928"/>
      <c r="AC275" s="928"/>
      <c r="AD275" s="928"/>
      <c r="AE275" s="928"/>
      <c r="AF275" s="928"/>
      <c r="AG275" s="928"/>
      <c r="AH275" s="928"/>
      <c r="AI275" s="928"/>
      <c r="AJ275" s="928"/>
      <c r="AK275" s="928"/>
      <c r="AL275" s="928"/>
      <c r="AM275" s="928"/>
      <c r="AN275" s="928"/>
      <c r="AO275" s="928"/>
      <c r="AP275" s="928"/>
      <c r="AQ275" s="928"/>
      <c r="AR275" s="928"/>
      <c r="AS275" s="928"/>
    </row>
    <row r="276" spans="11:45">
      <c r="K276" s="957"/>
      <c r="L276" s="928"/>
      <c r="M276" s="928"/>
      <c r="N276" s="960"/>
      <c r="O276" s="960"/>
      <c r="P276" s="960"/>
      <c r="Q276" s="960"/>
      <c r="R276" s="960"/>
      <c r="S276" s="960"/>
      <c r="T276" s="960"/>
      <c r="U276" s="960"/>
      <c r="V276" s="960"/>
      <c r="W276" s="960"/>
      <c r="X276" s="960"/>
      <c r="Y276" s="960"/>
      <c r="Z276" s="960"/>
      <c r="AA276" s="960"/>
      <c r="AB276" s="928"/>
      <c r="AC276" s="928"/>
      <c r="AD276" s="928"/>
      <c r="AE276" s="928"/>
      <c r="AF276" s="928"/>
      <c r="AG276" s="928"/>
      <c r="AH276" s="928"/>
      <c r="AI276" s="928"/>
      <c r="AJ276" s="928"/>
      <c r="AK276" s="928"/>
      <c r="AL276" s="928"/>
      <c r="AM276" s="928"/>
      <c r="AN276" s="928"/>
      <c r="AO276" s="928"/>
      <c r="AP276" s="928"/>
      <c r="AQ276" s="928"/>
      <c r="AR276" s="928"/>
      <c r="AS276" s="928"/>
    </row>
    <row r="277" spans="11:45">
      <c r="K277" s="957"/>
      <c r="L277" s="928"/>
      <c r="M277" s="928"/>
      <c r="N277" s="960"/>
      <c r="O277" s="960"/>
      <c r="P277" s="960"/>
      <c r="Q277" s="960"/>
      <c r="R277" s="960"/>
      <c r="S277" s="960"/>
      <c r="T277" s="960"/>
      <c r="U277" s="960"/>
      <c r="V277" s="960"/>
      <c r="W277" s="960"/>
      <c r="X277" s="960"/>
      <c r="Y277" s="960"/>
      <c r="Z277" s="960"/>
      <c r="AA277" s="960"/>
      <c r="AB277" s="928"/>
      <c r="AC277" s="928"/>
      <c r="AD277" s="928"/>
      <c r="AE277" s="928"/>
      <c r="AF277" s="928"/>
      <c r="AG277" s="928"/>
      <c r="AH277" s="928"/>
      <c r="AI277" s="928"/>
      <c r="AJ277" s="928"/>
      <c r="AK277" s="928"/>
      <c r="AL277" s="928"/>
      <c r="AM277" s="928"/>
      <c r="AN277" s="928"/>
      <c r="AO277" s="928"/>
      <c r="AP277" s="928"/>
      <c r="AQ277" s="928"/>
      <c r="AR277" s="928"/>
      <c r="AS277" s="928"/>
    </row>
    <row r="278" spans="11:45">
      <c r="K278" s="957"/>
      <c r="L278" s="928"/>
      <c r="M278" s="928"/>
      <c r="N278" s="960"/>
      <c r="O278" s="960"/>
      <c r="P278" s="960"/>
      <c r="Q278" s="960"/>
      <c r="R278" s="960"/>
      <c r="S278" s="960"/>
      <c r="T278" s="960"/>
      <c r="U278" s="960"/>
      <c r="V278" s="960"/>
      <c r="W278" s="960"/>
      <c r="X278" s="960"/>
      <c r="Y278" s="960"/>
      <c r="Z278" s="960"/>
      <c r="AA278" s="960"/>
      <c r="AB278" s="928"/>
      <c r="AC278" s="928"/>
      <c r="AD278" s="928"/>
      <c r="AE278" s="928"/>
      <c r="AF278" s="928"/>
      <c r="AG278" s="928"/>
      <c r="AH278" s="928"/>
      <c r="AI278" s="928"/>
      <c r="AJ278" s="928"/>
      <c r="AK278" s="928"/>
      <c r="AL278" s="928"/>
      <c r="AM278" s="928"/>
      <c r="AN278" s="928"/>
      <c r="AO278" s="928"/>
      <c r="AP278" s="928"/>
      <c r="AQ278" s="928"/>
      <c r="AR278" s="928"/>
      <c r="AS278" s="928"/>
    </row>
    <row r="279" spans="11:45">
      <c r="K279" s="957"/>
      <c r="L279" s="928"/>
      <c r="M279" s="928"/>
      <c r="N279" s="960"/>
      <c r="O279" s="960"/>
      <c r="P279" s="960"/>
      <c r="Q279" s="960"/>
      <c r="R279" s="960"/>
      <c r="S279" s="960"/>
      <c r="T279" s="960"/>
      <c r="U279" s="960"/>
      <c r="V279" s="960"/>
      <c r="W279" s="960"/>
      <c r="X279" s="960"/>
      <c r="Y279" s="960"/>
      <c r="Z279" s="960"/>
      <c r="AA279" s="960"/>
      <c r="AB279" s="928"/>
      <c r="AC279" s="928"/>
      <c r="AD279" s="928"/>
      <c r="AE279" s="928"/>
      <c r="AF279" s="928"/>
      <c r="AG279" s="928"/>
      <c r="AH279" s="928"/>
      <c r="AI279" s="928"/>
      <c r="AJ279" s="928"/>
      <c r="AK279" s="928"/>
      <c r="AL279" s="928"/>
      <c r="AM279" s="928"/>
      <c r="AN279" s="928"/>
      <c r="AO279" s="928"/>
      <c r="AP279" s="928"/>
      <c r="AQ279" s="928"/>
      <c r="AR279" s="928"/>
      <c r="AS279" s="928"/>
    </row>
    <row r="280" spans="11:45">
      <c r="K280" s="957"/>
      <c r="L280" s="928"/>
      <c r="M280" s="928"/>
      <c r="N280" s="960"/>
      <c r="O280" s="960"/>
      <c r="P280" s="960"/>
      <c r="Q280" s="960"/>
      <c r="R280" s="960"/>
      <c r="S280" s="960"/>
      <c r="T280" s="960"/>
      <c r="U280" s="960"/>
      <c r="V280" s="960"/>
      <c r="W280" s="960"/>
      <c r="X280" s="960"/>
      <c r="Y280" s="960"/>
      <c r="Z280" s="960"/>
      <c r="AA280" s="960"/>
      <c r="AB280" s="928"/>
      <c r="AC280" s="928"/>
      <c r="AD280" s="928"/>
      <c r="AE280" s="928"/>
      <c r="AF280" s="928"/>
      <c r="AG280" s="928"/>
      <c r="AH280" s="928"/>
      <c r="AI280" s="928"/>
      <c r="AJ280" s="928"/>
      <c r="AK280" s="928"/>
      <c r="AL280" s="928"/>
      <c r="AM280" s="928"/>
      <c r="AN280" s="928"/>
      <c r="AO280" s="928"/>
      <c r="AP280" s="928"/>
      <c r="AQ280" s="928"/>
      <c r="AR280" s="928"/>
      <c r="AS280" s="928"/>
    </row>
    <row r="281" spans="11:45">
      <c r="K281" s="957"/>
      <c r="L281" s="928"/>
      <c r="M281" s="928"/>
      <c r="N281" s="960"/>
      <c r="O281" s="960"/>
      <c r="P281" s="960"/>
      <c r="Q281" s="960"/>
      <c r="R281" s="960"/>
      <c r="S281" s="960"/>
      <c r="T281" s="960"/>
      <c r="U281" s="960"/>
      <c r="V281" s="960"/>
      <c r="W281" s="960"/>
      <c r="X281" s="960"/>
      <c r="Y281" s="960"/>
      <c r="Z281" s="960"/>
      <c r="AA281" s="960"/>
      <c r="AB281" s="928"/>
      <c r="AC281" s="928"/>
      <c r="AD281" s="928"/>
      <c r="AE281" s="928"/>
      <c r="AF281" s="928"/>
      <c r="AG281" s="928"/>
      <c r="AH281" s="928"/>
      <c r="AI281" s="928"/>
      <c r="AJ281" s="928"/>
      <c r="AK281" s="928"/>
      <c r="AL281" s="928"/>
      <c r="AM281" s="928"/>
      <c r="AN281" s="928"/>
      <c r="AO281" s="928"/>
      <c r="AP281" s="928"/>
      <c r="AQ281" s="928"/>
      <c r="AR281" s="928"/>
      <c r="AS281" s="928"/>
    </row>
    <row r="282" spans="11:45">
      <c r="K282" s="957"/>
      <c r="L282" s="928"/>
      <c r="M282" s="928"/>
      <c r="N282" s="960"/>
      <c r="O282" s="960"/>
      <c r="P282" s="960"/>
      <c r="Q282" s="960"/>
      <c r="R282" s="960"/>
      <c r="S282" s="960"/>
      <c r="T282" s="960"/>
      <c r="U282" s="960"/>
      <c r="V282" s="960"/>
      <c r="W282" s="960"/>
      <c r="X282" s="960"/>
      <c r="Y282" s="960"/>
      <c r="Z282" s="960"/>
      <c r="AA282" s="960"/>
      <c r="AB282" s="928"/>
      <c r="AC282" s="928"/>
      <c r="AD282" s="928"/>
      <c r="AE282" s="928"/>
      <c r="AF282" s="928"/>
      <c r="AG282" s="928"/>
      <c r="AH282" s="928"/>
      <c r="AI282" s="928"/>
      <c r="AJ282" s="928"/>
      <c r="AK282" s="928"/>
      <c r="AL282" s="928"/>
      <c r="AM282" s="928"/>
      <c r="AN282" s="928"/>
      <c r="AO282" s="928"/>
      <c r="AP282" s="928"/>
      <c r="AQ282" s="928"/>
      <c r="AR282" s="928"/>
      <c r="AS282" s="928"/>
    </row>
    <row r="283" spans="11:45">
      <c r="K283" s="957"/>
      <c r="L283" s="928"/>
      <c r="M283" s="928"/>
      <c r="N283" s="960"/>
      <c r="O283" s="960"/>
      <c r="P283" s="960"/>
      <c r="Q283" s="960"/>
      <c r="R283" s="960"/>
      <c r="S283" s="960"/>
      <c r="T283" s="960"/>
      <c r="U283" s="960"/>
      <c r="V283" s="960"/>
      <c r="W283" s="960"/>
      <c r="X283" s="960"/>
      <c r="Y283" s="960"/>
      <c r="Z283" s="960"/>
      <c r="AA283" s="960"/>
      <c r="AB283" s="928"/>
      <c r="AC283" s="928"/>
      <c r="AD283" s="928"/>
      <c r="AE283" s="928"/>
      <c r="AF283" s="928"/>
      <c r="AG283" s="928"/>
      <c r="AH283" s="928"/>
      <c r="AI283" s="928"/>
      <c r="AJ283" s="928"/>
      <c r="AK283" s="928"/>
      <c r="AL283" s="928"/>
      <c r="AM283" s="928"/>
      <c r="AN283" s="928"/>
      <c r="AO283" s="928"/>
      <c r="AP283" s="928"/>
      <c r="AQ283" s="928"/>
      <c r="AR283" s="928"/>
      <c r="AS283" s="928"/>
    </row>
    <row r="284" spans="11:45">
      <c r="K284" s="957"/>
      <c r="L284" s="928"/>
      <c r="M284" s="928"/>
      <c r="N284" s="960"/>
      <c r="O284" s="960"/>
      <c r="P284" s="960"/>
      <c r="Q284" s="960"/>
      <c r="R284" s="960"/>
      <c r="S284" s="960"/>
      <c r="T284" s="960"/>
      <c r="U284" s="960"/>
      <c r="V284" s="960"/>
      <c r="W284" s="960"/>
      <c r="X284" s="960"/>
      <c r="Y284" s="960"/>
      <c r="Z284" s="960"/>
      <c r="AA284" s="960"/>
      <c r="AB284" s="928"/>
      <c r="AC284" s="928"/>
      <c r="AD284" s="928"/>
      <c r="AE284" s="928"/>
      <c r="AF284" s="928"/>
      <c r="AG284" s="928"/>
      <c r="AH284" s="928"/>
      <c r="AI284" s="928"/>
      <c r="AJ284" s="928"/>
      <c r="AK284" s="928"/>
      <c r="AL284" s="928"/>
      <c r="AM284" s="928"/>
      <c r="AN284" s="928"/>
      <c r="AO284" s="928"/>
      <c r="AP284" s="928"/>
      <c r="AQ284" s="928"/>
      <c r="AR284" s="928"/>
      <c r="AS284" s="928"/>
    </row>
    <row r="285" spans="11:45">
      <c r="K285" s="957"/>
      <c r="L285" s="928"/>
      <c r="M285" s="928"/>
      <c r="N285" s="960"/>
      <c r="O285" s="960"/>
      <c r="P285" s="960"/>
      <c r="Q285" s="960"/>
      <c r="R285" s="960"/>
      <c r="S285" s="960"/>
      <c r="T285" s="960"/>
      <c r="U285" s="960"/>
      <c r="V285" s="960"/>
      <c r="W285" s="960"/>
      <c r="X285" s="960"/>
      <c r="Y285" s="960"/>
      <c r="Z285" s="960"/>
      <c r="AA285" s="960"/>
      <c r="AB285" s="928"/>
      <c r="AC285" s="928"/>
      <c r="AD285" s="928"/>
      <c r="AE285" s="928"/>
      <c r="AF285" s="928"/>
      <c r="AG285" s="928"/>
      <c r="AH285" s="928"/>
      <c r="AI285" s="928"/>
      <c r="AJ285" s="928"/>
      <c r="AK285" s="928"/>
      <c r="AL285" s="928"/>
      <c r="AM285" s="928"/>
      <c r="AN285" s="928"/>
      <c r="AO285" s="928"/>
      <c r="AP285" s="928"/>
      <c r="AQ285" s="928"/>
      <c r="AR285" s="928"/>
      <c r="AS285" s="928"/>
    </row>
    <row r="286" spans="11:45">
      <c r="K286" s="957"/>
      <c r="L286" s="928"/>
      <c r="M286" s="928"/>
      <c r="N286" s="960"/>
      <c r="O286" s="960"/>
      <c r="P286" s="960"/>
      <c r="Q286" s="960"/>
      <c r="R286" s="960"/>
      <c r="S286" s="960"/>
      <c r="T286" s="960"/>
      <c r="U286" s="960"/>
      <c r="V286" s="960"/>
      <c r="W286" s="960"/>
      <c r="X286" s="960"/>
      <c r="Y286" s="960"/>
      <c r="Z286" s="960"/>
      <c r="AA286" s="960"/>
      <c r="AB286" s="928"/>
      <c r="AC286" s="928"/>
      <c r="AD286" s="928"/>
      <c r="AE286" s="928"/>
      <c r="AF286" s="928"/>
      <c r="AG286" s="928"/>
      <c r="AH286" s="928"/>
      <c r="AI286" s="928"/>
      <c r="AJ286" s="928"/>
      <c r="AK286" s="928"/>
      <c r="AL286" s="928"/>
      <c r="AM286" s="928"/>
      <c r="AN286" s="928"/>
      <c r="AO286" s="928"/>
      <c r="AP286" s="928"/>
      <c r="AQ286" s="928"/>
      <c r="AR286" s="928"/>
      <c r="AS286" s="928"/>
    </row>
    <row r="287" spans="11:45">
      <c r="K287" s="957"/>
      <c r="L287" s="928"/>
      <c r="M287" s="928"/>
      <c r="N287" s="960"/>
      <c r="O287" s="960"/>
      <c r="P287" s="960"/>
      <c r="Q287" s="960"/>
      <c r="R287" s="960"/>
      <c r="S287" s="960"/>
      <c r="T287" s="960"/>
      <c r="U287" s="960"/>
      <c r="V287" s="960"/>
      <c r="W287" s="960"/>
      <c r="X287" s="960"/>
      <c r="Y287" s="960"/>
      <c r="Z287" s="960"/>
      <c r="AA287" s="960"/>
      <c r="AB287" s="928"/>
      <c r="AC287" s="928"/>
      <c r="AD287" s="928"/>
      <c r="AE287" s="928"/>
      <c r="AF287" s="928"/>
      <c r="AG287" s="928"/>
      <c r="AH287" s="928"/>
      <c r="AI287" s="928"/>
      <c r="AJ287" s="928"/>
      <c r="AK287" s="928"/>
      <c r="AL287" s="928"/>
      <c r="AM287" s="928"/>
      <c r="AN287" s="928"/>
      <c r="AO287" s="928"/>
      <c r="AP287" s="928"/>
      <c r="AQ287" s="928"/>
      <c r="AR287" s="928"/>
      <c r="AS287" s="928"/>
    </row>
    <row r="288" spans="11:45">
      <c r="K288" s="957"/>
      <c r="L288" s="928"/>
      <c r="M288" s="928"/>
      <c r="N288" s="960"/>
      <c r="O288" s="960"/>
      <c r="P288" s="960"/>
      <c r="Q288" s="960"/>
      <c r="R288" s="960"/>
      <c r="S288" s="960"/>
      <c r="T288" s="960"/>
      <c r="U288" s="960"/>
      <c r="V288" s="960"/>
      <c r="W288" s="960"/>
      <c r="X288" s="960"/>
      <c r="Y288" s="960"/>
      <c r="Z288" s="960"/>
      <c r="AA288" s="960"/>
      <c r="AB288" s="928"/>
      <c r="AC288" s="928"/>
      <c r="AD288" s="928"/>
      <c r="AE288" s="928"/>
      <c r="AF288" s="928"/>
      <c r="AG288" s="928"/>
      <c r="AH288" s="928"/>
      <c r="AI288" s="928"/>
      <c r="AJ288" s="928"/>
      <c r="AK288" s="928"/>
      <c r="AL288" s="928"/>
      <c r="AM288" s="928"/>
      <c r="AN288" s="928"/>
      <c r="AO288" s="928"/>
      <c r="AP288" s="928"/>
      <c r="AQ288" s="928"/>
      <c r="AR288" s="928"/>
      <c r="AS288" s="928"/>
    </row>
    <row r="289" spans="11:45">
      <c r="K289" s="957"/>
      <c r="L289" s="928"/>
      <c r="M289" s="928"/>
      <c r="N289" s="960"/>
      <c r="O289" s="960"/>
      <c r="P289" s="960"/>
      <c r="Q289" s="960"/>
      <c r="R289" s="960"/>
      <c r="S289" s="960"/>
      <c r="T289" s="960"/>
      <c r="U289" s="960"/>
      <c r="V289" s="960"/>
      <c r="W289" s="960"/>
      <c r="X289" s="960"/>
      <c r="Y289" s="960"/>
      <c r="Z289" s="960"/>
      <c r="AA289" s="960"/>
      <c r="AB289" s="928"/>
      <c r="AC289" s="928"/>
      <c r="AD289" s="928"/>
      <c r="AE289" s="928"/>
      <c r="AF289" s="928"/>
      <c r="AG289" s="928"/>
      <c r="AH289" s="928"/>
      <c r="AI289" s="928"/>
      <c r="AJ289" s="928"/>
      <c r="AK289" s="928"/>
      <c r="AL289" s="928"/>
      <c r="AM289" s="928"/>
      <c r="AN289" s="928"/>
      <c r="AO289" s="928"/>
      <c r="AP289" s="928"/>
      <c r="AQ289" s="928"/>
      <c r="AR289" s="928"/>
      <c r="AS289" s="928"/>
    </row>
    <row r="290" spans="11:45">
      <c r="K290" s="957"/>
      <c r="L290" s="928"/>
      <c r="M290" s="928"/>
      <c r="N290" s="960"/>
      <c r="O290" s="960"/>
      <c r="P290" s="960"/>
      <c r="Q290" s="960"/>
      <c r="R290" s="960"/>
      <c r="S290" s="960"/>
      <c r="T290" s="960"/>
      <c r="U290" s="960"/>
      <c r="V290" s="960"/>
      <c r="W290" s="960"/>
      <c r="X290" s="960"/>
      <c r="Y290" s="960"/>
      <c r="Z290" s="960"/>
      <c r="AA290" s="960"/>
      <c r="AB290" s="928"/>
      <c r="AC290" s="928"/>
      <c r="AD290" s="928"/>
      <c r="AE290" s="928"/>
      <c r="AF290" s="928"/>
      <c r="AG290" s="928"/>
      <c r="AH290" s="928"/>
      <c r="AI290" s="928"/>
      <c r="AJ290" s="928"/>
      <c r="AK290" s="928"/>
      <c r="AL290" s="928"/>
      <c r="AM290" s="928"/>
      <c r="AN290" s="928"/>
      <c r="AO290" s="928"/>
      <c r="AP290" s="928"/>
      <c r="AQ290" s="928"/>
      <c r="AR290" s="928"/>
      <c r="AS290" s="928"/>
    </row>
    <row r="291" spans="11:45">
      <c r="K291" s="957"/>
      <c r="L291" s="928"/>
      <c r="M291" s="928"/>
      <c r="N291" s="960"/>
      <c r="O291" s="960"/>
      <c r="P291" s="960"/>
      <c r="Q291" s="960"/>
      <c r="R291" s="960"/>
      <c r="S291" s="960"/>
      <c r="T291" s="960"/>
      <c r="U291" s="960"/>
      <c r="V291" s="960"/>
      <c r="W291" s="960"/>
      <c r="X291" s="960"/>
      <c r="Y291" s="960"/>
      <c r="Z291" s="960"/>
      <c r="AA291" s="960"/>
      <c r="AB291" s="928"/>
      <c r="AC291" s="928"/>
      <c r="AD291" s="928"/>
      <c r="AE291" s="928"/>
      <c r="AF291" s="928"/>
      <c r="AG291" s="928"/>
      <c r="AH291" s="928"/>
      <c r="AI291" s="928"/>
      <c r="AJ291" s="928"/>
      <c r="AK291" s="928"/>
      <c r="AL291" s="928"/>
      <c r="AM291" s="928"/>
      <c r="AN291" s="928"/>
      <c r="AO291" s="928"/>
      <c r="AP291" s="928"/>
      <c r="AQ291" s="928"/>
      <c r="AR291" s="928"/>
      <c r="AS291" s="928"/>
    </row>
    <row r="292" spans="11:45">
      <c r="K292" s="957"/>
      <c r="L292" s="928"/>
      <c r="M292" s="928"/>
      <c r="N292" s="960"/>
      <c r="O292" s="960"/>
      <c r="P292" s="960"/>
      <c r="Q292" s="960"/>
      <c r="R292" s="960"/>
      <c r="S292" s="960"/>
      <c r="T292" s="960"/>
      <c r="U292" s="960"/>
      <c r="V292" s="960"/>
      <c r="W292" s="960"/>
      <c r="X292" s="960"/>
      <c r="Y292" s="960"/>
      <c r="Z292" s="960"/>
      <c r="AA292" s="960"/>
      <c r="AB292" s="928"/>
      <c r="AC292" s="928"/>
      <c r="AD292" s="928"/>
      <c r="AE292" s="928"/>
      <c r="AF292" s="928"/>
      <c r="AG292" s="928"/>
      <c r="AH292" s="928"/>
      <c r="AI292" s="928"/>
      <c r="AJ292" s="928"/>
      <c r="AK292" s="928"/>
      <c r="AL292" s="928"/>
      <c r="AM292" s="928"/>
      <c r="AN292" s="928"/>
      <c r="AO292" s="928"/>
      <c r="AP292" s="928"/>
      <c r="AQ292" s="928"/>
      <c r="AR292" s="928"/>
      <c r="AS292" s="928"/>
    </row>
    <row r="293" spans="11:45">
      <c r="K293" s="957"/>
      <c r="L293" s="928"/>
      <c r="M293" s="928"/>
      <c r="N293" s="960"/>
      <c r="O293" s="960"/>
      <c r="P293" s="960"/>
      <c r="Q293" s="960"/>
      <c r="R293" s="960"/>
      <c r="S293" s="960"/>
      <c r="T293" s="960"/>
      <c r="U293" s="960"/>
      <c r="V293" s="960"/>
      <c r="W293" s="960"/>
      <c r="X293" s="960"/>
      <c r="Y293" s="960"/>
      <c r="Z293" s="960"/>
      <c r="AA293" s="960"/>
      <c r="AB293" s="928"/>
      <c r="AC293" s="928"/>
      <c r="AD293" s="928"/>
      <c r="AE293" s="928"/>
      <c r="AF293" s="928"/>
      <c r="AG293" s="928"/>
      <c r="AH293" s="928"/>
      <c r="AI293" s="928"/>
      <c r="AJ293" s="928"/>
      <c r="AK293" s="928"/>
      <c r="AL293" s="928"/>
      <c r="AM293" s="928"/>
      <c r="AN293" s="928"/>
      <c r="AO293" s="928"/>
      <c r="AP293" s="928"/>
      <c r="AQ293" s="928"/>
      <c r="AR293" s="928"/>
      <c r="AS293" s="928"/>
    </row>
    <row r="294" spans="11:45">
      <c r="K294" s="957"/>
      <c r="L294" s="928"/>
      <c r="M294" s="928"/>
      <c r="N294" s="960"/>
      <c r="O294" s="960"/>
      <c r="P294" s="960"/>
      <c r="Q294" s="960"/>
      <c r="R294" s="960"/>
      <c r="S294" s="960"/>
      <c r="T294" s="960"/>
      <c r="U294" s="960"/>
      <c r="V294" s="960"/>
      <c r="W294" s="960"/>
      <c r="X294" s="960"/>
      <c r="Y294" s="960"/>
      <c r="Z294" s="960"/>
      <c r="AA294" s="960"/>
      <c r="AB294" s="928"/>
      <c r="AC294" s="928"/>
      <c r="AD294" s="928"/>
      <c r="AE294" s="928"/>
      <c r="AF294" s="928"/>
      <c r="AG294" s="928"/>
      <c r="AH294" s="928"/>
      <c r="AI294" s="928"/>
      <c r="AJ294" s="928"/>
      <c r="AK294" s="928"/>
      <c r="AL294" s="928"/>
      <c r="AM294" s="928"/>
      <c r="AN294" s="928"/>
      <c r="AO294" s="928"/>
      <c r="AP294" s="928"/>
      <c r="AQ294" s="928"/>
      <c r="AR294" s="928"/>
      <c r="AS294" s="928"/>
    </row>
    <row r="295" spans="11:45">
      <c r="K295" s="957"/>
      <c r="L295" s="928"/>
      <c r="M295" s="928"/>
      <c r="N295" s="960"/>
      <c r="O295" s="960"/>
      <c r="P295" s="960"/>
      <c r="Q295" s="960"/>
      <c r="R295" s="960"/>
      <c r="S295" s="960"/>
      <c r="T295" s="960"/>
      <c r="U295" s="960"/>
      <c r="V295" s="960"/>
      <c r="W295" s="960"/>
      <c r="X295" s="960"/>
      <c r="Y295" s="960"/>
      <c r="Z295" s="960"/>
      <c r="AA295" s="960"/>
      <c r="AB295" s="928"/>
      <c r="AC295" s="928"/>
      <c r="AD295" s="928"/>
      <c r="AE295" s="928"/>
      <c r="AF295" s="928"/>
      <c r="AG295" s="928"/>
      <c r="AH295" s="928"/>
      <c r="AI295" s="928"/>
      <c r="AJ295" s="928"/>
      <c r="AK295" s="928"/>
      <c r="AL295" s="928"/>
      <c r="AM295" s="928"/>
      <c r="AN295" s="928"/>
      <c r="AO295" s="928"/>
      <c r="AP295" s="928"/>
      <c r="AQ295" s="928"/>
      <c r="AR295" s="928"/>
      <c r="AS295" s="928"/>
    </row>
    <row r="296" spans="11:45">
      <c r="K296" s="957"/>
      <c r="L296" s="928"/>
      <c r="M296" s="928"/>
      <c r="N296" s="960"/>
      <c r="O296" s="960"/>
      <c r="P296" s="960"/>
      <c r="Q296" s="960"/>
      <c r="R296" s="960"/>
      <c r="S296" s="960"/>
      <c r="T296" s="960"/>
      <c r="U296" s="960"/>
      <c r="V296" s="960"/>
      <c r="W296" s="960"/>
      <c r="X296" s="960"/>
      <c r="Y296" s="960"/>
      <c r="Z296" s="960"/>
      <c r="AA296" s="960"/>
      <c r="AB296" s="928"/>
      <c r="AC296" s="928"/>
      <c r="AD296" s="928"/>
      <c r="AE296" s="928"/>
      <c r="AF296" s="928"/>
      <c r="AG296" s="928"/>
      <c r="AH296" s="928"/>
      <c r="AI296" s="928"/>
      <c r="AJ296" s="928"/>
      <c r="AK296" s="928"/>
      <c r="AL296" s="928"/>
      <c r="AM296" s="928"/>
      <c r="AN296" s="928"/>
      <c r="AO296" s="928"/>
      <c r="AP296" s="928"/>
      <c r="AQ296" s="928"/>
      <c r="AR296" s="928"/>
      <c r="AS296" s="928"/>
    </row>
    <row r="297" spans="11:45">
      <c r="K297" s="957"/>
      <c r="L297" s="928"/>
      <c r="M297" s="928"/>
      <c r="N297" s="960"/>
      <c r="O297" s="960"/>
      <c r="P297" s="960"/>
      <c r="Q297" s="960"/>
      <c r="R297" s="960"/>
      <c r="S297" s="960"/>
      <c r="T297" s="960"/>
      <c r="U297" s="960"/>
      <c r="V297" s="960"/>
      <c r="W297" s="960"/>
      <c r="X297" s="960"/>
      <c r="Y297" s="960"/>
      <c r="Z297" s="960"/>
      <c r="AA297" s="960"/>
      <c r="AB297" s="928"/>
      <c r="AC297" s="928"/>
      <c r="AD297" s="928"/>
      <c r="AE297" s="928"/>
      <c r="AF297" s="928"/>
      <c r="AG297" s="928"/>
      <c r="AH297" s="928"/>
      <c r="AI297" s="928"/>
      <c r="AJ297" s="928"/>
      <c r="AK297" s="928"/>
      <c r="AL297" s="928"/>
      <c r="AM297" s="928"/>
      <c r="AN297" s="928"/>
      <c r="AO297" s="928"/>
      <c r="AP297" s="928"/>
      <c r="AQ297" s="928"/>
      <c r="AR297" s="928"/>
      <c r="AS297" s="928"/>
    </row>
    <row r="298" spans="11:45">
      <c r="K298" s="957"/>
      <c r="L298" s="928"/>
      <c r="M298" s="928"/>
      <c r="N298" s="960"/>
      <c r="O298" s="960"/>
      <c r="P298" s="960"/>
      <c r="Q298" s="960"/>
      <c r="R298" s="960"/>
      <c r="S298" s="960"/>
      <c r="T298" s="960"/>
      <c r="U298" s="960"/>
      <c r="V298" s="960"/>
      <c r="W298" s="960"/>
      <c r="X298" s="960"/>
      <c r="Y298" s="960"/>
      <c r="Z298" s="960"/>
      <c r="AA298" s="960"/>
      <c r="AB298" s="928"/>
      <c r="AC298" s="928"/>
      <c r="AD298" s="928"/>
      <c r="AE298" s="928"/>
      <c r="AF298" s="928"/>
      <c r="AG298" s="928"/>
      <c r="AH298" s="928"/>
      <c r="AI298" s="928"/>
      <c r="AJ298" s="928"/>
      <c r="AK298" s="928"/>
      <c r="AL298" s="928"/>
      <c r="AM298" s="928"/>
      <c r="AN298" s="928"/>
      <c r="AO298" s="928"/>
      <c r="AP298" s="928"/>
      <c r="AQ298" s="928"/>
      <c r="AR298" s="928"/>
      <c r="AS298" s="928"/>
    </row>
    <row r="299" spans="11:45">
      <c r="K299" s="957"/>
      <c r="L299" s="928"/>
      <c r="M299" s="928"/>
      <c r="N299" s="960"/>
      <c r="O299" s="960"/>
      <c r="P299" s="960"/>
      <c r="Q299" s="960"/>
      <c r="R299" s="960"/>
      <c r="S299" s="960"/>
      <c r="T299" s="960"/>
      <c r="U299" s="960"/>
      <c r="V299" s="960"/>
      <c r="W299" s="960"/>
      <c r="X299" s="960"/>
      <c r="Y299" s="960"/>
      <c r="Z299" s="960"/>
      <c r="AA299" s="960"/>
      <c r="AB299" s="928"/>
      <c r="AC299" s="928"/>
      <c r="AD299" s="928"/>
      <c r="AE299" s="928"/>
      <c r="AF299" s="928"/>
      <c r="AG299" s="928"/>
      <c r="AH299" s="928"/>
      <c r="AI299" s="928"/>
      <c r="AJ299" s="928"/>
      <c r="AK299" s="928"/>
      <c r="AL299" s="928"/>
      <c r="AM299" s="928"/>
      <c r="AN299" s="928"/>
      <c r="AO299" s="928"/>
      <c r="AP299" s="928"/>
      <c r="AQ299" s="928"/>
      <c r="AR299" s="928"/>
      <c r="AS299" s="928"/>
    </row>
    <row r="300" spans="11:45">
      <c r="K300" s="957"/>
      <c r="L300" s="928"/>
      <c r="M300" s="928"/>
      <c r="N300" s="960"/>
      <c r="O300" s="960"/>
      <c r="P300" s="960"/>
      <c r="Q300" s="960"/>
      <c r="R300" s="960"/>
      <c r="S300" s="960"/>
      <c r="T300" s="960"/>
      <c r="U300" s="960"/>
      <c r="V300" s="960"/>
      <c r="W300" s="960"/>
      <c r="X300" s="960"/>
      <c r="Y300" s="960"/>
      <c r="Z300" s="960"/>
      <c r="AA300" s="960"/>
      <c r="AB300" s="928"/>
      <c r="AC300" s="928"/>
      <c r="AD300" s="928"/>
      <c r="AE300" s="928"/>
      <c r="AF300" s="928"/>
      <c r="AG300" s="928"/>
      <c r="AH300" s="928"/>
      <c r="AI300" s="928"/>
      <c r="AJ300" s="928"/>
      <c r="AK300" s="928"/>
      <c r="AL300" s="928"/>
      <c r="AM300" s="928"/>
      <c r="AN300" s="928"/>
      <c r="AO300" s="928"/>
      <c r="AP300" s="928"/>
      <c r="AQ300" s="928"/>
      <c r="AR300" s="928"/>
      <c r="AS300" s="928"/>
    </row>
    <row r="301" spans="11:45">
      <c r="K301" s="957"/>
      <c r="L301" s="928"/>
      <c r="M301" s="928"/>
      <c r="N301" s="960"/>
      <c r="O301" s="960"/>
      <c r="P301" s="960"/>
      <c r="Q301" s="960"/>
      <c r="R301" s="960"/>
      <c r="S301" s="960"/>
      <c r="T301" s="960"/>
      <c r="U301" s="960"/>
      <c r="V301" s="960"/>
      <c r="W301" s="960"/>
      <c r="X301" s="960"/>
      <c r="Y301" s="960"/>
      <c r="Z301" s="960"/>
      <c r="AA301" s="960"/>
      <c r="AB301" s="928"/>
      <c r="AC301" s="928"/>
      <c r="AD301" s="928"/>
      <c r="AE301" s="928"/>
      <c r="AF301" s="928"/>
      <c r="AG301" s="928"/>
      <c r="AH301" s="928"/>
      <c r="AI301" s="928"/>
      <c r="AJ301" s="928"/>
      <c r="AK301" s="928"/>
      <c r="AL301" s="928"/>
      <c r="AM301" s="928"/>
      <c r="AN301" s="928"/>
      <c r="AO301" s="928"/>
      <c r="AP301" s="928"/>
      <c r="AQ301" s="928"/>
      <c r="AR301" s="928"/>
      <c r="AS301" s="928"/>
    </row>
    <row r="302" spans="11:45">
      <c r="K302" s="957"/>
      <c r="L302" s="928"/>
      <c r="M302" s="928"/>
      <c r="N302" s="960"/>
      <c r="O302" s="960"/>
      <c r="P302" s="960"/>
      <c r="Q302" s="960"/>
      <c r="R302" s="960"/>
      <c r="S302" s="960"/>
      <c r="T302" s="960"/>
      <c r="U302" s="960"/>
      <c r="V302" s="960"/>
      <c r="W302" s="960"/>
      <c r="X302" s="960"/>
      <c r="Y302" s="960"/>
      <c r="Z302" s="960"/>
      <c r="AA302" s="960"/>
      <c r="AB302" s="928"/>
      <c r="AC302" s="928"/>
      <c r="AD302" s="928"/>
      <c r="AE302" s="928"/>
      <c r="AF302" s="928"/>
      <c r="AG302" s="928"/>
      <c r="AH302" s="928"/>
      <c r="AI302" s="928"/>
      <c r="AJ302" s="928"/>
      <c r="AK302" s="928"/>
      <c r="AL302" s="928"/>
      <c r="AM302" s="928"/>
      <c r="AN302" s="928"/>
      <c r="AO302" s="928"/>
      <c r="AP302" s="928"/>
      <c r="AQ302" s="928"/>
      <c r="AR302" s="928"/>
      <c r="AS302" s="928"/>
    </row>
    <row r="303" spans="11:45">
      <c r="K303" s="957"/>
      <c r="L303" s="928"/>
      <c r="M303" s="928"/>
      <c r="N303" s="960"/>
      <c r="O303" s="960"/>
      <c r="P303" s="960"/>
      <c r="Q303" s="960"/>
      <c r="R303" s="960"/>
      <c r="S303" s="960"/>
      <c r="T303" s="960"/>
      <c r="U303" s="960"/>
      <c r="V303" s="960"/>
      <c r="W303" s="960"/>
      <c r="X303" s="960"/>
      <c r="Y303" s="960"/>
      <c r="Z303" s="960"/>
      <c r="AA303" s="960"/>
      <c r="AB303" s="928"/>
      <c r="AC303" s="928"/>
      <c r="AD303" s="928"/>
      <c r="AE303" s="928"/>
      <c r="AF303" s="928"/>
      <c r="AG303" s="928"/>
      <c r="AH303" s="928"/>
      <c r="AI303" s="928"/>
      <c r="AJ303" s="928"/>
      <c r="AK303" s="928"/>
      <c r="AL303" s="928"/>
      <c r="AM303" s="928"/>
      <c r="AN303" s="928"/>
      <c r="AO303" s="928"/>
      <c r="AP303" s="928"/>
      <c r="AQ303" s="928"/>
      <c r="AR303" s="928"/>
      <c r="AS303" s="928"/>
    </row>
    <row r="304" spans="11:45">
      <c r="K304" s="957"/>
      <c r="L304" s="928"/>
      <c r="M304" s="928"/>
      <c r="N304" s="960"/>
      <c r="O304" s="960"/>
      <c r="P304" s="960"/>
      <c r="Q304" s="960"/>
      <c r="R304" s="960"/>
      <c r="S304" s="960"/>
      <c r="T304" s="960"/>
      <c r="U304" s="960"/>
      <c r="V304" s="960"/>
      <c r="W304" s="960"/>
      <c r="X304" s="960"/>
      <c r="Y304" s="960"/>
      <c r="Z304" s="960"/>
      <c r="AA304" s="960"/>
      <c r="AB304" s="928"/>
      <c r="AC304" s="928"/>
      <c r="AD304" s="928"/>
      <c r="AE304" s="928"/>
      <c r="AF304" s="928"/>
      <c r="AG304" s="928"/>
      <c r="AH304" s="928"/>
      <c r="AI304" s="928"/>
      <c r="AJ304" s="928"/>
      <c r="AK304" s="928"/>
      <c r="AL304" s="928"/>
      <c r="AM304" s="928"/>
      <c r="AN304" s="928"/>
      <c r="AO304" s="928"/>
      <c r="AP304" s="928"/>
      <c r="AQ304" s="928"/>
      <c r="AR304" s="928"/>
      <c r="AS304" s="928"/>
    </row>
    <row r="305" spans="11:45">
      <c r="K305" s="957"/>
      <c r="L305" s="928"/>
      <c r="M305" s="928"/>
      <c r="N305" s="960"/>
      <c r="O305" s="960"/>
      <c r="P305" s="960"/>
      <c r="Q305" s="960"/>
      <c r="R305" s="960"/>
      <c r="S305" s="960"/>
      <c r="T305" s="960"/>
      <c r="U305" s="960"/>
      <c r="V305" s="960"/>
      <c r="W305" s="960"/>
      <c r="X305" s="960"/>
      <c r="Y305" s="960"/>
      <c r="Z305" s="960"/>
      <c r="AA305" s="960"/>
      <c r="AB305" s="928"/>
      <c r="AC305" s="928"/>
      <c r="AD305" s="928"/>
      <c r="AE305" s="928"/>
      <c r="AF305" s="928"/>
      <c r="AG305" s="928"/>
      <c r="AH305" s="928"/>
      <c r="AI305" s="928"/>
      <c r="AJ305" s="928"/>
      <c r="AK305" s="928"/>
      <c r="AL305" s="928"/>
      <c r="AM305" s="928"/>
      <c r="AN305" s="928"/>
      <c r="AO305" s="928"/>
      <c r="AP305" s="928"/>
      <c r="AQ305" s="928"/>
      <c r="AR305" s="928"/>
      <c r="AS305" s="928"/>
    </row>
    <row r="306" spans="11:45">
      <c r="K306" s="957"/>
      <c r="L306" s="928"/>
      <c r="M306" s="928"/>
      <c r="N306" s="960"/>
      <c r="O306" s="960"/>
      <c r="P306" s="960"/>
      <c r="Q306" s="960"/>
      <c r="R306" s="960"/>
      <c r="S306" s="960"/>
      <c r="T306" s="960"/>
      <c r="U306" s="960"/>
      <c r="V306" s="960"/>
      <c r="W306" s="960"/>
      <c r="X306" s="960"/>
      <c r="Y306" s="960"/>
      <c r="Z306" s="960"/>
      <c r="AA306" s="960"/>
      <c r="AB306" s="928"/>
      <c r="AC306" s="928"/>
      <c r="AD306" s="928"/>
      <c r="AE306" s="928"/>
      <c r="AF306" s="928"/>
      <c r="AG306" s="928"/>
      <c r="AH306" s="928"/>
      <c r="AI306" s="928"/>
      <c r="AJ306" s="928"/>
      <c r="AK306" s="928"/>
      <c r="AL306" s="928"/>
      <c r="AM306" s="928"/>
      <c r="AN306" s="928"/>
      <c r="AO306" s="928"/>
      <c r="AP306" s="928"/>
      <c r="AQ306" s="928"/>
      <c r="AR306" s="928"/>
      <c r="AS306" s="928"/>
    </row>
    <row r="307" spans="11:45">
      <c r="K307" s="957"/>
      <c r="L307" s="928"/>
      <c r="M307" s="928"/>
      <c r="N307" s="960"/>
      <c r="O307" s="960"/>
      <c r="P307" s="960"/>
      <c r="Q307" s="960"/>
      <c r="R307" s="960"/>
      <c r="S307" s="960"/>
      <c r="T307" s="960"/>
      <c r="U307" s="960"/>
      <c r="V307" s="960"/>
      <c r="W307" s="960"/>
      <c r="X307" s="960"/>
      <c r="Y307" s="960"/>
      <c r="Z307" s="960"/>
      <c r="AA307" s="960"/>
      <c r="AB307" s="928"/>
      <c r="AC307" s="928"/>
      <c r="AD307" s="928"/>
      <c r="AE307" s="928"/>
      <c r="AF307" s="928"/>
      <c r="AG307" s="928"/>
      <c r="AH307" s="928"/>
      <c r="AI307" s="928"/>
      <c r="AJ307" s="928"/>
      <c r="AK307" s="928"/>
      <c r="AL307" s="928"/>
      <c r="AM307" s="928"/>
      <c r="AN307" s="928"/>
      <c r="AO307" s="928"/>
      <c r="AP307" s="928"/>
      <c r="AQ307" s="928"/>
      <c r="AR307" s="928"/>
      <c r="AS307" s="928"/>
    </row>
    <row r="308" spans="11:45">
      <c r="K308" s="957"/>
      <c r="L308" s="928"/>
      <c r="M308" s="928"/>
      <c r="N308" s="960"/>
      <c r="O308" s="960"/>
      <c r="P308" s="960"/>
      <c r="Q308" s="960"/>
      <c r="R308" s="960"/>
      <c r="W308" s="960"/>
      <c r="X308" s="960"/>
      <c r="Y308" s="960"/>
      <c r="Z308" s="960"/>
      <c r="AA308" s="960"/>
      <c r="AB308" s="928"/>
      <c r="AC308" s="928"/>
      <c r="AD308" s="928"/>
      <c r="AE308" s="928"/>
      <c r="AF308" s="928"/>
      <c r="AG308" s="928"/>
      <c r="AH308" s="928"/>
      <c r="AI308" s="928"/>
      <c r="AJ308" s="928"/>
      <c r="AK308" s="928"/>
      <c r="AL308" s="928"/>
      <c r="AM308" s="928"/>
      <c r="AN308" s="928"/>
      <c r="AO308" s="928"/>
      <c r="AP308" s="928"/>
      <c r="AQ308" s="928"/>
      <c r="AR308" s="928"/>
      <c r="AS308" s="928"/>
    </row>
    <row r="309" spans="11:45">
      <c r="K309" s="957"/>
      <c r="L309" s="928"/>
      <c r="M309" s="928"/>
      <c r="N309" s="960"/>
      <c r="O309" s="960"/>
      <c r="P309" s="960"/>
      <c r="Q309" s="960"/>
      <c r="R309" s="960"/>
      <c r="W309" s="960"/>
      <c r="X309" s="960"/>
      <c r="Y309" s="960"/>
      <c r="Z309" s="960"/>
      <c r="AA309" s="960"/>
      <c r="AB309" s="928"/>
      <c r="AC309" s="928"/>
      <c r="AD309" s="928"/>
      <c r="AE309" s="928"/>
      <c r="AF309" s="928"/>
      <c r="AG309" s="928"/>
      <c r="AH309" s="928"/>
      <c r="AI309" s="928"/>
      <c r="AJ309" s="928"/>
      <c r="AK309" s="928"/>
      <c r="AL309" s="928"/>
      <c r="AM309" s="928"/>
      <c r="AN309" s="928"/>
      <c r="AO309" s="928"/>
      <c r="AP309" s="928"/>
      <c r="AQ309" s="928"/>
      <c r="AR309" s="928"/>
      <c r="AS309" s="928"/>
    </row>
    <row r="310" spans="11:45">
      <c r="K310" s="957"/>
      <c r="L310" s="928"/>
      <c r="M310" s="928"/>
      <c r="N310" s="960"/>
      <c r="O310" s="960"/>
      <c r="P310" s="960"/>
      <c r="Q310" s="960"/>
      <c r="R310" s="960"/>
      <c r="W310" s="960"/>
      <c r="X310" s="960"/>
      <c r="Y310" s="960"/>
      <c r="Z310" s="960"/>
      <c r="AA310" s="960"/>
      <c r="AB310" s="928"/>
      <c r="AC310" s="928"/>
      <c r="AD310" s="928"/>
      <c r="AE310" s="928"/>
      <c r="AF310" s="928"/>
      <c r="AG310" s="928"/>
      <c r="AH310" s="928"/>
      <c r="AI310" s="928"/>
      <c r="AJ310" s="928"/>
      <c r="AK310" s="928"/>
      <c r="AL310" s="928"/>
      <c r="AM310" s="928"/>
      <c r="AN310" s="928"/>
      <c r="AO310" s="928"/>
      <c r="AP310" s="928"/>
      <c r="AQ310" s="928"/>
      <c r="AR310" s="928"/>
      <c r="AS310" s="928"/>
    </row>
    <row r="311" spans="11:45">
      <c r="K311" s="957"/>
      <c r="L311" s="928"/>
      <c r="M311" s="928"/>
      <c r="N311" s="960"/>
      <c r="O311" s="960"/>
      <c r="P311" s="960"/>
      <c r="Q311" s="960"/>
      <c r="R311" s="960"/>
      <c r="W311" s="960"/>
      <c r="X311" s="960"/>
      <c r="Y311" s="960"/>
      <c r="Z311" s="960"/>
      <c r="AA311" s="960"/>
      <c r="AB311" s="928"/>
      <c r="AC311" s="928"/>
      <c r="AD311" s="928"/>
      <c r="AE311" s="928"/>
      <c r="AF311" s="928"/>
      <c r="AG311" s="928"/>
      <c r="AH311" s="928"/>
      <c r="AI311" s="928"/>
      <c r="AJ311" s="928"/>
      <c r="AK311" s="928"/>
      <c r="AL311" s="928"/>
      <c r="AM311" s="928"/>
      <c r="AN311" s="928"/>
      <c r="AO311" s="928"/>
      <c r="AP311" s="928"/>
      <c r="AQ311" s="928"/>
      <c r="AR311" s="928"/>
      <c r="AS311" s="928"/>
    </row>
  </sheetData>
  <sheetProtection sheet="1" objects="1" scenarios="1"/>
  <mergeCells count="80">
    <mergeCell ref="B25:M25"/>
    <mergeCell ref="A27:C27"/>
    <mergeCell ref="E27:H27"/>
    <mergeCell ref="L27:M27"/>
    <mergeCell ref="A28:C28"/>
    <mergeCell ref="E28:H28"/>
    <mergeCell ref="L28:M28"/>
    <mergeCell ref="L22:M23"/>
    <mergeCell ref="A20:A21"/>
    <mergeCell ref="B20:B21"/>
    <mergeCell ref="C20:C21"/>
    <mergeCell ref="J20:J21"/>
    <mergeCell ref="K20:K21"/>
    <mergeCell ref="L20:M21"/>
    <mergeCell ref="A22:A23"/>
    <mergeCell ref="B22:B23"/>
    <mergeCell ref="C22:C23"/>
    <mergeCell ref="J22:J23"/>
    <mergeCell ref="K22:K23"/>
    <mergeCell ref="L18:M19"/>
    <mergeCell ref="A16:A17"/>
    <mergeCell ref="B16:B17"/>
    <mergeCell ref="C16:C17"/>
    <mergeCell ref="J16:J17"/>
    <mergeCell ref="K16:K17"/>
    <mergeCell ref="L16:M17"/>
    <mergeCell ref="A18:A19"/>
    <mergeCell ref="B18:B19"/>
    <mergeCell ref="C18:C19"/>
    <mergeCell ref="J18:J19"/>
    <mergeCell ref="K18:K19"/>
    <mergeCell ref="L14:M15"/>
    <mergeCell ref="A12:A13"/>
    <mergeCell ref="B12:B13"/>
    <mergeCell ref="C12:C13"/>
    <mergeCell ref="J12:J13"/>
    <mergeCell ref="K12:K13"/>
    <mergeCell ref="L12:M13"/>
    <mergeCell ref="A14:A15"/>
    <mergeCell ref="B14:B15"/>
    <mergeCell ref="C14:C15"/>
    <mergeCell ref="J14:J15"/>
    <mergeCell ref="K14:K15"/>
    <mergeCell ref="I8:I9"/>
    <mergeCell ref="J8:M8"/>
    <mergeCell ref="L9:M9"/>
    <mergeCell ref="A10:A11"/>
    <mergeCell ref="B10:B11"/>
    <mergeCell ref="C10:C11"/>
    <mergeCell ref="J10:J11"/>
    <mergeCell ref="K10:K11"/>
    <mergeCell ref="L10:M11"/>
    <mergeCell ref="A8:A9"/>
    <mergeCell ref="B8:B9"/>
    <mergeCell ref="C8:C9"/>
    <mergeCell ref="D8:E9"/>
    <mergeCell ref="F8:G9"/>
    <mergeCell ref="H8:H9"/>
    <mergeCell ref="A6:C6"/>
    <mergeCell ref="D6:G6"/>
    <mergeCell ref="H6:I6"/>
    <mergeCell ref="K6:M6"/>
    <mergeCell ref="A7:B7"/>
    <mergeCell ref="C7:D7"/>
    <mergeCell ref="E7:H7"/>
    <mergeCell ref="I7:J7"/>
    <mergeCell ref="K7:M7"/>
    <mergeCell ref="D4:E4"/>
    <mergeCell ref="I4:J4"/>
    <mergeCell ref="K4:L4"/>
    <mergeCell ref="B5:D5"/>
    <mergeCell ref="E5:G5"/>
    <mergeCell ref="H5:J5"/>
    <mergeCell ref="K5:L5"/>
    <mergeCell ref="C1:H1"/>
    <mergeCell ref="J1:K1"/>
    <mergeCell ref="L1:M1"/>
    <mergeCell ref="B2:G2"/>
    <mergeCell ref="H2:I2"/>
    <mergeCell ref="J2:M2"/>
  </mergeCells>
  <dataValidations count="11">
    <dataValidation type="list" errorStyle="information" allowBlank="1" showInputMessage="1" showErrorMessage="1" error="Check type before proceeding" sqref="K7:M7">
      <formula1>ObservationType</formula1>
    </dataValidation>
    <dataValidation type="list" errorStyle="information" allowBlank="1" showInputMessage="1" showErrorMessage="1" errorTitle="Slope" error="Check slope value" prompt="Land Slope" sqref="G4">
      <formula1>Slope</formula1>
    </dataValidation>
    <dataValidation type="list" allowBlank="1" sqref="I4">
      <formula1>SlopeShape</formula1>
    </dataValidation>
    <dataValidation type="list" allowBlank="1" sqref="B22 B18 B10 B12 B14 B16 B20">
      <formula1>SoilTexture7080</formula1>
    </dataValidation>
    <dataValidation type="list" allowBlank="1" sqref="C22 C18 C10 C12 C14 C16 C20">
      <formula1>CoarseFragments</formula1>
    </dataValidation>
    <dataValidation type="list" allowBlank="1" sqref="L22 L10 L12 L14 L16 L18 L20">
      <formula1>StructureConsistence</formula1>
    </dataValidation>
    <dataValidation type="list" allowBlank="1" sqref="K22 K18 K10 K12 K14 K16 K20">
      <formula1>StructureGrade</formula1>
    </dataValidation>
    <dataValidation type="list" allowBlank="1" sqref="J22 J18 J10 J12 J14 J16 J20">
      <formula1>StructureShape</formula1>
    </dataValidation>
    <dataValidation type="list" allowBlank="1" sqref="E10:E23 G10:G23">
      <formula1>ValueChroma</formula1>
    </dataValidation>
    <dataValidation type="list" allowBlank="1" sqref="F10:F23 D10:D23">
      <formula1>Hue</formula1>
    </dataValidation>
    <dataValidation type="list" allowBlank="1" showInputMessage="1" showErrorMessage="1" sqref="B24">
      <formula1>#REF!</formula1>
    </dataValidation>
  </dataValidations>
  <printOptions horizontalCentered="1" verticalCentered="1"/>
  <pageMargins left="0.25" right="0.25" top="0.25" bottom="0.25" header="0" footer="0"/>
  <pageSetup fitToHeight="0" orientation="landscape"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3841025" r:id="rId4" name="Check Box 1">
              <controlPr defaultSize="0" autoFill="0" autoLine="0" autoPict="0">
                <anchor moveWithCells="1" sizeWithCells="1">
                  <from>
                    <xdr:col>4</xdr:col>
                    <xdr:colOff>312420</xdr:colOff>
                    <xdr:row>2</xdr:row>
                    <xdr:rowOff>45720</xdr:rowOff>
                  </from>
                  <to>
                    <xdr:col>6</xdr:col>
                    <xdr:colOff>304800</xdr:colOff>
                    <xdr:row>2</xdr:row>
                    <xdr:rowOff>259080</xdr:rowOff>
                  </to>
                </anchor>
              </controlPr>
            </control>
          </mc:Choice>
        </mc:AlternateContent>
        <mc:AlternateContent xmlns:mc="http://schemas.openxmlformats.org/markup-compatibility/2006">
          <mc:Choice Requires="x14">
            <control shapeId="3841026" r:id="rId5" name="Check Box 2">
              <controlPr defaultSize="0" autoFill="0" autoLine="0" autoPict="0">
                <anchor moveWithCells="1" sizeWithCells="1">
                  <from>
                    <xdr:col>5</xdr:col>
                    <xdr:colOff>419100</xdr:colOff>
                    <xdr:row>2</xdr:row>
                    <xdr:rowOff>45720</xdr:rowOff>
                  </from>
                  <to>
                    <xdr:col>7</xdr:col>
                    <xdr:colOff>411480</xdr:colOff>
                    <xdr:row>2</xdr:row>
                    <xdr:rowOff>259080</xdr:rowOff>
                  </to>
                </anchor>
              </controlPr>
            </control>
          </mc:Choice>
        </mc:AlternateContent>
        <mc:AlternateContent xmlns:mc="http://schemas.openxmlformats.org/markup-compatibility/2006">
          <mc:Choice Requires="x14">
            <control shapeId="3841027" r:id="rId6" name="Check Box 3">
              <controlPr defaultSize="0" autoFill="0" autoLine="0" autoPict="0">
                <anchor moveWithCells="1" sizeWithCells="1">
                  <from>
                    <xdr:col>7</xdr:col>
                    <xdr:colOff>182880</xdr:colOff>
                    <xdr:row>2</xdr:row>
                    <xdr:rowOff>45720</xdr:rowOff>
                  </from>
                  <to>
                    <xdr:col>8</xdr:col>
                    <xdr:colOff>220980</xdr:colOff>
                    <xdr:row>2</xdr:row>
                    <xdr:rowOff>259080</xdr:rowOff>
                  </to>
                </anchor>
              </controlPr>
            </control>
          </mc:Choice>
        </mc:AlternateContent>
        <mc:AlternateContent xmlns:mc="http://schemas.openxmlformats.org/markup-compatibility/2006">
          <mc:Choice Requires="x14">
            <control shapeId="3841028" r:id="rId7" name="Check Box 4">
              <controlPr defaultSize="0" autoFill="0" autoLine="0" autoPict="0">
                <anchor moveWithCells="1" sizeWithCells="1">
                  <from>
                    <xdr:col>7</xdr:col>
                    <xdr:colOff>731520</xdr:colOff>
                    <xdr:row>2</xdr:row>
                    <xdr:rowOff>45720</xdr:rowOff>
                  </from>
                  <to>
                    <xdr:col>9</xdr:col>
                    <xdr:colOff>45720</xdr:colOff>
                    <xdr:row>2</xdr:row>
                    <xdr:rowOff>259080</xdr:rowOff>
                  </to>
                </anchor>
              </controlPr>
            </control>
          </mc:Choice>
        </mc:AlternateContent>
        <mc:AlternateContent xmlns:mc="http://schemas.openxmlformats.org/markup-compatibility/2006">
          <mc:Choice Requires="x14">
            <control shapeId="3841029" r:id="rId8" name="Check Box 5">
              <controlPr defaultSize="0" autoFill="0" autoLine="0" autoPict="0">
                <anchor moveWithCells="1" sizeWithCells="1">
                  <from>
                    <xdr:col>8</xdr:col>
                    <xdr:colOff>350520</xdr:colOff>
                    <xdr:row>2</xdr:row>
                    <xdr:rowOff>45720</xdr:rowOff>
                  </from>
                  <to>
                    <xdr:col>9</xdr:col>
                    <xdr:colOff>609600</xdr:colOff>
                    <xdr:row>2</xdr:row>
                    <xdr:rowOff>259080</xdr:rowOff>
                  </to>
                </anchor>
              </controlPr>
            </control>
          </mc:Choice>
        </mc:AlternateContent>
        <mc:AlternateContent xmlns:mc="http://schemas.openxmlformats.org/markup-compatibility/2006">
          <mc:Choice Requires="x14">
            <control shapeId="3841030" r:id="rId9" name="Check Box 6">
              <controlPr defaultSize="0" autoFill="0" autoLine="0" autoPict="0">
                <anchor moveWithCells="1" sizeWithCells="1">
                  <from>
                    <xdr:col>9</xdr:col>
                    <xdr:colOff>388620</xdr:colOff>
                    <xdr:row>2</xdr:row>
                    <xdr:rowOff>45720</xdr:rowOff>
                  </from>
                  <to>
                    <xdr:col>10</xdr:col>
                    <xdr:colOff>617220</xdr:colOff>
                    <xdr:row>2</xdr:row>
                    <xdr:rowOff>259080</xdr:rowOff>
                  </to>
                </anchor>
              </controlPr>
            </control>
          </mc:Choice>
        </mc:AlternateContent>
        <mc:AlternateContent xmlns:mc="http://schemas.openxmlformats.org/markup-compatibility/2006">
          <mc:Choice Requires="x14">
            <control shapeId="3841031" r:id="rId10" name="Check Box 7">
              <controlPr defaultSize="0" autoFill="0" autoLine="0" autoPict="0">
                <anchor moveWithCells="1" sizeWithCells="1">
                  <from>
                    <xdr:col>10</xdr:col>
                    <xdr:colOff>426720</xdr:colOff>
                    <xdr:row>2</xdr:row>
                    <xdr:rowOff>45720</xdr:rowOff>
                  </from>
                  <to>
                    <xdr:col>11</xdr:col>
                    <xdr:colOff>541020</xdr:colOff>
                    <xdr:row>2</xdr:row>
                    <xdr:rowOff>259080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x14:formula1>
            <xm:f>'Drop-Down Lists'!$F$2:$F$34</xm:f>
          </x14:formula1>
          <xm:sqref>I10:I23</xm:sqref>
        </x14:dataValidation>
        <x14:dataValidation type="list" allowBlank="1">
          <x14:formula1>
            <xm:f>'Drop-Down Lists'!$C$13:$C$20</xm:f>
          </x14:formula1>
          <xm:sqref>H10:H23</xm:sqref>
        </x14:dataValidation>
        <x14:dataValidation type="list" allowBlank="1" showInputMessage="1">
          <x14:formula1>
            <xm:f>'Drop-Down Lists'!$D$63:$D$68</xm:f>
          </x14:formula1>
          <xm:sqref>B5:D5</xm:sqref>
        </x14:dataValidation>
        <x14:dataValidation type="list" allowBlank="1">
          <x14:formula1>
            <xm:f>'Drop-Down Lists'!$I$40:$I$44</xm:f>
          </x14:formula1>
          <xm:sqref>D4:E4</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pageSetUpPr fitToPage="1"/>
  </sheetPr>
  <dimension ref="A1:AS311"/>
  <sheetViews>
    <sheetView view="pageBreakPreview" zoomScaleNormal="100" zoomScaleSheetLayoutView="100" workbookViewId="0">
      <selection activeCell="D4" sqref="D4:E4"/>
    </sheetView>
  </sheetViews>
  <sheetFormatPr defaultColWidth="9.109375" defaultRowHeight="14.4"/>
  <cols>
    <col min="1" max="1" width="10.44140625" style="929" customWidth="1"/>
    <col min="2" max="2" width="11.44140625" style="929" customWidth="1"/>
    <col min="3" max="3" width="7.88671875" style="929" customWidth="1"/>
    <col min="4" max="7" width="7.44140625" style="929" customWidth="1"/>
    <col min="8" max="8" width="14.44140625" style="929" customWidth="1"/>
    <col min="9" max="9" width="11.109375" style="929" customWidth="1"/>
    <col min="10" max="10" width="11.44140625" style="929" customWidth="1"/>
    <col min="11" max="11" width="13.44140625" style="929" customWidth="1"/>
    <col min="12" max="13" width="9.109375" style="929"/>
    <col min="14" max="14" width="13.109375" style="969" customWidth="1"/>
    <col min="15" max="15" width="7.88671875" style="969" customWidth="1"/>
    <col min="16" max="27" width="9.109375" style="969"/>
    <col min="28" max="16384" width="9.109375" style="929"/>
  </cols>
  <sheetData>
    <row r="1" spans="1:45" ht="45.75" customHeight="1" thickBot="1">
      <c r="A1" s="923"/>
      <c r="B1" s="924"/>
      <c r="C1" s="2844" t="s">
        <v>1746</v>
      </c>
      <c r="D1" s="2844"/>
      <c r="E1" s="2844"/>
      <c r="F1" s="2844"/>
      <c r="G1" s="2844"/>
      <c r="H1" s="2844"/>
      <c r="I1" s="2050" t="s">
        <v>1015</v>
      </c>
      <c r="J1" s="2845" t="str">
        <f>IF(ISBLANK(Prelim!S5)," ",Prelim!S5)</f>
        <v xml:space="preserve"> </v>
      </c>
      <c r="K1" s="2845"/>
      <c r="L1" s="2845" t="str">
        <f>'Drop-Down Lists'!J40</f>
        <v>v 04.01.2021</v>
      </c>
      <c r="M1" s="2845"/>
      <c r="N1" s="926"/>
      <c r="O1" s="926"/>
      <c r="P1" s="926"/>
      <c r="Q1" s="926"/>
      <c r="R1" s="926"/>
      <c r="S1" s="926"/>
      <c r="T1" s="926"/>
      <c r="U1" s="926"/>
      <c r="V1" s="926"/>
      <c r="W1" s="926"/>
      <c r="X1" s="926"/>
      <c r="Y1" s="926"/>
      <c r="Z1" s="926"/>
      <c r="AA1" s="926"/>
      <c r="AB1" s="927"/>
      <c r="AC1" s="928"/>
      <c r="AD1" s="928"/>
      <c r="AE1" s="928"/>
      <c r="AF1" s="928"/>
      <c r="AG1" s="928"/>
      <c r="AH1" s="928"/>
      <c r="AI1" s="928"/>
      <c r="AJ1" s="928"/>
      <c r="AK1" s="928"/>
      <c r="AL1" s="928"/>
      <c r="AM1" s="928"/>
      <c r="AN1" s="928"/>
      <c r="AO1" s="928"/>
      <c r="AP1" s="928"/>
      <c r="AQ1" s="928"/>
      <c r="AR1" s="928"/>
      <c r="AS1" s="928"/>
    </row>
    <row r="2" spans="1:45" ht="21.9" customHeight="1">
      <c r="A2" s="2160" t="s">
        <v>1774</v>
      </c>
      <c r="B2" s="2846" t="str">
        <f>IF(ISBLANK(Prelim!G3),"  ", Prelim!G3)</f>
        <v xml:space="preserve">  </v>
      </c>
      <c r="C2" s="2846"/>
      <c r="D2" s="2846"/>
      <c r="E2" s="2846"/>
      <c r="F2" s="2846"/>
      <c r="G2" s="2847"/>
      <c r="H2" s="2848" t="s">
        <v>1775</v>
      </c>
      <c r="I2" s="2849"/>
      <c r="J2" s="2850" t="str">
        <f>IF(ISBLANK(Prelim!G5), " ", Prelim!G5)</f>
        <v xml:space="preserve"> </v>
      </c>
      <c r="K2" s="2850"/>
      <c r="L2" s="2850"/>
      <c r="M2" s="2851"/>
      <c r="N2" s="926"/>
      <c r="O2" s="930"/>
      <c r="P2" s="930"/>
      <c r="Q2" s="930"/>
      <c r="R2" s="930"/>
      <c r="S2" s="930"/>
      <c r="T2" s="930"/>
      <c r="U2" s="930"/>
      <c r="V2" s="930"/>
      <c r="W2" s="930"/>
      <c r="X2" s="930"/>
      <c r="Y2" s="930"/>
      <c r="Z2" s="930"/>
      <c r="AA2" s="926"/>
      <c r="AB2" s="927"/>
      <c r="AC2" s="928"/>
      <c r="AD2" s="928"/>
      <c r="AE2" s="928"/>
      <c r="AF2" s="928"/>
      <c r="AG2" s="928"/>
      <c r="AH2" s="928"/>
      <c r="AI2" s="928"/>
      <c r="AJ2" s="928"/>
      <c r="AK2" s="928"/>
      <c r="AL2" s="928"/>
      <c r="AM2" s="928"/>
      <c r="AN2" s="928"/>
      <c r="AO2" s="928"/>
      <c r="AP2" s="928"/>
      <c r="AQ2" s="928"/>
      <c r="AR2" s="928"/>
      <c r="AS2" s="928"/>
    </row>
    <row r="3" spans="1:45" ht="21.9" customHeight="1">
      <c r="A3" s="2051" t="s">
        <v>1139</v>
      </c>
      <c r="B3" s="925"/>
      <c r="C3" s="925"/>
      <c r="D3" s="925"/>
      <c r="E3" s="925"/>
      <c r="F3" s="925"/>
      <c r="G3" s="925"/>
      <c r="H3" s="925"/>
      <c r="I3" s="925"/>
      <c r="J3" s="925"/>
      <c r="K3" s="925"/>
      <c r="L3" s="925"/>
      <c r="M3" s="2052"/>
      <c r="N3" s="926"/>
      <c r="O3" s="930"/>
      <c r="P3" s="930"/>
      <c r="Q3" s="930"/>
      <c r="R3" s="930"/>
      <c r="S3" s="930"/>
      <c r="T3" s="930"/>
      <c r="U3" s="930"/>
      <c r="V3" s="930"/>
      <c r="W3" s="930"/>
      <c r="X3" s="930"/>
      <c r="Y3" s="930"/>
      <c r="Z3" s="930"/>
      <c r="AA3" s="926"/>
      <c r="AB3" s="927"/>
      <c r="AC3" s="928"/>
      <c r="AD3" s="928"/>
      <c r="AE3" s="928"/>
      <c r="AF3" s="928"/>
      <c r="AG3" s="928"/>
      <c r="AH3" s="928"/>
      <c r="AI3" s="928"/>
      <c r="AJ3" s="928"/>
      <c r="AK3" s="928"/>
      <c r="AL3" s="928"/>
      <c r="AM3" s="928"/>
      <c r="AN3" s="928"/>
      <c r="AO3" s="928"/>
      <c r="AP3" s="928"/>
      <c r="AQ3" s="928"/>
      <c r="AR3" s="928"/>
      <c r="AS3" s="928"/>
    </row>
    <row r="4" spans="1:45" ht="24" customHeight="1">
      <c r="A4" s="931" t="s">
        <v>1921</v>
      </c>
      <c r="B4" s="932"/>
      <c r="C4" s="932"/>
      <c r="D4" s="2852"/>
      <c r="E4" s="2853"/>
      <c r="F4" s="2053" t="s">
        <v>1590</v>
      </c>
      <c r="G4" s="2054"/>
      <c r="H4" s="2053" t="s">
        <v>1140</v>
      </c>
      <c r="I4" s="2854"/>
      <c r="J4" s="2855"/>
      <c r="K4" s="2856" t="s">
        <v>1922</v>
      </c>
      <c r="L4" s="2857"/>
      <c r="M4" s="2262"/>
      <c r="N4" s="926"/>
      <c r="O4" s="930"/>
      <c r="P4" s="930"/>
      <c r="Q4" s="933"/>
      <c r="R4" s="933"/>
      <c r="S4" s="933"/>
      <c r="T4" s="933"/>
      <c r="U4" s="930"/>
      <c r="V4" s="930"/>
      <c r="W4" s="930"/>
      <c r="X4" s="930"/>
      <c r="Y4" s="930"/>
      <c r="Z4" s="930"/>
      <c r="AA4" s="926"/>
      <c r="AB4" s="927"/>
      <c r="AC4" s="928"/>
      <c r="AD4" s="928"/>
      <c r="AE4" s="928"/>
      <c r="AF4" s="928"/>
      <c r="AG4" s="928"/>
      <c r="AH4" s="928"/>
      <c r="AI4" s="928"/>
      <c r="AJ4" s="928"/>
      <c r="AK4" s="928"/>
      <c r="AL4" s="928"/>
      <c r="AM4" s="928"/>
      <c r="AN4" s="928"/>
      <c r="AO4" s="928"/>
      <c r="AP4" s="928"/>
      <c r="AQ4" s="928"/>
      <c r="AR4" s="928"/>
      <c r="AS4" s="928"/>
    </row>
    <row r="5" spans="1:45" ht="21.9" customHeight="1">
      <c r="A5" s="2257" t="s">
        <v>1589</v>
      </c>
      <c r="B5" s="2854"/>
      <c r="C5" s="2854"/>
      <c r="D5" s="2855"/>
      <c r="E5" s="2858" t="s">
        <v>1588</v>
      </c>
      <c r="F5" s="2859"/>
      <c r="G5" s="2859"/>
      <c r="H5" s="2854"/>
      <c r="I5" s="2854"/>
      <c r="J5" s="2855"/>
      <c r="K5" s="2860" t="s">
        <v>1925</v>
      </c>
      <c r="L5" s="2861"/>
      <c r="M5" s="2239"/>
      <c r="N5" s="926"/>
      <c r="O5" s="933"/>
      <c r="P5" s="930"/>
      <c r="Q5" s="930"/>
      <c r="R5" s="930"/>
      <c r="S5" s="933"/>
      <c r="T5" s="933"/>
      <c r="U5" s="930"/>
      <c r="V5" s="930"/>
      <c r="W5" s="930"/>
      <c r="X5" s="930"/>
      <c r="Y5" s="930"/>
      <c r="Z5" s="930"/>
      <c r="AA5" s="926"/>
      <c r="AB5" s="927"/>
      <c r="AC5" s="928"/>
      <c r="AD5" s="928"/>
      <c r="AE5" s="928"/>
      <c r="AF5" s="928"/>
      <c r="AG5" s="928"/>
      <c r="AH5" s="928"/>
      <c r="AI5" s="928"/>
      <c r="AJ5" s="928"/>
      <c r="AK5" s="928"/>
      <c r="AL5" s="928"/>
      <c r="AM5" s="928"/>
      <c r="AN5" s="928"/>
      <c r="AO5" s="928"/>
      <c r="AP5" s="928"/>
      <c r="AQ5" s="928"/>
      <c r="AR5" s="928"/>
      <c r="AS5" s="928"/>
    </row>
    <row r="6" spans="1:45" ht="21.9" customHeight="1">
      <c r="A6" s="2862" t="s">
        <v>1141</v>
      </c>
      <c r="B6" s="2863"/>
      <c r="C6" s="2863"/>
      <c r="D6" s="2864"/>
      <c r="E6" s="2864"/>
      <c r="F6" s="2864"/>
      <c r="G6" s="2864"/>
      <c r="H6" s="2865"/>
      <c r="I6" s="2855"/>
      <c r="J6" s="2252" t="s">
        <v>1128</v>
      </c>
      <c r="K6" s="2866"/>
      <c r="L6" s="2866"/>
      <c r="M6" s="2867"/>
      <c r="N6" s="926"/>
      <c r="O6" s="1887"/>
      <c r="P6" s="1887"/>
      <c r="Q6" s="934"/>
      <c r="R6" s="934"/>
      <c r="S6" s="933"/>
      <c r="T6" s="933"/>
      <c r="U6" s="930"/>
      <c r="V6" s="930"/>
      <c r="W6" s="930"/>
      <c r="X6" s="930"/>
      <c r="Y6" s="930"/>
      <c r="Z6" s="930"/>
      <c r="AA6" s="926"/>
      <c r="AB6" s="927"/>
      <c r="AC6" s="928"/>
      <c r="AD6" s="928"/>
      <c r="AE6" s="928"/>
      <c r="AF6" s="928"/>
      <c r="AG6" s="928"/>
      <c r="AH6" s="928"/>
      <c r="AI6" s="928"/>
      <c r="AJ6" s="928"/>
      <c r="AK6" s="928"/>
      <c r="AL6" s="928"/>
      <c r="AM6" s="928"/>
      <c r="AN6" s="928"/>
      <c r="AO6" s="928"/>
      <c r="AP6" s="928"/>
      <c r="AQ6" s="928"/>
      <c r="AR6" s="928"/>
      <c r="AS6" s="928"/>
    </row>
    <row r="7" spans="1:45" ht="21.9" customHeight="1" thickBot="1">
      <c r="A7" s="2868" t="s">
        <v>1142</v>
      </c>
      <c r="B7" s="2869"/>
      <c r="C7" s="2870"/>
      <c r="D7" s="2870"/>
      <c r="E7" s="2870"/>
      <c r="F7" s="2870"/>
      <c r="G7" s="2870"/>
      <c r="H7" s="2870"/>
      <c r="I7" s="2871" t="s">
        <v>1143</v>
      </c>
      <c r="J7" s="2872"/>
      <c r="K7" s="2873"/>
      <c r="L7" s="2873"/>
      <c r="M7" s="2874"/>
      <c r="N7" s="930"/>
      <c r="O7" s="930"/>
      <c r="P7" s="930"/>
      <c r="Q7" s="930"/>
      <c r="R7" s="930"/>
      <c r="S7" s="930"/>
      <c r="T7" s="930"/>
      <c r="U7" s="930"/>
      <c r="V7" s="930"/>
      <c r="W7" s="930"/>
      <c r="X7" s="926"/>
      <c r="Y7" s="927"/>
      <c r="Z7" s="928"/>
      <c r="AA7" s="928"/>
      <c r="AB7" s="928"/>
      <c r="AC7" s="928"/>
      <c r="AD7" s="928"/>
      <c r="AE7" s="928"/>
      <c r="AF7" s="928"/>
      <c r="AG7" s="928"/>
      <c r="AH7" s="928"/>
      <c r="AI7" s="928"/>
      <c r="AJ7" s="928"/>
      <c r="AK7" s="928"/>
      <c r="AL7" s="928"/>
      <c r="AM7" s="928"/>
      <c r="AN7" s="928"/>
      <c r="AO7" s="928"/>
      <c r="AP7" s="928"/>
    </row>
    <row r="8" spans="1:45" ht="14.1" customHeight="1">
      <c r="A8" s="2892" t="s">
        <v>1144</v>
      </c>
      <c r="B8" s="2875" t="s">
        <v>669</v>
      </c>
      <c r="C8" s="2894" t="s">
        <v>1145</v>
      </c>
      <c r="D8" s="2896" t="s">
        <v>1146</v>
      </c>
      <c r="E8" s="2897"/>
      <c r="F8" s="2896" t="s">
        <v>1147</v>
      </c>
      <c r="G8" s="2900"/>
      <c r="H8" s="2875" t="s">
        <v>1148</v>
      </c>
      <c r="I8" s="2875" t="s">
        <v>1149</v>
      </c>
      <c r="J8" s="2877" t="s">
        <v>1150</v>
      </c>
      <c r="K8" s="2877"/>
      <c r="L8" s="2877"/>
      <c r="M8" s="2878"/>
      <c r="N8" s="926"/>
      <c r="O8" s="930"/>
      <c r="P8" s="930"/>
      <c r="Q8" s="930"/>
      <c r="R8" s="930"/>
      <c r="S8" s="930"/>
      <c r="T8" s="930"/>
      <c r="U8" s="930"/>
      <c r="V8" s="930"/>
      <c r="W8" s="930"/>
      <c r="X8" s="930"/>
      <c r="Y8" s="930"/>
      <c r="Z8" s="930"/>
      <c r="AA8" s="926"/>
      <c r="AB8" s="927"/>
      <c r="AC8" s="928"/>
      <c r="AD8" s="928"/>
      <c r="AE8" s="928"/>
      <c r="AF8" s="928"/>
      <c r="AG8" s="928"/>
      <c r="AH8" s="928"/>
      <c r="AI8" s="928"/>
      <c r="AJ8" s="928"/>
      <c r="AK8" s="928"/>
      <c r="AL8" s="928"/>
      <c r="AM8" s="928"/>
      <c r="AN8" s="928"/>
      <c r="AO8" s="928"/>
      <c r="AP8" s="928"/>
      <c r="AQ8" s="928"/>
      <c r="AR8" s="928"/>
      <c r="AS8" s="928"/>
    </row>
    <row r="9" spans="1:45" ht="14.1" customHeight="1" thickBot="1">
      <c r="A9" s="2893"/>
      <c r="B9" s="2876"/>
      <c r="C9" s="2895"/>
      <c r="D9" s="2898"/>
      <c r="E9" s="2899"/>
      <c r="F9" s="2901"/>
      <c r="G9" s="2902"/>
      <c r="H9" s="2876"/>
      <c r="I9" s="2876"/>
      <c r="J9" s="2253" t="s">
        <v>1151</v>
      </c>
      <c r="K9" s="2253" t="s">
        <v>671</v>
      </c>
      <c r="L9" s="2876" t="s">
        <v>672</v>
      </c>
      <c r="M9" s="2879"/>
      <c r="N9" s="926"/>
      <c r="O9" s="930"/>
      <c r="P9" s="930"/>
      <c r="Q9" s="930"/>
      <c r="R9" s="935"/>
      <c r="S9" s="936"/>
      <c r="T9" s="930"/>
      <c r="U9" s="930"/>
      <c r="V9" s="930"/>
      <c r="W9" s="930"/>
      <c r="X9" s="930"/>
      <c r="Y9" s="930"/>
      <c r="Z9" s="930"/>
      <c r="AA9" s="926"/>
      <c r="AB9" s="927"/>
      <c r="AC9" s="928"/>
      <c r="AD9" s="928"/>
      <c r="AE9" s="928"/>
      <c r="AF9" s="928"/>
      <c r="AG9" s="928"/>
      <c r="AH9" s="928"/>
      <c r="AI9" s="928"/>
      <c r="AJ9" s="928"/>
      <c r="AK9" s="928"/>
      <c r="AL9" s="928"/>
      <c r="AM9" s="928"/>
      <c r="AN9" s="928"/>
      <c r="AO9" s="928"/>
      <c r="AP9" s="928"/>
      <c r="AQ9" s="928"/>
      <c r="AR9" s="928"/>
      <c r="AS9" s="928"/>
    </row>
    <row r="10" spans="1:45" ht="21.9" customHeight="1" thickTop="1">
      <c r="A10" s="2880"/>
      <c r="B10" s="2882"/>
      <c r="C10" s="2884"/>
      <c r="D10" s="2027"/>
      <c r="E10" s="2028"/>
      <c r="F10" s="2027"/>
      <c r="G10" s="2028"/>
      <c r="H10" s="2254"/>
      <c r="I10" s="2254"/>
      <c r="J10" s="2886"/>
      <c r="K10" s="2886"/>
      <c r="L10" s="2888"/>
      <c r="M10" s="2889"/>
      <c r="N10" s="937"/>
      <c r="O10" s="930"/>
      <c r="P10" s="930"/>
      <c r="Q10" s="930"/>
      <c r="R10" s="1887"/>
      <c r="S10" s="936"/>
      <c r="T10" s="930"/>
      <c r="U10" s="930"/>
      <c r="V10" s="930"/>
      <c r="W10" s="930"/>
      <c r="X10" s="930"/>
      <c r="Y10" s="930"/>
      <c r="Z10" s="930"/>
      <c r="AA10" s="926"/>
      <c r="AB10" s="926"/>
      <c r="AC10" s="928"/>
      <c r="AD10" s="928"/>
      <c r="AE10" s="928"/>
      <c r="AF10" s="928"/>
      <c r="AG10" s="928"/>
      <c r="AH10" s="928"/>
      <c r="AI10" s="928"/>
      <c r="AJ10" s="928"/>
      <c r="AK10" s="928"/>
      <c r="AL10" s="928"/>
      <c r="AM10" s="928"/>
      <c r="AN10" s="928"/>
      <c r="AO10" s="928"/>
      <c r="AP10" s="928"/>
      <c r="AQ10" s="928"/>
      <c r="AR10" s="928"/>
      <c r="AS10" s="928"/>
    </row>
    <row r="11" spans="1:45" ht="21.9" customHeight="1">
      <c r="A11" s="2881"/>
      <c r="B11" s="2883"/>
      <c r="C11" s="2885"/>
      <c r="D11" s="2027"/>
      <c r="E11" s="2028"/>
      <c r="F11" s="2027"/>
      <c r="G11" s="2028"/>
      <c r="H11" s="1423"/>
      <c r="I11" s="1423"/>
      <c r="J11" s="2887"/>
      <c r="K11" s="2887"/>
      <c r="L11" s="2890"/>
      <c r="M11" s="2891"/>
      <c r="N11" s="937"/>
      <c r="O11" s="934"/>
      <c r="P11" s="934"/>
      <c r="Q11" s="934"/>
      <c r="R11" s="934"/>
      <c r="S11" s="934"/>
      <c r="T11" s="930"/>
      <c r="U11" s="930"/>
      <c r="V11" s="930"/>
      <c r="W11" s="930"/>
      <c r="X11" s="930"/>
      <c r="Y11" s="930"/>
      <c r="Z11" s="930"/>
      <c r="AA11" s="926"/>
      <c r="AB11" s="926"/>
      <c r="AC11" s="928"/>
      <c r="AD11" s="928"/>
      <c r="AE11" s="928"/>
      <c r="AF11" s="928"/>
      <c r="AG11" s="928"/>
      <c r="AH11" s="928"/>
      <c r="AI11" s="928"/>
      <c r="AJ11" s="928"/>
      <c r="AK11" s="928"/>
      <c r="AL11" s="928"/>
      <c r="AM11" s="928"/>
      <c r="AN11" s="928"/>
      <c r="AO11" s="928"/>
      <c r="AP11" s="928"/>
      <c r="AQ11" s="928"/>
      <c r="AR11" s="928"/>
      <c r="AS11" s="928"/>
    </row>
    <row r="12" spans="1:45" ht="21.9" customHeight="1">
      <c r="A12" s="2905"/>
      <c r="B12" s="2906"/>
      <c r="C12" s="2907"/>
      <c r="D12" s="2029"/>
      <c r="E12" s="2030"/>
      <c r="F12" s="2029"/>
      <c r="G12" s="2030"/>
      <c r="H12" s="1423"/>
      <c r="I12" s="1423"/>
      <c r="J12" s="2908"/>
      <c r="K12" s="2908"/>
      <c r="L12" s="2903"/>
      <c r="M12" s="2904"/>
      <c r="N12" s="937"/>
      <c r="O12" s="930"/>
      <c r="P12" s="930"/>
      <c r="Q12" s="930"/>
      <c r="R12" s="1887"/>
      <c r="S12" s="936"/>
      <c r="T12" s="930"/>
      <c r="U12" s="930"/>
      <c r="V12" s="930"/>
      <c r="W12" s="930"/>
      <c r="X12" s="930"/>
      <c r="Y12" s="930"/>
      <c r="Z12" s="930"/>
      <c r="AA12" s="926"/>
      <c r="AB12" s="926"/>
      <c r="AC12" s="928"/>
      <c r="AD12" s="928"/>
      <c r="AE12" s="928"/>
      <c r="AF12" s="928"/>
      <c r="AG12" s="928"/>
      <c r="AH12" s="928"/>
      <c r="AI12" s="928"/>
      <c r="AJ12" s="928"/>
      <c r="AK12" s="928"/>
      <c r="AL12" s="928"/>
      <c r="AM12" s="928"/>
      <c r="AN12" s="928"/>
      <c r="AO12" s="928"/>
      <c r="AP12" s="928"/>
      <c r="AQ12" s="928"/>
      <c r="AR12" s="928"/>
      <c r="AS12" s="928"/>
    </row>
    <row r="13" spans="1:45" ht="21.9" customHeight="1">
      <c r="A13" s="2881"/>
      <c r="B13" s="2883"/>
      <c r="C13" s="2885"/>
      <c r="D13" s="2027"/>
      <c r="E13" s="2028"/>
      <c r="F13" s="2027"/>
      <c r="G13" s="2028"/>
      <c r="H13" s="1423"/>
      <c r="I13" s="1423"/>
      <c r="J13" s="2887"/>
      <c r="K13" s="2887"/>
      <c r="L13" s="2890"/>
      <c r="M13" s="2891"/>
      <c r="N13" s="937"/>
      <c r="O13" s="934"/>
      <c r="P13" s="934"/>
      <c r="Q13" s="934"/>
      <c r="R13" s="934"/>
      <c r="S13" s="934"/>
      <c r="T13" s="930"/>
      <c r="U13" s="930"/>
      <c r="V13" s="930"/>
      <c r="W13" s="930"/>
      <c r="X13" s="930"/>
      <c r="Y13" s="930"/>
      <c r="Z13" s="930"/>
      <c r="AA13" s="926"/>
      <c r="AB13" s="926"/>
      <c r="AC13" s="928"/>
      <c r="AD13" s="928"/>
      <c r="AE13" s="928"/>
      <c r="AF13" s="928"/>
      <c r="AG13" s="928"/>
      <c r="AH13" s="928"/>
      <c r="AI13" s="928"/>
      <c r="AJ13" s="928"/>
      <c r="AK13" s="928"/>
      <c r="AL13" s="928"/>
      <c r="AM13" s="928"/>
      <c r="AN13" s="928"/>
      <c r="AO13" s="928"/>
      <c r="AP13" s="928"/>
      <c r="AQ13" s="928"/>
      <c r="AR13" s="928"/>
      <c r="AS13" s="928"/>
    </row>
    <row r="14" spans="1:45" ht="21.9" customHeight="1">
      <c r="A14" s="2905"/>
      <c r="B14" s="2906"/>
      <c r="C14" s="2907"/>
      <c r="D14" s="2029"/>
      <c r="E14" s="2030"/>
      <c r="F14" s="2029"/>
      <c r="G14" s="2030"/>
      <c r="H14" s="1423"/>
      <c r="I14" s="1423"/>
      <c r="J14" s="2908"/>
      <c r="K14" s="2908"/>
      <c r="L14" s="2903"/>
      <c r="M14" s="2904"/>
      <c r="N14" s="937"/>
      <c r="O14" s="930"/>
      <c r="P14" s="930"/>
      <c r="Q14" s="930"/>
      <c r="R14" s="1887"/>
      <c r="S14" s="936"/>
      <c r="T14" s="930"/>
      <c r="U14" s="930"/>
      <c r="V14" s="930"/>
      <c r="W14" s="930"/>
      <c r="X14" s="930"/>
      <c r="Y14" s="930"/>
      <c r="Z14" s="930"/>
      <c r="AA14" s="926"/>
      <c r="AB14" s="926"/>
      <c r="AC14" s="928"/>
      <c r="AD14" s="928"/>
      <c r="AE14" s="928"/>
      <c r="AF14" s="928"/>
      <c r="AG14" s="928"/>
      <c r="AH14" s="928"/>
      <c r="AI14" s="928"/>
      <c r="AJ14" s="928"/>
      <c r="AK14" s="928"/>
      <c r="AL14" s="928"/>
      <c r="AM14" s="928"/>
      <c r="AN14" s="928"/>
      <c r="AO14" s="928"/>
      <c r="AP14" s="928"/>
      <c r="AQ14" s="928"/>
      <c r="AR14" s="928"/>
      <c r="AS14" s="928"/>
    </row>
    <row r="15" spans="1:45" ht="21.9" customHeight="1">
      <c r="A15" s="2881"/>
      <c r="B15" s="2883"/>
      <c r="C15" s="2885"/>
      <c r="D15" s="2027"/>
      <c r="E15" s="2028"/>
      <c r="F15" s="2027"/>
      <c r="G15" s="2028"/>
      <c r="H15" s="1423"/>
      <c r="I15" s="1423"/>
      <c r="J15" s="2887"/>
      <c r="K15" s="2887"/>
      <c r="L15" s="2890"/>
      <c r="M15" s="2891"/>
      <c r="N15" s="937"/>
      <c r="O15" s="934"/>
      <c r="P15" s="934"/>
      <c r="Q15" s="934"/>
      <c r="R15" s="934"/>
      <c r="S15" s="934"/>
      <c r="T15" s="930"/>
      <c r="U15" s="930"/>
      <c r="V15" s="930"/>
      <c r="W15" s="930"/>
      <c r="X15" s="930"/>
      <c r="Y15" s="930"/>
      <c r="Z15" s="930"/>
      <c r="AA15" s="926"/>
      <c r="AB15" s="926"/>
      <c r="AC15" s="928"/>
      <c r="AD15" s="928"/>
      <c r="AE15" s="928"/>
      <c r="AF15" s="928"/>
      <c r="AG15" s="928"/>
      <c r="AH15" s="928"/>
      <c r="AI15" s="928"/>
      <c r="AJ15" s="928"/>
      <c r="AK15" s="928"/>
      <c r="AL15" s="928"/>
      <c r="AM15" s="928"/>
      <c r="AN15" s="928"/>
      <c r="AO15" s="928"/>
      <c r="AP15" s="928"/>
      <c r="AQ15" s="928"/>
      <c r="AR15" s="928"/>
      <c r="AS15" s="928"/>
    </row>
    <row r="16" spans="1:45" ht="21.9" customHeight="1">
      <c r="A16" s="2905"/>
      <c r="B16" s="2906"/>
      <c r="C16" s="2907"/>
      <c r="D16" s="2029"/>
      <c r="E16" s="2030"/>
      <c r="F16" s="2029"/>
      <c r="G16" s="2030"/>
      <c r="H16" s="1423"/>
      <c r="I16" s="1423"/>
      <c r="J16" s="2908"/>
      <c r="K16" s="2908"/>
      <c r="L16" s="2903"/>
      <c r="M16" s="2904"/>
      <c r="N16" s="937"/>
      <c r="O16" s="930"/>
      <c r="P16" s="930"/>
      <c r="Q16" s="930"/>
      <c r="R16" s="1887"/>
      <c r="S16" s="936"/>
      <c r="T16" s="930"/>
      <c r="U16" s="930"/>
      <c r="V16" s="930"/>
      <c r="W16" s="930"/>
      <c r="X16" s="930"/>
      <c r="Y16" s="930"/>
      <c r="Z16" s="930"/>
      <c r="AA16" s="926"/>
      <c r="AB16" s="926"/>
      <c r="AC16" s="928"/>
      <c r="AD16" s="928"/>
      <c r="AE16" s="928"/>
      <c r="AF16" s="928"/>
      <c r="AG16" s="928"/>
      <c r="AH16" s="928"/>
      <c r="AI16" s="928"/>
      <c r="AJ16" s="928"/>
      <c r="AK16" s="928"/>
      <c r="AL16" s="928"/>
      <c r="AM16" s="928"/>
      <c r="AN16" s="928"/>
      <c r="AO16" s="928"/>
      <c r="AP16" s="928"/>
      <c r="AQ16" s="928"/>
      <c r="AR16" s="928"/>
      <c r="AS16" s="928"/>
    </row>
    <row r="17" spans="1:45" ht="21.9" customHeight="1">
      <c r="A17" s="2881"/>
      <c r="B17" s="2883"/>
      <c r="C17" s="2885"/>
      <c r="D17" s="2027"/>
      <c r="E17" s="2028"/>
      <c r="F17" s="2027"/>
      <c r="G17" s="2028"/>
      <c r="H17" s="1423"/>
      <c r="I17" s="1423"/>
      <c r="J17" s="2887"/>
      <c r="K17" s="2887"/>
      <c r="L17" s="2890"/>
      <c r="M17" s="2891"/>
      <c r="N17" s="937"/>
      <c r="O17" s="934"/>
      <c r="P17" s="934"/>
      <c r="Q17" s="934"/>
      <c r="R17" s="934"/>
      <c r="S17" s="934"/>
      <c r="T17" s="930"/>
      <c r="U17" s="930"/>
      <c r="V17" s="930"/>
      <c r="W17" s="930"/>
      <c r="X17" s="930"/>
      <c r="Y17" s="930"/>
      <c r="Z17" s="930"/>
      <c r="AA17" s="926"/>
      <c r="AB17" s="926"/>
      <c r="AC17" s="928"/>
      <c r="AD17" s="928"/>
      <c r="AE17" s="928"/>
      <c r="AF17" s="928"/>
      <c r="AG17" s="928"/>
      <c r="AH17" s="928"/>
      <c r="AI17" s="928"/>
      <c r="AJ17" s="928"/>
      <c r="AK17" s="928"/>
      <c r="AL17" s="928"/>
      <c r="AM17" s="928"/>
      <c r="AN17" s="928"/>
      <c r="AO17" s="928"/>
      <c r="AP17" s="928"/>
      <c r="AQ17" s="928"/>
      <c r="AR17" s="928"/>
      <c r="AS17" s="928"/>
    </row>
    <row r="18" spans="1:45" ht="21.9" customHeight="1">
      <c r="A18" s="2905"/>
      <c r="B18" s="2906"/>
      <c r="C18" s="2907"/>
      <c r="D18" s="2029"/>
      <c r="E18" s="2030"/>
      <c r="F18" s="2029"/>
      <c r="G18" s="2030"/>
      <c r="H18" s="1423"/>
      <c r="I18" s="1423"/>
      <c r="J18" s="2908"/>
      <c r="K18" s="2908"/>
      <c r="L18" s="2903"/>
      <c r="M18" s="2904"/>
      <c r="N18" s="937"/>
      <c r="O18" s="930"/>
      <c r="P18" s="930"/>
      <c r="Q18" s="930"/>
      <c r="R18" s="1887"/>
      <c r="S18" s="936"/>
      <c r="T18" s="930"/>
      <c r="U18" s="930"/>
      <c r="V18" s="930"/>
      <c r="W18" s="930"/>
      <c r="X18" s="930"/>
      <c r="Y18" s="930"/>
      <c r="Z18" s="930"/>
      <c r="AA18" s="926"/>
      <c r="AB18" s="926"/>
      <c r="AC18" s="928"/>
      <c r="AD18" s="928"/>
      <c r="AE18" s="928"/>
      <c r="AF18" s="928"/>
      <c r="AG18" s="928"/>
      <c r="AH18" s="928"/>
      <c r="AI18" s="928"/>
      <c r="AJ18" s="928"/>
      <c r="AK18" s="928"/>
      <c r="AL18" s="928"/>
      <c r="AM18" s="928"/>
      <c r="AN18" s="928"/>
      <c r="AO18" s="928"/>
      <c r="AP18" s="928"/>
      <c r="AQ18" s="928"/>
      <c r="AR18" s="928"/>
      <c r="AS18" s="928"/>
    </row>
    <row r="19" spans="1:45" ht="21.9" customHeight="1">
      <c r="A19" s="2881"/>
      <c r="B19" s="2883"/>
      <c r="C19" s="2885"/>
      <c r="D19" s="2027"/>
      <c r="E19" s="2028"/>
      <c r="F19" s="2027"/>
      <c r="G19" s="2028"/>
      <c r="H19" s="1423"/>
      <c r="I19" s="1423"/>
      <c r="J19" s="2887"/>
      <c r="K19" s="2887"/>
      <c r="L19" s="2890"/>
      <c r="M19" s="2891"/>
      <c r="N19" s="937"/>
      <c r="O19" s="934"/>
      <c r="P19" s="934"/>
      <c r="Q19" s="934"/>
      <c r="R19" s="934"/>
      <c r="S19" s="934"/>
      <c r="T19" s="930"/>
      <c r="U19" s="930"/>
      <c r="V19" s="930"/>
      <c r="W19" s="930"/>
      <c r="X19" s="930"/>
      <c r="Y19" s="930"/>
      <c r="Z19" s="930"/>
      <c r="AA19" s="926"/>
      <c r="AB19" s="926"/>
      <c r="AC19" s="928"/>
      <c r="AD19" s="928"/>
      <c r="AE19" s="928"/>
      <c r="AF19" s="928"/>
      <c r="AG19" s="928"/>
      <c r="AH19" s="928"/>
      <c r="AI19" s="928"/>
      <c r="AJ19" s="928"/>
      <c r="AK19" s="928"/>
      <c r="AL19" s="928"/>
      <c r="AM19" s="928"/>
      <c r="AN19" s="928"/>
      <c r="AO19" s="928"/>
      <c r="AP19" s="928"/>
      <c r="AQ19" s="928"/>
      <c r="AR19" s="928"/>
      <c r="AS19" s="928"/>
    </row>
    <row r="20" spans="1:45" ht="21.9" customHeight="1">
      <c r="A20" s="2905"/>
      <c r="B20" s="2906"/>
      <c r="C20" s="2907"/>
      <c r="D20" s="2029"/>
      <c r="E20" s="2030"/>
      <c r="F20" s="2029"/>
      <c r="G20" s="2030"/>
      <c r="H20" s="1423"/>
      <c r="I20" s="1423"/>
      <c r="J20" s="2908"/>
      <c r="K20" s="2908"/>
      <c r="L20" s="2903"/>
      <c r="M20" s="2904"/>
      <c r="N20" s="937"/>
      <c r="O20" s="930"/>
      <c r="P20" s="930"/>
      <c r="Q20" s="930"/>
      <c r="R20" s="1887"/>
      <c r="S20" s="936"/>
      <c r="T20" s="930"/>
      <c r="U20" s="930"/>
      <c r="V20" s="930"/>
      <c r="W20" s="930"/>
      <c r="X20" s="930"/>
      <c r="Y20" s="930"/>
      <c r="Z20" s="930"/>
      <c r="AA20" s="926"/>
      <c r="AB20" s="926"/>
      <c r="AC20" s="928"/>
      <c r="AD20" s="928"/>
      <c r="AE20" s="928"/>
      <c r="AF20" s="928"/>
      <c r="AG20" s="928"/>
      <c r="AH20" s="928"/>
      <c r="AI20" s="928"/>
      <c r="AJ20" s="928"/>
      <c r="AK20" s="928"/>
      <c r="AL20" s="928"/>
      <c r="AM20" s="928"/>
      <c r="AN20" s="928"/>
      <c r="AO20" s="928"/>
      <c r="AP20" s="928"/>
      <c r="AQ20" s="928"/>
      <c r="AR20" s="928"/>
      <c r="AS20" s="928"/>
    </row>
    <row r="21" spans="1:45" ht="21.9" customHeight="1">
      <c r="A21" s="2881"/>
      <c r="B21" s="2883"/>
      <c r="C21" s="2885"/>
      <c r="D21" s="2027"/>
      <c r="E21" s="2028"/>
      <c r="F21" s="2027"/>
      <c r="G21" s="2028"/>
      <c r="H21" s="1423"/>
      <c r="I21" s="1423"/>
      <c r="J21" s="2887"/>
      <c r="K21" s="2887"/>
      <c r="L21" s="2890"/>
      <c r="M21" s="2891"/>
      <c r="N21" s="937"/>
      <c r="O21" s="934"/>
      <c r="P21" s="934"/>
      <c r="Q21" s="934"/>
      <c r="R21" s="934"/>
      <c r="S21" s="934"/>
      <c r="T21" s="930"/>
      <c r="U21" s="930"/>
      <c r="V21" s="930"/>
      <c r="W21" s="930"/>
      <c r="X21" s="930"/>
      <c r="Y21" s="930"/>
      <c r="Z21" s="930"/>
      <c r="AA21" s="926"/>
      <c r="AB21" s="926"/>
      <c r="AC21" s="928"/>
      <c r="AD21" s="928"/>
      <c r="AE21" s="928"/>
      <c r="AF21" s="928"/>
      <c r="AG21" s="928"/>
      <c r="AH21" s="928"/>
      <c r="AI21" s="928"/>
      <c r="AJ21" s="928"/>
      <c r="AK21" s="928"/>
      <c r="AL21" s="928"/>
      <c r="AM21" s="928"/>
      <c r="AN21" s="928"/>
      <c r="AO21" s="928"/>
      <c r="AP21" s="928"/>
      <c r="AQ21" s="928"/>
      <c r="AR21" s="928"/>
      <c r="AS21" s="928"/>
    </row>
    <row r="22" spans="1:45" ht="21.9" customHeight="1">
      <c r="A22" s="2905"/>
      <c r="B22" s="2906"/>
      <c r="C22" s="2907"/>
      <c r="D22" s="2029"/>
      <c r="E22" s="2030"/>
      <c r="F22" s="2029"/>
      <c r="G22" s="2030"/>
      <c r="H22" s="1423"/>
      <c r="I22" s="1423"/>
      <c r="J22" s="2908"/>
      <c r="K22" s="2908"/>
      <c r="L22" s="2903"/>
      <c r="M22" s="2904"/>
      <c r="N22" s="937"/>
      <c r="O22" s="930"/>
      <c r="P22" s="930"/>
      <c r="Q22" s="930"/>
      <c r="R22" s="1887"/>
      <c r="S22" s="936"/>
      <c r="T22" s="930"/>
      <c r="U22" s="930"/>
      <c r="V22" s="930"/>
      <c r="W22" s="930"/>
      <c r="X22" s="930"/>
      <c r="Y22" s="930"/>
      <c r="Z22" s="930"/>
      <c r="AA22" s="926"/>
      <c r="AB22" s="926"/>
      <c r="AC22" s="928"/>
      <c r="AD22" s="928"/>
      <c r="AE22" s="928"/>
      <c r="AF22" s="928"/>
      <c r="AG22" s="928"/>
      <c r="AH22" s="928"/>
      <c r="AI22" s="928"/>
      <c r="AJ22" s="928"/>
      <c r="AK22" s="928"/>
      <c r="AL22" s="928"/>
      <c r="AM22" s="928"/>
      <c r="AN22" s="928"/>
      <c r="AO22" s="928"/>
      <c r="AP22" s="928"/>
      <c r="AQ22" s="928"/>
      <c r="AR22" s="928"/>
      <c r="AS22" s="928"/>
    </row>
    <row r="23" spans="1:45" ht="21.9" customHeight="1" thickBot="1">
      <c r="A23" s="2911"/>
      <c r="B23" s="2912"/>
      <c r="C23" s="2913"/>
      <c r="D23" s="2031"/>
      <c r="E23" s="2032"/>
      <c r="F23" s="2031"/>
      <c r="G23" s="2032"/>
      <c r="H23" s="1952"/>
      <c r="I23" s="1952"/>
      <c r="J23" s="2914"/>
      <c r="K23" s="2914"/>
      <c r="L23" s="2909"/>
      <c r="M23" s="2910"/>
      <c r="N23" s="937"/>
      <c r="O23" s="934"/>
      <c r="P23" s="934"/>
      <c r="Q23" s="934"/>
      <c r="R23" s="934"/>
      <c r="S23" s="934"/>
      <c r="T23" s="930"/>
      <c r="U23" s="930"/>
      <c r="V23" s="930"/>
      <c r="W23" s="930"/>
      <c r="X23" s="930"/>
      <c r="Y23" s="930"/>
      <c r="Z23" s="930"/>
      <c r="AA23" s="926"/>
      <c r="AB23" s="926"/>
      <c r="AC23" s="928"/>
      <c r="AD23" s="928"/>
      <c r="AE23" s="928"/>
      <c r="AF23" s="928"/>
      <c r="AG23" s="928"/>
      <c r="AH23" s="928"/>
      <c r="AI23" s="928"/>
      <c r="AJ23" s="928"/>
      <c r="AK23" s="928"/>
      <c r="AL23" s="928"/>
      <c r="AM23" s="928"/>
      <c r="AN23" s="928"/>
      <c r="AO23" s="928"/>
      <c r="AP23" s="928"/>
      <c r="AQ23" s="928"/>
      <c r="AR23" s="928"/>
      <c r="AS23" s="928"/>
    </row>
    <row r="24" spans="1:45" s="942" customFormat="1" ht="6" customHeight="1">
      <c r="A24" s="952"/>
      <c r="B24" s="953"/>
      <c r="C24" s="953"/>
      <c r="D24" s="953"/>
      <c r="E24" s="953"/>
      <c r="F24" s="953"/>
      <c r="G24" s="953"/>
      <c r="H24" s="954"/>
      <c r="I24" s="954"/>
      <c r="J24" s="955"/>
      <c r="K24" s="955"/>
      <c r="L24" s="955"/>
      <c r="M24" s="956"/>
      <c r="N24" s="939"/>
      <c r="O24" s="926"/>
      <c r="P24" s="926"/>
      <c r="Q24" s="926"/>
      <c r="R24" s="930"/>
      <c r="S24" s="926"/>
      <c r="T24" s="926"/>
      <c r="U24" s="926"/>
      <c r="V24" s="930"/>
      <c r="W24" s="926"/>
      <c r="X24" s="926"/>
      <c r="Y24" s="926"/>
      <c r="Z24" s="926"/>
      <c r="AA24" s="940"/>
      <c r="AB24" s="940"/>
      <c r="AC24" s="941"/>
      <c r="AD24" s="941"/>
      <c r="AE24" s="941"/>
      <c r="AF24" s="941"/>
      <c r="AG24" s="941"/>
      <c r="AH24" s="941"/>
      <c r="AI24" s="941"/>
      <c r="AJ24" s="941"/>
      <c r="AK24" s="941"/>
      <c r="AL24" s="941"/>
      <c r="AM24" s="941"/>
      <c r="AN24" s="941"/>
      <c r="AO24" s="941"/>
      <c r="AP24" s="941"/>
      <c r="AQ24" s="941"/>
      <c r="AR24" s="941"/>
      <c r="AS24" s="941"/>
    </row>
    <row r="25" spans="1:45" ht="21.9" customHeight="1" thickBot="1">
      <c r="A25" s="943" t="s">
        <v>1152</v>
      </c>
      <c r="B25" s="2915"/>
      <c r="C25" s="2916"/>
      <c r="D25" s="2916"/>
      <c r="E25" s="2916"/>
      <c r="F25" s="2916"/>
      <c r="G25" s="2916"/>
      <c r="H25" s="2916"/>
      <c r="I25" s="2916"/>
      <c r="J25" s="2916"/>
      <c r="K25" s="2916"/>
      <c r="L25" s="2916"/>
      <c r="M25" s="2917"/>
      <c r="N25" s="938"/>
      <c r="O25" s="926"/>
      <c r="P25" s="944"/>
      <c r="Q25" s="944"/>
      <c r="R25" s="944"/>
      <c r="S25" s="944"/>
      <c r="T25" s="944"/>
      <c r="U25" s="944"/>
      <c r="V25" s="944"/>
      <c r="W25" s="926"/>
      <c r="X25" s="944"/>
      <c r="Y25" s="944"/>
      <c r="Z25" s="944"/>
      <c r="AA25" s="926"/>
      <c r="AB25" s="926"/>
      <c r="AC25" s="928"/>
      <c r="AD25" s="928"/>
      <c r="AE25" s="928"/>
      <c r="AF25" s="928"/>
      <c r="AG25" s="928"/>
      <c r="AH25" s="928"/>
      <c r="AI25" s="928"/>
      <c r="AJ25" s="928"/>
      <c r="AK25" s="928"/>
      <c r="AL25" s="928"/>
      <c r="AM25" s="928"/>
      <c r="AN25" s="928"/>
      <c r="AO25" s="928"/>
      <c r="AP25" s="928"/>
      <c r="AQ25" s="928"/>
      <c r="AR25" s="928"/>
      <c r="AS25" s="928"/>
    </row>
    <row r="26" spans="1:45" s="917" customFormat="1" ht="14.1" customHeight="1">
      <c r="A26" s="945" t="s">
        <v>135</v>
      </c>
      <c r="B26" s="946"/>
      <c r="C26" s="947"/>
      <c r="D26" s="948"/>
      <c r="E26" s="948"/>
      <c r="F26" s="948"/>
      <c r="G26" s="948"/>
      <c r="H26" s="948"/>
      <c r="I26" s="948"/>
      <c r="J26" s="948"/>
      <c r="K26" s="948"/>
      <c r="L26" s="948"/>
      <c r="M26" s="949"/>
      <c r="N26" s="2258"/>
      <c r="O26" s="926"/>
      <c r="P26" s="926"/>
      <c r="Q26" s="926"/>
      <c r="R26" s="930"/>
      <c r="S26" s="926"/>
      <c r="T26" s="926"/>
      <c r="U26" s="926"/>
      <c r="V26" s="930"/>
      <c r="W26" s="926"/>
      <c r="X26" s="926"/>
      <c r="Y26" s="926"/>
      <c r="Z26" s="926"/>
      <c r="AA26" s="950"/>
      <c r="AB26" s="950"/>
    </row>
    <row r="27" spans="1:45" s="917" customFormat="1" ht="21.9" customHeight="1" thickBot="1">
      <c r="A27" s="2918"/>
      <c r="B27" s="2919"/>
      <c r="C27" s="2919"/>
      <c r="D27" s="920"/>
      <c r="E27" s="2920"/>
      <c r="F27" s="2920"/>
      <c r="G27" s="2920"/>
      <c r="H27" s="2920"/>
      <c r="I27" s="918"/>
      <c r="J27" s="2338"/>
      <c r="K27" s="918"/>
      <c r="L27" s="2921"/>
      <c r="M27" s="2922"/>
      <c r="N27" s="951"/>
      <c r="O27" s="930"/>
      <c r="P27" s="926"/>
      <c r="Q27" s="926"/>
      <c r="R27" s="930"/>
      <c r="S27" s="926"/>
      <c r="T27" s="926"/>
      <c r="U27" s="926"/>
      <c r="V27" s="930"/>
      <c r="W27" s="930"/>
      <c r="X27" s="926"/>
      <c r="Y27" s="926"/>
      <c r="Z27" s="926"/>
      <c r="AA27" s="950"/>
      <c r="AB27" s="950"/>
    </row>
    <row r="28" spans="1:45" s="917" customFormat="1" ht="14.1" customHeight="1" thickBot="1">
      <c r="A28" s="2923" t="s">
        <v>1385</v>
      </c>
      <c r="B28" s="2924"/>
      <c r="C28" s="2924"/>
      <c r="D28" s="2256"/>
      <c r="E28" s="2924" t="s">
        <v>137</v>
      </c>
      <c r="F28" s="2924"/>
      <c r="G28" s="2924"/>
      <c r="H28" s="2925"/>
      <c r="I28" s="922"/>
      <c r="J28" s="2255" t="s">
        <v>138</v>
      </c>
      <c r="K28" s="922"/>
      <c r="L28" s="2926" t="s">
        <v>139</v>
      </c>
      <c r="M28" s="2927"/>
      <c r="N28" s="950"/>
      <c r="O28" s="930"/>
      <c r="P28" s="926"/>
      <c r="Q28" s="926"/>
      <c r="R28" s="930"/>
      <c r="S28" s="926"/>
      <c r="T28" s="926"/>
      <c r="U28" s="926"/>
      <c r="V28" s="930"/>
      <c r="W28" s="926"/>
      <c r="X28" s="926"/>
      <c r="Y28" s="926"/>
      <c r="Z28" s="926"/>
      <c r="AA28" s="950"/>
      <c r="AB28" s="950"/>
    </row>
    <row r="29" spans="1:45">
      <c r="K29" s="957"/>
      <c r="L29" s="928"/>
      <c r="M29" s="928"/>
      <c r="N29" s="960"/>
      <c r="O29" s="960"/>
      <c r="P29" s="960"/>
      <c r="Q29" s="960"/>
      <c r="R29" s="960"/>
      <c r="S29" s="960"/>
      <c r="T29" s="960"/>
      <c r="U29" s="960"/>
      <c r="V29" s="960"/>
      <c r="W29" s="960"/>
      <c r="X29" s="960"/>
      <c r="Y29" s="960"/>
      <c r="Z29" s="960"/>
      <c r="AA29" s="960"/>
      <c r="AB29" s="928"/>
      <c r="AC29" s="928"/>
      <c r="AD29" s="928"/>
      <c r="AE29" s="928"/>
      <c r="AF29" s="928"/>
      <c r="AG29" s="928"/>
      <c r="AH29" s="928"/>
      <c r="AI29" s="928"/>
      <c r="AJ29" s="928"/>
      <c r="AK29" s="928"/>
      <c r="AL29" s="928"/>
      <c r="AM29" s="928"/>
      <c r="AN29" s="928"/>
      <c r="AO29" s="928"/>
      <c r="AP29" s="928"/>
      <c r="AQ29" s="928"/>
      <c r="AR29" s="928"/>
      <c r="AS29" s="928"/>
    </row>
    <row r="30" spans="1:45">
      <c r="K30" s="957"/>
      <c r="L30" s="928"/>
      <c r="M30" s="928"/>
      <c r="N30" s="960"/>
      <c r="O30" s="960"/>
      <c r="P30" s="960"/>
      <c r="Q30" s="960"/>
      <c r="R30" s="960"/>
      <c r="S30" s="960"/>
      <c r="T30" s="960"/>
      <c r="U30" s="960"/>
      <c r="V30" s="960"/>
      <c r="W30" s="960"/>
      <c r="X30" s="960"/>
      <c r="Y30" s="960"/>
      <c r="Z30" s="960"/>
      <c r="AA30" s="960"/>
      <c r="AB30" s="928"/>
      <c r="AC30" s="928"/>
      <c r="AD30" s="928"/>
      <c r="AE30" s="928"/>
      <c r="AF30" s="928"/>
      <c r="AG30" s="928"/>
      <c r="AH30" s="928"/>
      <c r="AI30" s="928"/>
      <c r="AJ30" s="928"/>
      <c r="AK30" s="928"/>
      <c r="AL30" s="928"/>
      <c r="AM30" s="928"/>
      <c r="AN30" s="928"/>
      <c r="AO30" s="928"/>
      <c r="AP30" s="928"/>
      <c r="AQ30" s="928"/>
      <c r="AR30" s="928"/>
      <c r="AS30" s="928"/>
    </row>
    <row r="31" spans="1:45">
      <c r="K31" s="957"/>
      <c r="L31" s="928"/>
      <c r="M31" s="928"/>
      <c r="N31" s="960"/>
      <c r="O31" s="960"/>
      <c r="P31" s="960"/>
      <c r="Q31" s="960"/>
      <c r="R31" s="960"/>
      <c r="S31" s="960"/>
      <c r="T31" s="960"/>
      <c r="U31" s="960"/>
      <c r="V31" s="960"/>
      <c r="W31" s="960"/>
      <c r="X31" s="960"/>
      <c r="Y31" s="960"/>
      <c r="Z31" s="960"/>
      <c r="AA31" s="960"/>
      <c r="AB31" s="928"/>
      <c r="AC31" s="928"/>
      <c r="AD31" s="928"/>
      <c r="AE31" s="928"/>
      <c r="AF31" s="928"/>
      <c r="AG31" s="928"/>
      <c r="AH31" s="928"/>
      <c r="AI31" s="928"/>
      <c r="AJ31" s="928"/>
      <c r="AK31" s="928"/>
      <c r="AL31" s="928"/>
      <c r="AM31" s="928"/>
      <c r="AN31" s="928"/>
      <c r="AO31" s="928"/>
      <c r="AP31" s="928"/>
      <c r="AQ31" s="928"/>
      <c r="AR31" s="928"/>
      <c r="AS31" s="928"/>
    </row>
    <row r="32" spans="1:45">
      <c r="K32" s="957"/>
      <c r="L32" s="928"/>
      <c r="M32" s="928"/>
      <c r="N32" s="960"/>
      <c r="O32" s="960"/>
      <c r="P32" s="960"/>
      <c r="Q32" s="960"/>
      <c r="R32" s="960"/>
      <c r="S32" s="960"/>
      <c r="T32" s="960"/>
      <c r="U32" s="960"/>
      <c r="V32" s="960"/>
      <c r="W32" s="960"/>
      <c r="X32" s="960"/>
      <c r="Y32" s="960"/>
      <c r="Z32" s="960"/>
      <c r="AA32" s="960"/>
      <c r="AB32" s="928"/>
      <c r="AC32" s="928"/>
      <c r="AD32" s="928"/>
      <c r="AE32" s="928"/>
      <c r="AF32" s="928"/>
      <c r="AG32" s="928"/>
      <c r="AH32" s="928"/>
      <c r="AI32" s="928"/>
      <c r="AJ32" s="928"/>
      <c r="AK32" s="928"/>
      <c r="AL32" s="928"/>
      <c r="AM32" s="928"/>
      <c r="AN32" s="928"/>
      <c r="AO32" s="928"/>
      <c r="AP32" s="928"/>
      <c r="AQ32" s="928"/>
      <c r="AR32" s="928"/>
      <c r="AS32" s="928"/>
    </row>
    <row r="33" spans="11:45">
      <c r="K33" s="957"/>
      <c r="L33" s="928"/>
      <c r="M33" s="928"/>
      <c r="N33" s="960"/>
      <c r="O33" s="960"/>
      <c r="P33" s="960"/>
      <c r="Q33" s="960"/>
      <c r="R33" s="960"/>
      <c r="S33" s="960"/>
      <c r="T33" s="960"/>
      <c r="U33" s="960"/>
      <c r="V33" s="960"/>
      <c r="W33" s="960"/>
      <c r="X33" s="960"/>
      <c r="Y33" s="960"/>
      <c r="Z33" s="960"/>
      <c r="AA33" s="960"/>
      <c r="AB33" s="928"/>
      <c r="AC33" s="928"/>
      <c r="AD33" s="928"/>
      <c r="AE33" s="928"/>
      <c r="AF33" s="928"/>
      <c r="AG33" s="928"/>
      <c r="AH33" s="928"/>
      <c r="AI33" s="928"/>
      <c r="AJ33" s="928"/>
      <c r="AK33" s="928"/>
      <c r="AL33" s="928"/>
      <c r="AM33" s="928"/>
      <c r="AN33" s="928"/>
      <c r="AO33" s="928"/>
      <c r="AP33" s="928"/>
      <c r="AQ33" s="928"/>
      <c r="AR33" s="928"/>
      <c r="AS33" s="928"/>
    </row>
    <row r="34" spans="11:45">
      <c r="K34" s="957"/>
      <c r="L34" s="928"/>
      <c r="M34" s="928"/>
      <c r="N34" s="960"/>
      <c r="O34" s="960"/>
      <c r="P34" s="960"/>
      <c r="Q34" s="960"/>
      <c r="R34" s="960"/>
      <c r="S34" s="960"/>
      <c r="T34" s="960"/>
      <c r="U34" s="960"/>
      <c r="V34" s="960"/>
      <c r="W34" s="960"/>
      <c r="X34" s="960"/>
      <c r="Y34" s="960"/>
      <c r="Z34" s="960"/>
      <c r="AA34" s="960"/>
      <c r="AB34" s="928"/>
      <c r="AC34" s="928"/>
      <c r="AD34" s="928"/>
      <c r="AE34" s="928"/>
      <c r="AF34" s="928"/>
      <c r="AG34" s="928"/>
      <c r="AH34" s="928"/>
      <c r="AI34" s="928"/>
      <c r="AJ34" s="928"/>
      <c r="AK34" s="928"/>
      <c r="AL34" s="928"/>
      <c r="AM34" s="928"/>
      <c r="AN34" s="928"/>
      <c r="AO34" s="928"/>
      <c r="AP34" s="928"/>
      <c r="AQ34" s="928"/>
      <c r="AR34" s="928"/>
      <c r="AS34" s="928"/>
    </row>
    <row r="35" spans="11:45">
      <c r="K35" s="957"/>
      <c r="L35" s="928"/>
      <c r="M35" s="928"/>
      <c r="N35" s="960"/>
      <c r="O35" s="960"/>
      <c r="P35" s="960"/>
      <c r="Q35" s="960"/>
      <c r="R35" s="960"/>
      <c r="S35" s="960"/>
      <c r="T35" s="960"/>
      <c r="U35" s="960"/>
      <c r="V35" s="960"/>
      <c r="W35" s="960"/>
      <c r="X35" s="960"/>
      <c r="Y35" s="960"/>
      <c r="Z35" s="960"/>
      <c r="AA35" s="960"/>
      <c r="AB35" s="928"/>
      <c r="AC35" s="928"/>
      <c r="AD35" s="928"/>
      <c r="AE35" s="928"/>
      <c r="AF35" s="928"/>
      <c r="AG35" s="928"/>
      <c r="AH35" s="928"/>
      <c r="AI35" s="928"/>
      <c r="AJ35" s="928"/>
      <c r="AK35" s="928"/>
      <c r="AL35" s="928"/>
      <c r="AM35" s="928"/>
      <c r="AN35" s="928"/>
      <c r="AO35" s="928"/>
      <c r="AP35" s="928"/>
      <c r="AQ35" s="928"/>
      <c r="AR35" s="928"/>
      <c r="AS35" s="928"/>
    </row>
    <row r="36" spans="11:45">
      <c r="K36" s="957"/>
      <c r="L36" s="928"/>
      <c r="M36" s="928"/>
      <c r="N36" s="960"/>
      <c r="O36" s="960"/>
      <c r="P36" s="960"/>
      <c r="Q36" s="960"/>
      <c r="R36" s="960"/>
      <c r="S36" s="960"/>
      <c r="T36" s="960"/>
      <c r="U36" s="960"/>
      <c r="V36" s="960"/>
      <c r="W36" s="960"/>
      <c r="X36" s="960"/>
      <c r="Y36" s="960"/>
      <c r="Z36" s="960"/>
      <c r="AA36" s="960"/>
      <c r="AB36" s="928"/>
      <c r="AC36" s="928"/>
      <c r="AD36" s="928"/>
      <c r="AE36" s="928"/>
      <c r="AF36" s="928"/>
      <c r="AG36" s="928"/>
      <c r="AH36" s="928"/>
      <c r="AI36" s="928"/>
      <c r="AJ36" s="928"/>
      <c r="AK36" s="928"/>
      <c r="AL36" s="928"/>
      <c r="AM36" s="928"/>
      <c r="AN36" s="928"/>
      <c r="AO36" s="928"/>
      <c r="AP36" s="928"/>
      <c r="AQ36" s="928"/>
      <c r="AR36" s="928"/>
      <c r="AS36" s="928"/>
    </row>
    <row r="37" spans="11:45">
      <c r="K37" s="957"/>
      <c r="L37" s="928"/>
      <c r="M37" s="928"/>
      <c r="N37" s="960"/>
      <c r="O37" s="960"/>
      <c r="P37" s="960"/>
      <c r="Q37" s="960"/>
      <c r="R37" s="960"/>
      <c r="S37" s="960"/>
      <c r="T37" s="960"/>
      <c r="U37" s="960"/>
      <c r="V37" s="960"/>
      <c r="W37" s="960"/>
      <c r="X37" s="960"/>
      <c r="Y37" s="960"/>
      <c r="Z37" s="960"/>
      <c r="AA37" s="960"/>
      <c r="AB37" s="928"/>
      <c r="AC37" s="928"/>
      <c r="AD37" s="928"/>
      <c r="AE37" s="928"/>
      <c r="AF37" s="928"/>
      <c r="AG37" s="928"/>
      <c r="AH37" s="928"/>
      <c r="AI37" s="928"/>
      <c r="AJ37" s="928"/>
      <c r="AK37" s="928"/>
      <c r="AL37" s="928"/>
      <c r="AM37" s="928"/>
      <c r="AN37" s="928"/>
      <c r="AO37" s="928"/>
      <c r="AP37" s="928"/>
      <c r="AQ37" s="928"/>
      <c r="AR37" s="928"/>
      <c r="AS37" s="928"/>
    </row>
    <row r="38" spans="11:45">
      <c r="K38" s="957"/>
      <c r="L38" s="928"/>
      <c r="M38" s="928"/>
      <c r="N38" s="960"/>
      <c r="O38" s="960"/>
      <c r="P38" s="960"/>
      <c r="Q38" s="960"/>
      <c r="R38" s="960"/>
      <c r="S38" s="960"/>
      <c r="T38" s="960"/>
      <c r="U38" s="960"/>
      <c r="V38" s="960"/>
      <c r="W38" s="960"/>
      <c r="X38" s="960"/>
      <c r="Y38" s="960"/>
      <c r="Z38" s="960"/>
      <c r="AA38" s="960"/>
      <c r="AB38" s="928"/>
      <c r="AC38" s="928"/>
      <c r="AD38" s="928"/>
      <c r="AE38" s="928"/>
      <c r="AF38" s="928"/>
      <c r="AG38" s="928"/>
      <c r="AH38" s="928"/>
      <c r="AI38" s="928"/>
      <c r="AJ38" s="928"/>
      <c r="AK38" s="928"/>
      <c r="AL38" s="928"/>
      <c r="AM38" s="928"/>
      <c r="AN38" s="928"/>
      <c r="AO38" s="928"/>
      <c r="AP38" s="928"/>
      <c r="AQ38" s="928"/>
      <c r="AR38" s="928"/>
      <c r="AS38" s="928"/>
    </row>
    <row r="39" spans="11:45">
      <c r="K39" s="957"/>
      <c r="L39" s="928"/>
      <c r="M39" s="928"/>
      <c r="N39" s="960"/>
      <c r="O39" s="960"/>
      <c r="P39" s="960"/>
      <c r="Q39" s="960"/>
      <c r="R39" s="960"/>
      <c r="S39" s="960"/>
      <c r="T39" s="960"/>
      <c r="U39" s="960"/>
      <c r="V39" s="960"/>
      <c r="W39" s="960"/>
      <c r="X39" s="960"/>
      <c r="Y39" s="960"/>
      <c r="Z39" s="960"/>
      <c r="AA39" s="960"/>
      <c r="AB39" s="928"/>
      <c r="AC39" s="928"/>
      <c r="AD39" s="928"/>
      <c r="AE39" s="928"/>
      <c r="AF39" s="928"/>
      <c r="AG39" s="928"/>
      <c r="AH39" s="928"/>
      <c r="AI39" s="928"/>
      <c r="AJ39" s="928"/>
      <c r="AK39" s="928"/>
      <c r="AL39" s="928"/>
      <c r="AM39" s="928"/>
      <c r="AN39" s="928"/>
      <c r="AO39" s="928"/>
      <c r="AP39" s="928"/>
      <c r="AQ39" s="928"/>
      <c r="AR39" s="928"/>
      <c r="AS39" s="928"/>
    </row>
    <row r="40" spans="11:45">
      <c r="K40" s="957"/>
      <c r="L40" s="928"/>
      <c r="M40" s="928"/>
      <c r="N40" s="960"/>
      <c r="O40" s="960"/>
      <c r="P40" s="960"/>
      <c r="Q40" s="960"/>
      <c r="R40" s="960"/>
      <c r="S40" s="960"/>
      <c r="T40" s="960"/>
      <c r="U40" s="960"/>
      <c r="V40" s="960"/>
      <c r="W40" s="960"/>
      <c r="X40" s="960"/>
      <c r="Y40" s="960"/>
      <c r="Z40" s="960"/>
      <c r="AA40" s="960"/>
      <c r="AB40" s="928"/>
      <c r="AC40" s="928"/>
      <c r="AD40" s="928"/>
      <c r="AE40" s="928"/>
      <c r="AF40" s="928"/>
      <c r="AG40" s="928"/>
      <c r="AH40" s="928"/>
      <c r="AI40" s="928"/>
      <c r="AJ40" s="928"/>
      <c r="AK40" s="928"/>
      <c r="AL40" s="928"/>
      <c r="AM40" s="928"/>
      <c r="AN40" s="928"/>
      <c r="AO40" s="928"/>
      <c r="AP40" s="928"/>
      <c r="AQ40" s="928"/>
      <c r="AR40" s="928"/>
      <c r="AS40" s="928"/>
    </row>
    <row r="41" spans="11:45">
      <c r="K41" s="957"/>
      <c r="L41" s="928"/>
      <c r="M41" s="928"/>
      <c r="N41" s="960"/>
      <c r="O41" s="960"/>
      <c r="P41" s="960"/>
      <c r="Q41" s="960"/>
      <c r="R41" s="960"/>
      <c r="S41" s="960"/>
      <c r="T41" s="960"/>
      <c r="U41" s="960"/>
      <c r="V41" s="960"/>
      <c r="W41" s="960"/>
      <c r="X41" s="960"/>
      <c r="Y41" s="960"/>
      <c r="Z41" s="960"/>
      <c r="AA41" s="960"/>
      <c r="AB41" s="928"/>
      <c r="AC41" s="928"/>
      <c r="AD41" s="928"/>
      <c r="AE41" s="928"/>
      <c r="AF41" s="928"/>
      <c r="AG41" s="928"/>
      <c r="AH41" s="928"/>
      <c r="AI41" s="928"/>
      <c r="AJ41" s="928"/>
      <c r="AK41" s="928"/>
      <c r="AL41" s="928"/>
      <c r="AM41" s="928"/>
      <c r="AN41" s="928"/>
      <c r="AO41" s="928"/>
      <c r="AP41" s="928"/>
      <c r="AQ41" s="928"/>
      <c r="AR41" s="928"/>
      <c r="AS41" s="928"/>
    </row>
    <row r="42" spans="11:45">
      <c r="K42" s="957"/>
      <c r="L42" s="928"/>
      <c r="M42" s="928"/>
      <c r="N42" s="960"/>
      <c r="O42" s="960"/>
      <c r="P42" s="960"/>
      <c r="Q42" s="960"/>
      <c r="R42" s="960"/>
      <c r="S42" s="960"/>
      <c r="T42" s="960"/>
      <c r="U42" s="960"/>
      <c r="V42" s="960"/>
      <c r="W42" s="960"/>
      <c r="X42" s="960"/>
      <c r="Y42" s="960"/>
      <c r="Z42" s="960"/>
      <c r="AA42" s="960"/>
      <c r="AB42" s="928"/>
      <c r="AC42" s="928"/>
      <c r="AD42" s="928"/>
      <c r="AE42" s="928"/>
      <c r="AF42" s="928"/>
      <c r="AG42" s="928"/>
      <c r="AH42" s="928"/>
      <c r="AI42" s="928"/>
      <c r="AJ42" s="928"/>
      <c r="AK42" s="928"/>
      <c r="AL42" s="928"/>
      <c r="AM42" s="928"/>
      <c r="AN42" s="928"/>
      <c r="AO42" s="928"/>
      <c r="AP42" s="928"/>
      <c r="AQ42" s="928"/>
      <c r="AR42" s="928"/>
      <c r="AS42" s="928"/>
    </row>
    <row r="43" spans="11:45">
      <c r="K43" s="957"/>
      <c r="L43" s="928"/>
      <c r="M43" s="928"/>
      <c r="N43" s="960"/>
      <c r="O43" s="960"/>
      <c r="P43" s="960"/>
      <c r="Q43" s="960"/>
      <c r="R43" s="960"/>
      <c r="S43" s="960"/>
      <c r="T43" s="960"/>
      <c r="U43" s="960"/>
      <c r="V43" s="960"/>
      <c r="W43" s="960"/>
      <c r="X43" s="960"/>
      <c r="Y43" s="960"/>
      <c r="Z43" s="960"/>
      <c r="AA43" s="960"/>
      <c r="AB43" s="928"/>
      <c r="AC43" s="928"/>
      <c r="AD43" s="928"/>
      <c r="AE43" s="928"/>
      <c r="AF43" s="928"/>
      <c r="AG43" s="928"/>
      <c r="AH43" s="928"/>
      <c r="AI43" s="928"/>
      <c r="AJ43" s="928"/>
      <c r="AK43" s="928"/>
      <c r="AL43" s="928"/>
      <c r="AM43" s="928"/>
      <c r="AN43" s="928"/>
      <c r="AO43" s="928"/>
      <c r="AP43" s="928"/>
      <c r="AQ43" s="928"/>
      <c r="AR43" s="928"/>
      <c r="AS43" s="928"/>
    </row>
    <row r="44" spans="11:45">
      <c r="K44" s="957"/>
      <c r="L44" s="928"/>
      <c r="M44" s="928"/>
      <c r="N44" s="960"/>
      <c r="O44" s="960"/>
      <c r="P44" s="960"/>
      <c r="Q44" s="960"/>
      <c r="R44" s="960"/>
      <c r="S44" s="960"/>
      <c r="T44" s="960"/>
      <c r="U44" s="960"/>
      <c r="V44" s="960"/>
      <c r="W44" s="960"/>
      <c r="X44" s="960"/>
      <c r="Y44" s="960"/>
      <c r="Z44" s="960"/>
      <c r="AA44" s="960"/>
      <c r="AB44" s="928"/>
      <c r="AC44" s="928"/>
      <c r="AD44" s="928"/>
      <c r="AE44" s="928"/>
      <c r="AF44" s="928"/>
      <c r="AG44" s="928"/>
      <c r="AH44" s="928"/>
      <c r="AI44" s="928"/>
      <c r="AJ44" s="928"/>
      <c r="AK44" s="928"/>
      <c r="AL44" s="928"/>
      <c r="AM44" s="928"/>
      <c r="AN44" s="928"/>
      <c r="AO44" s="928"/>
      <c r="AP44" s="928"/>
      <c r="AQ44" s="928"/>
      <c r="AR44" s="928"/>
      <c r="AS44" s="928"/>
    </row>
    <row r="45" spans="11:45">
      <c r="K45" s="957"/>
      <c r="L45" s="928"/>
      <c r="M45" s="928"/>
      <c r="N45" s="960"/>
      <c r="O45" s="960"/>
      <c r="P45" s="960"/>
      <c r="Q45" s="960"/>
      <c r="R45" s="960"/>
      <c r="S45" s="960"/>
      <c r="T45" s="960"/>
      <c r="U45" s="960"/>
      <c r="V45" s="960"/>
      <c r="W45" s="960"/>
      <c r="X45" s="960"/>
      <c r="Y45" s="960"/>
      <c r="Z45" s="960"/>
      <c r="AA45" s="960"/>
      <c r="AB45" s="928"/>
      <c r="AC45" s="928"/>
      <c r="AD45" s="928"/>
      <c r="AE45" s="928"/>
      <c r="AF45" s="928"/>
      <c r="AG45" s="928"/>
      <c r="AH45" s="928"/>
      <c r="AI45" s="928"/>
      <c r="AJ45" s="928"/>
      <c r="AK45" s="928"/>
      <c r="AL45" s="928"/>
      <c r="AM45" s="928"/>
      <c r="AN45" s="928"/>
      <c r="AO45" s="928"/>
      <c r="AP45" s="928"/>
      <c r="AQ45" s="928"/>
      <c r="AR45" s="928"/>
      <c r="AS45" s="928"/>
    </row>
    <row r="46" spans="11:45">
      <c r="K46" s="957"/>
      <c r="L46" s="928"/>
      <c r="M46" s="928"/>
      <c r="N46" s="960"/>
      <c r="O46" s="960"/>
      <c r="P46" s="960"/>
      <c r="Q46" s="960"/>
      <c r="R46" s="960"/>
      <c r="S46" s="960"/>
      <c r="T46" s="960"/>
      <c r="U46" s="960"/>
      <c r="V46" s="960"/>
      <c r="W46" s="960"/>
      <c r="X46" s="960"/>
      <c r="Y46" s="960"/>
      <c r="Z46" s="960"/>
      <c r="AA46" s="960"/>
      <c r="AB46" s="928"/>
      <c r="AC46" s="928"/>
      <c r="AD46" s="928"/>
      <c r="AE46" s="928"/>
      <c r="AF46" s="928"/>
      <c r="AG46" s="928"/>
      <c r="AH46" s="928"/>
      <c r="AI46" s="928"/>
      <c r="AJ46" s="928"/>
      <c r="AK46" s="928"/>
      <c r="AL46" s="928"/>
      <c r="AM46" s="928"/>
      <c r="AN46" s="928"/>
      <c r="AO46" s="928"/>
      <c r="AP46" s="928"/>
      <c r="AQ46" s="928"/>
      <c r="AR46" s="928"/>
      <c r="AS46" s="928"/>
    </row>
    <row r="47" spans="11:45">
      <c r="K47" s="957"/>
      <c r="L47" s="928"/>
      <c r="M47" s="928"/>
      <c r="N47" s="960"/>
      <c r="O47" s="960"/>
      <c r="P47" s="960"/>
      <c r="Q47" s="960"/>
      <c r="R47" s="960"/>
      <c r="S47" s="960"/>
      <c r="T47" s="960"/>
      <c r="U47" s="960"/>
      <c r="V47" s="960"/>
      <c r="W47" s="960"/>
      <c r="X47" s="960"/>
      <c r="Y47" s="960"/>
      <c r="Z47" s="960"/>
      <c r="AA47" s="960"/>
      <c r="AB47" s="928"/>
      <c r="AC47" s="928"/>
      <c r="AD47" s="928"/>
      <c r="AE47" s="928"/>
      <c r="AF47" s="928"/>
      <c r="AG47" s="928"/>
      <c r="AH47" s="928"/>
      <c r="AI47" s="928"/>
      <c r="AJ47" s="928"/>
      <c r="AK47" s="928"/>
      <c r="AL47" s="928"/>
      <c r="AM47" s="928"/>
      <c r="AN47" s="928"/>
      <c r="AO47" s="928"/>
      <c r="AP47" s="928"/>
      <c r="AQ47" s="928"/>
      <c r="AR47" s="928"/>
      <c r="AS47" s="928"/>
    </row>
    <row r="48" spans="11:45">
      <c r="K48" s="957"/>
      <c r="L48" s="928"/>
      <c r="M48" s="928"/>
      <c r="N48" s="960"/>
      <c r="O48" s="960"/>
      <c r="P48" s="960"/>
      <c r="Q48" s="960"/>
      <c r="R48" s="960"/>
      <c r="S48" s="960"/>
      <c r="T48" s="960"/>
      <c r="U48" s="960"/>
      <c r="V48" s="960"/>
      <c r="W48" s="960"/>
      <c r="X48" s="960"/>
      <c r="Y48" s="960"/>
      <c r="Z48" s="960"/>
      <c r="AA48" s="960"/>
      <c r="AB48" s="928"/>
      <c r="AC48" s="928"/>
      <c r="AD48" s="928"/>
      <c r="AE48" s="928"/>
      <c r="AF48" s="928"/>
      <c r="AG48" s="928"/>
      <c r="AH48" s="928"/>
      <c r="AI48" s="928"/>
      <c r="AJ48" s="928"/>
      <c r="AK48" s="928"/>
      <c r="AL48" s="928"/>
      <c r="AM48" s="928"/>
      <c r="AN48" s="928"/>
      <c r="AO48" s="928"/>
      <c r="AP48" s="928"/>
      <c r="AQ48" s="928"/>
      <c r="AR48" s="928"/>
      <c r="AS48" s="928"/>
    </row>
    <row r="49" spans="11:45">
      <c r="K49" s="957"/>
      <c r="L49" s="928"/>
      <c r="M49" s="928"/>
      <c r="N49" s="960"/>
      <c r="O49" s="960"/>
      <c r="P49" s="960"/>
      <c r="Q49" s="960"/>
      <c r="R49" s="960"/>
      <c r="S49" s="960"/>
      <c r="T49" s="960"/>
      <c r="U49" s="960"/>
      <c r="V49" s="960"/>
      <c r="W49" s="960"/>
      <c r="X49" s="960"/>
      <c r="Y49" s="960"/>
      <c r="Z49" s="960"/>
      <c r="AA49" s="960"/>
      <c r="AB49" s="928"/>
      <c r="AC49" s="928"/>
      <c r="AD49" s="928"/>
      <c r="AE49" s="928"/>
      <c r="AF49" s="928"/>
      <c r="AG49" s="928"/>
      <c r="AH49" s="928"/>
      <c r="AI49" s="928"/>
      <c r="AJ49" s="928"/>
      <c r="AK49" s="928"/>
      <c r="AL49" s="928"/>
      <c r="AM49" s="928"/>
      <c r="AN49" s="928"/>
      <c r="AO49" s="928"/>
      <c r="AP49" s="928"/>
      <c r="AQ49" s="928"/>
      <c r="AR49" s="928"/>
      <c r="AS49" s="928"/>
    </row>
    <row r="50" spans="11:45">
      <c r="K50" s="957"/>
      <c r="L50" s="928"/>
      <c r="M50" s="928"/>
      <c r="N50" s="960"/>
      <c r="O50" s="960"/>
      <c r="P50" s="960"/>
      <c r="Q50" s="960"/>
      <c r="R50" s="960"/>
      <c r="S50" s="960"/>
      <c r="T50" s="960"/>
      <c r="U50" s="960"/>
      <c r="V50" s="960"/>
      <c r="W50" s="960"/>
      <c r="X50" s="960"/>
      <c r="Y50" s="960"/>
      <c r="Z50" s="960"/>
      <c r="AA50" s="960"/>
      <c r="AB50" s="928"/>
      <c r="AC50" s="928"/>
      <c r="AD50" s="928"/>
      <c r="AE50" s="928"/>
      <c r="AF50" s="928"/>
      <c r="AG50" s="928"/>
      <c r="AH50" s="928"/>
      <c r="AI50" s="928"/>
      <c r="AJ50" s="928"/>
      <c r="AK50" s="928"/>
      <c r="AL50" s="928"/>
      <c r="AM50" s="928"/>
      <c r="AN50" s="928"/>
      <c r="AO50" s="928"/>
      <c r="AP50" s="928"/>
      <c r="AQ50" s="928"/>
      <c r="AR50" s="928"/>
      <c r="AS50" s="928"/>
    </row>
    <row r="51" spans="11:45">
      <c r="K51" s="957"/>
      <c r="L51" s="928"/>
      <c r="M51" s="928"/>
      <c r="N51" s="960"/>
      <c r="O51" s="960"/>
      <c r="P51" s="960"/>
      <c r="Q51" s="960"/>
      <c r="R51" s="960"/>
      <c r="S51" s="960"/>
      <c r="T51" s="960"/>
      <c r="U51" s="960"/>
      <c r="V51" s="960"/>
      <c r="W51" s="960"/>
      <c r="X51" s="960"/>
      <c r="Y51" s="960"/>
      <c r="Z51" s="960"/>
      <c r="AA51" s="960"/>
      <c r="AB51" s="928"/>
      <c r="AC51" s="928"/>
      <c r="AD51" s="928"/>
      <c r="AE51" s="928"/>
      <c r="AF51" s="928"/>
      <c r="AG51" s="928"/>
      <c r="AH51" s="928"/>
      <c r="AI51" s="928"/>
      <c r="AJ51" s="928"/>
      <c r="AK51" s="928"/>
      <c r="AL51" s="928"/>
      <c r="AM51" s="928"/>
      <c r="AN51" s="928"/>
      <c r="AO51" s="928"/>
      <c r="AP51" s="928"/>
      <c r="AQ51" s="928"/>
      <c r="AR51" s="928"/>
      <c r="AS51" s="928"/>
    </row>
    <row r="52" spans="11:45">
      <c r="K52" s="957"/>
      <c r="L52" s="928"/>
      <c r="M52" s="928"/>
      <c r="N52" s="960"/>
      <c r="O52" s="960"/>
      <c r="P52" s="960"/>
      <c r="Q52" s="960"/>
      <c r="R52" s="960"/>
      <c r="S52" s="960"/>
      <c r="T52" s="960"/>
      <c r="U52" s="960"/>
      <c r="V52" s="960"/>
      <c r="W52" s="960"/>
      <c r="X52" s="960"/>
      <c r="Y52" s="960"/>
      <c r="Z52" s="960"/>
      <c r="AA52" s="960"/>
      <c r="AB52" s="928"/>
      <c r="AC52" s="928"/>
      <c r="AD52" s="928"/>
      <c r="AE52" s="928"/>
      <c r="AF52" s="928"/>
      <c r="AG52" s="928"/>
      <c r="AH52" s="928"/>
      <c r="AI52" s="928"/>
      <c r="AJ52" s="928"/>
      <c r="AK52" s="928"/>
      <c r="AL52" s="928"/>
      <c r="AM52" s="928"/>
      <c r="AN52" s="928"/>
      <c r="AO52" s="928"/>
      <c r="AP52" s="928"/>
      <c r="AQ52" s="928"/>
      <c r="AR52" s="928"/>
      <c r="AS52" s="928"/>
    </row>
    <row r="53" spans="11:45">
      <c r="K53" s="957"/>
      <c r="L53" s="928"/>
      <c r="M53" s="928"/>
      <c r="N53" s="960"/>
      <c r="O53" s="960"/>
      <c r="P53" s="960"/>
      <c r="Q53" s="960"/>
      <c r="R53" s="960"/>
      <c r="S53" s="960"/>
      <c r="T53" s="960"/>
      <c r="U53" s="960"/>
      <c r="V53" s="960"/>
      <c r="W53" s="960"/>
      <c r="X53" s="960"/>
      <c r="Y53" s="960"/>
      <c r="Z53" s="960"/>
      <c r="AA53" s="960"/>
      <c r="AB53" s="928"/>
      <c r="AC53" s="928"/>
      <c r="AD53" s="928"/>
      <c r="AE53" s="928"/>
      <c r="AF53" s="928"/>
      <c r="AG53" s="928"/>
      <c r="AH53" s="928"/>
      <c r="AI53" s="928"/>
      <c r="AJ53" s="928"/>
      <c r="AK53" s="928"/>
      <c r="AL53" s="928"/>
      <c r="AM53" s="928"/>
      <c r="AN53" s="928"/>
      <c r="AO53" s="928"/>
      <c r="AP53" s="928"/>
      <c r="AQ53" s="928"/>
      <c r="AR53" s="928"/>
      <c r="AS53" s="928"/>
    </row>
    <row r="54" spans="11:45">
      <c r="K54" s="957"/>
      <c r="L54" s="928"/>
      <c r="M54" s="928"/>
      <c r="N54" s="960"/>
      <c r="O54" s="960"/>
      <c r="P54" s="960"/>
      <c r="Q54" s="960"/>
      <c r="R54" s="960"/>
      <c r="S54" s="960"/>
      <c r="T54" s="960"/>
      <c r="U54" s="960"/>
      <c r="V54" s="960"/>
      <c r="W54" s="960"/>
      <c r="X54" s="960"/>
      <c r="Y54" s="960"/>
      <c r="Z54" s="960"/>
      <c r="AA54" s="960"/>
      <c r="AB54" s="928"/>
      <c r="AC54" s="928"/>
      <c r="AD54" s="928"/>
      <c r="AE54" s="928"/>
      <c r="AF54" s="928"/>
      <c r="AG54" s="928"/>
      <c r="AH54" s="928"/>
      <c r="AI54" s="928"/>
      <c r="AJ54" s="928"/>
      <c r="AK54" s="928"/>
      <c r="AL54" s="928"/>
      <c r="AM54" s="928"/>
      <c r="AN54" s="928"/>
      <c r="AO54" s="928"/>
      <c r="AP54" s="928"/>
      <c r="AQ54" s="928"/>
      <c r="AR54" s="928"/>
      <c r="AS54" s="928"/>
    </row>
    <row r="55" spans="11:45">
      <c r="K55" s="957"/>
      <c r="L55" s="928"/>
      <c r="M55" s="928"/>
      <c r="N55" s="960"/>
      <c r="O55" s="960"/>
      <c r="P55" s="960"/>
      <c r="Q55" s="960"/>
      <c r="R55" s="960"/>
      <c r="S55" s="960"/>
      <c r="T55" s="960"/>
      <c r="U55" s="960"/>
      <c r="V55" s="960"/>
      <c r="W55" s="960"/>
      <c r="X55" s="960"/>
      <c r="Y55" s="960"/>
      <c r="Z55" s="960"/>
      <c r="AA55" s="960"/>
      <c r="AB55" s="928"/>
      <c r="AC55" s="928"/>
      <c r="AD55" s="928"/>
      <c r="AE55" s="928"/>
      <c r="AF55" s="928"/>
      <c r="AG55" s="928"/>
      <c r="AH55" s="928"/>
      <c r="AI55" s="928"/>
      <c r="AJ55" s="928"/>
      <c r="AK55" s="928"/>
      <c r="AL55" s="928"/>
      <c r="AM55" s="928"/>
      <c r="AN55" s="928"/>
      <c r="AO55" s="928"/>
      <c r="AP55" s="928"/>
      <c r="AQ55" s="928"/>
      <c r="AR55" s="928"/>
      <c r="AS55" s="928"/>
    </row>
    <row r="56" spans="11:45">
      <c r="K56" s="957"/>
      <c r="L56" s="928"/>
      <c r="M56" s="928"/>
      <c r="N56" s="960"/>
      <c r="O56" s="960"/>
      <c r="P56" s="960"/>
      <c r="Q56" s="960"/>
      <c r="R56" s="960"/>
      <c r="S56" s="960"/>
      <c r="T56" s="960"/>
      <c r="U56" s="960"/>
      <c r="V56" s="960"/>
      <c r="W56" s="960"/>
      <c r="X56" s="960"/>
      <c r="Y56" s="960"/>
      <c r="Z56" s="960"/>
      <c r="AA56" s="960"/>
      <c r="AB56" s="928"/>
      <c r="AC56" s="928"/>
      <c r="AD56" s="928"/>
      <c r="AE56" s="928"/>
      <c r="AF56" s="928"/>
      <c r="AG56" s="928"/>
      <c r="AH56" s="928"/>
      <c r="AI56" s="928"/>
      <c r="AJ56" s="928"/>
      <c r="AK56" s="928"/>
      <c r="AL56" s="928"/>
      <c r="AM56" s="928"/>
      <c r="AN56" s="928"/>
      <c r="AO56" s="928"/>
      <c r="AP56" s="928"/>
      <c r="AQ56" s="928"/>
      <c r="AR56" s="928"/>
      <c r="AS56" s="928"/>
    </row>
    <row r="57" spans="11:45">
      <c r="K57" s="957"/>
      <c r="L57" s="928"/>
      <c r="M57" s="928"/>
      <c r="N57" s="960"/>
      <c r="O57" s="960"/>
      <c r="P57" s="960"/>
      <c r="Q57" s="960"/>
      <c r="R57" s="960"/>
      <c r="S57" s="960"/>
      <c r="T57" s="960"/>
      <c r="U57" s="960"/>
      <c r="V57" s="960"/>
      <c r="W57" s="960"/>
      <c r="X57" s="960"/>
      <c r="Y57" s="960"/>
      <c r="Z57" s="960"/>
      <c r="AA57" s="960"/>
      <c r="AB57" s="928"/>
      <c r="AC57" s="928"/>
      <c r="AD57" s="928"/>
      <c r="AE57" s="928"/>
      <c r="AF57" s="928"/>
      <c r="AG57" s="928"/>
      <c r="AH57" s="928"/>
      <c r="AI57" s="928"/>
      <c r="AJ57" s="928"/>
      <c r="AK57" s="928"/>
      <c r="AL57" s="928"/>
      <c r="AM57" s="928"/>
      <c r="AN57" s="928"/>
      <c r="AO57" s="928"/>
      <c r="AP57" s="928"/>
      <c r="AQ57" s="928"/>
      <c r="AR57" s="928"/>
      <c r="AS57" s="928"/>
    </row>
    <row r="58" spans="11:45">
      <c r="K58" s="957"/>
      <c r="L58" s="928"/>
      <c r="M58" s="928"/>
      <c r="N58" s="960"/>
      <c r="O58" s="960"/>
      <c r="P58" s="960"/>
      <c r="Q58" s="960"/>
      <c r="R58" s="960"/>
      <c r="S58" s="960"/>
      <c r="T58" s="960"/>
      <c r="U58" s="960"/>
      <c r="V58" s="960"/>
      <c r="W58" s="960"/>
      <c r="X58" s="960"/>
      <c r="Y58" s="960"/>
      <c r="Z58" s="960"/>
      <c r="AA58" s="960"/>
      <c r="AB58" s="928"/>
      <c r="AC58" s="928"/>
      <c r="AD58" s="928"/>
      <c r="AE58" s="928"/>
      <c r="AF58" s="928"/>
      <c r="AG58" s="928"/>
      <c r="AH58" s="928"/>
      <c r="AI58" s="928"/>
      <c r="AJ58" s="928"/>
      <c r="AK58" s="928"/>
      <c r="AL58" s="928"/>
      <c r="AM58" s="928"/>
      <c r="AN58" s="928"/>
      <c r="AO58" s="928"/>
      <c r="AP58" s="928"/>
      <c r="AQ58" s="928"/>
      <c r="AR58" s="928"/>
      <c r="AS58" s="928"/>
    </row>
    <row r="59" spans="11:45">
      <c r="K59" s="957"/>
      <c r="L59" s="928"/>
      <c r="M59" s="928"/>
      <c r="N59" s="960"/>
      <c r="O59" s="960"/>
      <c r="P59" s="960"/>
      <c r="Q59" s="960"/>
      <c r="R59" s="960"/>
      <c r="S59" s="960"/>
      <c r="T59" s="960"/>
      <c r="U59" s="960"/>
      <c r="V59" s="960"/>
      <c r="W59" s="960"/>
      <c r="X59" s="960"/>
      <c r="Y59" s="960"/>
      <c r="Z59" s="960"/>
      <c r="AA59" s="960"/>
      <c r="AB59" s="928"/>
      <c r="AC59" s="928"/>
      <c r="AD59" s="928"/>
      <c r="AE59" s="928"/>
      <c r="AF59" s="928"/>
      <c r="AG59" s="928"/>
      <c r="AH59" s="928"/>
      <c r="AI59" s="928"/>
      <c r="AJ59" s="928"/>
      <c r="AK59" s="928"/>
      <c r="AL59" s="928"/>
      <c r="AM59" s="928"/>
      <c r="AN59" s="928"/>
      <c r="AO59" s="928"/>
      <c r="AP59" s="928"/>
      <c r="AQ59" s="928"/>
      <c r="AR59" s="928"/>
      <c r="AS59" s="928"/>
    </row>
    <row r="60" spans="11:45">
      <c r="K60" s="957"/>
      <c r="L60" s="928"/>
      <c r="M60" s="928"/>
      <c r="N60" s="960"/>
      <c r="O60" s="960"/>
      <c r="P60" s="960"/>
      <c r="Q60" s="960"/>
      <c r="R60" s="960"/>
      <c r="S60" s="960"/>
      <c r="T60" s="960"/>
      <c r="U60" s="960"/>
      <c r="V60" s="960"/>
      <c r="W60" s="960"/>
      <c r="X60" s="960"/>
      <c r="Y60" s="960"/>
      <c r="Z60" s="960"/>
      <c r="AA60" s="960"/>
      <c r="AB60" s="928"/>
      <c r="AC60" s="928"/>
      <c r="AD60" s="928"/>
      <c r="AE60" s="928"/>
      <c r="AF60" s="928"/>
      <c r="AG60" s="928"/>
      <c r="AH60" s="928"/>
      <c r="AI60" s="928"/>
      <c r="AJ60" s="928"/>
      <c r="AK60" s="928"/>
      <c r="AL60" s="928"/>
      <c r="AM60" s="928"/>
      <c r="AN60" s="928"/>
      <c r="AO60" s="928"/>
      <c r="AP60" s="928"/>
      <c r="AQ60" s="928"/>
      <c r="AR60" s="928"/>
      <c r="AS60" s="928"/>
    </row>
    <row r="61" spans="11:45">
      <c r="K61" s="957"/>
      <c r="L61" s="928"/>
      <c r="M61" s="928"/>
      <c r="N61" s="960"/>
      <c r="O61" s="960"/>
      <c r="P61" s="960"/>
      <c r="Q61" s="960"/>
      <c r="R61" s="960"/>
      <c r="S61" s="960"/>
      <c r="T61" s="960"/>
      <c r="U61" s="960"/>
      <c r="V61" s="960"/>
      <c r="W61" s="960"/>
      <c r="X61" s="960"/>
      <c r="Y61" s="960"/>
      <c r="Z61" s="960"/>
      <c r="AA61" s="960"/>
      <c r="AB61" s="928"/>
      <c r="AC61" s="928"/>
      <c r="AD61" s="928"/>
      <c r="AE61" s="928"/>
      <c r="AF61" s="928"/>
      <c r="AG61" s="928"/>
      <c r="AH61" s="928"/>
      <c r="AI61" s="928"/>
      <c r="AJ61" s="928"/>
      <c r="AK61" s="928"/>
      <c r="AL61" s="928"/>
      <c r="AM61" s="928"/>
      <c r="AN61" s="928"/>
      <c r="AO61" s="928"/>
      <c r="AP61" s="928"/>
      <c r="AQ61" s="928"/>
      <c r="AR61" s="928"/>
      <c r="AS61" s="928"/>
    </row>
    <row r="62" spans="11:45">
      <c r="K62" s="957"/>
      <c r="L62" s="928"/>
      <c r="M62" s="928"/>
      <c r="N62" s="960"/>
      <c r="O62" s="960"/>
      <c r="P62" s="960"/>
      <c r="Q62" s="960"/>
      <c r="R62" s="960"/>
      <c r="S62" s="960"/>
      <c r="T62" s="960"/>
      <c r="U62" s="960"/>
      <c r="V62" s="960"/>
      <c r="W62" s="960"/>
      <c r="X62" s="960"/>
      <c r="Y62" s="960"/>
      <c r="Z62" s="960"/>
      <c r="AA62" s="960"/>
      <c r="AB62" s="928"/>
      <c r="AC62" s="928"/>
      <c r="AD62" s="928"/>
      <c r="AE62" s="928"/>
      <c r="AF62" s="928"/>
      <c r="AG62" s="928"/>
      <c r="AH62" s="928"/>
      <c r="AI62" s="928"/>
      <c r="AJ62" s="928"/>
      <c r="AK62" s="928"/>
      <c r="AL62" s="928"/>
      <c r="AM62" s="928"/>
      <c r="AN62" s="928"/>
      <c r="AO62" s="928"/>
      <c r="AP62" s="928"/>
      <c r="AQ62" s="928"/>
      <c r="AR62" s="928"/>
      <c r="AS62" s="928"/>
    </row>
    <row r="63" spans="11:45">
      <c r="K63" s="957"/>
      <c r="L63" s="928"/>
      <c r="M63" s="928"/>
      <c r="N63" s="960"/>
      <c r="O63" s="960"/>
      <c r="P63" s="960"/>
      <c r="Q63" s="960"/>
      <c r="R63" s="960"/>
      <c r="S63" s="960"/>
      <c r="T63" s="960"/>
      <c r="U63" s="960"/>
      <c r="V63" s="960"/>
      <c r="W63" s="960"/>
      <c r="X63" s="960"/>
      <c r="Y63" s="960"/>
      <c r="Z63" s="960"/>
      <c r="AA63" s="960"/>
      <c r="AB63" s="928"/>
      <c r="AC63" s="928"/>
      <c r="AD63" s="928"/>
      <c r="AE63" s="928"/>
      <c r="AF63" s="928"/>
      <c r="AG63" s="928"/>
      <c r="AH63" s="928"/>
      <c r="AI63" s="928"/>
      <c r="AJ63" s="928"/>
      <c r="AK63" s="928"/>
      <c r="AL63" s="928"/>
      <c r="AM63" s="928"/>
      <c r="AN63" s="928"/>
      <c r="AO63" s="928"/>
      <c r="AP63" s="928"/>
      <c r="AQ63" s="928"/>
      <c r="AR63" s="928"/>
      <c r="AS63" s="928"/>
    </row>
    <row r="64" spans="11:45">
      <c r="K64" s="957"/>
      <c r="L64" s="928"/>
      <c r="M64" s="928"/>
      <c r="N64" s="960"/>
      <c r="O64" s="960"/>
      <c r="P64" s="960"/>
      <c r="Q64" s="960"/>
      <c r="R64" s="960"/>
      <c r="S64" s="960"/>
      <c r="T64" s="960"/>
      <c r="U64" s="960"/>
      <c r="V64" s="960"/>
      <c r="W64" s="960"/>
      <c r="X64" s="960"/>
      <c r="Y64" s="960"/>
      <c r="Z64" s="960"/>
      <c r="AA64" s="960"/>
      <c r="AB64" s="928"/>
      <c r="AC64" s="928"/>
      <c r="AD64" s="928"/>
      <c r="AE64" s="928"/>
      <c r="AF64" s="928"/>
      <c r="AG64" s="928"/>
      <c r="AH64" s="928"/>
      <c r="AI64" s="928"/>
      <c r="AJ64" s="928"/>
      <c r="AK64" s="928"/>
      <c r="AL64" s="928"/>
      <c r="AM64" s="928"/>
      <c r="AN64" s="928"/>
      <c r="AO64" s="928"/>
      <c r="AP64" s="928"/>
      <c r="AQ64" s="928"/>
      <c r="AR64" s="928"/>
      <c r="AS64" s="928"/>
    </row>
    <row r="65" spans="11:45">
      <c r="K65" s="957"/>
      <c r="L65" s="928"/>
      <c r="M65" s="928"/>
      <c r="N65" s="960"/>
      <c r="O65" s="960"/>
      <c r="P65" s="960"/>
      <c r="Q65" s="960"/>
      <c r="R65" s="960"/>
      <c r="S65" s="960"/>
      <c r="T65" s="960"/>
      <c r="U65" s="960"/>
      <c r="V65" s="960"/>
      <c r="W65" s="960"/>
      <c r="X65" s="960"/>
      <c r="Y65" s="960"/>
      <c r="Z65" s="960"/>
      <c r="AA65" s="960"/>
      <c r="AB65" s="928"/>
      <c r="AC65" s="928"/>
      <c r="AD65" s="928"/>
      <c r="AE65" s="928"/>
      <c r="AF65" s="928"/>
      <c r="AG65" s="928"/>
      <c r="AH65" s="928"/>
      <c r="AI65" s="928"/>
      <c r="AJ65" s="928"/>
      <c r="AK65" s="928"/>
      <c r="AL65" s="928"/>
      <c r="AM65" s="928"/>
      <c r="AN65" s="928"/>
      <c r="AO65" s="928"/>
      <c r="AP65" s="928"/>
      <c r="AQ65" s="928"/>
      <c r="AR65" s="928"/>
      <c r="AS65" s="928"/>
    </row>
    <row r="66" spans="11:45">
      <c r="K66" s="957"/>
      <c r="L66" s="928"/>
      <c r="M66" s="928"/>
      <c r="N66" s="960"/>
      <c r="O66" s="960"/>
      <c r="P66" s="960"/>
      <c r="Q66" s="960"/>
      <c r="R66" s="960"/>
      <c r="S66" s="960"/>
      <c r="T66" s="960"/>
      <c r="U66" s="960"/>
      <c r="V66" s="960"/>
      <c r="W66" s="960"/>
      <c r="X66" s="960"/>
      <c r="Y66" s="960"/>
      <c r="Z66" s="960"/>
      <c r="AA66" s="960"/>
      <c r="AB66" s="928"/>
      <c r="AC66" s="928"/>
      <c r="AD66" s="928"/>
      <c r="AE66" s="928"/>
      <c r="AF66" s="928"/>
      <c r="AG66" s="928"/>
      <c r="AH66" s="928"/>
      <c r="AI66" s="928"/>
      <c r="AJ66" s="928"/>
      <c r="AK66" s="928"/>
      <c r="AL66" s="928"/>
      <c r="AM66" s="928"/>
      <c r="AN66" s="928"/>
      <c r="AO66" s="928"/>
      <c r="AP66" s="928"/>
      <c r="AQ66" s="928"/>
      <c r="AR66" s="928"/>
      <c r="AS66" s="928"/>
    </row>
    <row r="67" spans="11:45">
      <c r="K67" s="957"/>
      <c r="L67" s="928"/>
      <c r="M67" s="928"/>
      <c r="N67" s="960"/>
      <c r="O67" s="960"/>
      <c r="P67" s="960"/>
      <c r="Q67" s="960"/>
      <c r="R67" s="960"/>
      <c r="S67" s="960"/>
      <c r="T67" s="960"/>
      <c r="U67" s="960"/>
      <c r="V67" s="960"/>
      <c r="W67" s="960"/>
      <c r="X67" s="960"/>
      <c r="Y67" s="960"/>
      <c r="Z67" s="960"/>
      <c r="AA67" s="960"/>
      <c r="AB67" s="928"/>
      <c r="AC67" s="928"/>
      <c r="AD67" s="928"/>
      <c r="AE67" s="928"/>
      <c r="AF67" s="928"/>
      <c r="AG67" s="928"/>
      <c r="AH67" s="928"/>
      <c r="AI67" s="928"/>
      <c r="AJ67" s="928"/>
      <c r="AK67" s="928"/>
      <c r="AL67" s="928"/>
      <c r="AM67" s="928"/>
      <c r="AN67" s="928"/>
      <c r="AO67" s="928"/>
      <c r="AP67" s="928"/>
      <c r="AQ67" s="928"/>
      <c r="AR67" s="928"/>
      <c r="AS67" s="928"/>
    </row>
    <row r="68" spans="11:45">
      <c r="K68" s="957"/>
      <c r="L68" s="928"/>
      <c r="M68" s="928"/>
      <c r="N68" s="960"/>
      <c r="O68" s="960"/>
      <c r="P68" s="960"/>
      <c r="Q68" s="960"/>
      <c r="R68" s="960"/>
      <c r="S68" s="960"/>
      <c r="T68" s="960"/>
      <c r="U68" s="960"/>
      <c r="V68" s="960"/>
      <c r="W68" s="960"/>
      <c r="X68" s="960"/>
      <c r="Y68" s="960"/>
      <c r="Z68" s="960"/>
      <c r="AA68" s="960"/>
      <c r="AB68" s="928"/>
      <c r="AC68" s="928"/>
      <c r="AD68" s="928"/>
      <c r="AE68" s="928"/>
      <c r="AF68" s="928"/>
      <c r="AG68" s="928"/>
      <c r="AH68" s="928"/>
      <c r="AI68" s="928"/>
      <c r="AJ68" s="928"/>
      <c r="AK68" s="928"/>
      <c r="AL68" s="928"/>
      <c r="AM68" s="928"/>
      <c r="AN68" s="928"/>
      <c r="AO68" s="928"/>
      <c r="AP68" s="928"/>
      <c r="AQ68" s="928"/>
      <c r="AR68" s="928"/>
      <c r="AS68" s="928"/>
    </row>
    <row r="69" spans="11:45">
      <c r="K69" s="957"/>
      <c r="L69" s="928"/>
      <c r="M69" s="928"/>
      <c r="N69" s="960"/>
      <c r="O69" s="960"/>
      <c r="P69" s="960"/>
      <c r="Q69" s="960"/>
      <c r="R69" s="960"/>
      <c r="S69" s="960"/>
      <c r="T69" s="960"/>
      <c r="U69" s="960"/>
      <c r="V69" s="960"/>
      <c r="W69" s="960"/>
      <c r="X69" s="960"/>
      <c r="Y69" s="960"/>
      <c r="Z69" s="960"/>
      <c r="AA69" s="960"/>
      <c r="AB69" s="928"/>
      <c r="AC69" s="928"/>
      <c r="AD69" s="928"/>
      <c r="AE69" s="928"/>
      <c r="AF69" s="928"/>
      <c r="AG69" s="928"/>
      <c r="AH69" s="928"/>
      <c r="AI69" s="928"/>
      <c r="AJ69" s="928"/>
      <c r="AK69" s="928"/>
      <c r="AL69" s="928"/>
      <c r="AM69" s="928"/>
      <c r="AN69" s="928"/>
      <c r="AO69" s="928"/>
      <c r="AP69" s="928"/>
      <c r="AQ69" s="928"/>
      <c r="AR69" s="928"/>
      <c r="AS69" s="928"/>
    </row>
    <row r="70" spans="11:45">
      <c r="K70" s="957"/>
      <c r="L70" s="928"/>
      <c r="M70" s="928"/>
      <c r="N70" s="960"/>
      <c r="O70" s="960"/>
      <c r="P70" s="960"/>
      <c r="Q70" s="960"/>
      <c r="R70" s="960"/>
      <c r="S70" s="960"/>
      <c r="T70" s="960"/>
      <c r="U70" s="960"/>
      <c r="V70" s="960"/>
      <c r="W70" s="960"/>
      <c r="X70" s="960"/>
      <c r="Y70" s="960"/>
      <c r="Z70" s="960"/>
      <c r="AA70" s="960"/>
      <c r="AB70" s="928"/>
      <c r="AC70" s="928"/>
      <c r="AD70" s="928"/>
      <c r="AE70" s="928"/>
      <c r="AF70" s="928"/>
      <c r="AG70" s="928"/>
      <c r="AH70" s="928"/>
      <c r="AI70" s="928"/>
      <c r="AJ70" s="928"/>
      <c r="AK70" s="928"/>
      <c r="AL70" s="928"/>
      <c r="AM70" s="928"/>
      <c r="AN70" s="928"/>
      <c r="AO70" s="928"/>
      <c r="AP70" s="928"/>
      <c r="AQ70" s="928"/>
      <c r="AR70" s="928"/>
      <c r="AS70" s="928"/>
    </row>
    <row r="71" spans="11:45">
      <c r="K71" s="957"/>
      <c r="L71" s="928"/>
      <c r="M71" s="928"/>
      <c r="N71" s="960"/>
      <c r="O71" s="960"/>
      <c r="P71" s="960"/>
      <c r="Q71" s="960"/>
      <c r="R71" s="960"/>
      <c r="S71" s="960"/>
      <c r="T71" s="960"/>
      <c r="U71" s="960"/>
      <c r="V71" s="960"/>
      <c r="W71" s="960"/>
      <c r="X71" s="960"/>
      <c r="Y71" s="960"/>
      <c r="Z71" s="960"/>
      <c r="AA71" s="960"/>
      <c r="AB71" s="928"/>
      <c r="AC71" s="928"/>
      <c r="AD71" s="928"/>
      <c r="AE71" s="928"/>
      <c r="AF71" s="928"/>
      <c r="AG71" s="928"/>
      <c r="AH71" s="928"/>
      <c r="AI71" s="928"/>
      <c r="AJ71" s="928"/>
      <c r="AK71" s="928"/>
      <c r="AL71" s="928"/>
      <c r="AM71" s="928"/>
      <c r="AN71" s="928"/>
      <c r="AO71" s="928"/>
      <c r="AP71" s="928"/>
      <c r="AQ71" s="928"/>
      <c r="AR71" s="928"/>
      <c r="AS71" s="928"/>
    </row>
    <row r="72" spans="11:45">
      <c r="K72" s="957"/>
      <c r="L72" s="928"/>
      <c r="M72" s="928"/>
      <c r="N72" s="960"/>
      <c r="O72" s="960"/>
      <c r="P72" s="960"/>
      <c r="Q72" s="960"/>
      <c r="R72" s="960"/>
      <c r="S72" s="960"/>
      <c r="T72" s="960"/>
      <c r="U72" s="960"/>
      <c r="V72" s="960"/>
      <c r="W72" s="960"/>
      <c r="X72" s="960"/>
      <c r="Y72" s="960"/>
      <c r="Z72" s="960"/>
      <c r="AA72" s="960"/>
      <c r="AB72" s="928"/>
      <c r="AC72" s="928"/>
      <c r="AD72" s="928"/>
      <c r="AE72" s="928"/>
      <c r="AF72" s="928"/>
      <c r="AG72" s="928"/>
      <c r="AH72" s="928"/>
      <c r="AI72" s="928"/>
      <c r="AJ72" s="928"/>
      <c r="AK72" s="928"/>
      <c r="AL72" s="928"/>
      <c r="AM72" s="928"/>
      <c r="AN72" s="928"/>
      <c r="AO72" s="928"/>
      <c r="AP72" s="928"/>
      <c r="AQ72" s="928"/>
      <c r="AR72" s="928"/>
      <c r="AS72" s="928"/>
    </row>
    <row r="73" spans="11:45">
      <c r="K73" s="957"/>
      <c r="L73" s="928"/>
      <c r="M73" s="928"/>
      <c r="N73" s="960"/>
      <c r="O73" s="960"/>
      <c r="P73" s="960"/>
      <c r="Q73" s="960"/>
      <c r="R73" s="960"/>
      <c r="S73" s="960"/>
      <c r="T73" s="960"/>
      <c r="U73" s="960"/>
      <c r="V73" s="960"/>
      <c r="W73" s="960"/>
      <c r="X73" s="960"/>
      <c r="Y73" s="960"/>
      <c r="Z73" s="960"/>
      <c r="AA73" s="960"/>
      <c r="AB73" s="928"/>
      <c r="AC73" s="928"/>
      <c r="AD73" s="928"/>
      <c r="AE73" s="928"/>
      <c r="AF73" s="928"/>
      <c r="AG73" s="928"/>
      <c r="AH73" s="928"/>
      <c r="AI73" s="928"/>
      <c r="AJ73" s="928"/>
      <c r="AK73" s="928"/>
      <c r="AL73" s="928"/>
      <c r="AM73" s="928"/>
      <c r="AN73" s="928"/>
      <c r="AO73" s="928"/>
      <c r="AP73" s="928"/>
      <c r="AQ73" s="928"/>
      <c r="AR73" s="928"/>
      <c r="AS73" s="928"/>
    </row>
    <row r="74" spans="11:45">
      <c r="K74" s="957"/>
      <c r="L74" s="928"/>
      <c r="M74" s="928"/>
      <c r="N74" s="960"/>
      <c r="O74" s="960"/>
      <c r="P74" s="960"/>
      <c r="Q74" s="960"/>
      <c r="R74" s="960"/>
      <c r="S74" s="960"/>
      <c r="T74" s="960"/>
      <c r="U74" s="960"/>
      <c r="V74" s="960"/>
      <c r="W74" s="960"/>
      <c r="X74" s="960"/>
      <c r="Y74" s="960"/>
      <c r="Z74" s="960"/>
      <c r="AA74" s="960"/>
      <c r="AB74" s="928"/>
      <c r="AC74" s="928"/>
      <c r="AD74" s="928"/>
      <c r="AE74" s="928"/>
      <c r="AF74" s="928"/>
      <c r="AG74" s="928"/>
      <c r="AH74" s="928"/>
      <c r="AI74" s="928"/>
      <c r="AJ74" s="928"/>
      <c r="AK74" s="928"/>
      <c r="AL74" s="928"/>
      <c r="AM74" s="928"/>
      <c r="AN74" s="928"/>
      <c r="AO74" s="928"/>
      <c r="AP74" s="928"/>
      <c r="AQ74" s="928"/>
      <c r="AR74" s="928"/>
      <c r="AS74" s="928"/>
    </row>
    <row r="75" spans="11:45">
      <c r="K75" s="957"/>
      <c r="L75" s="928"/>
      <c r="M75" s="928"/>
      <c r="N75" s="960"/>
      <c r="O75" s="960"/>
      <c r="P75" s="960"/>
      <c r="Q75" s="960"/>
      <c r="R75" s="960"/>
      <c r="S75" s="960"/>
      <c r="T75" s="960"/>
      <c r="U75" s="960"/>
      <c r="V75" s="960"/>
      <c r="W75" s="960"/>
      <c r="X75" s="960"/>
      <c r="Y75" s="960"/>
      <c r="Z75" s="960"/>
      <c r="AA75" s="960"/>
      <c r="AB75" s="928"/>
      <c r="AC75" s="928"/>
      <c r="AD75" s="928"/>
      <c r="AE75" s="928"/>
      <c r="AF75" s="928"/>
      <c r="AG75" s="928"/>
      <c r="AH75" s="928"/>
      <c r="AI75" s="928"/>
      <c r="AJ75" s="928"/>
      <c r="AK75" s="928"/>
      <c r="AL75" s="928"/>
      <c r="AM75" s="928"/>
      <c r="AN75" s="928"/>
      <c r="AO75" s="928"/>
      <c r="AP75" s="928"/>
      <c r="AQ75" s="928"/>
      <c r="AR75" s="928"/>
      <c r="AS75" s="928"/>
    </row>
    <row r="76" spans="11:45">
      <c r="K76" s="957"/>
      <c r="L76" s="928"/>
      <c r="M76" s="928"/>
      <c r="N76" s="960"/>
      <c r="O76" s="960"/>
      <c r="P76" s="960"/>
      <c r="Q76" s="960"/>
      <c r="R76" s="960"/>
      <c r="S76" s="960"/>
      <c r="T76" s="960"/>
      <c r="U76" s="960"/>
      <c r="V76" s="960"/>
      <c r="W76" s="960"/>
      <c r="X76" s="960"/>
      <c r="Y76" s="960"/>
      <c r="Z76" s="960"/>
      <c r="AA76" s="960"/>
      <c r="AB76" s="928"/>
      <c r="AC76" s="928"/>
      <c r="AD76" s="928"/>
      <c r="AE76" s="928"/>
      <c r="AF76" s="928"/>
      <c r="AG76" s="928"/>
      <c r="AH76" s="928"/>
      <c r="AI76" s="928"/>
      <c r="AJ76" s="928"/>
      <c r="AK76" s="928"/>
      <c r="AL76" s="928"/>
      <c r="AM76" s="928"/>
      <c r="AN76" s="928"/>
      <c r="AO76" s="928"/>
      <c r="AP76" s="928"/>
      <c r="AQ76" s="928"/>
      <c r="AR76" s="928"/>
      <c r="AS76" s="928"/>
    </row>
    <row r="77" spans="11:45">
      <c r="K77" s="957"/>
      <c r="L77" s="928"/>
      <c r="M77" s="928"/>
      <c r="N77" s="960"/>
      <c r="O77" s="960"/>
      <c r="P77" s="960"/>
      <c r="Q77" s="960"/>
      <c r="R77" s="960"/>
      <c r="S77" s="960"/>
      <c r="T77" s="960"/>
      <c r="U77" s="960"/>
      <c r="V77" s="960"/>
      <c r="W77" s="960"/>
      <c r="X77" s="960"/>
      <c r="Y77" s="960"/>
      <c r="Z77" s="960"/>
      <c r="AA77" s="960"/>
      <c r="AB77" s="928"/>
      <c r="AC77" s="928"/>
      <c r="AD77" s="928"/>
      <c r="AE77" s="928"/>
      <c r="AF77" s="928"/>
      <c r="AG77" s="928"/>
      <c r="AH77" s="928"/>
      <c r="AI77" s="928"/>
      <c r="AJ77" s="928"/>
      <c r="AK77" s="928"/>
      <c r="AL77" s="928"/>
      <c r="AM77" s="928"/>
      <c r="AN77" s="928"/>
      <c r="AO77" s="928"/>
      <c r="AP77" s="928"/>
      <c r="AQ77" s="928"/>
      <c r="AR77" s="928"/>
      <c r="AS77" s="928"/>
    </row>
    <row r="78" spans="11:45">
      <c r="K78" s="957"/>
      <c r="L78" s="928"/>
      <c r="M78" s="928"/>
      <c r="N78" s="960"/>
      <c r="O78" s="960"/>
      <c r="P78" s="960"/>
      <c r="Q78" s="960"/>
      <c r="R78" s="960"/>
      <c r="S78" s="960"/>
      <c r="T78" s="960"/>
      <c r="U78" s="960"/>
      <c r="V78" s="960"/>
      <c r="W78" s="960"/>
      <c r="X78" s="960"/>
      <c r="Y78" s="960"/>
      <c r="Z78" s="960"/>
      <c r="AA78" s="960"/>
      <c r="AB78" s="928"/>
      <c r="AC78" s="928"/>
      <c r="AD78" s="928"/>
      <c r="AE78" s="928"/>
      <c r="AF78" s="928"/>
      <c r="AG78" s="928"/>
      <c r="AH78" s="928"/>
      <c r="AI78" s="928"/>
      <c r="AJ78" s="928"/>
      <c r="AK78" s="928"/>
      <c r="AL78" s="928"/>
      <c r="AM78" s="928"/>
      <c r="AN78" s="928"/>
      <c r="AO78" s="928"/>
      <c r="AP78" s="928"/>
      <c r="AQ78" s="928"/>
      <c r="AR78" s="928"/>
      <c r="AS78" s="928"/>
    </row>
    <row r="79" spans="11:45">
      <c r="K79" s="957"/>
      <c r="L79" s="928"/>
      <c r="M79" s="928"/>
      <c r="N79" s="960"/>
      <c r="O79" s="960"/>
      <c r="P79" s="960"/>
      <c r="Q79" s="960"/>
      <c r="R79" s="960"/>
      <c r="S79" s="960"/>
      <c r="T79" s="960"/>
      <c r="U79" s="960"/>
      <c r="V79" s="960"/>
      <c r="W79" s="960"/>
      <c r="X79" s="960"/>
      <c r="Y79" s="960"/>
      <c r="Z79" s="960"/>
      <c r="AA79" s="960"/>
      <c r="AB79" s="928"/>
      <c r="AC79" s="928"/>
      <c r="AD79" s="928"/>
      <c r="AE79" s="928"/>
      <c r="AF79" s="928"/>
      <c r="AG79" s="928"/>
      <c r="AH79" s="928"/>
      <c r="AI79" s="928"/>
      <c r="AJ79" s="928"/>
      <c r="AK79" s="928"/>
      <c r="AL79" s="928"/>
      <c r="AM79" s="928"/>
      <c r="AN79" s="928"/>
      <c r="AO79" s="928"/>
      <c r="AP79" s="928"/>
      <c r="AQ79" s="928"/>
      <c r="AR79" s="928"/>
      <c r="AS79" s="928"/>
    </row>
    <row r="80" spans="11:45">
      <c r="K80" s="957"/>
      <c r="L80" s="928"/>
      <c r="M80" s="928"/>
      <c r="N80" s="960"/>
      <c r="O80" s="960"/>
      <c r="P80" s="960"/>
      <c r="Q80" s="960"/>
      <c r="R80" s="960"/>
      <c r="S80" s="960"/>
      <c r="T80" s="960"/>
      <c r="U80" s="960"/>
      <c r="V80" s="960"/>
      <c r="W80" s="960"/>
      <c r="X80" s="960"/>
      <c r="Y80" s="960"/>
      <c r="Z80" s="960"/>
      <c r="AA80" s="960"/>
      <c r="AB80" s="928"/>
      <c r="AC80" s="928"/>
      <c r="AD80" s="928"/>
      <c r="AE80" s="928"/>
      <c r="AF80" s="928"/>
      <c r="AG80" s="928"/>
      <c r="AH80" s="928"/>
      <c r="AI80" s="928"/>
      <c r="AJ80" s="928"/>
      <c r="AK80" s="928"/>
      <c r="AL80" s="928"/>
      <c r="AM80" s="928"/>
      <c r="AN80" s="928"/>
      <c r="AO80" s="928"/>
      <c r="AP80" s="928"/>
      <c r="AQ80" s="928"/>
      <c r="AR80" s="928"/>
      <c r="AS80" s="928"/>
    </row>
    <row r="81" spans="11:45">
      <c r="K81" s="957"/>
      <c r="L81" s="928"/>
      <c r="M81" s="928"/>
      <c r="N81" s="960"/>
      <c r="O81" s="960"/>
      <c r="P81" s="960"/>
      <c r="Q81" s="960"/>
      <c r="R81" s="960"/>
      <c r="S81" s="960"/>
      <c r="T81" s="960"/>
      <c r="U81" s="960"/>
      <c r="V81" s="960"/>
      <c r="W81" s="960"/>
      <c r="X81" s="960"/>
      <c r="Y81" s="960"/>
      <c r="Z81" s="960"/>
      <c r="AA81" s="960"/>
      <c r="AB81" s="928"/>
      <c r="AC81" s="928"/>
      <c r="AD81" s="928"/>
      <c r="AE81" s="928"/>
      <c r="AF81" s="928"/>
      <c r="AG81" s="928"/>
      <c r="AH81" s="928"/>
      <c r="AI81" s="928"/>
      <c r="AJ81" s="928"/>
      <c r="AK81" s="928"/>
      <c r="AL81" s="928"/>
      <c r="AM81" s="928"/>
      <c r="AN81" s="928"/>
      <c r="AO81" s="928"/>
      <c r="AP81" s="928"/>
      <c r="AQ81" s="928"/>
      <c r="AR81" s="928"/>
      <c r="AS81" s="928"/>
    </row>
    <row r="82" spans="11:45">
      <c r="K82" s="957"/>
      <c r="L82" s="928"/>
      <c r="M82" s="928"/>
      <c r="N82" s="960"/>
      <c r="O82" s="960"/>
      <c r="P82" s="960"/>
      <c r="Q82" s="960"/>
      <c r="R82" s="960"/>
      <c r="S82" s="960"/>
      <c r="T82" s="960"/>
      <c r="U82" s="960"/>
      <c r="V82" s="960"/>
      <c r="W82" s="960"/>
      <c r="X82" s="960"/>
      <c r="Y82" s="960"/>
      <c r="Z82" s="960"/>
      <c r="AA82" s="960"/>
      <c r="AB82" s="928"/>
      <c r="AC82" s="928"/>
      <c r="AD82" s="928"/>
      <c r="AE82" s="928"/>
      <c r="AF82" s="928"/>
      <c r="AG82" s="928"/>
      <c r="AH82" s="928"/>
      <c r="AI82" s="928"/>
      <c r="AJ82" s="928"/>
      <c r="AK82" s="928"/>
      <c r="AL82" s="928"/>
      <c r="AM82" s="928"/>
      <c r="AN82" s="928"/>
      <c r="AO82" s="928"/>
      <c r="AP82" s="928"/>
      <c r="AQ82" s="928"/>
      <c r="AR82" s="928"/>
      <c r="AS82" s="928"/>
    </row>
    <row r="83" spans="11:45">
      <c r="K83" s="957"/>
      <c r="L83" s="928"/>
      <c r="M83" s="928"/>
      <c r="N83" s="960"/>
      <c r="O83" s="960"/>
      <c r="P83" s="960"/>
      <c r="Q83" s="960"/>
      <c r="R83" s="960"/>
      <c r="S83" s="960"/>
      <c r="T83" s="960"/>
      <c r="U83" s="960"/>
      <c r="V83" s="960"/>
      <c r="W83" s="960"/>
      <c r="X83" s="960"/>
      <c r="Y83" s="960"/>
      <c r="Z83" s="960"/>
      <c r="AA83" s="960"/>
      <c r="AB83" s="928"/>
      <c r="AC83" s="928"/>
      <c r="AD83" s="928"/>
      <c r="AE83" s="928"/>
      <c r="AF83" s="928"/>
      <c r="AG83" s="928"/>
      <c r="AH83" s="928"/>
      <c r="AI83" s="928"/>
      <c r="AJ83" s="928"/>
      <c r="AK83" s="928"/>
      <c r="AL83" s="928"/>
      <c r="AM83" s="928"/>
      <c r="AN83" s="928"/>
      <c r="AO83" s="928"/>
      <c r="AP83" s="928"/>
      <c r="AQ83" s="928"/>
      <c r="AR83" s="928"/>
      <c r="AS83" s="928"/>
    </row>
    <row r="84" spans="11:45">
      <c r="K84" s="957"/>
      <c r="L84" s="928"/>
      <c r="M84" s="928"/>
      <c r="N84" s="960"/>
      <c r="O84" s="960"/>
      <c r="P84" s="960"/>
      <c r="Q84" s="960"/>
      <c r="R84" s="960"/>
      <c r="S84" s="960"/>
      <c r="T84" s="960"/>
      <c r="U84" s="960"/>
      <c r="V84" s="960"/>
      <c r="W84" s="960"/>
      <c r="X84" s="960"/>
      <c r="Y84" s="960"/>
      <c r="Z84" s="960"/>
      <c r="AA84" s="960"/>
      <c r="AB84" s="928"/>
      <c r="AC84" s="928"/>
      <c r="AD84" s="928"/>
      <c r="AE84" s="928"/>
      <c r="AF84" s="928"/>
      <c r="AG84" s="928"/>
      <c r="AH84" s="928"/>
      <c r="AI84" s="928"/>
      <c r="AJ84" s="928"/>
      <c r="AK84" s="928"/>
      <c r="AL84" s="928"/>
      <c r="AM84" s="928"/>
      <c r="AN84" s="928"/>
      <c r="AO84" s="928"/>
      <c r="AP84" s="928"/>
      <c r="AQ84" s="928"/>
      <c r="AR84" s="928"/>
      <c r="AS84" s="928"/>
    </row>
    <row r="85" spans="11:45">
      <c r="K85" s="957"/>
      <c r="L85" s="928"/>
      <c r="M85" s="928"/>
      <c r="N85" s="960"/>
      <c r="O85" s="960"/>
      <c r="P85" s="960"/>
      <c r="Q85" s="960"/>
      <c r="R85" s="960"/>
      <c r="S85" s="960"/>
      <c r="T85" s="960"/>
      <c r="U85" s="960"/>
      <c r="V85" s="960"/>
      <c r="W85" s="960"/>
      <c r="X85" s="960"/>
      <c r="Y85" s="960"/>
      <c r="Z85" s="960"/>
      <c r="AA85" s="960"/>
      <c r="AB85" s="928"/>
      <c r="AC85" s="928"/>
      <c r="AD85" s="928"/>
      <c r="AE85" s="928"/>
      <c r="AF85" s="928"/>
      <c r="AG85" s="928"/>
      <c r="AH85" s="928"/>
      <c r="AI85" s="928"/>
      <c r="AJ85" s="928"/>
      <c r="AK85" s="928"/>
      <c r="AL85" s="928"/>
      <c r="AM85" s="928"/>
      <c r="AN85" s="928"/>
      <c r="AO85" s="928"/>
      <c r="AP85" s="928"/>
      <c r="AQ85" s="928"/>
      <c r="AR85" s="928"/>
      <c r="AS85" s="928"/>
    </row>
    <row r="86" spans="11:45">
      <c r="K86" s="957"/>
      <c r="L86" s="928"/>
      <c r="M86" s="928"/>
      <c r="N86" s="960"/>
      <c r="O86" s="960"/>
      <c r="P86" s="960"/>
      <c r="Q86" s="960"/>
      <c r="R86" s="960"/>
      <c r="S86" s="960"/>
      <c r="T86" s="960"/>
      <c r="U86" s="960"/>
      <c r="V86" s="960"/>
      <c r="W86" s="960"/>
      <c r="X86" s="960"/>
      <c r="Y86" s="960"/>
      <c r="Z86" s="960"/>
      <c r="AA86" s="960"/>
      <c r="AB86" s="928"/>
      <c r="AC86" s="928"/>
      <c r="AD86" s="928"/>
      <c r="AE86" s="928"/>
      <c r="AF86" s="928"/>
      <c r="AG86" s="928"/>
      <c r="AH86" s="928"/>
      <c r="AI86" s="928"/>
      <c r="AJ86" s="928"/>
      <c r="AK86" s="928"/>
      <c r="AL86" s="928"/>
      <c r="AM86" s="928"/>
      <c r="AN86" s="928"/>
      <c r="AO86" s="928"/>
      <c r="AP86" s="928"/>
      <c r="AQ86" s="928"/>
      <c r="AR86" s="928"/>
      <c r="AS86" s="928"/>
    </row>
    <row r="87" spans="11:45">
      <c r="K87" s="957"/>
      <c r="L87" s="928"/>
      <c r="M87" s="928"/>
      <c r="N87" s="960"/>
      <c r="O87" s="960"/>
      <c r="P87" s="960"/>
      <c r="Q87" s="960"/>
      <c r="R87" s="960"/>
      <c r="S87" s="960"/>
      <c r="T87" s="960"/>
      <c r="U87" s="960"/>
      <c r="V87" s="960"/>
      <c r="W87" s="960"/>
      <c r="X87" s="960"/>
      <c r="Y87" s="960"/>
      <c r="Z87" s="960"/>
      <c r="AA87" s="960"/>
      <c r="AB87" s="928"/>
      <c r="AC87" s="928"/>
      <c r="AD87" s="928"/>
      <c r="AE87" s="928"/>
      <c r="AF87" s="928"/>
      <c r="AG87" s="928"/>
      <c r="AH87" s="928"/>
      <c r="AI87" s="928"/>
      <c r="AJ87" s="928"/>
      <c r="AK87" s="928"/>
      <c r="AL87" s="928"/>
      <c r="AM87" s="928"/>
      <c r="AN87" s="928"/>
      <c r="AO87" s="928"/>
      <c r="AP87" s="928"/>
      <c r="AQ87" s="928"/>
      <c r="AR87" s="928"/>
      <c r="AS87" s="928"/>
    </row>
    <row r="88" spans="11:45">
      <c r="K88" s="957"/>
      <c r="L88" s="928"/>
      <c r="M88" s="928"/>
      <c r="N88" s="960"/>
      <c r="O88" s="960"/>
      <c r="P88" s="960"/>
      <c r="Q88" s="960"/>
      <c r="R88" s="960"/>
      <c r="S88" s="960"/>
      <c r="T88" s="960"/>
      <c r="U88" s="960"/>
      <c r="V88" s="960"/>
      <c r="W88" s="960"/>
      <c r="X88" s="960"/>
      <c r="Y88" s="960"/>
      <c r="Z88" s="960"/>
      <c r="AA88" s="960"/>
      <c r="AB88" s="928"/>
      <c r="AC88" s="928"/>
      <c r="AD88" s="928"/>
      <c r="AE88" s="928"/>
      <c r="AF88" s="928"/>
      <c r="AG88" s="928"/>
      <c r="AH88" s="928"/>
      <c r="AI88" s="928"/>
      <c r="AJ88" s="928"/>
      <c r="AK88" s="928"/>
      <c r="AL88" s="928"/>
      <c r="AM88" s="928"/>
      <c r="AN88" s="928"/>
      <c r="AO88" s="928"/>
      <c r="AP88" s="928"/>
      <c r="AQ88" s="928"/>
      <c r="AR88" s="928"/>
      <c r="AS88" s="928"/>
    </row>
    <row r="89" spans="11:45">
      <c r="K89" s="957"/>
      <c r="L89" s="928"/>
      <c r="M89" s="928"/>
      <c r="N89" s="960"/>
      <c r="O89" s="960"/>
      <c r="P89" s="960"/>
      <c r="Q89" s="960"/>
      <c r="R89" s="960"/>
      <c r="S89" s="960"/>
      <c r="T89" s="960"/>
      <c r="U89" s="960"/>
      <c r="V89" s="960"/>
      <c r="W89" s="960"/>
      <c r="X89" s="960"/>
      <c r="Y89" s="960"/>
      <c r="Z89" s="960"/>
      <c r="AA89" s="960"/>
      <c r="AB89" s="928"/>
      <c r="AC89" s="928"/>
      <c r="AD89" s="928"/>
      <c r="AE89" s="928"/>
      <c r="AF89" s="928"/>
      <c r="AG89" s="928"/>
      <c r="AH89" s="928"/>
      <c r="AI89" s="928"/>
      <c r="AJ89" s="928"/>
      <c r="AK89" s="928"/>
      <c r="AL89" s="928"/>
      <c r="AM89" s="928"/>
      <c r="AN89" s="928"/>
      <c r="AO89" s="928"/>
      <c r="AP89" s="928"/>
      <c r="AQ89" s="928"/>
      <c r="AR89" s="928"/>
      <c r="AS89" s="928"/>
    </row>
    <row r="90" spans="11:45">
      <c r="K90" s="957"/>
      <c r="L90" s="928"/>
      <c r="M90" s="928"/>
      <c r="N90" s="960"/>
      <c r="O90" s="960"/>
      <c r="P90" s="960"/>
      <c r="Q90" s="960"/>
      <c r="R90" s="960"/>
      <c r="S90" s="960"/>
      <c r="T90" s="960"/>
      <c r="U90" s="960"/>
      <c r="V90" s="960"/>
      <c r="W90" s="960"/>
      <c r="X90" s="960"/>
      <c r="Y90" s="960"/>
      <c r="Z90" s="960"/>
      <c r="AA90" s="960"/>
      <c r="AB90" s="928"/>
      <c r="AC90" s="928"/>
      <c r="AD90" s="928"/>
      <c r="AE90" s="928"/>
      <c r="AF90" s="928"/>
      <c r="AG90" s="928"/>
      <c r="AH90" s="928"/>
      <c r="AI90" s="928"/>
      <c r="AJ90" s="928"/>
      <c r="AK90" s="928"/>
      <c r="AL90" s="928"/>
      <c r="AM90" s="928"/>
      <c r="AN90" s="928"/>
      <c r="AO90" s="928"/>
      <c r="AP90" s="928"/>
      <c r="AQ90" s="928"/>
      <c r="AR90" s="928"/>
      <c r="AS90" s="928"/>
    </row>
    <row r="91" spans="11:45">
      <c r="K91" s="957"/>
      <c r="L91" s="928"/>
      <c r="M91" s="928"/>
      <c r="N91" s="960"/>
      <c r="O91" s="960"/>
      <c r="P91" s="960"/>
      <c r="Q91" s="960"/>
      <c r="R91" s="960"/>
      <c r="S91" s="960"/>
      <c r="T91" s="960"/>
      <c r="U91" s="960"/>
      <c r="V91" s="960"/>
      <c r="W91" s="960"/>
      <c r="X91" s="960"/>
      <c r="Y91" s="960"/>
      <c r="Z91" s="960"/>
      <c r="AA91" s="960"/>
      <c r="AB91" s="928"/>
      <c r="AC91" s="928"/>
      <c r="AD91" s="928"/>
      <c r="AE91" s="928"/>
      <c r="AF91" s="928"/>
      <c r="AG91" s="928"/>
      <c r="AH91" s="928"/>
      <c r="AI91" s="928"/>
      <c r="AJ91" s="928"/>
      <c r="AK91" s="928"/>
      <c r="AL91" s="928"/>
      <c r="AM91" s="928"/>
      <c r="AN91" s="928"/>
      <c r="AO91" s="928"/>
      <c r="AP91" s="928"/>
      <c r="AQ91" s="928"/>
      <c r="AR91" s="928"/>
      <c r="AS91" s="928"/>
    </row>
    <row r="92" spans="11:45">
      <c r="K92" s="957"/>
      <c r="L92" s="928"/>
      <c r="M92" s="928"/>
      <c r="N92" s="960"/>
      <c r="O92" s="960"/>
      <c r="P92" s="960"/>
      <c r="Q92" s="960"/>
      <c r="R92" s="960"/>
      <c r="S92" s="960"/>
      <c r="T92" s="960"/>
      <c r="U92" s="960"/>
      <c r="V92" s="960"/>
      <c r="W92" s="960"/>
      <c r="X92" s="960"/>
      <c r="Y92" s="960"/>
      <c r="Z92" s="960"/>
      <c r="AA92" s="960"/>
      <c r="AB92" s="928"/>
      <c r="AC92" s="928"/>
      <c r="AD92" s="928"/>
      <c r="AE92" s="928"/>
      <c r="AF92" s="928"/>
      <c r="AG92" s="928"/>
      <c r="AH92" s="928"/>
      <c r="AI92" s="928"/>
      <c r="AJ92" s="928"/>
      <c r="AK92" s="928"/>
      <c r="AL92" s="928"/>
      <c r="AM92" s="928"/>
      <c r="AN92" s="928"/>
      <c r="AO92" s="928"/>
      <c r="AP92" s="928"/>
      <c r="AQ92" s="928"/>
      <c r="AR92" s="928"/>
      <c r="AS92" s="928"/>
    </row>
    <row r="93" spans="11:45">
      <c r="K93" s="957"/>
      <c r="L93" s="928"/>
      <c r="M93" s="928"/>
      <c r="N93" s="960"/>
      <c r="O93" s="960"/>
      <c r="P93" s="960"/>
      <c r="Q93" s="960"/>
      <c r="R93" s="960"/>
      <c r="S93" s="960"/>
      <c r="T93" s="960"/>
      <c r="U93" s="960"/>
      <c r="V93" s="960"/>
      <c r="W93" s="960"/>
      <c r="X93" s="960"/>
      <c r="Y93" s="960"/>
      <c r="Z93" s="960"/>
      <c r="AA93" s="960"/>
      <c r="AB93" s="928"/>
      <c r="AC93" s="928"/>
      <c r="AD93" s="928"/>
      <c r="AE93" s="928"/>
      <c r="AF93" s="928"/>
      <c r="AG93" s="928"/>
      <c r="AH93" s="928"/>
      <c r="AI93" s="928"/>
      <c r="AJ93" s="928"/>
      <c r="AK93" s="928"/>
      <c r="AL93" s="928"/>
      <c r="AM93" s="928"/>
      <c r="AN93" s="928"/>
      <c r="AO93" s="928"/>
      <c r="AP93" s="928"/>
      <c r="AQ93" s="928"/>
      <c r="AR93" s="928"/>
      <c r="AS93" s="928"/>
    </row>
    <row r="94" spans="11:45">
      <c r="K94" s="957"/>
      <c r="L94" s="928"/>
      <c r="M94" s="928"/>
      <c r="N94" s="960"/>
      <c r="O94" s="960"/>
      <c r="P94" s="960"/>
      <c r="Q94" s="960"/>
      <c r="R94" s="960"/>
      <c r="S94" s="960"/>
      <c r="T94" s="960"/>
      <c r="U94" s="960"/>
      <c r="V94" s="960"/>
      <c r="W94" s="960"/>
      <c r="X94" s="960"/>
      <c r="Y94" s="960"/>
      <c r="Z94" s="960"/>
      <c r="AA94" s="960"/>
      <c r="AB94" s="928"/>
      <c r="AC94" s="928"/>
      <c r="AD94" s="928"/>
      <c r="AE94" s="928"/>
      <c r="AF94" s="928"/>
      <c r="AG94" s="928"/>
      <c r="AH94" s="928"/>
      <c r="AI94" s="928"/>
      <c r="AJ94" s="928"/>
      <c r="AK94" s="928"/>
      <c r="AL94" s="928"/>
      <c r="AM94" s="928"/>
      <c r="AN94" s="928"/>
      <c r="AO94" s="928"/>
      <c r="AP94" s="928"/>
      <c r="AQ94" s="928"/>
      <c r="AR94" s="928"/>
      <c r="AS94" s="928"/>
    </row>
    <row r="95" spans="11:45">
      <c r="K95" s="957"/>
      <c r="L95" s="928"/>
      <c r="M95" s="928"/>
      <c r="N95" s="960"/>
      <c r="O95" s="960"/>
      <c r="P95" s="960"/>
      <c r="Q95" s="960"/>
      <c r="R95" s="960"/>
      <c r="S95" s="960"/>
      <c r="T95" s="960"/>
      <c r="U95" s="960"/>
      <c r="V95" s="960"/>
      <c r="W95" s="960"/>
      <c r="X95" s="960"/>
      <c r="Y95" s="960"/>
      <c r="Z95" s="960"/>
      <c r="AA95" s="960"/>
      <c r="AB95" s="928"/>
      <c r="AC95" s="928"/>
      <c r="AD95" s="928"/>
      <c r="AE95" s="928"/>
      <c r="AF95" s="928"/>
      <c r="AG95" s="928"/>
      <c r="AH95" s="928"/>
      <c r="AI95" s="928"/>
      <c r="AJ95" s="928"/>
      <c r="AK95" s="928"/>
      <c r="AL95" s="928"/>
      <c r="AM95" s="928"/>
      <c r="AN95" s="928"/>
      <c r="AO95" s="928"/>
      <c r="AP95" s="928"/>
      <c r="AQ95" s="928"/>
      <c r="AR95" s="928"/>
      <c r="AS95" s="928"/>
    </row>
    <row r="96" spans="11:45">
      <c r="K96" s="957"/>
      <c r="L96" s="928"/>
      <c r="M96" s="928"/>
      <c r="N96" s="960"/>
      <c r="O96" s="960"/>
      <c r="P96" s="960"/>
      <c r="Q96" s="960"/>
      <c r="R96" s="960"/>
      <c r="S96" s="960"/>
      <c r="T96" s="960"/>
      <c r="U96" s="960"/>
      <c r="V96" s="960"/>
      <c r="W96" s="960"/>
      <c r="X96" s="960"/>
      <c r="Y96" s="960"/>
      <c r="Z96" s="960"/>
      <c r="AA96" s="960"/>
      <c r="AB96" s="928"/>
      <c r="AC96" s="928"/>
      <c r="AD96" s="928"/>
      <c r="AE96" s="928"/>
      <c r="AF96" s="928"/>
      <c r="AG96" s="928"/>
      <c r="AH96" s="928"/>
      <c r="AI96" s="928"/>
      <c r="AJ96" s="928"/>
      <c r="AK96" s="928"/>
      <c r="AL96" s="928"/>
      <c r="AM96" s="928"/>
      <c r="AN96" s="928"/>
      <c r="AO96" s="928"/>
      <c r="AP96" s="928"/>
      <c r="AQ96" s="928"/>
      <c r="AR96" s="928"/>
      <c r="AS96" s="928"/>
    </row>
    <row r="97" spans="11:45">
      <c r="K97" s="957"/>
      <c r="L97" s="928"/>
      <c r="M97" s="928"/>
      <c r="N97" s="960"/>
      <c r="O97" s="960"/>
      <c r="P97" s="960"/>
      <c r="Q97" s="960"/>
      <c r="R97" s="960"/>
      <c r="S97" s="960"/>
      <c r="T97" s="960"/>
      <c r="U97" s="960"/>
      <c r="V97" s="960"/>
      <c r="W97" s="960"/>
      <c r="X97" s="960"/>
      <c r="Y97" s="960"/>
      <c r="Z97" s="960"/>
      <c r="AA97" s="960"/>
      <c r="AB97" s="928"/>
      <c r="AC97" s="928"/>
      <c r="AD97" s="928"/>
      <c r="AE97" s="928"/>
      <c r="AF97" s="928"/>
      <c r="AG97" s="928"/>
      <c r="AH97" s="928"/>
      <c r="AI97" s="928"/>
      <c r="AJ97" s="928"/>
      <c r="AK97" s="928"/>
      <c r="AL97" s="928"/>
      <c r="AM97" s="928"/>
      <c r="AN97" s="928"/>
      <c r="AO97" s="928"/>
      <c r="AP97" s="928"/>
      <c r="AQ97" s="928"/>
      <c r="AR97" s="928"/>
      <c r="AS97" s="928"/>
    </row>
    <row r="98" spans="11:45">
      <c r="K98" s="957"/>
      <c r="L98" s="928"/>
      <c r="M98" s="928"/>
      <c r="N98" s="960"/>
      <c r="O98" s="960"/>
      <c r="P98" s="960"/>
      <c r="Q98" s="960"/>
      <c r="R98" s="960"/>
      <c r="S98" s="960"/>
      <c r="T98" s="960"/>
      <c r="U98" s="960"/>
      <c r="V98" s="960"/>
      <c r="W98" s="960"/>
      <c r="X98" s="960"/>
      <c r="Y98" s="960"/>
      <c r="Z98" s="960"/>
      <c r="AA98" s="960"/>
      <c r="AB98" s="928"/>
      <c r="AC98" s="928"/>
      <c r="AD98" s="928"/>
      <c r="AE98" s="928"/>
      <c r="AF98" s="928"/>
      <c r="AG98" s="928"/>
      <c r="AH98" s="928"/>
      <c r="AI98" s="928"/>
      <c r="AJ98" s="928"/>
      <c r="AK98" s="928"/>
      <c r="AL98" s="928"/>
      <c r="AM98" s="928"/>
      <c r="AN98" s="928"/>
      <c r="AO98" s="928"/>
      <c r="AP98" s="928"/>
      <c r="AQ98" s="928"/>
      <c r="AR98" s="928"/>
      <c r="AS98" s="928"/>
    </row>
    <row r="99" spans="11:45">
      <c r="K99" s="957"/>
      <c r="L99" s="928"/>
      <c r="M99" s="928"/>
      <c r="N99" s="960"/>
      <c r="O99" s="960"/>
      <c r="P99" s="960"/>
      <c r="Q99" s="960"/>
      <c r="R99" s="960"/>
      <c r="S99" s="960"/>
      <c r="T99" s="960"/>
      <c r="U99" s="960"/>
      <c r="V99" s="960"/>
      <c r="W99" s="960"/>
      <c r="X99" s="960"/>
      <c r="Y99" s="960"/>
      <c r="Z99" s="960"/>
      <c r="AA99" s="960"/>
      <c r="AB99" s="928"/>
      <c r="AC99" s="928"/>
      <c r="AD99" s="928"/>
      <c r="AE99" s="928"/>
      <c r="AF99" s="928"/>
      <c r="AG99" s="928"/>
      <c r="AH99" s="928"/>
      <c r="AI99" s="928"/>
      <c r="AJ99" s="928"/>
      <c r="AK99" s="928"/>
      <c r="AL99" s="928"/>
      <c r="AM99" s="928"/>
      <c r="AN99" s="928"/>
      <c r="AO99" s="928"/>
      <c r="AP99" s="928"/>
      <c r="AQ99" s="928"/>
      <c r="AR99" s="928"/>
      <c r="AS99" s="928"/>
    </row>
    <row r="100" spans="11:45">
      <c r="K100" s="957"/>
      <c r="L100" s="928"/>
      <c r="M100" s="928"/>
      <c r="N100" s="960"/>
      <c r="O100" s="960"/>
      <c r="P100" s="960"/>
      <c r="Q100" s="960"/>
      <c r="R100" s="960"/>
      <c r="S100" s="960"/>
      <c r="T100" s="960"/>
      <c r="U100" s="960"/>
      <c r="V100" s="960"/>
      <c r="W100" s="960"/>
      <c r="X100" s="960"/>
      <c r="Y100" s="960"/>
      <c r="Z100" s="960"/>
      <c r="AA100" s="960"/>
      <c r="AB100" s="928"/>
      <c r="AC100" s="928"/>
      <c r="AD100" s="928"/>
      <c r="AE100" s="928"/>
      <c r="AF100" s="928"/>
      <c r="AG100" s="928"/>
      <c r="AH100" s="928"/>
      <c r="AI100" s="928"/>
      <c r="AJ100" s="928"/>
      <c r="AK100" s="928"/>
      <c r="AL100" s="928"/>
      <c r="AM100" s="928"/>
      <c r="AN100" s="928"/>
      <c r="AO100" s="928"/>
      <c r="AP100" s="928"/>
      <c r="AQ100" s="928"/>
      <c r="AR100" s="928"/>
      <c r="AS100" s="928"/>
    </row>
    <row r="101" spans="11:45">
      <c r="K101" s="957"/>
      <c r="L101" s="928"/>
      <c r="M101" s="928"/>
      <c r="N101" s="960"/>
      <c r="O101" s="960"/>
      <c r="P101" s="960"/>
      <c r="Q101" s="960"/>
      <c r="R101" s="960"/>
      <c r="S101" s="960"/>
      <c r="T101" s="960"/>
      <c r="U101" s="960"/>
      <c r="V101" s="960"/>
      <c r="W101" s="960"/>
      <c r="X101" s="960"/>
      <c r="Y101" s="960"/>
      <c r="Z101" s="960"/>
      <c r="AA101" s="960"/>
      <c r="AB101" s="928"/>
      <c r="AC101" s="928"/>
      <c r="AD101" s="928"/>
      <c r="AE101" s="928"/>
      <c r="AF101" s="928"/>
      <c r="AG101" s="928"/>
      <c r="AH101" s="928"/>
      <c r="AI101" s="928"/>
      <c r="AJ101" s="928"/>
      <c r="AK101" s="928"/>
      <c r="AL101" s="928"/>
      <c r="AM101" s="928"/>
      <c r="AN101" s="928"/>
      <c r="AO101" s="928"/>
      <c r="AP101" s="928"/>
      <c r="AQ101" s="928"/>
      <c r="AR101" s="928"/>
      <c r="AS101" s="928"/>
    </row>
    <row r="102" spans="11:45">
      <c r="K102" s="957"/>
      <c r="L102" s="928"/>
      <c r="M102" s="928"/>
      <c r="N102" s="960"/>
      <c r="O102" s="960"/>
      <c r="P102" s="960"/>
      <c r="Q102" s="960"/>
      <c r="R102" s="960"/>
      <c r="S102" s="960"/>
      <c r="T102" s="960"/>
      <c r="U102" s="960"/>
      <c r="V102" s="960"/>
      <c r="W102" s="960"/>
      <c r="X102" s="960"/>
      <c r="Y102" s="960"/>
      <c r="Z102" s="960"/>
      <c r="AA102" s="960"/>
      <c r="AB102" s="928"/>
      <c r="AC102" s="928"/>
      <c r="AD102" s="928"/>
      <c r="AE102" s="928"/>
      <c r="AF102" s="928"/>
      <c r="AG102" s="928"/>
      <c r="AH102" s="928"/>
      <c r="AI102" s="928"/>
      <c r="AJ102" s="928"/>
      <c r="AK102" s="928"/>
      <c r="AL102" s="928"/>
      <c r="AM102" s="928"/>
      <c r="AN102" s="928"/>
      <c r="AO102" s="928"/>
      <c r="AP102" s="928"/>
      <c r="AQ102" s="928"/>
      <c r="AR102" s="928"/>
      <c r="AS102" s="928"/>
    </row>
    <row r="103" spans="11:45">
      <c r="K103" s="957"/>
      <c r="L103" s="928"/>
      <c r="M103" s="928"/>
      <c r="N103" s="960"/>
      <c r="O103" s="960"/>
      <c r="P103" s="960"/>
      <c r="Q103" s="960"/>
      <c r="R103" s="960"/>
      <c r="S103" s="960"/>
      <c r="T103" s="960"/>
      <c r="U103" s="960"/>
      <c r="V103" s="960"/>
      <c r="W103" s="960"/>
      <c r="X103" s="960"/>
      <c r="Y103" s="960"/>
      <c r="Z103" s="960"/>
      <c r="AA103" s="960"/>
      <c r="AB103" s="928"/>
      <c r="AC103" s="928"/>
      <c r="AD103" s="928"/>
      <c r="AE103" s="928"/>
      <c r="AF103" s="928"/>
      <c r="AG103" s="928"/>
      <c r="AH103" s="928"/>
      <c r="AI103" s="928"/>
      <c r="AJ103" s="928"/>
      <c r="AK103" s="928"/>
      <c r="AL103" s="928"/>
      <c r="AM103" s="928"/>
      <c r="AN103" s="928"/>
      <c r="AO103" s="928"/>
      <c r="AP103" s="928"/>
      <c r="AQ103" s="928"/>
      <c r="AR103" s="928"/>
      <c r="AS103" s="928"/>
    </row>
    <row r="104" spans="11:45">
      <c r="K104" s="957"/>
      <c r="L104" s="928"/>
      <c r="M104" s="928"/>
      <c r="N104" s="960"/>
      <c r="O104" s="960"/>
      <c r="P104" s="960"/>
      <c r="Q104" s="960"/>
      <c r="R104" s="960"/>
      <c r="S104" s="960"/>
      <c r="T104" s="960"/>
      <c r="U104" s="960"/>
      <c r="V104" s="960"/>
      <c r="W104" s="960"/>
      <c r="X104" s="960"/>
      <c r="Y104" s="960"/>
      <c r="Z104" s="960"/>
      <c r="AA104" s="960"/>
      <c r="AB104" s="928"/>
      <c r="AC104" s="928"/>
      <c r="AD104" s="928"/>
      <c r="AE104" s="928"/>
      <c r="AF104" s="928"/>
      <c r="AG104" s="928"/>
      <c r="AH104" s="928"/>
      <c r="AI104" s="928"/>
      <c r="AJ104" s="928"/>
      <c r="AK104" s="928"/>
      <c r="AL104" s="928"/>
      <c r="AM104" s="928"/>
      <c r="AN104" s="928"/>
      <c r="AO104" s="928"/>
      <c r="AP104" s="928"/>
      <c r="AQ104" s="928"/>
      <c r="AR104" s="928"/>
      <c r="AS104" s="928"/>
    </row>
    <row r="105" spans="11:45">
      <c r="K105" s="957"/>
      <c r="L105" s="928"/>
      <c r="M105" s="928"/>
      <c r="N105" s="960"/>
      <c r="O105" s="960"/>
      <c r="P105" s="960"/>
      <c r="Q105" s="960"/>
      <c r="R105" s="960"/>
      <c r="S105" s="960"/>
      <c r="T105" s="960"/>
      <c r="U105" s="960"/>
      <c r="V105" s="960"/>
      <c r="W105" s="960"/>
      <c r="X105" s="960"/>
      <c r="Y105" s="960"/>
      <c r="Z105" s="960"/>
      <c r="AA105" s="960"/>
      <c r="AB105" s="928"/>
      <c r="AC105" s="928"/>
      <c r="AD105" s="928"/>
      <c r="AE105" s="928"/>
      <c r="AF105" s="928"/>
      <c r="AG105" s="928"/>
      <c r="AH105" s="928"/>
      <c r="AI105" s="928"/>
      <c r="AJ105" s="928"/>
      <c r="AK105" s="928"/>
      <c r="AL105" s="928"/>
      <c r="AM105" s="928"/>
      <c r="AN105" s="928"/>
      <c r="AO105" s="928"/>
      <c r="AP105" s="928"/>
      <c r="AQ105" s="928"/>
      <c r="AR105" s="928"/>
      <c r="AS105" s="928"/>
    </row>
    <row r="106" spans="11:45">
      <c r="K106" s="957"/>
      <c r="L106" s="928"/>
      <c r="M106" s="928"/>
      <c r="N106" s="960"/>
      <c r="O106" s="960"/>
      <c r="P106" s="960"/>
      <c r="Q106" s="960"/>
      <c r="R106" s="960"/>
      <c r="S106" s="960"/>
      <c r="T106" s="960"/>
      <c r="U106" s="960"/>
      <c r="V106" s="960"/>
      <c r="W106" s="960"/>
      <c r="X106" s="960"/>
      <c r="Y106" s="960"/>
      <c r="Z106" s="960"/>
      <c r="AA106" s="960"/>
      <c r="AB106" s="928"/>
      <c r="AC106" s="928"/>
      <c r="AD106" s="928"/>
      <c r="AE106" s="928"/>
      <c r="AF106" s="928"/>
      <c r="AG106" s="928"/>
      <c r="AH106" s="928"/>
      <c r="AI106" s="928"/>
      <c r="AJ106" s="928"/>
      <c r="AK106" s="928"/>
      <c r="AL106" s="928"/>
      <c r="AM106" s="928"/>
      <c r="AN106" s="928"/>
      <c r="AO106" s="928"/>
      <c r="AP106" s="928"/>
      <c r="AQ106" s="928"/>
      <c r="AR106" s="928"/>
      <c r="AS106" s="928"/>
    </row>
    <row r="107" spans="11:45">
      <c r="K107" s="957"/>
      <c r="L107" s="928"/>
      <c r="M107" s="928"/>
      <c r="N107" s="960"/>
      <c r="O107" s="960"/>
      <c r="P107" s="960"/>
      <c r="Q107" s="960"/>
      <c r="R107" s="960"/>
      <c r="S107" s="960"/>
      <c r="T107" s="960"/>
      <c r="U107" s="960"/>
      <c r="V107" s="960"/>
      <c r="W107" s="960"/>
      <c r="X107" s="960"/>
      <c r="Y107" s="960"/>
      <c r="Z107" s="960"/>
      <c r="AA107" s="960"/>
      <c r="AB107" s="928"/>
      <c r="AC107" s="928"/>
      <c r="AD107" s="928"/>
      <c r="AE107" s="928"/>
      <c r="AF107" s="928"/>
      <c r="AG107" s="928"/>
      <c r="AH107" s="928"/>
      <c r="AI107" s="928"/>
      <c r="AJ107" s="928"/>
      <c r="AK107" s="928"/>
      <c r="AL107" s="928"/>
      <c r="AM107" s="928"/>
      <c r="AN107" s="928"/>
      <c r="AO107" s="928"/>
      <c r="AP107" s="928"/>
      <c r="AQ107" s="928"/>
      <c r="AR107" s="928"/>
      <c r="AS107" s="928"/>
    </row>
    <row r="108" spans="11:45">
      <c r="K108" s="957"/>
      <c r="L108" s="928"/>
      <c r="M108" s="928"/>
      <c r="N108" s="960"/>
      <c r="O108" s="960"/>
      <c r="P108" s="960"/>
      <c r="Q108" s="960"/>
      <c r="R108" s="960"/>
      <c r="S108" s="960"/>
      <c r="T108" s="960"/>
      <c r="U108" s="960"/>
      <c r="V108" s="960"/>
      <c r="W108" s="960"/>
      <c r="X108" s="960"/>
      <c r="Y108" s="960"/>
      <c r="Z108" s="960"/>
      <c r="AA108" s="960"/>
      <c r="AB108" s="928"/>
      <c r="AC108" s="928"/>
      <c r="AD108" s="928"/>
      <c r="AE108" s="928"/>
      <c r="AF108" s="928"/>
      <c r="AG108" s="928"/>
      <c r="AH108" s="928"/>
      <c r="AI108" s="928"/>
      <c r="AJ108" s="928"/>
      <c r="AK108" s="928"/>
      <c r="AL108" s="928"/>
      <c r="AM108" s="928"/>
      <c r="AN108" s="928"/>
      <c r="AO108" s="928"/>
      <c r="AP108" s="928"/>
      <c r="AQ108" s="928"/>
      <c r="AR108" s="928"/>
      <c r="AS108" s="928"/>
    </row>
    <row r="109" spans="11:45">
      <c r="K109" s="957"/>
      <c r="L109" s="928"/>
      <c r="M109" s="928"/>
      <c r="N109" s="960"/>
      <c r="O109" s="960"/>
      <c r="P109" s="960"/>
      <c r="Q109" s="960"/>
      <c r="R109" s="960"/>
      <c r="S109" s="960"/>
      <c r="T109" s="960"/>
      <c r="U109" s="960"/>
      <c r="V109" s="960"/>
      <c r="W109" s="960"/>
      <c r="X109" s="960"/>
      <c r="Y109" s="960"/>
      <c r="Z109" s="960"/>
      <c r="AA109" s="960"/>
      <c r="AB109" s="928"/>
      <c r="AC109" s="928"/>
      <c r="AD109" s="928"/>
      <c r="AE109" s="928"/>
      <c r="AF109" s="928"/>
      <c r="AG109" s="928"/>
      <c r="AH109" s="928"/>
      <c r="AI109" s="928"/>
      <c r="AJ109" s="928"/>
      <c r="AK109" s="928"/>
      <c r="AL109" s="928"/>
      <c r="AM109" s="928"/>
      <c r="AN109" s="928"/>
      <c r="AO109" s="928"/>
      <c r="AP109" s="928"/>
      <c r="AQ109" s="928"/>
      <c r="AR109" s="928"/>
      <c r="AS109" s="928"/>
    </row>
    <row r="110" spans="11:45">
      <c r="K110" s="957"/>
      <c r="L110" s="928"/>
      <c r="M110" s="928"/>
      <c r="N110" s="960"/>
      <c r="O110" s="960"/>
      <c r="P110" s="960"/>
      <c r="Q110" s="960"/>
      <c r="R110" s="960"/>
      <c r="S110" s="960"/>
      <c r="T110" s="960"/>
      <c r="U110" s="960"/>
      <c r="V110" s="960"/>
      <c r="W110" s="960"/>
      <c r="X110" s="960"/>
      <c r="Y110" s="960"/>
      <c r="Z110" s="960"/>
      <c r="AA110" s="960"/>
      <c r="AB110" s="928"/>
      <c r="AC110" s="928"/>
      <c r="AD110" s="928"/>
      <c r="AE110" s="928"/>
      <c r="AF110" s="928"/>
      <c r="AG110" s="928"/>
      <c r="AH110" s="928"/>
      <c r="AI110" s="928"/>
      <c r="AJ110" s="928"/>
      <c r="AK110" s="928"/>
      <c r="AL110" s="928"/>
      <c r="AM110" s="928"/>
      <c r="AN110" s="928"/>
      <c r="AO110" s="928"/>
      <c r="AP110" s="928"/>
      <c r="AQ110" s="928"/>
      <c r="AR110" s="928"/>
      <c r="AS110" s="928"/>
    </row>
    <row r="111" spans="11:45">
      <c r="K111" s="957"/>
      <c r="L111" s="928"/>
      <c r="M111" s="928"/>
      <c r="N111" s="960"/>
      <c r="O111" s="960"/>
      <c r="P111" s="960"/>
      <c r="Q111" s="960"/>
      <c r="R111" s="960"/>
      <c r="S111" s="960"/>
      <c r="T111" s="960"/>
      <c r="U111" s="960"/>
      <c r="V111" s="960"/>
      <c r="W111" s="960"/>
      <c r="X111" s="960"/>
      <c r="Y111" s="960"/>
      <c r="Z111" s="960"/>
      <c r="AA111" s="960"/>
      <c r="AB111" s="928"/>
      <c r="AC111" s="928"/>
      <c r="AD111" s="928"/>
      <c r="AE111" s="928"/>
      <c r="AF111" s="928"/>
      <c r="AG111" s="928"/>
      <c r="AH111" s="928"/>
      <c r="AI111" s="928"/>
      <c r="AJ111" s="928"/>
      <c r="AK111" s="928"/>
      <c r="AL111" s="928"/>
      <c r="AM111" s="928"/>
      <c r="AN111" s="928"/>
      <c r="AO111" s="928"/>
      <c r="AP111" s="928"/>
      <c r="AQ111" s="928"/>
      <c r="AR111" s="928"/>
      <c r="AS111" s="928"/>
    </row>
    <row r="112" spans="11:45">
      <c r="K112" s="957"/>
      <c r="L112" s="928"/>
      <c r="M112" s="928"/>
      <c r="N112" s="960"/>
      <c r="O112" s="960"/>
      <c r="P112" s="960"/>
      <c r="Q112" s="960"/>
      <c r="R112" s="960"/>
      <c r="S112" s="960"/>
      <c r="T112" s="960"/>
      <c r="U112" s="960"/>
      <c r="V112" s="960"/>
      <c r="W112" s="960"/>
      <c r="X112" s="960"/>
      <c r="Y112" s="960"/>
      <c r="Z112" s="960"/>
      <c r="AA112" s="960"/>
      <c r="AB112" s="928"/>
      <c r="AC112" s="928"/>
      <c r="AD112" s="928"/>
      <c r="AE112" s="928"/>
      <c r="AF112" s="928"/>
      <c r="AG112" s="928"/>
      <c r="AH112" s="928"/>
      <c r="AI112" s="928"/>
      <c r="AJ112" s="928"/>
      <c r="AK112" s="928"/>
      <c r="AL112" s="928"/>
      <c r="AM112" s="928"/>
      <c r="AN112" s="928"/>
      <c r="AO112" s="928"/>
      <c r="AP112" s="928"/>
      <c r="AQ112" s="928"/>
      <c r="AR112" s="928"/>
      <c r="AS112" s="928"/>
    </row>
    <row r="113" spans="11:45">
      <c r="K113" s="957"/>
      <c r="L113" s="928"/>
      <c r="M113" s="928"/>
      <c r="N113" s="960"/>
      <c r="O113" s="960"/>
      <c r="P113" s="960"/>
      <c r="Q113" s="960"/>
      <c r="R113" s="960"/>
      <c r="S113" s="960"/>
      <c r="T113" s="960"/>
      <c r="U113" s="960"/>
      <c r="V113" s="960"/>
      <c r="W113" s="960"/>
      <c r="X113" s="960"/>
      <c r="Y113" s="960"/>
      <c r="Z113" s="960"/>
      <c r="AA113" s="960"/>
      <c r="AB113" s="928"/>
      <c r="AC113" s="928"/>
      <c r="AD113" s="928"/>
      <c r="AE113" s="928"/>
      <c r="AF113" s="928"/>
      <c r="AG113" s="928"/>
      <c r="AH113" s="928"/>
      <c r="AI113" s="928"/>
      <c r="AJ113" s="928"/>
      <c r="AK113" s="928"/>
      <c r="AL113" s="928"/>
      <c r="AM113" s="928"/>
      <c r="AN113" s="928"/>
      <c r="AO113" s="928"/>
      <c r="AP113" s="928"/>
      <c r="AQ113" s="928"/>
      <c r="AR113" s="928"/>
      <c r="AS113" s="928"/>
    </row>
    <row r="114" spans="11:45">
      <c r="K114" s="957"/>
      <c r="L114" s="928"/>
      <c r="M114" s="928"/>
      <c r="N114" s="960"/>
      <c r="O114" s="960"/>
      <c r="P114" s="960"/>
      <c r="Q114" s="960"/>
      <c r="R114" s="960"/>
      <c r="S114" s="960"/>
      <c r="T114" s="960"/>
      <c r="U114" s="960"/>
      <c r="V114" s="960"/>
      <c r="W114" s="960"/>
      <c r="X114" s="960"/>
      <c r="Y114" s="960"/>
      <c r="Z114" s="960"/>
      <c r="AA114" s="960"/>
      <c r="AB114" s="928"/>
      <c r="AC114" s="928"/>
      <c r="AD114" s="928"/>
      <c r="AE114" s="928"/>
      <c r="AF114" s="928"/>
      <c r="AG114" s="928"/>
      <c r="AH114" s="928"/>
      <c r="AI114" s="928"/>
      <c r="AJ114" s="928"/>
      <c r="AK114" s="928"/>
      <c r="AL114" s="928"/>
      <c r="AM114" s="928"/>
      <c r="AN114" s="928"/>
      <c r="AO114" s="928"/>
      <c r="AP114" s="928"/>
      <c r="AQ114" s="928"/>
      <c r="AR114" s="928"/>
      <c r="AS114" s="928"/>
    </row>
    <row r="115" spans="11:45">
      <c r="K115" s="957"/>
      <c r="L115" s="928"/>
      <c r="M115" s="928"/>
      <c r="N115" s="960"/>
      <c r="O115" s="960"/>
      <c r="P115" s="960"/>
      <c r="Q115" s="960"/>
      <c r="R115" s="960"/>
      <c r="S115" s="960"/>
      <c r="T115" s="960"/>
      <c r="U115" s="960"/>
      <c r="V115" s="960"/>
      <c r="W115" s="960"/>
      <c r="X115" s="960"/>
      <c r="Y115" s="960"/>
      <c r="Z115" s="960"/>
      <c r="AA115" s="960"/>
      <c r="AB115" s="928"/>
      <c r="AC115" s="928"/>
      <c r="AD115" s="928"/>
      <c r="AE115" s="928"/>
      <c r="AF115" s="928"/>
      <c r="AG115" s="928"/>
      <c r="AH115" s="928"/>
      <c r="AI115" s="928"/>
      <c r="AJ115" s="928"/>
      <c r="AK115" s="928"/>
      <c r="AL115" s="928"/>
      <c r="AM115" s="928"/>
      <c r="AN115" s="928"/>
      <c r="AO115" s="928"/>
      <c r="AP115" s="928"/>
      <c r="AQ115" s="928"/>
      <c r="AR115" s="928"/>
      <c r="AS115" s="928"/>
    </row>
    <row r="116" spans="11:45">
      <c r="K116" s="957"/>
      <c r="L116" s="928"/>
      <c r="M116" s="928"/>
      <c r="N116" s="960"/>
      <c r="O116" s="960"/>
      <c r="P116" s="960"/>
      <c r="Q116" s="960"/>
      <c r="R116" s="960"/>
      <c r="S116" s="960"/>
      <c r="T116" s="960"/>
      <c r="U116" s="960"/>
      <c r="V116" s="960"/>
      <c r="W116" s="960"/>
      <c r="X116" s="960"/>
      <c r="Y116" s="960"/>
      <c r="Z116" s="960"/>
      <c r="AA116" s="960"/>
      <c r="AB116" s="928"/>
      <c r="AC116" s="928"/>
      <c r="AD116" s="928"/>
      <c r="AE116" s="928"/>
      <c r="AF116" s="928"/>
      <c r="AG116" s="928"/>
      <c r="AH116" s="928"/>
      <c r="AI116" s="928"/>
      <c r="AJ116" s="928"/>
      <c r="AK116" s="928"/>
      <c r="AL116" s="928"/>
      <c r="AM116" s="928"/>
      <c r="AN116" s="928"/>
      <c r="AO116" s="928"/>
      <c r="AP116" s="928"/>
      <c r="AQ116" s="928"/>
      <c r="AR116" s="928"/>
      <c r="AS116" s="928"/>
    </row>
    <row r="117" spans="11:45">
      <c r="K117" s="957"/>
      <c r="L117" s="928"/>
      <c r="M117" s="928"/>
      <c r="N117" s="960"/>
      <c r="O117" s="960"/>
      <c r="P117" s="960"/>
      <c r="Q117" s="960"/>
      <c r="R117" s="960"/>
      <c r="S117" s="960"/>
      <c r="T117" s="960"/>
      <c r="U117" s="960"/>
      <c r="V117" s="960"/>
      <c r="W117" s="960"/>
      <c r="X117" s="960"/>
      <c r="Y117" s="960"/>
      <c r="Z117" s="960"/>
      <c r="AA117" s="960"/>
      <c r="AB117" s="928"/>
      <c r="AC117" s="928"/>
      <c r="AD117" s="928"/>
      <c r="AE117" s="928"/>
      <c r="AF117" s="928"/>
      <c r="AG117" s="928"/>
      <c r="AH117" s="928"/>
      <c r="AI117" s="928"/>
      <c r="AJ117" s="928"/>
      <c r="AK117" s="928"/>
      <c r="AL117" s="928"/>
      <c r="AM117" s="928"/>
      <c r="AN117" s="928"/>
      <c r="AO117" s="928"/>
      <c r="AP117" s="928"/>
      <c r="AQ117" s="928"/>
      <c r="AR117" s="928"/>
      <c r="AS117" s="928"/>
    </row>
    <row r="118" spans="11:45">
      <c r="K118" s="957"/>
      <c r="L118" s="928"/>
      <c r="M118" s="928"/>
      <c r="N118" s="960"/>
      <c r="O118" s="960"/>
      <c r="P118" s="960"/>
      <c r="Q118" s="960"/>
      <c r="R118" s="960"/>
      <c r="S118" s="960"/>
      <c r="T118" s="960"/>
      <c r="U118" s="960"/>
      <c r="V118" s="960"/>
      <c r="W118" s="960"/>
      <c r="X118" s="960"/>
      <c r="Y118" s="960"/>
      <c r="Z118" s="960"/>
      <c r="AA118" s="960"/>
      <c r="AB118" s="928"/>
      <c r="AC118" s="928"/>
      <c r="AD118" s="928"/>
      <c r="AE118" s="928"/>
      <c r="AF118" s="928"/>
      <c r="AG118" s="928"/>
      <c r="AH118" s="928"/>
      <c r="AI118" s="928"/>
      <c r="AJ118" s="928"/>
      <c r="AK118" s="928"/>
      <c r="AL118" s="928"/>
      <c r="AM118" s="928"/>
      <c r="AN118" s="928"/>
      <c r="AO118" s="928"/>
      <c r="AP118" s="928"/>
      <c r="AQ118" s="928"/>
      <c r="AR118" s="928"/>
      <c r="AS118" s="928"/>
    </row>
    <row r="119" spans="11:45">
      <c r="K119" s="957"/>
      <c r="L119" s="928"/>
      <c r="M119" s="928"/>
      <c r="N119" s="960"/>
      <c r="O119" s="960"/>
      <c r="P119" s="960"/>
      <c r="Q119" s="960"/>
      <c r="R119" s="960"/>
      <c r="S119" s="960"/>
      <c r="T119" s="960"/>
      <c r="U119" s="960"/>
      <c r="V119" s="960"/>
      <c r="W119" s="960"/>
      <c r="X119" s="960"/>
      <c r="Y119" s="960"/>
      <c r="Z119" s="960"/>
      <c r="AA119" s="960"/>
      <c r="AB119" s="928"/>
      <c r="AC119" s="928"/>
      <c r="AD119" s="928"/>
      <c r="AE119" s="928"/>
      <c r="AF119" s="928"/>
      <c r="AG119" s="928"/>
      <c r="AH119" s="928"/>
      <c r="AI119" s="928"/>
      <c r="AJ119" s="928"/>
      <c r="AK119" s="928"/>
      <c r="AL119" s="928"/>
      <c r="AM119" s="928"/>
      <c r="AN119" s="928"/>
      <c r="AO119" s="928"/>
      <c r="AP119" s="928"/>
      <c r="AQ119" s="928"/>
      <c r="AR119" s="928"/>
      <c r="AS119" s="928"/>
    </row>
    <row r="120" spans="11:45">
      <c r="K120" s="957"/>
      <c r="L120" s="928"/>
      <c r="M120" s="928"/>
      <c r="N120" s="960"/>
      <c r="O120" s="960"/>
      <c r="P120" s="960"/>
      <c r="Q120" s="960"/>
      <c r="R120" s="960"/>
      <c r="S120" s="960"/>
      <c r="T120" s="960"/>
      <c r="U120" s="960"/>
      <c r="V120" s="960"/>
      <c r="W120" s="960"/>
      <c r="X120" s="960"/>
      <c r="Y120" s="960"/>
      <c r="Z120" s="960"/>
      <c r="AA120" s="960"/>
      <c r="AB120" s="928"/>
      <c r="AC120" s="928"/>
      <c r="AD120" s="928"/>
      <c r="AE120" s="928"/>
      <c r="AF120" s="928"/>
      <c r="AG120" s="928"/>
      <c r="AH120" s="928"/>
      <c r="AI120" s="928"/>
      <c r="AJ120" s="928"/>
      <c r="AK120" s="928"/>
      <c r="AL120" s="928"/>
      <c r="AM120" s="928"/>
      <c r="AN120" s="928"/>
      <c r="AO120" s="928"/>
      <c r="AP120" s="928"/>
      <c r="AQ120" s="928"/>
      <c r="AR120" s="928"/>
      <c r="AS120" s="928"/>
    </row>
    <row r="121" spans="11:45">
      <c r="K121" s="957"/>
      <c r="L121" s="928"/>
      <c r="M121" s="928"/>
      <c r="N121" s="960"/>
      <c r="O121" s="960"/>
      <c r="P121" s="960"/>
      <c r="Q121" s="960"/>
      <c r="R121" s="960"/>
      <c r="S121" s="960"/>
      <c r="T121" s="960"/>
      <c r="U121" s="960"/>
      <c r="V121" s="960"/>
      <c r="W121" s="960"/>
      <c r="X121" s="960"/>
      <c r="Y121" s="960"/>
      <c r="Z121" s="960"/>
      <c r="AA121" s="960"/>
      <c r="AB121" s="928"/>
      <c r="AC121" s="928"/>
      <c r="AD121" s="928"/>
      <c r="AE121" s="928"/>
      <c r="AF121" s="928"/>
      <c r="AG121" s="928"/>
      <c r="AH121" s="928"/>
      <c r="AI121" s="928"/>
      <c r="AJ121" s="928"/>
      <c r="AK121" s="928"/>
      <c r="AL121" s="928"/>
      <c r="AM121" s="928"/>
      <c r="AN121" s="928"/>
      <c r="AO121" s="928"/>
      <c r="AP121" s="928"/>
      <c r="AQ121" s="928"/>
      <c r="AR121" s="928"/>
      <c r="AS121" s="928"/>
    </row>
    <row r="122" spans="11:45">
      <c r="K122" s="957"/>
      <c r="L122" s="928"/>
      <c r="M122" s="928"/>
      <c r="N122" s="960"/>
      <c r="O122" s="960"/>
      <c r="P122" s="960"/>
      <c r="Q122" s="960"/>
      <c r="R122" s="960"/>
      <c r="S122" s="960"/>
      <c r="T122" s="960"/>
      <c r="U122" s="960"/>
      <c r="V122" s="960"/>
      <c r="W122" s="960"/>
      <c r="X122" s="960"/>
      <c r="Y122" s="960"/>
      <c r="Z122" s="960"/>
      <c r="AA122" s="960"/>
      <c r="AB122" s="928"/>
      <c r="AC122" s="928"/>
      <c r="AD122" s="928"/>
      <c r="AE122" s="928"/>
      <c r="AF122" s="928"/>
      <c r="AG122" s="928"/>
      <c r="AH122" s="928"/>
      <c r="AI122" s="928"/>
      <c r="AJ122" s="928"/>
      <c r="AK122" s="928"/>
      <c r="AL122" s="928"/>
      <c r="AM122" s="928"/>
      <c r="AN122" s="928"/>
      <c r="AO122" s="928"/>
      <c r="AP122" s="928"/>
      <c r="AQ122" s="928"/>
      <c r="AR122" s="928"/>
      <c r="AS122" s="928"/>
    </row>
    <row r="123" spans="11:45">
      <c r="K123" s="957"/>
      <c r="L123" s="928"/>
      <c r="M123" s="928"/>
      <c r="N123" s="960"/>
      <c r="O123" s="960"/>
      <c r="P123" s="960"/>
      <c r="Q123" s="960"/>
      <c r="R123" s="960"/>
      <c r="S123" s="960"/>
      <c r="T123" s="960"/>
      <c r="U123" s="960"/>
      <c r="V123" s="960"/>
      <c r="W123" s="960"/>
      <c r="X123" s="960"/>
      <c r="Y123" s="960"/>
      <c r="Z123" s="960"/>
      <c r="AA123" s="960"/>
      <c r="AB123" s="928"/>
      <c r="AC123" s="928"/>
      <c r="AD123" s="928"/>
      <c r="AE123" s="928"/>
      <c r="AF123" s="928"/>
      <c r="AG123" s="928"/>
      <c r="AH123" s="928"/>
      <c r="AI123" s="928"/>
      <c r="AJ123" s="928"/>
      <c r="AK123" s="928"/>
      <c r="AL123" s="928"/>
      <c r="AM123" s="928"/>
      <c r="AN123" s="928"/>
      <c r="AO123" s="928"/>
      <c r="AP123" s="928"/>
      <c r="AQ123" s="928"/>
      <c r="AR123" s="928"/>
      <c r="AS123" s="928"/>
    </row>
    <row r="124" spans="11:45">
      <c r="K124" s="957"/>
      <c r="L124" s="928"/>
      <c r="M124" s="928"/>
      <c r="N124" s="960"/>
      <c r="O124" s="960"/>
      <c r="P124" s="960"/>
      <c r="Q124" s="960"/>
      <c r="R124" s="960"/>
      <c r="S124" s="960"/>
      <c r="T124" s="960"/>
      <c r="U124" s="960"/>
      <c r="V124" s="960"/>
      <c r="W124" s="960"/>
      <c r="X124" s="960"/>
      <c r="Y124" s="960"/>
      <c r="Z124" s="960"/>
      <c r="AA124" s="960"/>
      <c r="AB124" s="928"/>
      <c r="AC124" s="928"/>
      <c r="AD124" s="928"/>
      <c r="AE124" s="928"/>
      <c r="AF124" s="928"/>
      <c r="AG124" s="928"/>
      <c r="AH124" s="928"/>
      <c r="AI124" s="928"/>
      <c r="AJ124" s="928"/>
      <c r="AK124" s="928"/>
      <c r="AL124" s="928"/>
      <c r="AM124" s="928"/>
      <c r="AN124" s="928"/>
      <c r="AO124" s="928"/>
      <c r="AP124" s="928"/>
      <c r="AQ124" s="928"/>
      <c r="AR124" s="928"/>
      <c r="AS124" s="928"/>
    </row>
    <row r="125" spans="11:45">
      <c r="K125" s="957"/>
      <c r="L125" s="928"/>
      <c r="M125" s="928"/>
      <c r="N125" s="960"/>
      <c r="O125" s="960"/>
      <c r="P125" s="960"/>
      <c r="Q125" s="960"/>
      <c r="R125" s="960"/>
      <c r="S125" s="960"/>
      <c r="T125" s="960"/>
      <c r="U125" s="960"/>
      <c r="V125" s="960"/>
      <c r="W125" s="960"/>
      <c r="X125" s="960"/>
      <c r="Y125" s="960"/>
      <c r="Z125" s="960"/>
      <c r="AA125" s="960"/>
      <c r="AB125" s="928"/>
      <c r="AC125" s="928"/>
      <c r="AD125" s="928"/>
      <c r="AE125" s="928"/>
      <c r="AF125" s="928"/>
      <c r="AG125" s="928"/>
      <c r="AH125" s="928"/>
      <c r="AI125" s="928"/>
      <c r="AJ125" s="928"/>
      <c r="AK125" s="928"/>
      <c r="AL125" s="928"/>
      <c r="AM125" s="928"/>
      <c r="AN125" s="928"/>
      <c r="AO125" s="928"/>
      <c r="AP125" s="928"/>
      <c r="AQ125" s="928"/>
      <c r="AR125" s="928"/>
      <c r="AS125" s="928"/>
    </row>
    <row r="126" spans="11:45">
      <c r="K126" s="957"/>
      <c r="L126" s="928"/>
      <c r="M126" s="928"/>
      <c r="N126" s="960"/>
      <c r="O126" s="960"/>
      <c r="P126" s="960"/>
      <c r="Q126" s="960"/>
      <c r="R126" s="960"/>
      <c r="S126" s="960"/>
      <c r="T126" s="960"/>
      <c r="U126" s="960"/>
      <c r="V126" s="960"/>
      <c r="W126" s="960"/>
      <c r="X126" s="960"/>
      <c r="Y126" s="960"/>
      <c r="Z126" s="960"/>
      <c r="AA126" s="960"/>
      <c r="AB126" s="928"/>
      <c r="AC126" s="928"/>
      <c r="AD126" s="928"/>
      <c r="AE126" s="928"/>
      <c r="AF126" s="928"/>
      <c r="AG126" s="928"/>
      <c r="AH126" s="928"/>
      <c r="AI126" s="928"/>
      <c r="AJ126" s="928"/>
      <c r="AK126" s="928"/>
      <c r="AL126" s="928"/>
      <c r="AM126" s="928"/>
      <c r="AN126" s="928"/>
      <c r="AO126" s="928"/>
      <c r="AP126" s="928"/>
      <c r="AQ126" s="928"/>
      <c r="AR126" s="928"/>
      <c r="AS126" s="928"/>
    </row>
    <row r="127" spans="11:45">
      <c r="K127" s="957"/>
      <c r="L127" s="928"/>
      <c r="M127" s="928"/>
      <c r="N127" s="960"/>
      <c r="O127" s="960"/>
      <c r="P127" s="960"/>
      <c r="Q127" s="960"/>
      <c r="R127" s="960"/>
      <c r="S127" s="960"/>
      <c r="T127" s="960"/>
      <c r="U127" s="960"/>
      <c r="V127" s="960"/>
      <c r="W127" s="960"/>
      <c r="X127" s="960"/>
      <c r="Y127" s="960"/>
      <c r="Z127" s="960"/>
      <c r="AA127" s="960"/>
      <c r="AB127" s="928"/>
      <c r="AC127" s="928"/>
      <c r="AD127" s="928"/>
      <c r="AE127" s="928"/>
      <c r="AF127" s="928"/>
      <c r="AG127" s="928"/>
      <c r="AH127" s="928"/>
      <c r="AI127" s="928"/>
      <c r="AJ127" s="928"/>
      <c r="AK127" s="928"/>
      <c r="AL127" s="928"/>
      <c r="AM127" s="928"/>
      <c r="AN127" s="928"/>
      <c r="AO127" s="928"/>
      <c r="AP127" s="928"/>
      <c r="AQ127" s="928"/>
      <c r="AR127" s="928"/>
      <c r="AS127" s="928"/>
    </row>
    <row r="128" spans="11:45">
      <c r="K128" s="957"/>
      <c r="L128" s="928"/>
      <c r="M128" s="928"/>
      <c r="N128" s="960"/>
      <c r="O128" s="960"/>
      <c r="P128" s="960"/>
      <c r="Q128" s="960"/>
      <c r="R128" s="960"/>
      <c r="S128" s="960"/>
      <c r="T128" s="960"/>
      <c r="U128" s="960"/>
      <c r="V128" s="960"/>
      <c r="W128" s="960"/>
      <c r="X128" s="960"/>
      <c r="Y128" s="960"/>
      <c r="Z128" s="960"/>
      <c r="AA128" s="960"/>
      <c r="AB128" s="928"/>
      <c r="AC128" s="928"/>
      <c r="AD128" s="928"/>
      <c r="AE128" s="928"/>
      <c r="AF128" s="928"/>
      <c r="AG128" s="928"/>
      <c r="AH128" s="928"/>
      <c r="AI128" s="928"/>
      <c r="AJ128" s="928"/>
      <c r="AK128" s="928"/>
      <c r="AL128" s="928"/>
      <c r="AM128" s="928"/>
      <c r="AN128" s="928"/>
      <c r="AO128" s="928"/>
      <c r="AP128" s="928"/>
      <c r="AQ128" s="928"/>
      <c r="AR128" s="928"/>
      <c r="AS128" s="928"/>
    </row>
    <row r="129" spans="11:45">
      <c r="K129" s="957"/>
      <c r="L129" s="928"/>
      <c r="M129" s="928"/>
      <c r="N129" s="960"/>
      <c r="O129" s="960"/>
      <c r="P129" s="960"/>
      <c r="Q129" s="960"/>
      <c r="R129" s="960"/>
      <c r="S129" s="960"/>
      <c r="T129" s="960"/>
      <c r="U129" s="960"/>
      <c r="V129" s="960"/>
      <c r="W129" s="960"/>
      <c r="X129" s="960"/>
      <c r="Y129" s="960"/>
      <c r="Z129" s="960"/>
      <c r="AA129" s="960"/>
      <c r="AB129" s="928"/>
      <c r="AC129" s="928"/>
      <c r="AD129" s="928"/>
      <c r="AE129" s="928"/>
      <c r="AF129" s="928"/>
      <c r="AG129" s="928"/>
      <c r="AH129" s="928"/>
      <c r="AI129" s="928"/>
      <c r="AJ129" s="928"/>
      <c r="AK129" s="928"/>
      <c r="AL129" s="928"/>
      <c r="AM129" s="928"/>
      <c r="AN129" s="928"/>
      <c r="AO129" s="928"/>
      <c r="AP129" s="928"/>
      <c r="AQ129" s="928"/>
      <c r="AR129" s="928"/>
      <c r="AS129" s="928"/>
    </row>
    <row r="130" spans="11:45">
      <c r="K130" s="957"/>
      <c r="L130" s="928"/>
      <c r="M130" s="928"/>
      <c r="N130" s="960"/>
      <c r="O130" s="960"/>
      <c r="P130" s="960"/>
      <c r="Q130" s="960"/>
      <c r="R130" s="960"/>
      <c r="S130" s="960"/>
      <c r="T130" s="960"/>
      <c r="U130" s="960"/>
      <c r="V130" s="960"/>
      <c r="W130" s="960"/>
      <c r="X130" s="960"/>
      <c r="Y130" s="960"/>
      <c r="Z130" s="960"/>
      <c r="AA130" s="960"/>
      <c r="AB130" s="928"/>
      <c r="AC130" s="928"/>
      <c r="AD130" s="928"/>
      <c r="AE130" s="928"/>
      <c r="AF130" s="928"/>
      <c r="AG130" s="928"/>
      <c r="AH130" s="928"/>
      <c r="AI130" s="928"/>
      <c r="AJ130" s="928"/>
      <c r="AK130" s="928"/>
      <c r="AL130" s="928"/>
      <c r="AM130" s="928"/>
      <c r="AN130" s="928"/>
      <c r="AO130" s="928"/>
      <c r="AP130" s="928"/>
      <c r="AQ130" s="928"/>
      <c r="AR130" s="928"/>
      <c r="AS130" s="928"/>
    </row>
    <row r="131" spans="11:45">
      <c r="K131" s="957"/>
      <c r="L131" s="928"/>
      <c r="M131" s="928"/>
      <c r="N131" s="960"/>
      <c r="O131" s="960"/>
      <c r="P131" s="960"/>
      <c r="Q131" s="960"/>
      <c r="R131" s="960"/>
      <c r="S131" s="960"/>
      <c r="T131" s="960"/>
      <c r="U131" s="960"/>
      <c r="V131" s="960"/>
      <c r="W131" s="960"/>
      <c r="X131" s="960"/>
      <c r="Y131" s="960"/>
      <c r="Z131" s="960"/>
      <c r="AA131" s="960"/>
      <c r="AB131" s="928"/>
      <c r="AC131" s="928"/>
      <c r="AD131" s="928"/>
      <c r="AE131" s="928"/>
      <c r="AF131" s="928"/>
      <c r="AG131" s="928"/>
      <c r="AH131" s="928"/>
      <c r="AI131" s="928"/>
      <c r="AJ131" s="928"/>
      <c r="AK131" s="928"/>
      <c r="AL131" s="928"/>
      <c r="AM131" s="928"/>
      <c r="AN131" s="928"/>
      <c r="AO131" s="928"/>
      <c r="AP131" s="928"/>
      <c r="AQ131" s="928"/>
      <c r="AR131" s="928"/>
      <c r="AS131" s="928"/>
    </row>
    <row r="132" spans="11:45">
      <c r="K132" s="957"/>
      <c r="L132" s="928"/>
      <c r="M132" s="928"/>
      <c r="N132" s="960"/>
      <c r="O132" s="960"/>
      <c r="P132" s="960"/>
      <c r="Q132" s="960"/>
      <c r="R132" s="960"/>
      <c r="S132" s="960"/>
      <c r="T132" s="960"/>
      <c r="U132" s="960"/>
      <c r="V132" s="960"/>
      <c r="W132" s="960"/>
      <c r="X132" s="960"/>
      <c r="Y132" s="960"/>
      <c r="Z132" s="960"/>
      <c r="AA132" s="960"/>
      <c r="AB132" s="928"/>
      <c r="AC132" s="928"/>
      <c r="AD132" s="928"/>
      <c r="AE132" s="928"/>
      <c r="AF132" s="928"/>
      <c r="AG132" s="928"/>
      <c r="AH132" s="928"/>
      <c r="AI132" s="928"/>
      <c r="AJ132" s="928"/>
      <c r="AK132" s="928"/>
      <c r="AL132" s="928"/>
      <c r="AM132" s="928"/>
      <c r="AN132" s="928"/>
      <c r="AO132" s="928"/>
      <c r="AP132" s="928"/>
      <c r="AQ132" s="928"/>
      <c r="AR132" s="928"/>
      <c r="AS132" s="928"/>
    </row>
    <row r="133" spans="11:45">
      <c r="K133" s="957"/>
      <c r="L133" s="928"/>
      <c r="M133" s="928"/>
      <c r="N133" s="960"/>
      <c r="O133" s="960"/>
      <c r="P133" s="960"/>
      <c r="Q133" s="960"/>
      <c r="R133" s="960"/>
      <c r="S133" s="960"/>
      <c r="T133" s="960"/>
      <c r="U133" s="960"/>
      <c r="V133" s="960"/>
      <c r="W133" s="960"/>
      <c r="X133" s="960"/>
      <c r="Y133" s="960"/>
      <c r="Z133" s="960"/>
      <c r="AA133" s="960"/>
      <c r="AB133" s="928"/>
      <c r="AC133" s="928"/>
      <c r="AD133" s="928"/>
      <c r="AE133" s="928"/>
      <c r="AF133" s="928"/>
      <c r="AG133" s="928"/>
      <c r="AH133" s="928"/>
      <c r="AI133" s="928"/>
      <c r="AJ133" s="928"/>
      <c r="AK133" s="928"/>
      <c r="AL133" s="928"/>
      <c r="AM133" s="928"/>
      <c r="AN133" s="928"/>
      <c r="AO133" s="928"/>
      <c r="AP133" s="928"/>
      <c r="AQ133" s="928"/>
      <c r="AR133" s="928"/>
      <c r="AS133" s="928"/>
    </row>
    <row r="134" spans="11:45">
      <c r="K134" s="957"/>
      <c r="L134" s="928"/>
      <c r="M134" s="928"/>
      <c r="N134" s="960"/>
      <c r="O134" s="960"/>
      <c r="P134" s="960"/>
      <c r="Q134" s="960"/>
      <c r="R134" s="960"/>
      <c r="S134" s="960"/>
      <c r="T134" s="960"/>
      <c r="U134" s="960"/>
      <c r="V134" s="960"/>
      <c r="W134" s="960"/>
      <c r="X134" s="960"/>
      <c r="Y134" s="960"/>
      <c r="Z134" s="960"/>
      <c r="AA134" s="960"/>
      <c r="AB134" s="928"/>
      <c r="AC134" s="928"/>
      <c r="AD134" s="928"/>
      <c r="AE134" s="928"/>
      <c r="AF134" s="928"/>
      <c r="AG134" s="928"/>
      <c r="AH134" s="928"/>
      <c r="AI134" s="928"/>
      <c r="AJ134" s="928"/>
      <c r="AK134" s="928"/>
      <c r="AL134" s="928"/>
      <c r="AM134" s="928"/>
      <c r="AN134" s="928"/>
      <c r="AO134" s="928"/>
      <c r="AP134" s="928"/>
      <c r="AQ134" s="928"/>
      <c r="AR134" s="928"/>
      <c r="AS134" s="928"/>
    </row>
    <row r="135" spans="11:45">
      <c r="K135" s="957"/>
      <c r="L135" s="928"/>
      <c r="M135" s="928"/>
      <c r="N135" s="960"/>
      <c r="O135" s="960"/>
      <c r="P135" s="960"/>
      <c r="Q135" s="960"/>
      <c r="R135" s="960"/>
      <c r="S135" s="960"/>
      <c r="T135" s="960"/>
      <c r="U135" s="960"/>
      <c r="V135" s="960"/>
      <c r="W135" s="960"/>
      <c r="X135" s="960"/>
      <c r="Y135" s="960"/>
      <c r="Z135" s="960"/>
      <c r="AA135" s="960"/>
      <c r="AB135" s="928"/>
      <c r="AC135" s="928"/>
      <c r="AD135" s="928"/>
      <c r="AE135" s="928"/>
      <c r="AF135" s="928"/>
      <c r="AG135" s="928"/>
      <c r="AH135" s="928"/>
      <c r="AI135" s="928"/>
      <c r="AJ135" s="928"/>
      <c r="AK135" s="928"/>
      <c r="AL135" s="928"/>
      <c r="AM135" s="928"/>
      <c r="AN135" s="928"/>
      <c r="AO135" s="928"/>
      <c r="AP135" s="928"/>
      <c r="AQ135" s="928"/>
      <c r="AR135" s="928"/>
      <c r="AS135" s="928"/>
    </row>
    <row r="136" spans="11:45">
      <c r="K136" s="957"/>
      <c r="L136" s="928"/>
      <c r="M136" s="928"/>
      <c r="N136" s="960"/>
      <c r="O136" s="960"/>
      <c r="P136" s="960"/>
      <c r="Q136" s="960"/>
      <c r="R136" s="960"/>
      <c r="S136" s="960"/>
      <c r="T136" s="960"/>
      <c r="U136" s="960"/>
      <c r="V136" s="960"/>
      <c r="W136" s="960"/>
      <c r="X136" s="960"/>
      <c r="Y136" s="960"/>
      <c r="Z136" s="960"/>
      <c r="AA136" s="960"/>
      <c r="AB136" s="928"/>
      <c r="AC136" s="928"/>
      <c r="AD136" s="928"/>
      <c r="AE136" s="928"/>
      <c r="AF136" s="928"/>
      <c r="AG136" s="928"/>
      <c r="AH136" s="928"/>
      <c r="AI136" s="928"/>
      <c r="AJ136" s="928"/>
      <c r="AK136" s="928"/>
      <c r="AL136" s="928"/>
      <c r="AM136" s="928"/>
      <c r="AN136" s="928"/>
      <c r="AO136" s="928"/>
      <c r="AP136" s="928"/>
      <c r="AQ136" s="928"/>
      <c r="AR136" s="928"/>
      <c r="AS136" s="928"/>
    </row>
    <row r="137" spans="11:45">
      <c r="K137" s="957"/>
      <c r="L137" s="928"/>
      <c r="M137" s="928"/>
      <c r="N137" s="960"/>
      <c r="O137" s="960"/>
      <c r="P137" s="960"/>
      <c r="Q137" s="960"/>
      <c r="R137" s="960"/>
      <c r="S137" s="960"/>
      <c r="T137" s="960"/>
      <c r="U137" s="960"/>
      <c r="V137" s="960"/>
      <c r="W137" s="960"/>
      <c r="X137" s="960"/>
      <c r="Y137" s="960"/>
      <c r="Z137" s="960"/>
      <c r="AA137" s="960"/>
      <c r="AB137" s="928"/>
      <c r="AC137" s="928"/>
      <c r="AD137" s="928"/>
      <c r="AE137" s="928"/>
      <c r="AF137" s="928"/>
      <c r="AG137" s="928"/>
      <c r="AH137" s="928"/>
      <c r="AI137" s="928"/>
      <c r="AJ137" s="928"/>
      <c r="AK137" s="928"/>
      <c r="AL137" s="928"/>
      <c r="AM137" s="928"/>
      <c r="AN137" s="928"/>
      <c r="AO137" s="928"/>
      <c r="AP137" s="928"/>
      <c r="AQ137" s="928"/>
      <c r="AR137" s="928"/>
      <c r="AS137" s="928"/>
    </row>
    <row r="138" spans="11:45">
      <c r="K138" s="957"/>
      <c r="L138" s="928"/>
      <c r="M138" s="928"/>
      <c r="N138" s="960"/>
      <c r="O138" s="960"/>
      <c r="P138" s="960"/>
      <c r="Q138" s="960"/>
      <c r="R138" s="960"/>
      <c r="S138" s="960"/>
      <c r="T138" s="960"/>
      <c r="U138" s="960"/>
      <c r="V138" s="960"/>
      <c r="W138" s="960"/>
      <c r="X138" s="960"/>
      <c r="Y138" s="960"/>
      <c r="Z138" s="960"/>
      <c r="AA138" s="960"/>
      <c r="AB138" s="928"/>
      <c r="AC138" s="928"/>
      <c r="AD138" s="928"/>
      <c r="AE138" s="928"/>
      <c r="AF138" s="928"/>
      <c r="AG138" s="928"/>
      <c r="AH138" s="928"/>
      <c r="AI138" s="928"/>
      <c r="AJ138" s="928"/>
      <c r="AK138" s="928"/>
      <c r="AL138" s="928"/>
      <c r="AM138" s="928"/>
      <c r="AN138" s="928"/>
      <c r="AO138" s="928"/>
      <c r="AP138" s="928"/>
      <c r="AQ138" s="928"/>
      <c r="AR138" s="928"/>
      <c r="AS138" s="928"/>
    </row>
    <row r="139" spans="11:45">
      <c r="K139" s="957"/>
      <c r="L139" s="928"/>
      <c r="M139" s="928"/>
      <c r="N139" s="960"/>
      <c r="O139" s="960"/>
      <c r="P139" s="960"/>
      <c r="Q139" s="960"/>
      <c r="R139" s="960"/>
      <c r="S139" s="960"/>
      <c r="T139" s="960"/>
      <c r="U139" s="960"/>
      <c r="V139" s="960"/>
      <c r="W139" s="960"/>
      <c r="X139" s="960"/>
      <c r="Y139" s="960"/>
      <c r="Z139" s="960"/>
      <c r="AA139" s="960"/>
      <c r="AB139" s="928"/>
      <c r="AC139" s="928"/>
      <c r="AD139" s="928"/>
      <c r="AE139" s="928"/>
      <c r="AF139" s="928"/>
      <c r="AG139" s="928"/>
      <c r="AH139" s="928"/>
      <c r="AI139" s="928"/>
      <c r="AJ139" s="928"/>
      <c r="AK139" s="928"/>
      <c r="AL139" s="928"/>
      <c r="AM139" s="928"/>
      <c r="AN139" s="928"/>
      <c r="AO139" s="928"/>
      <c r="AP139" s="928"/>
      <c r="AQ139" s="928"/>
      <c r="AR139" s="928"/>
      <c r="AS139" s="928"/>
    </row>
    <row r="140" spans="11:45">
      <c r="K140" s="957"/>
      <c r="L140" s="928"/>
      <c r="M140" s="928"/>
      <c r="N140" s="960"/>
      <c r="O140" s="960"/>
      <c r="P140" s="960"/>
      <c r="Q140" s="960"/>
      <c r="R140" s="960"/>
      <c r="S140" s="960"/>
      <c r="T140" s="960"/>
      <c r="U140" s="960"/>
      <c r="V140" s="960"/>
      <c r="W140" s="960"/>
      <c r="X140" s="960"/>
      <c r="Y140" s="960"/>
      <c r="Z140" s="960"/>
      <c r="AA140" s="960"/>
      <c r="AB140" s="928"/>
      <c r="AC140" s="928"/>
      <c r="AD140" s="928"/>
      <c r="AE140" s="928"/>
      <c r="AF140" s="928"/>
      <c r="AG140" s="928"/>
      <c r="AH140" s="928"/>
      <c r="AI140" s="928"/>
      <c r="AJ140" s="928"/>
      <c r="AK140" s="928"/>
      <c r="AL140" s="928"/>
      <c r="AM140" s="928"/>
      <c r="AN140" s="928"/>
      <c r="AO140" s="928"/>
      <c r="AP140" s="928"/>
      <c r="AQ140" s="928"/>
      <c r="AR140" s="928"/>
      <c r="AS140" s="928"/>
    </row>
    <row r="141" spans="11:45">
      <c r="K141" s="957"/>
      <c r="L141" s="928"/>
      <c r="M141" s="928"/>
      <c r="N141" s="960"/>
      <c r="O141" s="960"/>
      <c r="P141" s="960"/>
      <c r="Q141" s="960"/>
      <c r="R141" s="960"/>
      <c r="S141" s="960"/>
      <c r="T141" s="960"/>
      <c r="U141" s="960"/>
      <c r="V141" s="960"/>
      <c r="W141" s="960"/>
      <c r="X141" s="960"/>
      <c r="Y141" s="960"/>
      <c r="Z141" s="960"/>
      <c r="AA141" s="960"/>
      <c r="AB141" s="928"/>
      <c r="AC141" s="928"/>
      <c r="AD141" s="928"/>
      <c r="AE141" s="928"/>
      <c r="AF141" s="928"/>
      <c r="AG141" s="928"/>
      <c r="AH141" s="928"/>
      <c r="AI141" s="928"/>
      <c r="AJ141" s="928"/>
      <c r="AK141" s="928"/>
      <c r="AL141" s="928"/>
      <c r="AM141" s="928"/>
      <c r="AN141" s="928"/>
      <c r="AO141" s="928"/>
      <c r="AP141" s="928"/>
      <c r="AQ141" s="928"/>
      <c r="AR141" s="928"/>
      <c r="AS141" s="928"/>
    </row>
    <row r="142" spans="11:45">
      <c r="K142" s="957"/>
      <c r="L142" s="928"/>
      <c r="M142" s="928"/>
      <c r="N142" s="960"/>
      <c r="O142" s="960"/>
      <c r="P142" s="960"/>
      <c r="Q142" s="960"/>
      <c r="R142" s="960"/>
      <c r="S142" s="960"/>
      <c r="T142" s="960"/>
      <c r="U142" s="960"/>
      <c r="V142" s="960"/>
      <c r="W142" s="960"/>
      <c r="X142" s="960"/>
      <c r="Y142" s="960"/>
      <c r="Z142" s="960"/>
      <c r="AA142" s="960"/>
      <c r="AB142" s="928"/>
      <c r="AC142" s="928"/>
      <c r="AD142" s="928"/>
      <c r="AE142" s="928"/>
      <c r="AF142" s="928"/>
      <c r="AG142" s="928"/>
      <c r="AH142" s="928"/>
      <c r="AI142" s="928"/>
      <c r="AJ142" s="928"/>
      <c r="AK142" s="928"/>
      <c r="AL142" s="928"/>
      <c r="AM142" s="928"/>
      <c r="AN142" s="928"/>
      <c r="AO142" s="928"/>
      <c r="AP142" s="928"/>
      <c r="AQ142" s="928"/>
      <c r="AR142" s="928"/>
      <c r="AS142" s="928"/>
    </row>
    <row r="143" spans="11:45">
      <c r="K143" s="957"/>
      <c r="L143" s="928"/>
      <c r="M143" s="928"/>
      <c r="N143" s="960"/>
      <c r="O143" s="960"/>
      <c r="P143" s="960"/>
      <c r="Q143" s="960"/>
      <c r="R143" s="960"/>
      <c r="S143" s="960"/>
      <c r="T143" s="960"/>
      <c r="U143" s="960"/>
      <c r="V143" s="960"/>
      <c r="W143" s="960"/>
      <c r="X143" s="960"/>
      <c r="Y143" s="960"/>
      <c r="Z143" s="960"/>
      <c r="AA143" s="960"/>
      <c r="AB143" s="928"/>
      <c r="AC143" s="928"/>
      <c r="AD143" s="928"/>
      <c r="AE143" s="928"/>
      <c r="AF143" s="928"/>
      <c r="AG143" s="928"/>
      <c r="AH143" s="928"/>
      <c r="AI143" s="928"/>
      <c r="AJ143" s="928"/>
      <c r="AK143" s="928"/>
      <c r="AL143" s="928"/>
      <c r="AM143" s="928"/>
      <c r="AN143" s="928"/>
      <c r="AO143" s="928"/>
      <c r="AP143" s="928"/>
      <c r="AQ143" s="928"/>
      <c r="AR143" s="928"/>
      <c r="AS143" s="928"/>
    </row>
    <row r="144" spans="11:45">
      <c r="K144" s="957"/>
      <c r="L144" s="928"/>
      <c r="M144" s="928"/>
      <c r="N144" s="960"/>
      <c r="O144" s="960"/>
      <c r="P144" s="960"/>
      <c r="Q144" s="960"/>
      <c r="R144" s="960"/>
      <c r="S144" s="960"/>
      <c r="T144" s="960"/>
      <c r="U144" s="960"/>
      <c r="V144" s="960"/>
      <c r="W144" s="960"/>
      <c r="X144" s="960"/>
      <c r="Y144" s="960"/>
      <c r="Z144" s="960"/>
      <c r="AA144" s="960"/>
      <c r="AB144" s="928"/>
      <c r="AC144" s="928"/>
      <c r="AD144" s="928"/>
      <c r="AE144" s="928"/>
      <c r="AF144" s="928"/>
      <c r="AG144" s="928"/>
      <c r="AH144" s="928"/>
      <c r="AI144" s="928"/>
      <c r="AJ144" s="928"/>
      <c r="AK144" s="928"/>
      <c r="AL144" s="928"/>
      <c r="AM144" s="928"/>
      <c r="AN144" s="928"/>
      <c r="AO144" s="928"/>
      <c r="AP144" s="928"/>
      <c r="AQ144" s="928"/>
      <c r="AR144" s="928"/>
      <c r="AS144" s="928"/>
    </row>
    <row r="145" spans="11:45">
      <c r="K145" s="957"/>
      <c r="L145" s="928"/>
      <c r="M145" s="928"/>
      <c r="N145" s="960"/>
      <c r="O145" s="960"/>
      <c r="P145" s="960"/>
      <c r="Q145" s="960"/>
      <c r="R145" s="960"/>
      <c r="S145" s="960"/>
      <c r="T145" s="960"/>
      <c r="U145" s="960"/>
      <c r="V145" s="960"/>
      <c r="W145" s="960"/>
      <c r="X145" s="960"/>
      <c r="Y145" s="960"/>
      <c r="Z145" s="960"/>
      <c r="AA145" s="960"/>
      <c r="AB145" s="928"/>
      <c r="AC145" s="928"/>
      <c r="AD145" s="928"/>
      <c r="AE145" s="928"/>
      <c r="AF145" s="928"/>
      <c r="AG145" s="928"/>
      <c r="AH145" s="928"/>
      <c r="AI145" s="928"/>
      <c r="AJ145" s="928"/>
      <c r="AK145" s="928"/>
      <c r="AL145" s="928"/>
      <c r="AM145" s="928"/>
      <c r="AN145" s="928"/>
      <c r="AO145" s="928"/>
      <c r="AP145" s="928"/>
      <c r="AQ145" s="928"/>
      <c r="AR145" s="928"/>
      <c r="AS145" s="928"/>
    </row>
    <row r="146" spans="11:45">
      <c r="K146" s="957"/>
      <c r="L146" s="928"/>
      <c r="M146" s="928"/>
      <c r="N146" s="960"/>
      <c r="O146" s="960"/>
      <c r="P146" s="960"/>
      <c r="Q146" s="960"/>
      <c r="R146" s="960"/>
      <c r="S146" s="960"/>
      <c r="T146" s="960"/>
      <c r="U146" s="960"/>
      <c r="V146" s="960"/>
      <c r="W146" s="960"/>
      <c r="X146" s="960"/>
      <c r="Y146" s="960"/>
      <c r="Z146" s="960"/>
      <c r="AA146" s="960"/>
      <c r="AB146" s="928"/>
      <c r="AC146" s="928"/>
      <c r="AD146" s="928"/>
      <c r="AE146" s="928"/>
      <c r="AF146" s="928"/>
      <c r="AG146" s="928"/>
      <c r="AH146" s="928"/>
      <c r="AI146" s="928"/>
      <c r="AJ146" s="928"/>
      <c r="AK146" s="928"/>
      <c r="AL146" s="928"/>
      <c r="AM146" s="928"/>
      <c r="AN146" s="928"/>
      <c r="AO146" s="928"/>
      <c r="AP146" s="928"/>
      <c r="AQ146" s="928"/>
      <c r="AR146" s="928"/>
      <c r="AS146" s="928"/>
    </row>
    <row r="147" spans="11:45">
      <c r="K147" s="957"/>
      <c r="L147" s="928"/>
      <c r="M147" s="928"/>
      <c r="N147" s="960"/>
      <c r="O147" s="960"/>
      <c r="P147" s="960"/>
      <c r="Q147" s="960"/>
      <c r="R147" s="960"/>
      <c r="S147" s="960"/>
      <c r="T147" s="960"/>
      <c r="U147" s="960"/>
      <c r="V147" s="960"/>
      <c r="W147" s="960"/>
      <c r="X147" s="960"/>
      <c r="Y147" s="960"/>
      <c r="Z147" s="960"/>
      <c r="AA147" s="960"/>
      <c r="AB147" s="928"/>
      <c r="AC147" s="928"/>
      <c r="AD147" s="928"/>
      <c r="AE147" s="928"/>
      <c r="AF147" s="928"/>
      <c r="AG147" s="928"/>
      <c r="AH147" s="928"/>
      <c r="AI147" s="928"/>
      <c r="AJ147" s="928"/>
      <c r="AK147" s="928"/>
      <c r="AL147" s="928"/>
      <c r="AM147" s="928"/>
      <c r="AN147" s="928"/>
      <c r="AO147" s="928"/>
      <c r="AP147" s="928"/>
      <c r="AQ147" s="928"/>
      <c r="AR147" s="928"/>
      <c r="AS147" s="928"/>
    </row>
    <row r="148" spans="11:45">
      <c r="K148" s="957"/>
      <c r="L148" s="928"/>
      <c r="M148" s="928"/>
      <c r="N148" s="960"/>
      <c r="O148" s="960"/>
      <c r="P148" s="960"/>
      <c r="Q148" s="960"/>
      <c r="R148" s="960"/>
      <c r="S148" s="960"/>
      <c r="T148" s="960"/>
      <c r="U148" s="960"/>
      <c r="V148" s="960"/>
      <c r="W148" s="960"/>
      <c r="X148" s="960"/>
      <c r="Y148" s="960"/>
      <c r="Z148" s="960"/>
      <c r="AA148" s="960"/>
      <c r="AB148" s="928"/>
      <c r="AC148" s="928"/>
      <c r="AD148" s="928"/>
      <c r="AE148" s="928"/>
      <c r="AF148" s="928"/>
      <c r="AG148" s="928"/>
      <c r="AH148" s="928"/>
      <c r="AI148" s="928"/>
      <c r="AJ148" s="928"/>
      <c r="AK148" s="928"/>
      <c r="AL148" s="928"/>
      <c r="AM148" s="928"/>
      <c r="AN148" s="928"/>
      <c r="AO148" s="928"/>
      <c r="AP148" s="928"/>
      <c r="AQ148" s="928"/>
      <c r="AR148" s="928"/>
      <c r="AS148" s="928"/>
    </row>
    <row r="149" spans="11:45">
      <c r="K149" s="957"/>
      <c r="L149" s="928"/>
      <c r="M149" s="928"/>
      <c r="N149" s="960"/>
      <c r="O149" s="960"/>
      <c r="P149" s="960"/>
      <c r="Q149" s="960"/>
      <c r="R149" s="960"/>
      <c r="S149" s="960"/>
      <c r="T149" s="960"/>
      <c r="U149" s="960"/>
      <c r="V149" s="960"/>
      <c r="W149" s="960"/>
      <c r="X149" s="960"/>
      <c r="Y149" s="960"/>
      <c r="Z149" s="960"/>
      <c r="AA149" s="960"/>
      <c r="AB149" s="928"/>
      <c r="AC149" s="928"/>
      <c r="AD149" s="928"/>
      <c r="AE149" s="928"/>
      <c r="AF149" s="928"/>
      <c r="AG149" s="928"/>
      <c r="AH149" s="928"/>
      <c r="AI149" s="928"/>
      <c r="AJ149" s="928"/>
      <c r="AK149" s="928"/>
      <c r="AL149" s="928"/>
      <c r="AM149" s="928"/>
      <c r="AN149" s="928"/>
      <c r="AO149" s="928"/>
      <c r="AP149" s="928"/>
      <c r="AQ149" s="928"/>
      <c r="AR149" s="928"/>
      <c r="AS149" s="928"/>
    </row>
    <row r="150" spans="11:45">
      <c r="K150" s="957"/>
      <c r="L150" s="928"/>
      <c r="M150" s="928"/>
      <c r="N150" s="960"/>
      <c r="O150" s="960"/>
      <c r="P150" s="960"/>
      <c r="Q150" s="960"/>
      <c r="R150" s="960"/>
      <c r="S150" s="960"/>
      <c r="T150" s="960"/>
      <c r="U150" s="960"/>
      <c r="V150" s="960"/>
      <c r="W150" s="960"/>
      <c r="X150" s="960"/>
      <c r="Y150" s="960"/>
      <c r="Z150" s="960"/>
      <c r="AA150" s="960"/>
      <c r="AB150" s="928"/>
      <c r="AC150" s="928"/>
      <c r="AD150" s="928"/>
      <c r="AE150" s="928"/>
      <c r="AF150" s="928"/>
      <c r="AG150" s="928"/>
      <c r="AH150" s="928"/>
      <c r="AI150" s="928"/>
      <c r="AJ150" s="928"/>
      <c r="AK150" s="928"/>
      <c r="AL150" s="928"/>
      <c r="AM150" s="928"/>
      <c r="AN150" s="928"/>
      <c r="AO150" s="928"/>
      <c r="AP150" s="928"/>
      <c r="AQ150" s="928"/>
      <c r="AR150" s="928"/>
      <c r="AS150" s="928"/>
    </row>
    <row r="151" spans="11:45">
      <c r="K151" s="957"/>
      <c r="L151" s="928"/>
      <c r="M151" s="928"/>
      <c r="N151" s="960"/>
      <c r="O151" s="960"/>
      <c r="P151" s="960"/>
      <c r="Q151" s="960"/>
      <c r="R151" s="960"/>
      <c r="S151" s="960"/>
      <c r="T151" s="960"/>
      <c r="U151" s="960"/>
      <c r="V151" s="960"/>
      <c r="W151" s="960"/>
      <c r="X151" s="960"/>
      <c r="Y151" s="960"/>
      <c r="Z151" s="960"/>
      <c r="AA151" s="960"/>
      <c r="AB151" s="928"/>
      <c r="AC151" s="928"/>
      <c r="AD151" s="928"/>
      <c r="AE151" s="928"/>
      <c r="AF151" s="928"/>
      <c r="AG151" s="928"/>
      <c r="AH151" s="928"/>
      <c r="AI151" s="928"/>
      <c r="AJ151" s="928"/>
      <c r="AK151" s="928"/>
      <c r="AL151" s="928"/>
      <c r="AM151" s="928"/>
      <c r="AN151" s="928"/>
      <c r="AO151" s="928"/>
      <c r="AP151" s="928"/>
      <c r="AQ151" s="928"/>
      <c r="AR151" s="928"/>
      <c r="AS151" s="928"/>
    </row>
    <row r="152" spans="11:45">
      <c r="K152" s="957"/>
      <c r="L152" s="928"/>
      <c r="M152" s="928"/>
      <c r="N152" s="960"/>
      <c r="O152" s="960"/>
      <c r="P152" s="960"/>
      <c r="Q152" s="960"/>
      <c r="R152" s="960"/>
      <c r="S152" s="960"/>
      <c r="T152" s="960"/>
      <c r="U152" s="960"/>
      <c r="V152" s="960"/>
      <c r="W152" s="960"/>
      <c r="X152" s="960"/>
      <c r="Y152" s="960"/>
      <c r="Z152" s="960"/>
      <c r="AA152" s="960"/>
      <c r="AB152" s="928"/>
      <c r="AC152" s="928"/>
      <c r="AD152" s="928"/>
      <c r="AE152" s="928"/>
      <c r="AF152" s="928"/>
      <c r="AG152" s="928"/>
      <c r="AH152" s="928"/>
      <c r="AI152" s="928"/>
      <c r="AJ152" s="928"/>
      <c r="AK152" s="928"/>
      <c r="AL152" s="928"/>
      <c r="AM152" s="928"/>
      <c r="AN152" s="928"/>
      <c r="AO152" s="928"/>
      <c r="AP152" s="928"/>
      <c r="AQ152" s="928"/>
      <c r="AR152" s="928"/>
      <c r="AS152" s="928"/>
    </row>
    <row r="153" spans="11:45">
      <c r="K153" s="957"/>
      <c r="L153" s="928"/>
      <c r="M153" s="928"/>
      <c r="N153" s="960"/>
      <c r="O153" s="960"/>
      <c r="P153" s="960"/>
      <c r="Q153" s="960"/>
      <c r="R153" s="960"/>
      <c r="S153" s="960"/>
      <c r="T153" s="960"/>
      <c r="U153" s="960"/>
      <c r="V153" s="960"/>
      <c r="W153" s="960"/>
      <c r="X153" s="960"/>
      <c r="Y153" s="960"/>
      <c r="Z153" s="960"/>
      <c r="AA153" s="960"/>
      <c r="AB153" s="928"/>
      <c r="AC153" s="928"/>
      <c r="AD153" s="928"/>
      <c r="AE153" s="928"/>
      <c r="AF153" s="928"/>
      <c r="AG153" s="928"/>
      <c r="AH153" s="928"/>
      <c r="AI153" s="928"/>
      <c r="AJ153" s="928"/>
      <c r="AK153" s="928"/>
      <c r="AL153" s="928"/>
      <c r="AM153" s="928"/>
      <c r="AN153" s="928"/>
      <c r="AO153" s="928"/>
      <c r="AP153" s="928"/>
      <c r="AQ153" s="928"/>
      <c r="AR153" s="928"/>
      <c r="AS153" s="928"/>
    </row>
    <row r="154" spans="11:45">
      <c r="K154" s="957"/>
      <c r="L154" s="928"/>
      <c r="M154" s="928"/>
      <c r="N154" s="960"/>
      <c r="O154" s="960"/>
      <c r="P154" s="960"/>
      <c r="Q154" s="960"/>
      <c r="R154" s="960"/>
      <c r="S154" s="960"/>
      <c r="T154" s="960"/>
      <c r="U154" s="960"/>
      <c r="V154" s="960"/>
      <c r="W154" s="960"/>
      <c r="X154" s="960"/>
      <c r="Y154" s="960"/>
      <c r="Z154" s="960"/>
      <c r="AA154" s="960"/>
      <c r="AB154" s="928"/>
      <c r="AC154" s="928"/>
      <c r="AD154" s="928"/>
      <c r="AE154" s="928"/>
      <c r="AF154" s="928"/>
      <c r="AG154" s="928"/>
      <c r="AH154" s="928"/>
      <c r="AI154" s="928"/>
      <c r="AJ154" s="928"/>
      <c r="AK154" s="928"/>
      <c r="AL154" s="928"/>
      <c r="AM154" s="928"/>
      <c r="AN154" s="928"/>
      <c r="AO154" s="928"/>
      <c r="AP154" s="928"/>
      <c r="AQ154" s="928"/>
      <c r="AR154" s="928"/>
      <c r="AS154" s="928"/>
    </row>
    <row r="155" spans="11:45">
      <c r="K155" s="957"/>
      <c r="L155" s="928"/>
      <c r="M155" s="928"/>
      <c r="N155" s="960"/>
      <c r="O155" s="960"/>
      <c r="P155" s="960"/>
      <c r="Q155" s="960"/>
      <c r="R155" s="960"/>
      <c r="S155" s="960"/>
      <c r="T155" s="960"/>
      <c r="U155" s="960"/>
      <c r="V155" s="960"/>
      <c r="W155" s="960"/>
      <c r="X155" s="960"/>
      <c r="Y155" s="960"/>
      <c r="Z155" s="960"/>
      <c r="AA155" s="960"/>
      <c r="AB155" s="928"/>
      <c r="AC155" s="928"/>
      <c r="AD155" s="928"/>
      <c r="AE155" s="928"/>
      <c r="AF155" s="928"/>
      <c r="AG155" s="928"/>
      <c r="AH155" s="928"/>
      <c r="AI155" s="928"/>
      <c r="AJ155" s="928"/>
      <c r="AK155" s="928"/>
      <c r="AL155" s="928"/>
      <c r="AM155" s="928"/>
      <c r="AN155" s="928"/>
      <c r="AO155" s="928"/>
      <c r="AP155" s="928"/>
      <c r="AQ155" s="928"/>
      <c r="AR155" s="928"/>
      <c r="AS155" s="928"/>
    </row>
    <row r="156" spans="11:45">
      <c r="K156" s="957"/>
      <c r="L156" s="928"/>
      <c r="M156" s="928"/>
      <c r="N156" s="960"/>
      <c r="O156" s="960"/>
      <c r="P156" s="960"/>
      <c r="Q156" s="960"/>
      <c r="R156" s="960"/>
      <c r="S156" s="960"/>
      <c r="T156" s="960"/>
      <c r="U156" s="960"/>
      <c r="V156" s="960"/>
      <c r="W156" s="960"/>
      <c r="X156" s="960"/>
      <c r="Y156" s="960"/>
      <c r="Z156" s="960"/>
      <c r="AA156" s="960"/>
      <c r="AB156" s="928"/>
      <c r="AC156" s="928"/>
      <c r="AD156" s="928"/>
      <c r="AE156" s="928"/>
      <c r="AF156" s="928"/>
      <c r="AG156" s="928"/>
      <c r="AH156" s="928"/>
      <c r="AI156" s="928"/>
      <c r="AJ156" s="928"/>
      <c r="AK156" s="928"/>
      <c r="AL156" s="928"/>
      <c r="AM156" s="928"/>
      <c r="AN156" s="928"/>
      <c r="AO156" s="928"/>
      <c r="AP156" s="928"/>
      <c r="AQ156" s="928"/>
      <c r="AR156" s="928"/>
      <c r="AS156" s="928"/>
    </row>
    <row r="157" spans="11:45">
      <c r="K157" s="957"/>
      <c r="L157" s="928"/>
      <c r="M157" s="928"/>
      <c r="N157" s="960"/>
      <c r="O157" s="960"/>
      <c r="P157" s="960"/>
      <c r="Q157" s="960"/>
      <c r="R157" s="960"/>
      <c r="S157" s="960"/>
      <c r="T157" s="960"/>
      <c r="U157" s="960"/>
      <c r="V157" s="960"/>
      <c r="W157" s="960"/>
      <c r="X157" s="960"/>
      <c r="Y157" s="960"/>
      <c r="Z157" s="960"/>
      <c r="AA157" s="960"/>
      <c r="AB157" s="928"/>
      <c r="AC157" s="928"/>
      <c r="AD157" s="928"/>
      <c r="AE157" s="928"/>
      <c r="AF157" s="928"/>
      <c r="AG157" s="928"/>
      <c r="AH157" s="928"/>
      <c r="AI157" s="928"/>
      <c r="AJ157" s="928"/>
      <c r="AK157" s="928"/>
      <c r="AL157" s="928"/>
      <c r="AM157" s="928"/>
      <c r="AN157" s="928"/>
      <c r="AO157" s="928"/>
      <c r="AP157" s="928"/>
      <c r="AQ157" s="928"/>
      <c r="AR157" s="928"/>
      <c r="AS157" s="928"/>
    </row>
    <row r="158" spans="11:45">
      <c r="K158" s="957"/>
      <c r="L158" s="928"/>
      <c r="M158" s="928"/>
      <c r="N158" s="960"/>
      <c r="O158" s="960"/>
      <c r="P158" s="960"/>
      <c r="Q158" s="960"/>
      <c r="R158" s="960"/>
      <c r="S158" s="960"/>
      <c r="T158" s="960"/>
      <c r="U158" s="960"/>
      <c r="V158" s="960"/>
      <c r="W158" s="960"/>
      <c r="X158" s="960"/>
      <c r="Y158" s="960"/>
      <c r="Z158" s="960"/>
      <c r="AA158" s="960"/>
      <c r="AB158" s="928"/>
      <c r="AC158" s="928"/>
      <c r="AD158" s="928"/>
      <c r="AE158" s="928"/>
      <c r="AF158" s="928"/>
      <c r="AG158" s="928"/>
      <c r="AH158" s="928"/>
      <c r="AI158" s="928"/>
      <c r="AJ158" s="928"/>
      <c r="AK158" s="928"/>
      <c r="AL158" s="928"/>
      <c r="AM158" s="928"/>
      <c r="AN158" s="928"/>
      <c r="AO158" s="928"/>
      <c r="AP158" s="928"/>
      <c r="AQ158" s="928"/>
      <c r="AR158" s="928"/>
      <c r="AS158" s="928"/>
    </row>
    <row r="159" spans="11:45">
      <c r="K159" s="957"/>
      <c r="L159" s="928"/>
      <c r="M159" s="928"/>
      <c r="N159" s="960"/>
      <c r="O159" s="960"/>
      <c r="P159" s="960"/>
      <c r="Q159" s="960"/>
      <c r="R159" s="960"/>
      <c r="S159" s="960"/>
      <c r="T159" s="960"/>
      <c r="U159" s="960"/>
      <c r="V159" s="960"/>
      <c r="W159" s="960"/>
      <c r="X159" s="960"/>
      <c r="Y159" s="960"/>
      <c r="Z159" s="960"/>
      <c r="AA159" s="960"/>
      <c r="AB159" s="928"/>
      <c r="AC159" s="928"/>
      <c r="AD159" s="928"/>
      <c r="AE159" s="928"/>
      <c r="AF159" s="928"/>
      <c r="AG159" s="928"/>
      <c r="AH159" s="928"/>
      <c r="AI159" s="928"/>
      <c r="AJ159" s="928"/>
      <c r="AK159" s="928"/>
      <c r="AL159" s="928"/>
      <c r="AM159" s="928"/>
      <c r="AN159" s="928"/>
      <c r="AO159" s="928"/>
      <c r="AP159" s="928"/>
      <c r="AQ159" s="928"/>
      <c r="AR159" s="928"/>
      <c r="AS159" s="928"/>
    </row>
    <row r="160" spans="11:45">
      <c r="K160" s="957"/>
      <c r="L160" s="928"/>
      <c r="M160" s="928"/>
      <c r="N160" s="960"/>
      <c r="O160" s="960"/>
      <c r="P160" s="960"/>
      <c r="Q160" s="960"/>
      <c r="R160" s="960"/>
      <c r="S160" s="960"/>
      <c r="T160" s="960"/>
      <c r="U160" s="960"/>
      <c r="V160" s="960"/>
      <c r="W160" s="960"/>
      <c r="X160" s="960"/>
      <c r="Y160" s="960"/>
      <c r="Z160" s="960"/>
      <c r="AA160" s="960"/>
      <c r="AB160" s="928"/>
      <c r="AC160" s="928"/>
      <c r="AD160" s="928"/>
      <c r="AE160" s="928"/>
      <c r="AF160" s="928"/>
      <c r="AG160" s="928"/>
      <c r="AH160" s="928"/>
      <c r="AI160" s="928"/>
      <c r="AJ160" s="928"/>
      <c r="AK160" s="928"/>
      <c r="AL160" s="928"/>
      <c r="AM160" s="928"/>
      <c r="AN160" s="928"/>
      <c r="AO160" s="928"/>
      <c r="AP160" s="928"/>
      <c r="AQ160" s="928"/>
      <c r="AR160" s="928"/>
      <c r="AS160" s="928"/>
    </row>
    <row r="161" spans="11:45">
      <c r="K161" s="957"/>
      <c r="L161" s="928"/>
      <c r="M161" s="928"/>
      <c r="N161" s="960"/>
      <c r="O161" s="960"/>
      <c r="P161" s="960"/>
      <c r="Q161" s="960"/>
      <c r="R161" s="960"/>
      <c r="S161" s="960"/>
      <c r="T161" s="960"/>
      <c r="U161" s="960"/>
      <c r="V161" s="960"/>
      <c r="W161" s="960"/>
      <c r="X161" s="960"/>
      <c r="Y161" s="960"/>
      <c r="Z161" s="960"/>
      <c r="AA161" s="960"/>
      <c r="AB161" s="928"/>
      <c r="AC161" s="928"/>
      <c r="AD161" s="928"/>
      <c r="AE161" s="928"/>
      <c r="AF161" s="928"/>
      <c r="AG161" s="928"/>
      <c r="AH161" s="928"/>
      <c r="AI161" s="928"/>
      <c r="AJ161" s="928"/>
      <c r="AK161" s="928"/>
      <c r="AL161" s="928"/>
      <c r="AM161" s="928"/>
      <c r="AN161" s="928"/>
      <c r="AO161" s="928"/>
      <c r="AP161" s="928"/>
      <c r="AQ161" s="928"/>
      <c r="AR161" s="928"/>
      <c r="AS161" s="928"/>
    </row>
    <row r="162" spans="11:45">
      <c r="K162" s="957"/>
      <c r="L162" s="928"/>
      <c r="M162" s="928"/>
      <c r="N162" s="960"/>
      <c r="O162" s="960"/>
      <c r="P162" s="960"/>
      <c r="Q162" s="960"/>
      <c r="R162" s="960"/>
      <c r="S162" s="960"/>
      <c r="T162" s="960"/>
      <c r="U162" s="960"/>
      <c r="V162" s="960"/>
      <c r="W162" s="960"/>
      <c r="X162" s="960"/>
      <c r="Y162" s="960"/>
      <c r="Z162" s="960"/>
      <c r="AA162" s="960"/>
      <c r="AB162" s="928"/>
      <c r="AC162" s="928"/>
      <c r="AD162" s="928"/>
      <c r="AE162" s="928"/>
      <c r="AF162" s="928"/>
      <c r="AG162" s="928"/>
      <c r="AH162" s="928"/>
      <c r="AI162" s="928"/>
      <c r="AJ162" s="928"/>
      <c r="AK162" s="928"/>
      <c r="AL162" s="928"/>
      <c r="AM162" s="928"/>
      <c r="AN162" s="928"/>
      <c r="AO162" s="928"/>
      <c r="AP162" s="928"/>
      <c r="AQ162" s="928"/>
      <c r="AR162" s="928"/>
      <c r="AS162" s="928"/>
    </row>
    <row r="163" spans="11:45">
      <c r="K163" s="957"/>
      <c r="L163" s="928"/>
      <c r="M163" s="928"/>
      <c r="N163" s="960"/>
      <c r="O163" s="960"/>
      <c r="P163" s="960"/>
      <c r="Q163" s="960"/>
      <c r="R163" s="960"/>
      <c r="S163" s="960"/>
      <c r="T163" s="960"/>
      <c r="U163" s="960"/>
      <c r="V163" s="960"/>
      <c r="W163" s="960"/>
      <c r="X163" s="960"/>
      <c r="Y163" s="960"/>
      <c r="Z163" s="960"/>
      <c r="AA163" s="960"/>
      <c r="AB163" s="928"/>
      <c r="AC163" s="928"/>
      <c r="AD163" s="928"/>
      <c r="AE163" s="928"/>
      <c r="AF163" s="928"/>
      <c r="AG163" s="928"/>
      <c r="AH163" s="928"/>
      <c r="AI163" s="928"/>
      <c r="AJ163" s="928"/>
      <c r="AK163" s="928"/>
      <c r="AL163" s="928"/>
      <c r="AM163" s="928"/>
      <c r="AN163" s="928"/>
      <c r="AO163" s="928"/>
      <c r="AP163" s="928"/>
      <c r="AQ163" s="928"/>
      <c r="AR163" s="928"/>
      <c r="AS163" s="928"/>
    </row>
    <row r="164" spans="11:45">
      <c r="K164" s="957"/>
      <c r="L164" s="928"/>
      <c r="M164" s="928"/>
      <c r="N164" s="960"/>
      <c r="O164" s="960"/>
      <c r="P164" s="960"/>
      <c r="Q164" s="960"/>
      <c r="R164" s="960"/>
      <c r="S164" s="960"/>
      <c r="T164" s="960"/>
      <c r="U164" s="960"/>
      <c r="V164" s="960"/>
      <c r="W164" s="960"/>
      <c r="X164" s="960"/>
      <c r="Y164" s="960"/>
      <c r="Z164" s="960"/>
      <c r="AA164" s="960"/>
      <c r="AB164" s="928"/>
      <c r="AC164" s="928"/>
      <c r="AD164" s="928"/>
      <c r="AE164" s="928"/>
      <c r="AF164" s="928"/>
      <c r="AG164" s="928"/>
      <c r="AH164" s="928"/>
      <c r="AI164" s="928"/>
      <c r="AJ164" s="928"/>
      <c r="AK164" s="928"/>
      <c r="AL164" s="928"/>
      <c r="AM164" s="928"/>
      <c r="AN164" s="928"/>
      <c r="AO164" s="928"/>
      <c r="AP164" s="928"/>
      <c r="AQ164" s="928"/>
      <c r="AR164" s="928"/>
      <c r="AS164" s="928"/>
    </row>
    <row r="165" spans="11:45">
      <c r="K165" s="957"/>
      <c r="L165" s="928"/>
      <c r="M165" s="928"/>
      <c r="N165" s="960"/>
      <c r="O165" s="960"/>
      <c r="P165" s="960"/>
      <c r="Q165" s="960"/>
      <c r="R165" s="960"/>
      <c r="S165" s="960"/>
      <c r="T165" s="960"/>
      <c r="U165" s="960"/>
      <c r="V165" s="960"/>
      <c r="W165" s="960"/>
      <c r="X165" s="960"/>
      <c r="Y165" s="960"/>
      <c r="Z165" s="960"/>
      <c r="AA165" s="960"/>
      <c r="AB165" s="928"/>
      <c r="AC165" s="928"/>
      <c r="AD165" s="928"/>
      <c r="AE165" s="928"/>
      <c r="AF165" s="928"/>
      <c r="AG165" s="928"/>
      <c r="AH165" s="928"/>
      <c r="AI165" s="928"/>
      <c r="AJ165" s="928"/>
      <c r="AK165" s="928"/>
      <c r="AL165" s="928"/>
      <c r="AM165" s="928"/>
      <c r="AN165" s="928"/>
      <c r="AO165" s="928"/>
      <c r="AP165" s="928"/>
      <c r="AQ165" s="928"/>
      <c r="AR165" s="928"/>
      <c r="AS165" s="928"/>
    </row>
    <row r="166" spans="11:45">
      <c r="K166" s="957"/>
      <c r="L166" s="928"/>
      <c r="M166" s="928"/>
      <c r="N166" s="960"/>
      <c r="O166" s="960"/>
      <c r="P166" s="960"/>
      <c r="Q166" s="960"/>
      <c r="R166" s="960"/>
      <c r="S166" s="960"/>
      <c r="T166" s="960"/>
      <c r="U166" s="960"/>
      <c r="V166" s="960"/>
      <c r="W166" s="960"/>
      <c r="X166" s="960"/>
      <c r="Y166" s="960"/>
      <c r="Z166" s="960"/>
      <c r="AA166" s="960"/>
      <c r="AB166" s="928"/>
      <c r="AC166" s="928"/>
      <c r="AD166" s="928"/>
      <c r="AE166" s="928"/>
      <c r="AF166" s="928"/>
      <c r="AG166" s="928"/>
      <c r="AH166" s="928"/>
      <c r="AI166" s="928"/>
      <c r="AJ166" s="928"/>
      <c r="AK166" s="928"/>
      <c r="AL166" s="928"/>
      <c r="AM166" s="928"/>
      <c r="AN166" s="928"/>
      <c r="AO166" s="928"/>
      <c r="AP166" s="928"/>
      <c r="AQ166" s="928"/>
      <c r="AR166" s="928"/>
      <c r="AS166" s="928"/>
    </row>
    <row r="167" spans="11:45">
      <c r="K167" s="957"/>
      <c r="L167" s="928"/>
      <c r="M167" s="928"/>
      <c r="N167" s="960"/>
      <c r="O167" s="960"/>
      <c r="P167" s="960"/>
      <c r="Q167" s="960"/>
      <c r="R167" s="960"/>
      <c r="S167" s="960"/>
      <c r="T167" s="960"/>
      <c r="U167" s="960"/>
      <c r="V167" s="960"/>
      <c r="W167" s="960"/>
      <c r="X167" s="960"/>
      <c r="Y167" s="960"/>
      <c r="Z167" s="960"/>
      <c r="AA167" s="960"/>
      <c r="AB167" s="928"/>
      <c r="AC167" s="928"/>
      <c r="AD167" s="928"/>
      <c r="AE167" s="928"/>
      <c r="AF167" s="928"/>
      <c r="AG167" s="928"/>
      <c r="AH167" s="928"/>
      <c r="AI167" s="928"/>
      <c r="AJ167" s="928"/>
      <c r="AK167" s="928"/>
      <c r="AL167" s="928"/>
      <c r="AM167" s="928"/>
      <c r="AN167" s="928"/>
      <c r="AO167" s="928"/>
      <c r="AP167" s="928"/>
      <c r="AQ167" s="928"/>
      <c r="AR167" s="928"/>
      <c r="AS167" s="928"/>
    </row>
    <row r="168" spans="11:45">
      <c r="K168" s="957"/>
      <c r="L168" s="928"/>
      <c r="M168" s="928"/>
      <c r="N168" s="960"/>
      <c r="O168" s="960"/>
      <c r="P168" s="960"/>
      <c r="Q168" s="960"/>
      <c r="R168" s="960"/>
      <c r="S168" s="960"/>
      <c r="T168" s="960"/>
      <c r="U168" s="960"/>
      <c r="V168" s="960"/>
      <c r="W168" s="960"/>
      <c r="X168" s="960"/>
      <c r="Y168" s="960"/>
      <c r="Z168" s="960"/>
      <c r="AA168" s="960"/>
      <c r="AB168" s="928"/>
      <c r="AC168" s="928"/>
      <c r="AD168" s="928"/>
      <c r="AE168" s="928"/>
      <c r="AF168" s="928"/>
      <c r="AG168" s="928"/>
      <c r="AH168" s="928"/>
      <c r="AI168" s="928"/>
      <c r="AJ168" s="928"/>
      <c r="AK168" s="928"/>
      <c r="AL168" s="928"/>
      <c r="AM168" s="928"/>
      <c r="AN168" s="928"/>
      <c r="AO168" s="928"/>
      <c r="AP168" s="928"/>
      <c r="AQ168" s="928"/>
      <c r="AR168" s="928"/>
      <c r="AS168" s="928"/>
    </row>
    <row r="169" spans="11:45">
      <c r="K169" s="957"/>
      <c r="L169" s="928"/>
      <c r="M169" s="928"/>
      <c r="N169" s="960"/>
      <c r="O169" s="960"/>
      <c r="P169" s="960"/>
      <c r="Q169" s="960"/>
      <c r="R169" s="960"/>
      <c r="S169" s="960"/>
      <c r="T169" s="960"/>
      <c r="U169" s="960"/>
      <c r="V169" s="960"/>
      <c r="W169" s="960"/>
      <c r="X169" s="960"/>
      <c r="Y169" s="960"/>
      <c r="Z169" s="960"/>
      <c r="AA169" s="960"/>
      <c r="AB169" s="928"/>
      <c r="AC169" s="928"/>
      <c r="AD169" s="928"/>
      <c r="AE169" s="928"/>
      <c r="AF169" s="928"/>
      <c r="AG169" s="928"/>
      <c r="AH169" s="928"/>
      <c r="AI169" s="928"/>
      <c r="AJ169" s="928"/>
      <c r="AK169" s="928"/>
      <c r="AL169" s="928"/>
      <c r="AM169" s="928"/>
      <c r="AN169" s="928"/>
      <c r="AO169" s="928"/>
      <c r="AP169" s="928"/>
      <c r="AQ169" s="928"/>
      <c r="AR169" s="928"/>
      <c r="AS169" s="928"/>
    </row>
    <row r="170" spans="11:45">
      <c r="K170" s="957"/>
      <c r="L170" s="928"/>
      <c r="M170" s="928"/>
      <c r="N170" s="960"/>
      <c r="O170" s="960"/>
      <c r="P170" s="960"/>
      <c r="Q170" s="960"/>
      <c r="R170" s="960"/>
      <c r="S170" s="960"/>
      <c r="T170" s="960"/>
      <c r="U170" s="960"/>
      <c r="V170" s="960"/>
      <c r="W170" s="960"/>
      <c r="X170" s="960"/>
      <c r="Y170" s="960"/>
      <c r="Z170" s="960"/>
      <c r="AA170" s="960"/>
      <c r="AB170" s="928"/>
      <c r="AC170" s="928"/>
      <c r="AD170" s="928"/>
      <c r="AE170" s="928"/>
      <c r="AF170" s="928"/>
      <c r="AG170" s="928"/>
      <c r="AH170" s="928"/>
      <c r="AI170" s="928"/>
      <c r="AJ170" s="928"/>
      <c r="AK170" s="928"/>
      <c r="AL170" s="928"/>
      <c r="AM170" s="928"/>
      <c r="AN170" s="928"/>
      <c r="AO170" s="928"/>
      <c r="AP170" s="928"/>
      <c r="AQ170" s="928"/>
      <c r="AR170" s="928"/>
      <c r="AS170" s="928"/>
    </row>
    <row r="171" spans="11:45">
      <c r="K171" s="957"/>
      <c r="L171" s="928"/>
      <c r="M171" s="928"/>
      <c r="N171" s="960"/>
      <c r="O171" s="960"/>
      <c r="P171" s="960"/>
      <c r="Q171" s="960"/>
      <c r="R171" s="960"/>
      <c r="S171" s="960"/>
      <c r="T171" s="960"/>
      <c r="U171" s="960"/>
      <c r="V171" s="960"/>
      <c r="W171" s="960"/>
      <c r="X171" s="960"/>
      <c r="Y171" s="960"/>
      <c r="Z171" s="960"/>
      <c r="AA171" s="960"/>
      <c r="AB171" s="928"/>
      <c r="AC171" s="928"/>
      <c r="AD171" s="928"/>
      <c r="AE171" s="928"/>
      <c r="AF171" s="928"/>
      <c r="AG171" s="928"/>
      <c r="AH171" s="928"/>
      <c r="AI171" s="928"/>
      <c r="AJ171" s="928"/>
      <c r="AK171" s="928"/>
      <c r="AL171" s="928"/>
      <c r="AM171" s="928"/>
      <c r="AN171" s="928"/>
      <c r="AO171" s="928"/>
      <c r="AP171" s="928"/>
      <c r="AQ171" s="928"/>
      <c r="AR171" s="928"/>
      <c r="AS171" s="928"/>
    </row>
    <row r="172" spans="11:45">
      <c r="K172" s="957"/>
      <c r="L172" s="928"/>
      <c r="M172" s="928"/>
      <c r="N172" s="960"/>
      <c r="O172" s="960"/>
      <c r="P172" s="960"/>
      <c r="Q172" s="960"/>
      <c r="R172" s="960"/>
      <c r="S172" s="960"/>
      <c r="T172" s="960"/>
      <c r="U172" s="960"/>
      <c r="V172" s="960"/>
      <c r="W172" s="960"/>
      <c r="X172" s="960"/>
      <c r="Y172" s="960"/>
      <c r="Z172" s="960"/>
      <c r="AA172" s="960"/>
      <c r="AB172" s="928"/>
      <c r="AC172" s="928"/>
      <c r="AD172" s="928"/>
      <c r="AE172" s="928"/>
      <c r="AF172" s="928"/>
      <c r="AG172" s="928"/>
      <c r="AH172" s="928"/>
      <c r="AI172" s="928"/>
      <c r="AJ172" s="928"/>
      <c r="AK172" s="928"/>
      <c r="AL172" s="928"/>
      <c r="AM172" s="928"/>
      <c r="AN172" s="928"/>
      <c r="AO172" s="928"/>
      <c r="AP172" s="928"/>
      <c r="AQ172" s="928"/>
      <c r="AR172" s="928"/>
      <c r="AS172" s="928"/>
    </row>
    <row r="173" spans="11:45">
      <c r="K173" s="957"/>
      <c r="L173" s="928"/>
      <c r="M173" s="928"/>
      <c r="N173" s="960"/>
      <c r="O173" s="960"/>
      <c r="P173" s="960"/>
      <c r="Q173" s="960"/>
      <c r="R173" s="960"/>
      <c r="S173" s="960"/>
      <c r="T173" s="960"/>
      <c r="U173" s="960"/>
      <c r="V173" s="960"/>
      <c r="W173" s="960"/>
      <c r="X173" s="960"/>
      <c r="Y173" s="960"/>
      <c r="Z173" s="960"/>
      <c r="AA173" s="960"/>
      <c r="AB173" s="928"/>
      <c r="AC173" s="928"/>
      <c r="AD173" s="928"/>
      <c r="AE173" s="928"/>
      <c r="AF173" s="928"/>
      <c r="AG173" s="928"/>
      <c r="AH173" s="928"/>
      <c r="AI173" s="928"/>
      <c r="AJ173" s="928"/>
      <c r="AK173" s="928"/>
      <c r="AL173" s="928"/>
      <c r="AM173" s="928"/>
      <c r="AN173" s="928"/>
      <c r="AO173" s="928"/>
      <c r="AP173" s="928"/>
      <c r="AQ173" s="928"/>
      <c r="AR173" s="928"/>
      <c r="AS173" s="928"/>
    </row>
    <row r="174" spans="11:45">
      <c r="K174" s="957"/>
      <c r="L174" s="928"/>
      <c r="M174" s="928"/>
      <c r="N174" s="960"/>
      <c r="O174" s="960"/>
      <c r="P174" s="960"/>
      <c r="Q174" s="960"/>
      <c r="R174" s="960"/>
      <c r="S174" s="960"/>
      <c r="T174" s="960"/>
      <c r="U174" s="960"/>
      <c r="V174" s="960"/>
      <c r="W174" s="960"/>
      <c r="X174" s="960"/>
      <c r="Y174" s="960"/>
      <c r="Z174" s="960"/>
      <c r="AA174" s="960"/>
      <c r="AB174" s="928"/>
      <c r="AC174" s="928"/>
      <c r="AD174" s="928"/>
      <c r="AE174" s="928"/>
      <c r="AF174" s="928"/>
      <c r="AG174" s="928"/>
      <c r="AH174" s="928"/>
      <c r="AI174" s="928"/>
      <c r="AJ174" s="928"/>
      <c r="AK174" s="928"/>
      <c r="AL174" s="928"/>
      <c r="AM174" s="928"/>
      <c r="AN174" s="928"/>
      <c r="AO174" s="928"/>
      <c r="AP174" s="928"/>
      <c r="AQ174" s="928"/>
      <c r="AR174" s="928"/>
      <c r="AS174" s="928"/>
    </row>
    <row r="175" spans="11:45">
      <c r="K175" s="957"/>
      <c r="L175" s="928"/>
      <c r="M175" s="928"/>
      <c r="N175" s="960"/>
      <c r="O175" s="960"/>
      <c r="P175" s="960"/>
      <c r="Q175" s="960"/>
      <c r="R175" s="960"/>
      <c r="S175" s="960"/>
      <c r="T175" s="960"/>
      <c r="U175" s="960"/>
      <c r="V175" s="960"/>
      <c r="W175" s="960"/>
      <c r="X175" s="960"/>
      <c r="Y175" s="960"/>
      <c r="Z175" s="960"/>
      <c r="AA175" s="960"/>
      <c r="AB175" s="928"/>
      <c r="AC175" s="928"/>
      <c r="AD175" s="928"/>
      <c r="AE175" s="928"/>
      <c r="AF175" s="928"/>
      <c r="AG175" s="928"/>
      <c r="AH175" s="928"/>
      <c r="AI175" s="928"/>
      <c r="AJ175" s="928"/>
      <c r="AK175" s="928"/>
      <c r="AL175" s="928"/>
      <c r="AM175" s="928"/>
      <c r="AN175" s="928"/>
      <c r="AO175" s="928"/>
      <c r="AP175" s="928"/>
      <c r="AQ175" s="928"/>
      <c r="AR175" s="928"/>
      <c r="AS175" s="928"/>
    </row>
    <row r="176" spans="11:45">
      <c r="K176" s="957"/>
      <c r="L176" s="928"/>
      <c r="M176" s="928"/>
      <c r="N176" s="960"/>
      <c r="O176" s="960"/>
      <c r="P176" s="960"/>
      <c r="Q176" s="960"/>
      <c r="R176" s="960"/>
      <c r="S176" s="960"/>
      <c r="T176" s="960"/>
      <c r="U176" s="960"/>
      <c r="V176" s="960"/>
      <c r="W176" s="960"/>
      <c r="X176" s="960"/>
      <c r="Y176" s="960"/>
      <c r="Z176" s="960"/>
      <c r="AA176" s="960"/>
      <c r="AB176" s="928"/>
      <c r="AC176" s="928"/>
      <c r="AD176" s="928"/>
      <c r="AE176" s="928"/>
      <c r="AF176" s="928"/>
      <c r="AG176" s="928"/>
      <c r="AH176" s="928"/>
      <c r="AI176" s="928"/>
      <c r="AJ176" s="928"/>
      <c r="AK176" s="928"/>
      <c r="AL176" s="928"/>
      <c r="AM176" s="928"/>
      <c r="AN176" s="928"/>
      <c r="AO176" s="928"/>
      <c r="AP176" s="928"/>
      <c r="AQ176" s="928"/>
      <c r="AR176" s="928"/>
      <c r="AS176" s="928"/>
    </row>
    <row r="177" spans="11:45">
      <c r="K177" s="957"/>
      <c r="L177" s="928"/>
      <c r="M177" s="928"/>
      <c r="N177" s="960"/>
      <c r="O177" s="960"/>
      <c r="P177" s="960"/>
      <c r="Q177" s="960"/>
      <c r="R177" s="960"/>
      <c r="S177" s="960"/>
      <c r="T177" s="960"/>
      <c r="U177" s="960"/>
      <c r="V177" s="960"/>
      <c r="W177" s="960"/>
      <c r="X177" s="960"/>
      <c r="Y177" s="960"/>
      <c r="Z177" s="960"/>
      <c r="AA177" s="960"/>
      <c r="AB177" s="928"/>
      <c r="AC177" s="928"/>
      <c r="AD177" s="928"/>
      <c r="AE177" s="928"/>
      <c r="AF177" s="928"/>
      <c r="AG177" s="928"/>
      <c r="AH177" s="928"/>
      <c r="AI177" s="928"/>
      <c r="AJ177" s="928"/>
      <c r="AK177" s="928"/>
      <c r="AL177" s="928"/>
      <c r="AM177" s="928"/>
      <c r="AN177" s="928"/>
      <c r="AO177" s="928"/>
      <c r="AP177" s="928"/>
      <c r="AQ177" s="928"/>
      <c r="AR177" s="928"/>
      <c r="AS177" s="928"/>
    </row>
    <row r="178" spans="11:45">
      <c r="K178" s="957"/>
      <c r="L178" s="928"/>
      <c r="M178" s="928"/>
      <c r="N178" s="960"/>
      <c r="O178" s="960"/>
      <c r="P178" s="960"/>
      <c r="Q178" s="960"/>
      <c r="R178" s="960"/>
      <c r="S178" s="960"/>
      <c r="T178" s="960"/>
      <c r="U178" s="960"/>
      <c r="V178" s="960"/>
      <c r="W178" s="960"/>
      <c r="X178" s="960"/>
      <c r="Y178" s="960"/>
      <c r="Z178" s="960"/>
      <c r="AA178" s="960"/>
      <c r="AB178" s="928"/>
      <c r="AC178" s="928"/>
      <c r="AD178" s="928"/>
      <c r="AE178" s="928"/>
      <c r="AF178" s="928"/>
      <c r="AG178" s="928"/>
      <c r="AH178" s="928"/>
      <c r="AI178" s="928"/>
      <c r="AJ178" s="928"/>
      <c r="AK178" s="928"/>
      <c r="AL178" s="928"/>
      <c r="AM178" s="928"/>
      <c r="AN178" s="928"/>
      <c r="AO178" s="928"/>
      <c r="AP178" s="928"/>
      <c r="AQ178" s="928"/>
      <c r="AR178" s="928"/>
      <c r="AS178" s="928"/>
    </row>
    <row r="179" spans="11:45">
      <c r="K179" s="957"/>
      <c r="L179" s="928"/>
      <c r="M179" s="928"/>
      <c r="N179" s="960"/>
      <c r="O179" s="960"/>
      <c r="P179" s="960"/>
      <c r="Q179" s="960"/>
      <c r="R179" s="960"/>
      <c r="S179" s="960"/>
      <c r="T179" s="960"/>
      <c r="U179" s="960"/>
      <c r="V179" s="960"/>
      <c r="W179" s="960"/>
      <c r="X179" s="960"/>
      <c r="Y179" s="960"/>
      <c r="Z179" s="960"/>
      <c r="AA179" s="960"/>
      <c r="AB179" s="928"/>
      <c r="AC179" s="928"/>
      <c r="AD179" s="928"/>
      <c r="AE179" s="928"/>
      <c r="AF179" s="928"/>
      <c r="AG179" s="928"/>
      <c r="AH179" s="928"/>
      <c r="AI179" s="928"/>
      <c r="AJ179" s="928"/>
      <c r="AK179" s="928"/>
      <c r="AL179" s="928"/>
      <c r="AM179" s="928"/>
      <c r="AN179" s="928"/>
      <c r="AO179" s="928"/>
      <c r="AP179" s="928"/>
      <c r="AQ179" s="928"/>
      <c r="AR179" s="928"/>
      <c r="AS179" s="928"/>
    </row>
    <row r="180" spans="11:45">
      <c r="K180" s="957"/>
      <c r="L180" s="928"/>
      <c r="M180" s="928"/>
      <c r="N180" s="960"/>
      <c r="O180" s="960"/>
      <c r="P180" s="960"/>
      <c r="Q180" s="960"/>
      <c r="R180" s="960"/>
      <c r="S180" s="960"/>
      <c r="T180" s="960"/>
      <c r="U180" s="960"/>
      <c r="V180" s="960"/>
      <c r="W180" s="960"/>
      <c r="X180" s="960"/>
      <c r="Y180" s="960"/>
      <c r="Z180" s="960"/>
      <c r="AA180" s="960"/>
      <c r="AB180" s="928"/>
      <c r="AC180" s="928"/>
      <c r="AD180" s="928"/>
      <c r="AE180" s="928"/>
      <c r="AF180" s="928"/>
      <c r="AG180" s="928"/>
      <c r="AH180" s="928"/>
      <c r="AI180" s="928"/>
      <c r="AJ180" s="928"/>
      <c r="AK180" s="928"/>
      <c r="AL180" s="928"/>
      <c r="AM180" s="928"/>
      <c r="AN180" s="928"/>
      <c r="AO180" s="928"/>
      <c r="AP180" s="928"/>
      <c r="AQ180" s="928"/>
      <c r="AR180" s="928"/>
      <c r="AS180" s="928"/>
    </row>
    <row r="181" spans="11:45">
      <c r="K181" s="957"/>
      <c r="L181" s="928"/>
      <c r="M181" s="928"/>
      <c r="N181" s="960"/>
      <c r="O181" s="960"/>
      <c r="P181" s="960"/>
      <c r="Q181" s="960"/>
      <c r="R181" s="960"/>
      <c r="S181" s="960"/>
      <c r="T181" s="960"/>
      <c r="U181" s="960"/>
      <c r="V181" s="960"/>
      <c r="W181" s="960"/>
      <c r="X181" s="960"/>
      <c r="Y181" s="960"/>
      <c r="Z181" s="960"/>
      <c r="AA181" s="960"/>
      <c r="AB181" s="928"/>
      <c r="AC181" s="928"/>
      <c r="AD181" s="928"/>
      <c r="AE181" s="928"/>
      <c r="AF181" s="928"/>
      <c r="AG181" s="928"/>
      <c r="AH181" s="928"/>
      <c r="AI181" s="928"/>
      <c r="AJ181" s="928"/>
      <c r="AK181" s="928"/>
      <c r="AL181" s="928"/>
      <c r="AM181" s="928"/>
      <c r="AN181" s="928"/>
      <c r="AO181" s="928"/>
      <c r="AP181" s="928"/>
      <c r="AQ181" s="928"/>
      <c r="AR181" s="928"/>
      <c r="AS181" s="928"/>
    </row>
    <row r="182" spans="11:45">
      <c r="K182" s="957"/>
      <c r="L182" s="928"/>
      <c r="M182" s="928"/>
      <c r="N182" s="960"/>
      <c r="O182" s="960"/>
      <c r="P182" s="960"/>
      <c r="Q182" s="960"/>
      <c r="R182" s="960"/>
      <c r="S182" s="960"/>
      <c r="T182" s="960"/>
      <c r="U182" s="960"/>
      <c r="V182" s="960"/>
      <c r="W182" s="960"/>
      <c r="X182" s="960"/>
      <c r="Y182" s="960"/>
      <c r="Z182" s="960"/>
      <c r="AA182" s="960"/>
      <c r="AB182" s="928"/>
      <c r="AC182" s="928"/>
      <c r="AD182" s="928"/>
      <c r="AE182" s="928"/>
      <c r="AF182" s="928"/>
      <c r="AG182" s="928"/>
      <c r="AH182" s="928"/>
      <c r="AI182" s="928"/>
      <c r="AJ182" s="928"/>
      <c r="AK182" s="928"/>
      <c r="AL182" s="928"/>
      <c r="AM182" s="928"/>
      <c r="AN182" s="928"/>
      <c r="AO182" s="928"/>
      <c r="AP182" s="928"/>
      <c r="AQ182" s="928"/>
      <c r="AR182" s="928"/>
      <c r="AS182" s="928"/>
    </row>
    <row r="183" spans="11:45">
      <c r="K183" s="957"/>
      <c r="L183" s="928"/>
      <c r="M183" s="928"/>
      <c r="N183" s="960"/>
      <c r="O183" s="960"/>
      <c r="P183" s="960"/>
      <c r="Q183" s="960"/>
      <c r="R183" s="960"/>
      <c r="S183" s="960"/>
      <c r="T183" s="960"/>
      <c r="U183" s="960"/>
      <c r="V183" s="960"/>
      <c r="W183" s="960"/>
      <c r="X183" s="960"/>
      <c r="Y183" s="960"/>
      <c r="Z183" s="960"/>
      <c r="AA183" s="960"/>
      <c r="AB183" s="928"/>
      <c r="AC183" s="928"/>
      <c r="AD183" s="928"/>
      <c r="AE183" s="928"/>
      <c r="AF183" s="928"/>
      <c r="AG183" s="928"/>
      <c r="AH183" s="928"/>
      <c r="AI183" s="928"/>
      <c r="AJ183" s="928"/>
      <c r="AK183" s="928"/>
      <c r="AL183" s="928"/>
      <c r="AM183" s="928"/>
      <c r="AN183" s="928"/>
      <c r="AO183" s="928"/>
      <c r="AP183" s="928"/>
      <c r="AQ183" s="928"/>
      <c r="AR183" s="928"/>
      <c r="AS183" s="928"/>
    </row>
    <row r="184" spans="11:45">
      <c r="K184" s="957"/>
      <c r="L184" s="928"/>
      <c r="M184" s="928"/>
      <c r="N184" s="960"/>
      <c r="O184" s="960"/>
      <c r="P184" s="960"/>
      <c r="Q184" s="960"/>
      <c r="R184" s="960"/>
      <c r="S184" s="960"/>
      <c r="T184" s="960"/>
      <c r="U184" s="960"/>
      <c r="V184" s="960"/>
      <c r="W184" s="960"/>
      <c r="X184" s="960"/>
      <c r="Y184" s="960"/>
      <c r="Z184" s="960"/>
      <c r="AA184" s="960"/>
      <c r="AB184" s="928"/>
      <c r="AC184" s="928"/>
      <c r="AD184" s="928"/>
      <c r="AE184" s="928"/>
      <c r="AF184" s="928"/>
      <c r="AG184" s="928"/>
      <c r="AH184" s="928"/>
      <c r="AI184" s="928"/>
      <c r="AJ184" s="928"/>
      <c r="AK184" s="928"/>
      <c r="AL184" s="928"/>
      <c r="AM184" s="928"/>
      <c r="AN184" s="928"/>
      <c r="AO184" s="928"/>
      <c r="AP184" s="928"/>
      <c r="AQ184" s="928"/>
      <c r="AR184" s="928"/>
      <c r="AS184" s="928"/>
    </row>
    <row r="185" spans="11:45">
      <c r="K185" s="957"/>
      <c r="L185" s="928"/>
      <c r="M185" s="928"/>
      <c r="N185" s="960"/>
      <c r="O185" s="960"/>
      <c r="P185" s="960"/>
      <c r="Q185" s="960"/>
      <c r="R185" s="960"/>
      <c r="S185" s="960"/>
      <c r="T185" s="960"/>
      <c r="U185" s="960"/>
      <c r="V185" s="960"/>
      <c r="W185" s="960"/>
      <c r="X185" s="960"/>
      <c r="Y185" s="960"/>
      <c r="Z185" s="960"/>
      <c r="AA185" s="960"/>
      <c r="AB185" s="928"/>
      <c r="AC185" s="928"/>
      <c r="AD185" s="928"/>
      <c r="AE185" s="928"/>
      <c r="AF185" s="928"/>
      <c r="AG185" s="928"/>
      <c r="AH185" s="928"/>
      <c r="AI185" s="928"/>
      <c r="AJ185" s="928"/>
      <c r="AK185" s="928"/>
      <c r="AL185" s="928"/>
      <c r="AM185" s="928"/>
      <c r="AN185" s="928"/>
      <c r="AO185" s="928"/>
      <c r="AP185" s="928"/>
      <c r="AQ185" s="928"/>
      <c r="AR185" s="928"/>
      <c r="AS185" s="928"/>
    </row>
    <row r="186" spans="11:45">
      <c r="K186" s="957"/>
      <c r="L186" s="928"/>
      <c r="M186" s="928"/>
      <c r="N186" s="960"/>
      <c r="O186" s="960"/>
      <c r="P186" s="960"/>
      <c r="Q186" s="960"/>
      <c r="R186" s="960"/>
      <c r="S186" s="960"/>
      <c r="T186" s="960"/>
      <c r="U186" s="960"/>
      <c r="V186" s="960"/>
      <c r="W186" s="960"/>
      <c r="X186" s="960"/>
      <c r="Y186" s="960"/>
      <c r="Z186" s="960"/>
      <c r="AA186" s="960"/>
      <c r="AB186" s="928"/>
      <c r="AC186" s="928"/>
      <c r="AD186" s="928"/>
      <c r="AE186" s="928"/>
      <c r="AF186" s="928"/>
      <c r="AG186" s="928"/>
      <c r="AH186" s="928"/>
      <c r="AI186" s="928"/>
      <c r="AJ186" s="928"/>
      <c r="AK186" s="928"/>
      <c r="AL186" s="928"/>
      <c r="AM186" s="928"/>
      <c r="AN186" s="928"/>
      <c r="AO186" s="928"/>
      <c r="AP186" s="928"/>
      <c r="AQ186" s="928"/>
      <c r="AR186" s="928"/>
      <c r="AS186" s="928"/>
    </row>
    <row r="187" spans="11:45">
      <c r="K187" s="957"/>
      <c r="L187" s="928"/>
      <c r="M187" s="928"/>
      <c r="N187" s="960"/>
      <c r="O187" s="960"/>
      <c r="P187" s="960"/>
      <c r="Q187" s="960"/>
      <c r="R187" s="960"/>
      <c r="S187" s="960"/>
      <c r="T187" s="960"/>
      <c r="U187" s="960"/>
      <c r="V187" s="960"/>
      <c r="W187" s="960"/>
      <c r="X187" s="960"/>
      <c r="Y187" s="960"/>
      <c r="Z187" s="960"/>
      <c r="AA187" s="960"/>
      <c r="AB187" s="928"/>
      <c r="AC187" s="928"/>
      <c r="AD187" s="928"/>
      <c r="AE187" s="928"/>
      <c r="AF187" s="928"/>
      <c r="AG187" s="928"/>
      <c r="AH187" s="928"/>
      <c r="AI187" s="928"/>
      <c r="AJ187" s="928"/>
      <c r="AK187" s="928"/>
      <c r="AL187" s="928"/>
      <c r="AM187" s="928"/>
      <c r="AN187" s="928"/>
      <c r="AO187" s="928"/>
      <c r="AP187" s="928"/>
      <c r="AQ187" s="928"/>
      <c r="AR187" s="928"/>
      <c r="AS187" s="928"/>
    </row>
    <row r="188" spans="11:45">
      <c r="K188" s="957"/>
      <c r="L188" s="928"/>
      <c r="M188" s="928"/>
      <c r="N188" s="960"/>
      <c r="O188" s="960"/>
      <c r="P188" s="960"/>
      <c r="Q188" s="960"/>
      <c r="R188" s="960"/>
      <c r="S188" s="960"/>
      <c r="T188" s="960"/>
      <c r="U188" s="960"/>
      <c r="V188" s="960"/>
      <c r="W188" s="960"/>
      <c r="X188" s="960"/>
      <c r="Y188" s="960"/>
      <c r="Z188" s="960"/>
      <c r="AA188" s="960"/>
      <c r="AB188" s="928"/>
      <c r="AC188" s="928"/>
      <c r="AD188" s="928"/>
      <c r="AE188" s="928"/>
      <c r="AF188" s="928"/>
      <c r="AG188" s="928"/>
      <c r="AH188" s="928"/>
      <c r="AI188" s="928"/>
      <c r="AJ188" s="928"/>
      <c r="AK188" s="928"/>
      <c r="AL188" s="928"/>
      <c r="AM188" s="928"/>
      <c r="AN188" s="928"/>
      <c r="AO188" s="928"/>
      <c r="AP188" s="928"/>
      <c r="AQ188" s="928"/>
      <c r="AR188" s="928"/>
      <c r="AS188" s="928"/>
    </row>
    <row r="189" spans="11:45">
      <c r="K189" s="957"/>
      <c r="L189" s="928"/>
      <c r="M189" s="928"/>
      <c r="N189" s="960"/>
      <c r="O189" s="960"/>
      <c r="P189" s="960"/>
      <c r="Q189" s="960"/>
      <c r="R189" s="960"/>
      <c r="S189" s="960"/>
      <c r="T189" s="960"/>
      <c r="U189" s="960"/>
      <c r="V189" s="960"/>
      <c r="W189" s="960"/>
      <c r="X189" s="960"/>
      <c r="Y189" s="960"/>
      <c r="Z189" s="960"/>
      <c r="AA189" s="960"/>
      <c r="AB189" s="928"/>
      <c r="AC189" s="928"/>
      <c r="AD189" s="928"/>
      <c r="AE189" s="928"/>
      <c r="AF189" s="928"/>
      <c r="AG189" s="928"/>
      <c r="AH189" s="928"/>
      <c r="AI189" s="928"/>
      <c r="AJ189" s="928"/>
      <c r="AK189" s="928"/>
      <c r="AL189" s="928"/>
      <c r="AM189" s="928"/>
      <c r="AN189" s="928"/>
      <c r="AO189" s="928"/>
      <c r="AP189" s="928"/>
      <c r="AQ189" s="928"/>
      <c r="AR189" s="928"/>
      <c r="AS189" s="928"/>
    </row>
    <row r="190" spans="11:45">
      <c r="K190" s="957"/>
      <c r="L190" s="928"/>
      <c r="M190" s="928"/>
      <c r="N190" s="960"/>
      <c r="O190" s="960"/>
      <c r="P190" s="960"/>
      <c r="Q190" s="960"/>
      <c r="R190" s="960"/>
      <c r="S190" s="960"/>
      <c r="T190" s="960"/>
      <c r="U190" s="960"/>
      <c r="V190" s="960"/>
      <c r="W190" s="960"/>
      <c r="X190" s="960"/>
      <c r="Y190" s="960"/>
      <c r="Z190" s="960"/>
      <c r="AA190" s="960"/>
      <c r="AB190" s="928"/>
      <c r="AC190" s="928"/>
      <c r="AD190" s="928"/>
      <c r="AE190" s="928"/>
      <c r="AF190" s="928"/>
      <c r="AG190" s="928"/>
      <c r="AH190" s="928"/>
      <c r="AI190" s="928"/>
      <c r="AJ190" s="928"/>
      <c r="AK190" s="928"/>
      <c r="AL190" s="928"/>
      <c r="AM190" s="928"/>
      <c r="AN190" s="928"/>
      <c r="AO190" s="928"/>
      <c r="AP190" s="928"/>
      <c r="AQ190" s="928"/>
      <c r="AR190" s="928"/>
      <c r="AS190" s="928"/>
    </row>
    <row r="191" spans="11:45">
      <c r="K191" s="957"/>
      <c r="L191" s="928"/>
      <c r="M191" s="928"/>
      <c r="N191" s="960"/>
      <c r="O191" s="960"/>
      <c r="P191" s="960"/>
      <c r="Q191" s="960"/>
      <c r="R191" s="960"/>
      <c r="S191" s="960"/>
      <c r="T191" s="960"/>
      <c r="U191" s="960"/>
      <c r="V191" s="960"/>
      <c r="W191" s="960"/>
      <c r="X191" s="960"/>
      <c r="Y191" s="960"/>
      <c r="Z191" s="960"/>
      <c r="AA191" s="960"/>
      <c r="AB191" s="928"/>
      <c r="AC191" s="928"/>
      <c r="AD191" s="928"/>
      <c r="AE191" s="928"/>
      <c r="AF191" s="928"/>
      <c r="AG191" s="928"/>
      <c r="AH191" s="928"/>
      <c r="AI191" s="928"/>
      <c r="AJ191" s="928"/>
      <c r="AK191" s="928"/>
      <c r="AL191" s="928"/>
      <c r="AM191" s="928"/>
      <c r="AN191" s="928"/>
      <c r="AO191" s="928"/>
      <c r="AP191" s="928"/>
      <c r="AQ191" s="928"/>
      <c r="AR191" s="928"/>
      <c r="AS191" s="928"/>
    </row>
    <row r="192" spans="11:45">
      <c r="K192" s="957"/>
      <c r="L192" s="928"/>
      <c r="M192" s="928"/>
      <c r="N192" s="960"/>
      <c r="O192" s="960"/>
      <c r="P192" s="960"/>
      <c r="Q192" s="960"/>
      <c r="R192" s="960"/>
      <c r="S192" s="960"/>
      <c r="T192" s="960"/>
      <c r="U192" s="960"/>
      <c r="V192" s="960"/>
      <c r="W192" s="960"/>
      <c r="X192" s="960"/>
      <c r="Y192" s="960"/>
      <c r="Z192" s="960"/>
      <c r="AA192" s="960"/>
      <c r="AB192" s="928"/>
      <c r="AC192" s="928"/>
      <c r="AD192" s="928"/>
      <c r="AE192" s="928"/>
      <c r="AF192" s="928"/>
      <c r="AG192" s="928"/>
      <c r="AH192" s="928"/>
      <c r="AI192" s="928"/>
      <c r="AJ192" s="928"/>
      <c r="AK192" s="928"/>
      <c r="AL192" s="928"/>
      <c r="AM192" s="928"/>
      <c r="AN192" s="928"/>
      <c r="AO192" s="928"/>
      <c r="AP192" s="928"/>
      <c r="AQ192" s="928"/>
      <c r="AR192" s="928"/>
      <c r="AS192" s="928"/>
    </row>
    <row r="193" spans="11:45">
      <c r="K193" s="957"/>
      <c r="L193" s="928"/>
      <c r="M193" s="928"/>
      <c r="N193" s="960"/>
      <c r="O193" s="960"/>
      <c r="P193" s="960"/>
      <c r="Q193" s="960"/>
      <c r="R193" s="960"/>
      <c r="S193" s="960"/>
      <c r="T193" s="960"/>
      <c r="U193" s="960"/>
      <c r="V193" s="960"/>
      <c r="W193" s="960"/>
      <c r="X193" s="960"/>
      <c r="Y193" s="960"/>
      <c r="Z193" s="960"/>
      <c r="AA193" s="960"/>
      <c r="AB193" s="928"/>
      <c r="AC193" s="928"/>
      <c r="AD193" s="928"/>
      <c r="AE193" s="928"/>
      <c r="AF193" s="928"/>
      <c r="AG193" s="928"/>
      <c r="AH193" s="928"/>
      <c r="AI193" s="928"/>
      <c r="AJ193" s="928"/>
      <c r="AK193" s="928"/>
      <c r="AL193" s="928"/>
      <c r="AM193" s="928"/>
      <c r="AN193" s="928"/>
      <c r="AO193" s="928"/>
      <c r="AP193" s="928"/>
      <c r="AQ193" s="928"/>
      <c r="AR193" s="928"/>
      <c r="AS193" s="928"/>
    </row>
    <row r="194" spans="11:45">
      <c r="K194" s="957"/>
      <c r="L194" s="928"/>
      <c r="M194" s="928"/>
      <c r="N194" s="960"/>
      <c r="O194" s="960"/>
      <c r="P194" s="960"/>
      <c r="Q194" s="960"/>
      <c r="R194" s="960"/>
      <c r="S194" s="960"/>
      <c r="T194" s="960"/>
      <c r="U194" s="960"/>
      <c r="V194" s="960"/>
      <c r="W194" s="960"/>
      <c r="X194" s="960"/>
      <c r="Y194" s="960"/>
      <c r="Z194" s="960"/>
      <c r="AA194" s="960"/>
      <c r="AB194" s="928"/>
      <c r="AC194" s="928"/>
      <c r="AD194" s="928"/>
      <c r="AE194" s="928"/>
      <c r="AF194" s="928"/>
      <c r="AG194" s="928"/>
      <c r="AH194" s="928"/>
      <c r="AI194" s="928"/>
      <c r="AJ194" s="928"/>
      <c r="AK194" s="928"/>
      <c r="AL194" s="928"/>
      <c r="AM194" s="928"/>
      <c r="AN194" s="928"/>
      <c r="AO194" s="928"/>
      <c r="AP194" s="928"/>
      <c r="AQ194" s="928"/>
      <c r="AR194" s="928"/>
      <c r="AS194" s="928"/>
    </row>
    <row r="195" spans="11:45">
      <c r="K195" s="957"/>
      <c r="L195" s="928"/>
      <c r="M195" s="928"/>
      <c r="N195" s="960"/>
      <c r="O195" s="960"/>
      <c r="P195" s="960"/>
      <c r="Q195" s="960"/>
      <c r="R195" s="960"/>
      <c r="S195" s="960"/>
      <c r="T195" s="960"/>
      <c r="U195" s="960"/>
      <c r="V195" s="960"/>
      <c r="W195" s="960"/>
      <c r="X195" s="960"/>
      <c r="Y195" s="960"/>
      <c r="Z195" s="960"/>
      <c r="AA195" s="960"/>
      <c r="AB195" s="928"/>
      <c r="AC195" s="928"/>
      <c r="AD195" s="928"/>
      <c r="AE195" s="928"/>
      <c r="AF195" s="928"/>
      <c r="AG195" s="928"/>
      <c r="AH195" s="928"/>
      <c r="AI195" s="928"/>
      <c r="AJ195" s="928"/>
      <c r="AK195" s="928"/>
      <c r="AL195" s="928"/>
      <c r="AM195" s="928"/>
      <c r="AN195" s="928"/>
      <c r="AO195" s="928"/>
      <c r="AP195" s="928"/>
      <c r="AQ195" s="928"/>
      <c r="AR195" s="928"/>
      <c r="AS195" s="928"/>
    </row>
    <row r="196" spans="11:45">
      <c r="K196" s="957"/>
      <c r="L196" s="928"/>
      <c r="M196" s="928"/>
      <c r="N196" s="960"/>
      <c r="O196" s="960"/>
      <c r="P196" s="960"/>
      <c r="Q196" s="960"/>
      <c r="R196" s="960"/>
      <c r="S196" s="960"/>
      <c r="T196" s="960"/>
      <c r="U196" s="960"/>
      <c r="V196" s="960"/>
      <c r="W196" s="960"/>
      <c r="X196" s="960"/>
      <c r="Y196" s="960"/>
      <c r="Z196" s="960"/>
      <c r="AA196" s="960"/>
      <c r="AB196" s="928"/>
      <c r="AC196" s="928"/>
      <c r="AD196" s="928"/>
      <c r="AE196" s="928"/>
      <c r="AF196" s="928"/>
      <c r="AG196" s="928"/>
      <c r="AH196" s="928"/>
      <c r="AI196" s="928"/>
      <c r="AJ196" s="928"/>
      <c r="AK196" s="928"/>
      <c r="AL196" s="928"/>
      <c r="AM196" s="928"/>
      <c r="AN196" s="928"/>
      <c r="AO196" s="928"/>
      <c r="AP196" s="928"/>
      <c r="AQ196" s="928"/>
      <c r="AR196" s="928"/>
      <c r="AS196" s="928"/>
    </row>
    <row r="197" spans="11:45">
      <c r="K197" s="957"/>
      <c r="L197" s="928"/>
      <c r="M197" s="928"/>
      <c r="N197" s="960"/>
      <c r="O197" s="960"/>
      <c r="P197" s="960"/>
      <c r="Q197" s="960"/>
      <c r="R197" s="960"/>
      <c r="S197" s="960"/>
      <c r="T197" s="960"/>
      <c r="U197" s="960"/>
      <c r="V197" s="960"/>
      <c r="W197" s="960"/>
      <c r="X197" s="960"/>
      <c r="Y197" s="960"/>
      <c r="Z197" s="960"/>
      <c r="AA197" s="960"/>
      <c r="AB197" s="928"/>
      <c r="AC197" s="928"/>
      <c r="AD197" s="928"/>
      <c r="AE197" s="928"/>
      <c r="AF197" s="928"/>
      <c r="AG197" s="928"/>
      <c r="AH197" s="928"/>
      <c r="AI197" s="928"/>
      <c r="AJ197" s="928"/>
      <c r="AK197" s="928"/>
      <c r="AL197" s="928"/>
      <c r="AM197" s="928"/>
      <c r="AN197" s="928"/>
      <c r="AO197" s="928"/>
      <c r="AP197" s="928"/>
      <c r="AQ197" s="928"/>
      <c r="AR197" s="928"/>
      <c r="AS197" s="928"/>
    </row>
    <row r="198" spans="11:45">
      <c r="K198" s="957"/>
      <c r="L198" s="928"/>
      <c r="M198" s="928"/>
      <c r="N198" s="960"/>
      <c r="O198" s="960"/>
      <c r="P198" s="960"/>
      <c r="Q198" s="960"/>
      <c r="R198" s="960"/>
      <c r="S198" s="960"/>
      <c r="T198" s="960"/>
      <c r="U198" s="960"/>
      <c r="V198" s="960"/>
      <c r="W198" s="960"/>
      <c r="X198" s="960"/>
      <c r="Y198" s="960"/>
      <c r="Z198" s="960"/>
      <c r="AA198" s="960"/>
      <c r="AB198" s="928"/>
      <c r="AC198" s="928"/>
      <c r="AD198" s="928"/>
      <c r="AE198" s="928"/>
      <c r="AF198" s="928"/>
      <c r="AG198" s="928"/>
      <c r="AH198" s="928"/>
      <c r="AI198" s="928"/>
      <c r="AJ198" s="928"/>
      <c r="AK198" s="928"/>
      <c r="AL198" s="928"/>
      <c r="AM198" s="928"/>
      <c r="AN198" s="928"/>
      <c r="AO198" s="928"/>
      <c r="AP198" s="928"/>
      <c r="AQ198" s="928"/>
      <c r="AR198" s="928"/>
      <c r="AS198" s="928"/>
    </row>
    <row r="199" spans="11:45">
      <c r="K199" s="957"/>
      <c r="L199" s="928"/>
      <c r="M199" s="928"/>
      <c r="N199" s="960"/>
      <c r="O199" s="960"/>
      <c r="P199" s="960"/>
      <c r="Q199" s="960"/>
      <c r="R199" s="960"/>
      <c r="S199" s="960"/>
      <c r="T199" s="960"/>
      <c r="U199" s="960"/>
      <c r="V199" s="960"/>
      <c r="W199" s="960"/>
      <c r="X199" s="960"/>
      <c r="Y199" s="960"/>
      <c r="Z199" s="960"/>
      <c r="AA199" s="960"/>
      <c r="AB199" s="928"/>
      <c r="AC199" s="928"/>
      <c r="AD199" s="928"/>
      <c r="AE199" s="928"/>
      <c r="AF199" s="928"/>
      <c r="AG199" s="928"/>
      <c r="AH199" s="928"/>
      <c r="AI199" s="928"/>
      <c r="AJ199" s="928"/>
      <c r="AK199" s="928"/>
      <c r="AL199" s="928"/>
      <c r="AM199" s="928"/>
      <c r="AN199" s="928"/>
      <c r="AO199" s="928"/>
      <c r="AP199" s="928"/>
      <c r="AQ199" s="928"/>
      <c r="AR199" s="928"/>
      <c r="AS199" s="928"/>
    </row>
    <row r="200" spans="11:45">
      <c r="K200" s="957"/>
      <c r="L200" s="928"/>
      <c r="M200" s="928"/>
      <c r="N200" s="960"/>
      <c r="O200" s="960"/>
      <c r="P200" s="960"/>
      <c r="Q200" s="960"/>
      <c r="R200" s="960"/>
      <c r="S200" s="960"/>
      <c r="T200" s="960"/>
      <c r="U200" s="960"/>
      <c r="V200" s="960"/>
      <c r="W200" s="960"/>
      <c r="X200" s="960"/>
      <c r="Y200" s="960"/>
      <c r="Z200" s="960"/>
      <c r="AA200" s="960"/>
      <c r="AB200" s="928"/>
      <c r="AC200" s="928"/>
      <c r="AD200" s="928"/>
      <c r="AE200" s="928"/>
      <c r="AF200" s="928"/>
      <c r="AG200" s="928"/>
      <c r="AH200" s="928"/>
      <c r="AI200" s="928"/>
      <c r="AJ200" s="928"/>
      <c r="AK200" s="928"/>
      <c r="AL200" s="928"/>
      <c r="AM200" s="928"/>
      <c r="AN200" s="928"/>
      <c r="AO200" s="928"/>
      <c r="AP200" s="928"/>
      <c r="AQ200" s="928"/>
      <c r="AR200" s="928"/>
      <c r="AS200" s="928"/>
    </row>
    <row r="201" spans="11:45">
      <c r="K201" s="957"/>
      <c r="L201" s="928"/>
      <c r="M201" s="928"/>
      <c r="N201" s="960"/>
      <c r="O201" s="960"/>
      <c r="P201" s="960"/>
      <c r="Q201" s="960"/>
      <c r="R201" s="960"/>
      <c r="S201" s="960"/>
      <c r="T201" s="960"/>
      <c r="U201" s="960"/>
      <c r="V201" s="960"/>
      <c r="W201" s="960"/>
      <c r="X201" s="960"/>
      <c r="Y201" s="960"/>
      <c r="Z201" s="960"/>
      <c r="AA201" s="960"/>
      <c r="AB201" s="928"/>
      <c r="AC201" s="928"/>
      <c r="AD201" s="928"/>
      <c r="AE201" s="928"/>
      <c r="AF201" s="928"/>
      <c r="AG201" s="928"/>
      <c r="AH201" s="928"/>
      <c r="AI201" s="928"/>
      <c r="AJ201" s="928"/>
      <c r="AK201" s="928"/>
      <c r="AL201" s="928"/>
      <c r="AM201" s="928"/>
      <c r="AN201" s="928"/>
      <c r="AO201" s="928"/>
      <c r="AP201" s="928"/>
      <c r="AQ201" s="928"/>
      <c r="AR201" s="928"/>
      <c r="AS201" s="928"/>
    </row>
    <row r="202" spans="11:45">
      <c r="K202" s="957"/>
      <c r="L202" s="928"/>
      <c r="M202" s="928"/>
      <c r="N202" s="960"/>
      <c r="O202" s="960"/>
      <c r="P202" s="960"/>
      <c r="Q202" s="960"/>
      <c r="R202" s="960"/>
      <c r="S202" s="960"/>
      <c r="T202" s="960"/>
      <c r="U202" s="960"/>
      <c r="V202" s="960"/>
      <c r="W202" s="960"/>
      <c r="X202" s="960"/>
      <c r="Y202" s="960"/>
      <c r="Z202" s="960"/>
      <c r="AA202" s="960"/>
      <c r="AB202" s="928"/>
      <c r="AC202" s="928"/>
      <c r="AD202" s="928"/>
      <c r="AE202" s="928"/>
      <c r="AF202" s="928"/>
      <c r="AG202" s="928"/>
      <c r="AH202" s="928"/>
      <c r="AI202" s="928"/>
      <c r="AJ202" s="928"/>
      <c r="AK202" s="928"/>
      <c r="AL202" s="928"/>
      <c r="AM202" s="928"/>
      <c r="AN202" s="928"/>
      <c r="AO202" s="928"/>
      <c r="AP202" s="928"/>
      <c r="AQ202" s="928"/>
      <c r="AR202" s="928"/>
      <c r="AS202" s="928"/>
    </row>
    <row r="203" spans="11:45">
      <c r="K203" s="957"/>
      <c r="L203" s="928"/>
      <c r="M203" s="928"/>
      <c r="N203" s="960"/>
      <c r="O203" s="960"/>
      <c r="P203" s="960"/>
      <c r="Q203" s="960"/>
      <c r="R203" s="960"/>
      <c r="S203" s="960"/>
      <c r="T203" s="960"/>
      <c r="U203" s="960"/>
      <c r="V203" s="960"/>
      <c r="W203" s="960"/>
      <c r="X203" s="960"/>
      <c r="Y203" s="960"/>
      <c r="Z203" s="960"/>
      <c r="AA203" s="960"/>
      <c r="AB203" s="928"/>
      <c r="AC203" s="928"/>
      <c r="AD203" s="928"/>
      <c r="AE203" s="928"/>
      <c r="AF203" s="928"/>
      <c r="AG203" s="928"/>
      <c r="AH203" s="928"/>
      <c r="AI203" s="928"/>
      <c r="AJ203" s="928"/>
      <c r="AK203" s="928"/>
      <c r="AL203" s="928"/>
      <c r="AM203" s="928"/>
      <c r="AN203" s="928"/>
      <c r="AO203" s="928"/>
      <c r="AP203" s="928"/>
      <c r="AQ203" s="928"/>
      <c r="AR203" s="928"/>
      <c r="AS203" s="928"/>
    </row>
    <row r="204" spans="11:45">
      <c r="K204" s="957"/>
      <c r="L204" s="928"/>
      <c r="M204" s="928"/>
      <c r="N204" s="960"/>
      <c r="O204" s="960"/>
      <c r="P204" s="960"/>
      <c r="Q204" s="960"/>
      <c r="R204" s="960"/>
      <c r="S204" s="960"/>
      <c r="T204" s="960"/>
      <c r="U204" s="960"/>
      <c r="V204" s="960"/>
      <c r="W204" s="960"/>
      <c r="X204" s="960"/>
      <c r="Y204" s="960"/>
      <c r="Z204" s="960"/>
      <c r="AA204" s="960"/>
      <c r="AB204" s="928"/>
      <c r="AC204" s="928"/>
      <c r="AD204" s="928"/>
      <c r="AE204" s="928"/>
      <c r="AF204" s="928"/>
      <c r="AG204" s="928"/>
      <c r="AH204" s="928"/>
      <c r="AI204" s="928"/>
      <c r="AJ204" s="928"/>
      <c r="AK204" s="928"/>
      <c r="AL204" s="928"/>
      <c r="AM204" s="928"/>
      <c r="AN204" s="928"/>
      <c r="AO204" s="928"/>
      <c r="AP204" s="928"/>
      <c r="AQ204" s="928"/>
      <c r="AR204" s="928"/>
      <c r="AS204" s="928"/>
    </row>
    <row r="205" spans="11:45">
      <c r="K205" s="957"/>
      <c r="L205" s="928"/>
      <c r="M205" s="928"/>
      <c r="N205" s="960"/>
      <c r="O205" s="960"/>
      <c r="P205" s="960"/>
      <c r="Q205" s="960"/>
      <c r="R205" s="960"/>
      <c r="S205" s="960"/>
      <c r="T205" s="960"/>
      <c r="U205" s="960"/>
      <c r="V205" s="960"/>
      <c r="W205" s="960"/>
      <c r="X205" s="960"/>
      <c r="Y205" s="960"/>
      <c r="Z205" s="960"/>
      <c r="AA205" s="960"/>
      <c r="AB205" s="928"/>
      <c r="AC205" s="928"/>
      <c r="AD205" s="928"/>
      <c r="AE205" s="928"/>
      <c r="AF205" s="928"/>
      <c r="AG205" s="928"/>
      <c r="AH205" s="928"/>
      <c r="AI205" s="928"/>
      <c r="AJ205" s="928"/>
      <c r="AK205" s="928"/>
      <c r="AL205" s="928"/>
      <c r="AM205" s="928"/>
      <c r="AN205" s="928"/>
      <c r="AO205" s="928"/>
      <c r="AP205" s="928"/>
      <c r="AQ205" s="928"/>
      <c r="AR205" s="928"/>
      <c r="AS205" s="928"/>
    </row>
    <row r="206" spans="11:45">
      <c r="K206" s="957"/>
      <c r="L206" s="928"/>
      <c r="M206" s="928"/>
      <c r="N206" s="960"/>
      <c r="O206" s="960"/>
      <c r="P206" s="960"/>
      <c r="Q206" s="960"/>
      <c r="R206" s="960"/>
      <c r="S206" s="960"/>
      <c r="T206" s="960"/>
      <c r="U206" s="960"/>
      <c r="V206" s="960"/>
      <c r="W206" s="960"/>
      <c r="X206" s="960"/>
      <c r="Y206" s="960"/>
      <c r="Z206" s="960"/>
      <c r="AA206" s="960"/>
      <c r="AB206" s="928"/>
      <c r="AC206" s="928"/>
      <c r="AD206" s="928"/>
      <c r="AE206" s="928"/>
      <c r="AF206" s="928"/>
      <c r="AG206" s="928"/>
      <c r="AH206" s="928"/>
      <c r="AI206" s="928"/>
      <c r="AJ206" s="928"/>
      <c r="AK206" s="928"/>
      <c r="AL206" s="928"/>
      <c r="AM206" s="928"/>
      <c r="AN206" s="928"/>
      <c r="AO206" s="928"/>
      <c r="AP206" s="928"/>
      <c r="AQ206" s="928"/>
      <c r="AR206" s="928"/>
      <c r="AS206" s="928"/>
    </row>
    <row r="207" spans="11:45">
      <c r="K207" s="957"/>
      <c r="L207" s="928"/>
      <c r="M207" s="928"/>
      <c r="N207" s="960"/>
      <c r="O207" s="960"/>
      <c r="P207" s="960"/>
      <c r="Q207" s="960"/>
      <c r="R207" s="960"/>
      <c r="S207" s="960"/>
      <c r="T207" s="960"/>
      <c r="U207" s="960"/>
      <c r="V207" s="960"/>
      <c r="W207" s="960"/>
      <c r="X207" s="960"/>
      <c r="Y207" s="960"/>
      <c r="Z207" s="960"/>
      <c r="AA207" s="960"/>
      <c r="AB207" s="928"/>
      <c r="AC207" s="928"/>
      <c r="AD207" s="928"/>
      <c r="AE207" s="928"/>
      <c r="AF207" s="928"/>
      <c r="AG207" s="928"/>
      <c r="AH207" s="928"/>
      <c r="AI207" s="928"/>
      <c r="AJ207" s="928"/>
      <c r="AK207" s="928"/>
      <c r="AL207" s="928"/>
      <c r="AM207" s="928"/>
      <c r="AN207" s="928"/>
      <c r="AO207" s="928"/>
      <c r="AP207" s="928"/>
      <c r="AQ207" s="928"/>
      <c r="AR207" s="928"/>
      <c r="AS207" s="928"/>
    </row>
    <row r="208" spans="11:45">
      <c r="K208" s="957"/>
      <c r="L208" s="928"/>
      <c r="M208" s="928"/>
      <c r="N208" s="960"/>
      <c r="O208" s="960"/>
      <c r="P208" s="960"/>
      <c r="Q208" s="960"/>
      <c r="R208" s="960"/>
      <c r="S208" s="960"/>
      <c r="T208" s="960"/>
      <c r="U208" s="960"/>
      <c r="V208" s="960"/>
      <c r="W208" s="960"/>
      <c r="X208" s="960"/>
      <c r="Y208" s="960"/>
      <c r="Z208" s="960"/>
      <c r="AA208" s="960"/>
      <c r="AB208" s="928"/>
      <c r="AC208" s="928"/>
      <c r="AD208" s="928"/>
      <c r="AE208" s="928"/>
      <c r="AF208" s="928"/>
      <c r="AG208" s="928"/>
      <c r="AH208" s="928"/>
      <c r="AI208" s="928"/>
      <c r="AJ208" s="928"/>
      <c r="AK208" s="928"/>
      <c r="AL208" s="928"/>
      <c r="AM208" s="928"/>
      <c r="AN208" s="928"/>
      <c r="AO208" s="928"/>
      <c r="AP208" s="928"/>
      <c r="AQ208" s="928"/>
      <c r="AR208" s="928"/>
      <c r="AS208" s="928"/>
    </row>
    <row r="209" spans="11:45">
      <c r="K209" s="957"/>
      <c r="L209" s="928"/>
      <c r="M209" s="928"/>
      <c r="N209" s="960"/>
      <c r="O209" s="960"/>
      <c r="P209" s="960"/>
      <c r="Q209" s="960"/>
      <c r="R209" s="960"/>
      <c r="S209" s="960"/>
      <c r="T209" s="960"/>
      <c r="U209" s="960"/>
      <c r="V209" s="960"/>
      <c r="W209" s="960"/>
      <c r="X209" s="960"/>
      <c r="Y209" s="960"/>
      <c r="Z209" s="960"/>
      <c r="AA209" s="960"/>
      <c r="AB209" s="928"/>
      <c r="AC209" s="928"/>
      <c r="AD209" s="928"/>
      <c r="AE209" s="928"/>
      <c r="AF209" s="928"/>
      <c r="AG209" s="928"/>
      <c r="AH209" s="928"/>
      <c r="AI209" s="928"/>
      <c r="AJ209" s="928"/>
      <c r="AK209" s="928"/>
      <c r="AL209" s="928"/>
      <c r="AM209" s="928"/>
      <c r="AN209" s="928"/>
      <c r="AO209" s="928"/>
      <c r="AP209" s="928"/>
      <c r="AQ209" s="928"/>
      <c r="AR209" s="928"/>
      <c r="AS209" s="928"/>
    </row>
    <row r="210" spans="11:45">
      <c r="K210" s="957"/>
      <c r="L210" s="928"/>
      <c r="M210" s="928"/>
      <c r="N210" s="960"/>
      <c r="O210" s="960"/>
      <c r="P210" s="960"/>
      <c r="Q210" s="960"/>
      <c r="R210" s="960"/>
      <c r="S210" s="960"/>
      <c r="T210" s="960"/>
      <c r="U210" s="960"/>
      <c r="V210" s="960"/>
      <c r="W210" s="960"/>
      <c r="X210" s="960"/>
      <c r="Y210" s="960"/>
      <c r="Z210" s="960"/>
      <c r="AA210" s="960"/>
      <c r="AB210" s="928"/>
      <c r="AC210" s="928"/>
      <c r="AD210" s="928"/>
      <c r="AE210" s="928"/>
      <c r="AF210" s="928"/>
      <c r="AG210" s="928"/>
      <c r="AH210" s="928"/>
      <c r="AI210" s="928"/>
      <c r="AJ210" s="928"/>
      <c r="AK210" s="928"/>
      <c r="AL210" s="928"/>
      <c r="AM210" s="928"/>
      <c r="AN210" s="928"/>
      <c r="AO210" s="928"/>
      <c r="AP210" s="928"/>
      <c r="AQ210" s="928"/>
      <c r="AR210" s="928"/>
      <c r="AS210" s="928"/>
    </row>
    <row r="211" spans="11:45">
      <c r="K211" s="957"/>
      <c r="L211" s="928"/>
      <c r="M211" s="928"/>
      <c r="N211" s="960"/>
      <c r="O211" s="960"/>
      <c r="P211" s="960"/>
      <c r="Q211" s="960"/>
      <c r="R211" s="960"/>
      <c r="S211" s="960"/>
      <c r="T211" s="960"/>
      <c r="U211" s="960"/>
      <c r="V211" s="960"/>
      <c r="W211" s="960"/>
      <c r="X211" s="960"/>
      <c r="Y211" s="960"/>
      <c r="Z211" s="960"/>
      <c r="AA211" s="960"/>
      <c r="AB211" s="928"/>
      <c r="AC211" s="928"/>
      <c r="AD211" s="928"/>
      <c r="AE211" s="928"/>
      <c r="AF211" s="928"/>
      <c r="AG211" s="928"/>
      <c r="AH211" s="928"/>
      <c r="AI211" s="928"/>
      <c r="AJ211" s="928"/>
      <c r="AK211" s="928"/>
      <c r="AL211" s="928"/>
      <c r="AM211" s="928"/>
      <c r="AN211" s="928"/>
      <c r="AO211" s="928"/>
      <c r="AP211" s="928"/>
      <c r="AQ211" s="928"/>
      <c r="AR211" s="928"/>
      <c r="AS211" s="928"/>
    </row>
    <row r="212" spans="11:45">
      <c r="K212" s="957"/>
      <c r="L212" s="928"/>
      <c r="M212" s="928"/>
      <c r="N212" s="960"/>
      <c r="O212" s="960"/>
      <c r="P212" s="960"/>
      <c r="Q212" s="960"/>
      <c r="R212" s="960"/>
      <c r="S212" s="960"/>
      <c r="T212" s="960"/>
      <c r="U212" s="960"/>
      <c r="V212" s="960"/>
      <c r="W212" s="960"/>
      <c r="X212" s="960"/>
      <c r="Y212" s="960"/>
      <c r="Z212" s="960"/>
      <c r="AA212" s="960"/>
      <c r="AB212" s="928"/>
      <c r="AC212" s="928"/>
      <c r="AD212" s="928"/>
      <c r="AE212" s="928"/>
      <c r="AF212" s="928"/>
      <c r="AG212" s="928"/>
      <c r="AH212" s="928"/>
      <c r="AI212" s="928"/>
      <c r="AJ212" s="928"/>
      <c r="AK212" s="928"/>
      <c r="AL212" s="928"/>
      <c r="AM212" s="928"/>
      <c r="AN212" s="928"/>
      <c r="AO212" s="928"/>
      <c r="AP212" s="928"/>
      <c r="AQ212" s="928"/>
      <c r="AR212" s="928"/>
      <c r="AS212" s="928"/>
    </row>
    <row r="213" spans="11:45">
      <c r="K213" s="957"/>
      <c r="L213" s="928"/>
      <c r="M213" s="928"/>
      <c r="N213" s="960"/>
      <c r="O213" s="960"/>
      <c r="P213" s="960"/>
      <c r="Q213" s="960"/>
      <c r="R213" s="960"/>
      <c r="S213" s="960"/>
      <c r="T213" s="960"/>
      <c r="U213" s="960"/>
      <c r="V213" s="960"/>
      <c r="W213" s="960"/>
      <c r="X213" s="960"/>
      <c r="Y213" s="960"/>
      <c r="Z213" s="960"/>
      <c r="AA213" s="960"/>
      <c r="AB213" s="928"/>
      <c r="AC213" s="928"/>
      <c r="AD213" s="928"/>
      <c r="AE213" s="928"/>
      <c r="AF213" s="928"/>
      <c r="AG213" s="928"/>
      <c r="AH213" s="928"/>
      <c r="AI213" s="928"/>
      <c r="AJ213" s="928"/>
      <c r="AK213" s="928"/>
      <c r="AL213" s="928"/>
      <c r="AM213" s="928"/>
      <c r="AN213" s="928"/>
      <c r="AO213" s="928"/>
      <c r="AP213" s="928"/>
      <c r="AQ213" s="928"/>
      <c r="AR213" s="928"/>
      <c r="AS213" s="928"/>
    </row>
    <row r="214" spans="11:45">
      <c r="K214" s="957"/>
      <c r="L214" s="928"/>
      <c r="M214" s="928"/>
      <c r="N214" s="960"/>
      <c r="O214" s="960"/>
      <c r="P214" s="960"/>
      <c r="Q214" s="960"/>
      <c r="R214" s="960"/>
      <c r="S214" s="960"/>
      <c r="T214" s="960"/>
      <c r="U214" s="960"/>
      <c r="V214" s="960"/>
      <c r="W214" s="960"/>
      <c r="X214" s="960"/>
      <c r="Y214" s="960"/>
      <c r="Z214" s="960"/>
      <c r="AA214" s="960"/>
      <c r="AB214" s="928"/>
      <c r="AC214" s="928"/>
      <c r="AD214" s="928"/>
      <c r="AE214" s="928"/>
      <c r="AF214" s="928"/>
      <c r="AG214" s="928"/>
      <c r="AH214" s="928"/>
      <c r="AI214" s="928"/>
      <c r="AJ214" s="928"/>
      <c r="AK214" s="928"/>
      <c r="AL214" s="928"/>
      <c r="AM214" s="928"/>
      <c r="AN214" s="928"/>
      <c r="AO214" s="928"/>
      <c r="AP214" s="928"/>
      <c r="AQ214" s="928"/>
      <c r="AR214" s="928"/>
      <c r="AS214" s="928"/>
    </row>
    <row r="215" spans="11:45">
      <c r="K215" s="957"/>
      <c r="L215" s="928"/>
      <c r="M215" s="928"/>
      <c r="N215" s="960"/>
      <c r="O215" s="960"/>
      <c r="P215" s="960"/>
      <c r="Q215" s="960"/>
      <c r="R215" s="960"/>
      <c r="S215" s="960"/>
      <c r="T215" s="960"/>
      <c r="U215" s="960"/>
      <c r="V215" s="960"/>
      <c r="W215" s="960"/>
      <c r="X215" s="960"/>
      <c r="Y215" s="960"/>
      <c r="Z215" s="960"/>
      <c r="AA215" s="960"/>
      <c r="AB215" s="928"/>
      <c r="AC215" s="928"/>
      <c r="AD215" s="928"/>
      <c r="AE215" s="928"/>
      <c r="AF215" s="928"/>
      <c r="AG215" s="928"/>
      <c r="AH215" s="928"/>
      <c r="AI215" s="928"/>
      <c r="AJ215" s="928"/>
      <c r="AK215" s="928"/>
      <c r="AL215" s="928"/>
      <c r="AM215" s="928"/>
      <c r="AN215" s="928"/>
      <c r="AO215" s="928"/>
      <c r="AP215" s="928"/>
      <c r="AQ215" s="928"/>
      <c r="AR215" s="928"/>
      <c r="AS215" s="928"/>
    </row>
    <row r="216" spans="11:45">
      <c r="K216" s="957"/>
      <c r="L216" s="928"/>
      <c r="M216" s="928"/>
      <c r="N216" s="960"/>
      <c r="O216" s="960"/>
      <c r="P216" s="960"/>
      <c r="Q216" s="960"/>
      <c r="R216" s="960"/>
      <c r="S216" s="960"/>
      <c r="T216" s="960"/>
      <c r="U216" s="960"/>
      <c r="V216" s="960"/>
      <c r="W216" s="960"/>
      <c r="X216" s="960"/>
      <c r="Y216" s="960"/>
      <c r="Z216" s="960"/>
      <c r="AA216" s="960"/>
      <c r="AB216" s="928"/>
      <c r="AC216" s="928"/>
      <c r="AD216" s="928"/>
      <c r="AE216" s="928"/>
      <c r="AF216" s="928"/>
      <c r="AG216" s="928"/>
      <c r="AH216" s="928"/>
      <c r="AI216" s="928"/>
      <c r="AJ216" s="928"/>
      <c r="AK216" s="928"/>
      <c r="AL216" s="928"/>
      <c r="AM216" s="928"/>
      <c r="AN216" s="928"/>
      <c r="AO216" s="928"/>
      <c r="AP216" s="928"/>
      <c r="AQ216" s="928"/>
      <c r="AR216" s="928"/>
      <c r="AS216" s="928"/>
    </row>
    <row r="217" spans="11:45">
      <c r="K217" s="957"/>
      <c r="L217" s="928"/>
      <c r="M217" s="928"/>
      <c r="N217" s="960"/>
      <c r="O217" s="960"/>
      <c r="P217" s="960"/>
      <c r="Q217" s="960"/>
      <c r="R217" s="960"/>
      <c r="S217" s="960"/>
      <c r="T217" s="960"/>
      <c r="U217" s="960"/>
      <c r="V217" s="960"/>
      <c r="W217" s="960"/>
      <c r="X217" s="960"/>
      <c r="Y217" s="960"/>
      <c r="Z217" s="960"/>
      <c r="AA217" s="960"/>
      <c r="AB217" s="928"/>
      <c r="AC217" s="928"/>
      <c r="AD217" s="928"/>
      <c r="AE217" s="928"/>
      <c r="AF217" s="928"/>
      <c r="AG217" s="928"/>
      <c r="AH217" s="928"/>
      <c r="AI217" s="928"/>
      <c r="AJ217" s="928"/>
      <c r="AK217" s="928"/>
      <c r="AL217" s="928"/>
      <c r="AM217" s="928"/>
      <c r="AN217" s="928"/>
      <c r="AO217" s="928"/>
      <c r="AP217" s="928"/>
      <c r="AQ217" s="928"/>
      <c r="AR217" s="928"/>
      <c r="AS217" s="928"/>
    </row>
    <row r="218" spans="11:45">
      <c r="K218" s="957"/>
      <c r="L218" s="928"/>
      <c r="M218" s="928"/>
      <c r="N218" s="960"/>
      <c r="O218" s="960"/>
      <c r="P218" s="960"/>
      <c r="Q218" s="960"/>
      <c r="R218" s="960"/>
      <c r="S218" s="960"/>
      <c r="T218" s="960"/>
      <c r="U218" s="960"/>
      <c r="V218" s="960"/>
      <c r="W218" s="960"/>
      <c r="X218" s="960"/>
      <c r="Y218" s="960"/>
      <c r="Z218" s="960"/>
      <c r="AA218" s="960"/>
      <c r="AB218" s="928"/>
      <c r="AC218" s="928"/>
      <c r="AD218" s="928"/>
      <c r="AE218" s="928"/>
      <c r="AF218" s="928"/>
      <c r="AG218" s="928"/>
      <c r="AH218" s="928"/>
      <c r="AI218" s="928"/>
      <c r="AJ218" s="928"/>
      <c r="AK218" s="928"/>
      <c r="AL218" s="928"/>
      <c r="AM218" s="928"/>
      <c r="AN218" s="928"/>
      <c r="AO218" s="928"/>
      <c r="AP218" s="928"/>
      <c r="AQ218" s="928"/>
      <c r="AR218" s="928"/>
      <c r="AS218" s="928"/>
    </row>
    <row r="219" spans="11:45">
      <c r="K219" s="957"/>
      <c r="L219" s="928"/>
      <c r="M219" s="928"/>
      <c r="N219" s="960"/>
      <c r="O219" s="960"/>
      <c r="P219" s="960"/>
      <c r="Q219" s="960"/>
      <c r="R219" s="960"/>
      <c r="S219" s="960"/>
      <c r="T219" s="960"/>
      <c r="U219" s="960"/>
      <c r="V219" s="960"/>
      <c r="W219" s="960"/>
      <c r="X219" s="960"/>
      <c r="Y219" s="960"/>
      <c r="Z219" s="960"/>
      <c r="AA219" s="960"/>
      <c r="AB219" s="928"/>
      <c r="AC219" s="928"/>
      <c r="AD219" s="928"/>
      <c r="AE219" s="928"/>
      <c r="AF219" s="928"/>
      <c r="AG219" s="928"/>
      <c r="AH219" s="928"/>
      <c r="AI219" s="928"/>
      <c r="AJ219" s="928"/>
      <c r="AK219" s="928"/>
      <c r="AL219" s="928"/>
      <c r="AM219" s="928"/>
      <c r="AN219" s="928"/>
      <c r="AO219" s="928"/>
      <c r="AP219" s="928"/>
      <c r="AQ219" s="928"/>
      <c r="AR219" s="928"/>
      <c r="AS219" s="928"/>
    </row>
    <row r="220" spans="11:45">
      <c r="K220" s="957"/>
      <c r="L220" s="928"/>
      <c r="M220" s="928"/>
      <c r="N220" s="960"/>
      <c r="O220" s="960"/>
      <c r="P220" s="960"/>
      <c r="Q220" s="960"/>
      <c r="R220" s="960"/>
      <c r="S220" s="960"/>
      <c r="T220" s="960"/>
      <c r="U220" s="960"/>
      <c r="V220" s="960"/>
      <c r="W220" s="960"/>
      <c r="X220" s="960"/>
      <c r="Y220" s="960"/>
      <c r="Z220" s="960"/>
      <c r="AA220" s="960"/>
      <c r="AB220" s="928"/>
      <c r="AC220" s="928"/>
      <c r="AD220" s="928"/>
      <c r="AE220" s="928"/>
      <c r="AF220" s="928"/>
      <c r="AG220" s="928"/>
      <c r="AH220" s="928"/>
      <c r="AI220" s="928"/>
      <c r="AJ220" s="928"/>
      <c r="AK220" s="928"/>
      <c r="AL220" s="928"/>
      <c r="AM220" s="928"/>
      <c r="AN220" s="928"/>
      <c r="AO220" s="928"/>
      <c r="AP220" s="928"/>
      <c r="AQ220" s="928"/>
      <c r="AR220" s="928"/>
      <c r="AS220" s="928"/>
    </row>
    <row r="221" spans="11:45">
      <c r="K221" s="957"/>
      <c r="L221" s="928"/>
      <c r="M221" s="928"/>
      <c r="N221" s="960"/>
      <c r="O221" s="960"/>
      <c r="P221" s="960"/>
      <c r="Q221" s="960"/>
      <c r="R221" s="960"/>
      <c r="S221" s="960"/>
      <c r="T221" s="960"/>
      <c r="U221" s="960"/>
      <c r="V221" s="960"/>
      <c r="W221" s="960"/>
      <c r="X221" s="960"/>
      <c r="Y221" s="960"/>
      <c r="Z221" s="960"/>
      <c r="AA221" s="960"/>
      <c r="AB221" s="928"/>
      <c r="AC221" s="928"/>
      <c r="AD221" s="928"/>
      <c r="AE221" s="928"/>
      <c r="AF221" s="928"/>
      <c r="AG221" s="928"/>
      <c r="AH221" s="928"/>
      <c r="AI221" s="928"/>
      <c r="AJ221" s="928"/>
      <c r="AK221" s="928"/>
      <c r="AL221" s="928"/>
      <c r="AM221" s="928"/>
      <c r="AN221" s="928"/>
      <c r="AO221" s="928"/>
      <c r="AP221" s="928"/>
      <c r="AQ221" s="928"/>
      <c r="AR221" s="928"/>
      <c r="AS221" s="928"/>
    </row>
    <row r="222" spans="11:45">
      <c r="K222" s="957"/>
      <c r="L222" s="928"/>
      <c r="M222" s="928"/>
      <c r="N222" s="960"/>
      <c r="O222" s="960"/>
      <c r="P222" s="960"/>
      <c r="Q222" s="960"/>
      <c r="R222" s="960"/>
      <c r="S222" s="960"/>
      <c r="T222" s="960"/>
      <c r="U222" s="960"/>
      <c r="V222" s="960"/>
      <c r="W222" s="960"/>
      <c r="X222" s="960"/>
      <c r="Y222" s="960"/>
      <c r="Z222" s="960"/>
      <c r="AA222" s="960"/>
      <c r="AB222" s="928"/>
      <c r="AC222" s="928"/>
      <c r="AD222" s="928"/>
      <c r="AE222" s="928"/>
      <c r="AF222" s="928"/>
      <c r="AG222" s="928"/>
      <c r="AH222" s="928"/>
      <c r="AI222" s="928"/>
      <c r="AJ222" s="928"/>
      <c r="AK222" s="928"/>
      <c r="AL222" s="928"/>
      <c r="AM222" s="928"/>
      <c r="AN222" s="928"/>
      <c r="AO222" s="928"/>
      <c r="AP222" s="928"/>
      <c r="AQ222" s="928"/>
      <c r="AR222" s="928"/>
      <c r="AS222" s="928"/>
    </row>
    <row r="223" spans="11:45">
      <c r="K223" s="957"/>
      <c r="L223" s="928"/>
      <c r="M223" s="928"/>
      <c r="N223" s="960"/>
      <c r="O223" s="960"/>
      <c r="P223" s="960"/>
      <c r="Q223" s="960"/>
      <c r="R223" s="960"/>
      <c r="S223" s="960"/>
      <c r="T223" s="960"/>
      <c r="U223" s="960"/>
      <c r="V223" s="960"/>
      <c r="W223" s="960"/>
      <c r="X223" s="960"/>
      <c r="Y223" s="960"/>
      <c r="Z223" s="960"/>
      <c r="AA223" s="960"/>
      <c r="AB223" s="928"/>
      <c r="AC223" s="928"/>
      <c r="AD223" s="928"/>
      <c r="AE223" s="928"/>
      <c r="AF223" s="928"/>
      <c r="AG223" s="928"/>
      <c r="AH223" s="928"/>
      <c r="AI223" s="928"/>
      <c r="AJ223" s="928"/>
      <c r="AK223" s="928"/>
      <c r="AL223" s="928"/>
      <c r="AM223" s="928"/>
      <c r="AN223" s="928"/>
      <c r="AO223" s="928"/>
      <c r="AP223" s="928"/>
      <c r="AQ223" s="928"/>
      <c r="AR223" s="928"/>
      <c r="AS223" s="928"/>
    </row>
    <row r="224" spans="11:45">
      <c r="K224" s="957"/>
      <c r="L224" s="928"/>
      <c r="M224" s="928"/>
      <c r="N224" s="960"/>
      <c r="O224" s="960"/>
      <c r="P224" s="960"/>
      <c r="Q224" s="960"/>
      <c r="R224" s="960"/>
      <c r="S224" s="960"/>
      <c r="T224" s="960"/>
      <c r="U224" s="960"/>
      <c r="V224" s="960"/>
      <c r="W224" s="960"/>
      <c r="X224" s="960"/>
      <c r="Y224" s="960"/>
      <c r="Z224" s="960"/>
      <c r="AA224" s="960"/>
      <c r="AB224" s="928"/>
      <c r="AC224" s="928"/>
      <c r="AD224" s="928"/>
      <c r="AE224" s="928"/>
      <c r="AF224" s="928"/>
      <c r="AG224" s="928"/>
      <c r="AH224" s="928"/>
      <c r="AI224" s="928"/>
      <c r="AJ224" s="928"/>
      <c r="AK224" s="928"/>
      <c r="AL224" s="928"/>
      <c r="AM224" s="928"/>
      <c r="AN224" s="928"/>
      <c r="AO224" s="928"/>
      <c r="AP224" s="928"/>
      <c r="AQ224" s="928"/>
      <c r="AR224" s="928"/>
      <c r="AS224" s="928"/>
    </row>
    <row r="225" spans="11:45">
      <c r="K225" s="957"/>
      <c r="L225" s="928"/>
      <c r="M225" s="928"/>
      <c r="N225" s="960"/>
      <c r="O225" s="960"/>
      <c r="P225" s="960"/>
      <c r="Q225" s="960"/>
      <c r="R225" s="960"/>
      <c r="S225" s="960"/>
      <c r="T225" s="960"/>
      <c r="U225" s="960"/>
      <c r="V225" s="960"/>
      <c r="W225" s="960"/>
      <c r="X225" s="960"/>
      <c r="Y225" s="960"/>
      <c r="Z225" s="960"/>
      <c r="AA225" s="960"/>
      <c r="AB225" s="928"/>
      <c r="AC225" s="928"/>
      <c r="AD225" s="928"/>
      <c r="AE225" s="928"/>
      <c r="AF225" s="928"/>
      <c r="AG225" s="928"/>
      <c r="AH225" s="928"/>
      <c r="AI225" s="928"/>
      <c r="AJ225" s="928"/>
      <c r="AK225" s="928"/>
      <c r="AL225" s="928"/>
      <c r="AM225" s="928"/>
      <c r="AN225" s="928"/>
      <c r="AO225" s="928"/>
      <c r="AP225" s="928"/>
      <c r="AQ225" s="928"/>
      <c r="AR225" s="928"/>
      <c r="AS225" s="928"/>
    </row>
    <row r="226" spans="11:45">
      <c r="K226" s="957"/>
      <c r="L226" s="928"/>
      <c r="M226" s="928"/>
      <c r="N226" s="960"/>
      <c r="O226" s="960"/>
      <c r="P226" s="960"/>
      <c r="Q226" s="960"/>
      <c r="R226" s="960"/>
      <c r="S226" s="960"/>
      <c r="T226" s="960"/>
      <c r="U226" s="960"/>
      <c r="V226" s="960"/>
      <c r="W226" s="960"/>
      <c r="X226" s="960"/>
      <c r="Y226" s="960"/>
      <c r="Z226" s="960"/>
      <c r="AA226" s="960"/>
      <c r="AB226" s="928"/>
      <c r="AC226" s="928"/>
      <c r="AD226" s="928"/>
      <c r="AE226" s="928"/>
      <c r="AF226" s="928"/>
      <c r="AG226" s="928"/>
      <c r="AH226" s="928"/>
      <c r="AI226" s="928"/>
      <c r="AJ226" s="928"/>
      <c r="AK226" s="928"/>
      <c r="AL226" s="928"/>
      <c r="AM226" s="928"/>
      <c r="AN226" s="928"/>
      <c r="AO226" s="928"/>
      <c r="AP226" s="928"/>
      <c r="AQ226" s="928"/>
      <c r="AR226" s="928"/>
      <c r="AS226" s="928"/>
    </row>
    <row r="227" spans="11:45">
      <c r="K227" s="957"/>
      <c r="L227" s="928"/>
      <c r="M227" s="928"/>
      <c r="N227" s="960"/>
      <c r="O227" s="960"/>
      <c r="P227" s="960"/>
      <c r="Q227" s="960"/>
      <c r="R227" s="960"/>
      <c r="S227" s="960"/>
      <c r="T227" s="960"/>
      <c r="U227" s="960"/>
      <c r="V227" s="960"/>
      <c r="W227" s="960"/>
      <c r="X227" s="960"/>
      <c r="Y227" s="960"/>
      <c r="Z227" s="960"/>
      <c r="AA227" s="960"/>
      <c r="AB227" s="928"/>
      <c r="AC227" s="928"/>
      <c r="AD227" s="928"/>
      <c r="AE227" s="928"/>
      <c r="AF227" s="928"/>
      <c r="AG227" s="928"/>
      <c r="AH227" s="928"/>
      <c r="AI227" s="928"/>
      <c r="AJ227" s="928"/>
      <c r="AK227" s="928"/>
      <c r="AL227" s="928"/>
      <c r="AM227" s="928"/>
      <c r="AN227" s="928"/>
      <c r="AO227" s="928"/>
      <c r="AP227" s="928"/>
      <c r="AQ227" s="928"/>
      <c r="AR227" s="928"/>
      <c r="AS227" s="928"/>
    </row>
    <row r="228" spans="11:45">
      <c r="K228" s="957"/>
      <c r="L228" s="928"/>
      <c r="M228" s="928"/>
      <c r="N228" s="960"/>
      <c r="O228" s="960"/>
      <c r="P228" s="960"/>
      <c r="Q228" s="960"/>
      <c r="R228" s="960"/>
      <c r="S228" s="960"/>
      <c r="T228" s="960"/>
      <c r="U228" s="960"/>
      <c r="V228" s="960"/>
      <c r="W228" s="960"/>
      <c r="X228" s="960"/>
      <c r="Y228" s="960"/>
      <c r="Z228" s="960"/>
      <c r="AA228" s="960"/>
      <c r="AB228" s="928"/>
      <c r="AC228" s="928"/>
      <c r="AD228" s="928"/>
      <c r="AE228" s="928"/>
      <c r="AF228" s="928"/>
      <c r="AG228" s="928"/>
      <c r="AH228" s="928"/>
      <c r="AI228" s="928"/>
      <c r="AJ228" s="928"/>
      <c r="AK228" s="928"/>
      <c r="AL228" s="928"/>
      <c r="AM228" s="928"/>
      <c r="AN228" s="928"/>
      <c r="AO228" s="928"/>
      <c r="AP228" s="928"/>
      <c r="AQ228" s="928"/>
      <c r="AR228" s="928"/>
      <c r="AS228" s="928"/>
    </row>
    <row r="229" spans="11:45">
      <c r="K229" s="957"/>
      <c r="L229" s="928"/>
      <c r="M229" s="928"/>
      <c r="N229" s="960"/>
      <c r="O229" s="960"/>
      <c r="P229" s="960"/>
      <c r="Q229" s="960"/>
      <c r="R229" s="960"/>
      <c r="S229" s="960"/>
      <c r="T229" s="960"/>
      <c r="U229" s="960"/>
      <c r="V229" s="960"/>
      <c r="W229" s="960"/>
      <c r="X229" s="960"/>
      <c r="Y229" s="960"/>
      <c r="Z229" s="960"/>
      <c r="AA229" s="960"/>
      <c r="AB229" s="928"/>
      <c r="AC229" s="928"/>
      <c r="AD229" s="928"/>
      <c r="AE229" s="928"/>
      <c r="AF229" s="928"/>
      <c r="AG229" s="928"/>
      <c r="AH229" s="928"/>
      <c r="AI229" s="928"/>
      <c r="AJ229" s="928"/>
      <c r="AK229" s="928"/>
      <c r="AL229" s="928"/>
      <c r="AM229" s="928"/>
      <c r="AN229" s="928"/>
      <c r="AO229" s="928"/>
      <c r="AP229" s="928"/>
      <c r="AQ229" s="928"/>
      <c r="AR229" s="928"/>
      <c r="AS229" s="928"/>
    </row>
    <row r="230" spans="11:45">
      <c r="K230" s="957"/>
      <c r="L230" s="928"/>
      <c r="M230" s="928"/>
      <c r="N230" s="960"/>
      <c r="O230" s="960"/>
      <c r="P230" s="960"/>
      <c r="Q230" s="960"/>
      <c r="R230" s="960"/>
      <c r="S230" s="960"/>
      <c r="T230" s="960"/>
      <c r="U230" s="960"/>
      <c r="V230" s="960"/>
      <c r="W230" s="960"/>
      <c r="X230" s="960"/>
      <c r="Y230" s="960"/>
      <c r="Z230" s="960"/>
      <c r="AA230" s="960"/>
      <c r="AB230" s="928"/>
      <c r="AC230" s="928"/>
      <c r="AD230" s="928"/>
      <c r="AE230" s="928"/>
      <c r="AF230" s="928"/>
      <c r="AG230" s="928"/>
      <c r="AH230" s="928"/>
      <c r="AI230" s="928"/>
      <c r="AJ230" s="928"/>
      <c r="AK230" s="928"/>
      <c r="AL230" s="928"/>
      <c r="AM230" s="928"/>
      <c r="AN230" s="928"/>
      <c r="AO230" s="928"/>
      <c r="AP230" s="928"/>
      <c r="AQ230" s="928"/>
      <c r="AR230" s="928"/>
      <c r="AS230" s="928"/>
    </row>
    <row r="231" spans="11:45">
      <c r="K231" s="957"/>
      <c r="L231" s="928"/>
      <c r="M231" s="928"/>
      <c r="N231" s="960"/>
      <c r="O231" s="960"/>
      <c r="P231" s="960"/>
      <c r="Q231" s="960"/>
      <c r="R231" s="960"/>
      <c r="S231" s="960"/>
      <c r="T231" s="960"/>
      <c r="U231" s="960"/>
      <c r="V231" s="960"/>
      <c r="W231" s="960"/>
      <c r="X231" s="960"/>
      <c r="Y231" s="960"/>
      <c r="Z231" s="960"/>
      <c r="AA231" s="960"/>
      <c r="AB231" s="928"/>
      <c r="AC231" s="928"/>
      <c r="AD231" s="928"/>
      <c r="AE231" s="928"/>
      <c r="AF231" s="928"/>
      <c r="AG231" s="928"/>
      <c r="AH231" s="928"/>
      <c r="AI231" s="928"/>
      <c r="AJ231" s="928"/>
      <c r="AK231" s="928"/>
      <c r="AL231" s="928"/>
      <c r="AM231" s="928"/>
      <c r="AN231" s="928"/>
      <c r="AO231" s="928"/>
      <c r="AP231" s="928"/>
      <c r="AQ231" s="928"/>
      <c r="AR231" s="928"/>
      <c r="AS231" s="928"/>
    </row>
    <row r="232" spans="11:45">
      <c r="K232" s="957"/>
      <c r="L232" s="928"/>
      <c r="M232" s="928"/>
      <c r="N232" s="960"/>
      <c r="O232" s="960"/>
      <c r="P232" s="960"/>
      <c r="Q232" s="960"/>
      <c r="R232" s="960"/>
      <c r="S232" s="960"/>
      <c r="T232" s="960"/>
      <c r="U232" s="960"/>
      <c r="V232" s="960"/>
      <c r="W232" s="960"/>
      <c r="X232" s="960"/>
      <c r="Y232" s="960"/>
      <c r="Z232" s="960"/>
      <c r="AA232" s="960"/>
      <c r="AB232" s="928"/>
      <c r="AC232" s="928"/>
      <c r="AD232" s="928"/>
      <c r="AE232" s="928"/>
      <c r="AF232" s="928"/>
      <c r="AG232" s="928"/>
      <c r="AH232" s="928"/>
      <c r="AI232" s="928"/>
      <c r="AJ232" s="928"/>
      <c r="AK232" s="928"/>
      <c r="AL232" s="928"/>
      <c r="AM232" s="928"/>
      <c r="AN232" s="928"/>
      <c r="AO232" s="928"/>
      <c r="AP232" s="928"/>
      <c r="AQ232" s="928"/>
      <c r="AR232" s="928"/>
      <c r="AS232" s="928"/>
    </row>
    <row r="233" spans="11:45">
      <c r="K233" s="957"/>
      <c r="L233" s="928"/>
      <c r="M233" s="928"/>
      <c r="N233" s="960"/>
      <c r="O233" s="960"/>
      <c r="P233" s="960"/>
      <c r="Q233" s="960"/>
      <c r="R233" s="960"/>
      <c r="S233" s="960"/>
      <c r="T233" s="960"/>
      <c r="U233" s="960"/>
      <c r="V233" s="960"/>
      <c r="W233" s="960"/>
      <c r="X233" s="960"/>
      <c r="Y233" s="960"/>
      <c r="Z233" s="960"/>
      <c r="AA233" s="960"/>
      <c r="AB233" s="928"/>
      <c r="AC233" s="928"/>
      <c r="AD233" s="928"/>
      <c r="AE233" s="928"/>
      <c r="AF233" s="928"/>
      <c r="AG233" s="928"/>
      <c r="AH233" s="928"/>
      <c r="AI233" s="928"/>
      <c r="AJ233" s="928"/>
      <c r="AK233" s="928"/>
      <c r="AL233" s="928"/>
      <c r="AM233" s="928"/>
      <c r="AN233" s="928"/>
      <c r="AO233" s="928"/>
      <c r="AP233" s="928"/>
      <c r="AQ233" s="928"/>
      <c r="AR233" s="928"/>
      <c r="AS233" s="928"/>
    </row>
    <row r="234" spans="11:45">
      <c r="K234" s="957"/>
      <c r="L234" s="928"/>
      <c r="M234" s="928"/>
      <c r="N234" s="960"/>
      <c r="O234" s="960"/>
      <c r="P234" s="960"/>
      <c r="Q234" s="960"/>
      <c r="R234" s="960"/>
      <c r="S234" s="960"/>
      <c r="T234" s="960"/>
      <c r="U234" s="960"/>
      <c r="V234" s="960"/>
      <c r="W234" s="960"/>
      <c r="X234" s="960"/>
      <c r="Y234" s="960"/>
      <c r="Z234" s="960"/>
      <c r="AA234" s="960"/>
      <c r="AB234" s="928"/>
      <c r="AC234" s="928"/>
      <c r="AD234" s="928"/>
      <c r="AE234" s="928"/>
      <c r="AF234" s="928"/>
      <c r="AG234" s="928"/>
      <c r="AH234" s="928"/>
      <c r="AI234" s="928"/>
      <c r="AJ234" s="928"/>
      <c r="AK234" s="928"/>
      <c r="AL234" s="928"/>
      <c r="AM234" s="928"/>
      <c r="AN234" s="928"/>
      <c r="AO234" s="928"/>
      <c r="AP234" s="928"/>
      <c r="AQ234" s="928"/>
      <c r="AR234" s="928"/>
      <c r="AS234" s="928"/>
    </row>
    <row r="235" spans="11:45">
      <c r="K235" s="957"/>
      <c r="L235" s="928"/>
      <c r="M235" s="928"/>
      <c r="N235" s="960"/>
      <c r="O235" s="960"/>
      <c r="P235" s="960"/>
      <c r="Q235" s="960"/>
      <c r="R235" s="960"/>
      <c r="S235" s="960"/>
      <c r="T235" s="960"/>
      <c r="U235" s="960"/>
      <c r="V235" s="960"/>
      <c r="W235" s="960"/>
      <c r="X235" s="960"/>
      <c r="Y235" s="960"/>
      <c r="Z235" s="960"/>
      <c r="AA235" s="960"/>
      <c r="AB235" s="928"/>
      <c r="AC235" s="928"/>
      <c r="AD235" s="928"/>
      <c r="AE235" s="928"/>
      <c r="AF235" s="928"/>
      <c r="AG235" s="928"/>
      <c r="AH235" s="928"/>
      <c r="AI235" s="928"/>
      <c r="AJ235" s="928"/>
      <c r="AK235" s="928"/>
      <c r="AL235" s="928"/>
      <c r="AM235" s="928"/>
      <c r="AN235" s="928"/>
      <c r="AO235" s="928"/>
      <c r="AP235" s="928"/>
      <c r="AQ235" s="928"/>
      <c r="AR235" s="928"/>
      <c r="AS235" s="928"/>
    </row>
    <row r="236" spans="11:45">
      <c r="K236" s="957"/>
      <c r="L236" s="928"/>
      <c r="M236" s="928"/>
      <c r="N236" s="960"/>
      <c r="O236" s="960"/>
      <c r="P236" s="960"/>
      <c r="Q236" s="960"/>
      <c r="R236" s="960"/>
      <c r="S236" s="960"/>
      <c r="T236" s="960"/>
      <c r="U236" s="960"/>
      <c r="V236" s="960"/>
      <c r="W236" s="960"/>
      <c r="X236" s="960"/>
      <c r="Y236" s="960"/>
      <c r="Z236" s="960"/>
      <c r="AA236" s="960"/>
      <c r="AB236" s="928"/>
      <c r="AC236" s="928"/>
      <c r="AD236" s="928"/>
      <c r="AE236" s="928"/>
      <c r="AF236" s="928"/>
      <c r="AG236" s="928"/>
      <c r="AH236" s="928"/>
      <c r="AI236" s="928"/>
      <c r="AJ236" s="928"/>
      <c r="AK236" s="928"/>
      <c r="AL236" s="928"/>
      <c r="AM236" s="928"/>
      <c r="AN236" s="928"/>
      <c r="AO236" s="928"/>
      <c r="AP236" s="928"/>
      <c r="AQ236" s="928"/>
      <c r="AR236" s="928"/>
      <c r="AS236" s="928"/>
    </row>
    <row r="237" spans="11:45">
      <c r="K237" s="957"/>
      <c r="L237" s="928"/>
      <c r="M237" s="928"/>
      <c r="N237" s="960"/>
      <c r="O237" s="960"/>
      <c r="P237" s="960"/>
      <c r="Q237" s="960"/>
      <c r="R237" s="960"/>
      <c r="S237" s="960"/>
      <c r="T237" s="960"/>
      <c r="U237" s="960"/>
      <c r="V237" s="960"/>
      <c r="W237" s="960"/>
      <c r="X237" s="960"/>
      <c r="Y237" s="960"/>
      <c r="Z237" s="960"/>
      <c r="AA237" s="960"/>
      <c r="AB237" s="928"/>
      <c r="AC237" s="928"/>
      <c r="AD237" s="928"/>
      <c r="AE237" s="928"/>
      <c r="AF237" s="928"/>
      <c r="AG237" s="928"/>
      <c r="AH237" s="928"/>
      <c r="AI237" s="928"/>
      <c r="AJ237" s="928"/>
      <c r="AK237" s="928"/>
      <c r="AL237" s="928"/>
      <c r="AM237" s="928"/>
      <c r="AN237" s="928"/>
      <c r="AO237" s="928"/>
      <c r="AP237" s="928"/>
      <c r="AQ237" s="928"/>
      <c r="AR237" s="928"/>
      <c r="AS237" s="928"/>
    </row>
    <row r="238" spans="11:45">
      <c r="K238" s="957"/>
      <c r="L238" s="928"/>
      <c r="M238" s="928"/>
      <c r="N238" s="960"/>
      <c r="O238" s="960"/>
      <c r="P238" s="960"/>
      <c r="Q238" s="960"/>
      <c r="R238" s="960"/>
      <c r="S238" s="960"/>
      <c r="T238" s="960"/>
      <c r="U238" s="960"/>
      <c r="V238" s="960"/>
      <c r="W238" s="960"/>
      <c r="X238" s="960"/>
      <c r="Y238" s="960"/>
      <c r="Z238" s="960"/>
      <c r="AA238" s="960"/>
      <c r="AB238" s="928"/>
      <c r="AC238" s="928"/>
      <c r="AD238" s="928"/>
      <c r="AE238" s="928"/>
      <c r="AF238" s="928"/>
      <c r="AG238" s="928"/>
      <c r="AH238" s="928"/>
      <c r="AI238" s="928"/>
      <c r="AJ238" s="928"/>
      <c r="AK238" s="928"/>
      <c r="AL238" s="928"/>
      <c r="AM238" s="928"/>
      <c r="AN238" s="928"/>
      <c r="AO238" s="928"/>
      <c r="AP238" s="928"/>
      <c r="AQ238" s="928"/>
      <c r="AR238" s="928"/>
      <c r="AS238" s="928"/>
    </row>
    <row r="239" spans="11:45">
      <c r="K239" s="957"/>
      <c r="L239" s="928"/>
      <c r="M239" s="928"/>
      <c r="N239" s="960"/>
      <c r="O239" s="960"/>
      <c r="P239" s="960"/>
      <c r="Q239" s="960"/>
      <c r="R239" s="960"/>
      <c r="S239" s="960"/>
      <c r="T239" s="960"/>
      <c r="U239" s="960"/>
      <c r="V239" s="960"/>
      <c r="W239" s="960"/>
      <c r="X239" s="960"/>
      <c r="Y239" s="960"/>
      <c r="Z239" s="960"/>
      <c r="AA239" s="960"/>
      <c r="AB239" s="928"/>
      <c r="AC239" s="928"/>
      <c r="AD239" s="928"/>
      <c r="AE239" s="928"/>
      <c r="AF239" s="928"/>
      <c r="AG239" s="928"/>
      <c r="AH239" s="928"/>
      <c r="AI239" s="928"/>
      <c r="AJ239" s="928"/>
      <c r="AK239" s="928"/>
      <c r="AL239" s="928"/>
      <c r="AM239" s="928"/>
      <c r="AN239" s="928"/>
      <c r="AO239" s="928"/>
      <c r="AP239" s="928"/>
      <c r="AQ239" s="928"/>
      <c r="AR239" s="928"/>
      <c r="AS239" s="928"/>
    </row>
    <row r="240" spans="11:45">
      <c r="K240" s="957"/>
      <c r="L240" s="928"/>
      <c r="M240" s="928"/>
      <c r="N240" s="960"/>
      <c r="O240" s="960"/>
      <c r="P240" s="960"/>
      <c r="Q240" s="960"/>
      <c r="R240" s="960"/>
      <c r="S240" s="960"/>
      <c r="T240" s="960"/>
      <c r="U240" s="960"/>
      <c r="V240" s="960"/>
      <c r="W240" s="960"/>
      <c r="X240" s="960"/>
      <c r="Y240" s="960"/>
      <c r="Z240" s="960"/>
      <c r="AA240" s="960"/>
      <c r="AB240" s="928"/>
      <c r="AC240" s="928"/>
      <c r="AD240" s="928"/>
      <c r="AE240" s="928"/>
      <c r="AF240" s="928"/>
      <c r="AG240" s="928"/>
      <c r="AH240" s="928"/>
      <c r="AI240" s="928"/>
      <c r="AJ240" s="928"/>
      <c r="AK240" s="928"/>
      <c r="AL240" s="928"/>
      <c r="AM240" s="928"/>
      <c r="AN240" s="928"/>
      <c r="AO240" s="928"/>
      <c r="AP240" s="928"/>
      <c r="AQ240" s="928"/>
      <c r="AR240" s="928"/>
      <c r="AS240" s="928"/>
    </row>
    <row r="241" spans="11:45">
      <c r="K241" s="957"/>
      <c r="L241" s="928"/>
      <c r="M241" s="928"/>
      <c r="N241" s="960"/>
      <c r="O241" s="960"/>
      <c r="P241" s="960"/>
      <c r="Q241" s="960"/>
      <c r="R241" s="960"/>
      <c r="S241" s="960"/>
      <c r="T241" s="960"/>
      <c r="U241" s="960"/>
      <c r="V241" s="960"/>
      <c r="W241" s="960"/>
      <c r="X241" s="960"/>
      <c r="Y241" s="960"/>
      <c r="Z241" s="960"/>
      <c r="AA241" s="960"/>
      <c r="AB241" s="928"/>
      <c r="AC241" s="928"/>
      <c r="AD241" s="928"/>
      <c r="AE241" s="928"/>
      <c r="AF241" s="928"/>
      <c r="AG241" s="928"/>
      <c r="AH241" s="928"/>
      <c r="AI241" s="928"/>
      <c r="AJ241" s="928"/>
      <c r="AK241" s="928"/>
      <c r="AL241" s="928"/>
      <c r="AM241" s="928"/>
      <c r="AN241" s="928"/>
      <c r="AO241" s="928"/>
      <c r="AP241" s="928"/>
      <c r="AQ241" s="928"/>
      <c r="AR241" s="928"/>
      <c r="AS241" s="928"/>
    </row>
    <row r="242" spans="11:45">
      <c r="K242" s="957"/>
      <c r="L242" s="928"/>
      <c r="M242" s="928"/>
      <c r="N242" s="960"/>
      <c r="O242" s="960"/>
      <c r="P242" s="960"/>
      <c r="Q242" s="960"/>
      <c r="R242" s="960"/>
      <c r="S242" s="960"/>
      <c r="T242" s="960"/>
      <c r="U242" s="960"/>
      <c r="V242" s="960"/>
      <c r="W242" s="960"/>
      <c r="X242" s="960"/>
      <c r="Y242" s="960"/>
      <c r="Z242" s="960"/>
      <c r="AA242" s="960"/>
      <c r="AB242" s="928"/>
      <c r="AC242" s="928"/>
      <c r="AD242" s="928"/>
      <c r="AE242" s="928"/>
      <c r="AF242" s="928"/>
      <c r="AG242" s="928"/>
      <c r="AH242" s="928"/>
      <c r="AI242" s="928"/>
      <c r="AJ242" s="928"/>
      <c r="AK242" s="928"/>
      <c r="AL242" s="928"/>
      <c r="AM242" s="928"/>
      <c r="AN242" s="928"/>
      <c r="AO242" s="928"/>
      <c r="AP242" s="928"/>
      <c r="AQ242" s="928"/>
      <c r="AR242" s="928"/>
      <c r="AS242" s="928"/>
    </row>
    <row r="243" spans="11:45">
      <c r="K243" s="957"/>
      <c r="L243" s="928"/>
      <c r="M243" s="928"/>
      <c r="N243" s="960"/>
      <c r="O243" s="960"/>
      <c r="P243" s="960"/>
      <c r="Q243" s="960"/>
      <c r="R243" s="960"/>
      <c r="S243" s="960"/>
      <c r="T243" s="960"/>
      <c r="U243" s="960"/>
      <c r="V243" s="960"/>
      <c r="W243" s="960"/>
      <c r="X243" s="960"/>
      <c r="Y243" s="960"/>
      <c r="Z243" s="960"/>
      <c r="AA243" s="960"/>
      <c r="AB243" s="928"/>
      <c r="AC243" s="928"/>
      <c r="AD243" s="928"/>
      <c r="AE243" s="928"/>
      <c r="AF243" s="928"/>
      <c r="AG243" s="928"/>
      <c r="AH243" s="928"/>
      <c r="AI243" s="928"/>
      <c r="AJ243" s="928"/>
      <c r="AK243" s="928"/>
      <c r="AL243" s="928"/>
      <c r="AM243" s="928"/>
      <c r="AN243" s="928"/>
      <c r="AO243" s="928"/>
      <c r="AP243" s="928"/>
      <c r="AQ243" s="928"/>
      <c r="AR243" s="928"/>
      <c r="AS243" s="928"/>
    </row>
    <row r="244" spans="11:45">
      <c r="K244" s="957"/>
      <c r="L244" s="928"/>
      <c r="M244" s="928"/>
      <c r="N244" s="960"/>
      <c r="O244" s="960"/>
      <c r="P244" s="960"/>
      <c r="Q244" s="960"/>
      <c r="R244" s="960"/>
      <c r="S244" s="960"/>
      <c r="T244" s="960"/>
      <c r="U244" s="960"/>
      <c r="V244" s="960"/>
      <c r="W244" s="960"/>
      <c r="X244" s="960"/>
      <c r="Y244" s="960"/>
      <c r="Z244" s="960"/>
      <c r="AA244" s="960"/>
      <c r="AB244" s="928"/>
      <c r="AC244" s="928"/>
      <c r="AD244" s="928"/>
      <c r="AE244" s="928"/>
      <c r="AF244" s="928"/>
      <c r="AG244" s="928"/>
      <c r="AH244" s="928"/>
      <c r="AI244" s="928"/>
      <c r="AJ244" s="928"/>
      <c r="AK244" s="928"/>
      <c r="AL244" s="928"/>
      <c r="AM244" s="928"/>
      <c r="AN244" s="928"/>
      <c r="AO244" s="928"/>
      <c r="AP244" s="928"/>
      <c r="AQ244" s="928"/>
      <c r="AR244" s="928"/>
      <c r="AS244" s="928"/>
    </row>
    <row r="245" spans="11:45">
      <c r="K245" s="957"/>
      <c r="L245" s="928"/>
      <c r="M245" s="928"/>
      <c r="N245" s="960"/>
      <c r="O245" s="960"/>
      <c r="P245" s="960"/>
      <c r="Q245" s="960"/>
      <c r="R245" s="960"/>
      <c r="S245" s="960"/>
      <c r="T245" s="960"/>
      <c r="U245" s="960"/>
      <c r="V245" s="960"/>
      <c r="W245" s="960"/>
      <c r="X245" s="960"/>
      <c r="Y245" s="960"/>
      <c r="Z245" s="960"/>
      <c r="AA245" s="960"/>
      <c r="AB245" s="928"/>
      <c r="AC245" s="928"/>
      <c r="AD245" s="928"/>
      <c r="AE245" s="928"/>
      <c r="AF245" s="928"/>
      <c r="AG245" s="928"/>
      <c r="AH245" s="928"/>
      <c r="AI245" s="928"/>
      <c r="AJ245" s="928"/>
      <c r="AK245" s="928"/>
      <c r="AL245" s="928"/>
      <c r="AM245" s="928"/>
      <c r="AN245" s="928"/>
      <c r="AO245" s="928"/>
      <c r="AP245" s="928"/>
      <c r="AQ245" s="928"/>
      <c r="AR245" s="928"/>
      <c r="AS245" s="928"/>
    </row>
    <row r="246" spans="11:45">
      <c r="K246" s="957"/>
      <c r="L246" s="928"/>
      <c r="M246" s="928"/>
      <c r="N246" s="960"/>
      <c r="O246" s="960"/>
      <c r="P246" s="960"/>
      <c r="Q246" s="960"/>
      <c r="R246" s="960"/>
      <c r="S246" s="960"/>
      <c r="T246" s="960"/>
      <c r="U246" s="960"/>
      <c r="V246" s="960"/>
      <c r="W246" s="960"/>
      <c r="X246" s="960"/>
      <c r="Y246" s="960"/>
      <c r="Z246" s="960"/>
      <c r="AA246" s="960"/>
      <c r="AB246" s="928"/>
      <c r="AC246" s="928"/>
      <c r="AD246" s="928"/>
      <c r="AE246" s="928"/>
      <c r="AF246" s="928"/>
      <c r="AG246" s="928"/>
      <c r="AH246" s="928"/>
      <c r="AI246" s="928"/>
      <c r="AJ246" s="928"/>
      <c r="AK246" s="928"/>
      <c r="AL246" s="928"/>
      <c r="AM246" s="928"/>
      <c r="AN246" s="928"/>
      <c r="AO246" s="928"/>
      <c r="AP246" s="928"/>
      <c r="AQ246" s="928"/>
      <c r="AR246" s="928"/>
      <c r="AS246" s="928"/>
    </row>
    <row r="247" spans="11:45">
      <c r="K247" s="957"/>
      <c r="L247" s="928"/>
      <c r="M247" s="928"/>
      <c r="N247" s="960"/>
      <c r="O247" s="960"/>
      <c r="P247" s="960"/>
      <c r="Q247" s="960"/>
      <c r="R247" s="960"/>
      <c r="S247" s="960"/>
      <c r="T247" s="960"/>
      <c r="U247" s="960"/>
      <c r="V247" s="960"/>
      <c r="W247" s="960"/>
      <c r="X247" s="960"/>
      <c r="Y247" s="960"/>
      <c r="Z247" s="960"/>
      <c r="AA247" s="960"/>
      <c r="AB247" s="928"/>
      <c r="AC247" s="928"/>
      <c r="AD247" s="928"/>
      <c r="AE247" s="928"/>
      <c r="AF247" s="928"/>
      <c r="AG247" s="928"/>
      <c r="AH247" s="928"/>
      <c r="AI247" s="928"/>
      <c r="AJ247" s="928"/>
      <c r="AK247" s="928"/>
      <c r="AL247" s="928"/>
      <c r="AM247" s="928"/>
      <c r="AN247" s="928"/>
      <c r="AO247" s="928"/>
      <c r="AP247" s="928"/>
      <c r="AQ247" s="928"/>
      <c r="AR247" s="928"/>
      <c r="AS247" s="928"/>
    </row>
    <row r="248" spans="11:45">
      <c r="K248" s="957"/>
      <c r="L248" s="928"/>
      <c r="M248" s="928"/>
      <c r="N248" s="960"/>
      <c r="O248" s="960"/>
      <c r="P248" s="960"/>
      <c r="Q248" s="960"/>
      <c r="R248" s="960"/>
      <c r="S248" s="960"/>
      <c r="T248" s="960"/>
      <c r="U248" s="960"/>
      <c r="V248" s="960"/>
      <c r="W248" s="960"/>
      <c r="X248" s="960"/>
      <c r="Y248" s="960"/>
      <c r="Z248" s="960"/>
      <c r="AA248" s="960"/>
      <c r="AB248" s="928"/>
      <c r="AC248" s="928"/>
      <c r="AD248" s="928"/>
      <c r="AE248" s="928"/>
      <c r="AF248" s="928"/>
      <c r="AG248" s="928"/>
      <c r="AH248" s="928"/>
      <c r="AI248" s="928"/>
      <c r="AJ248" s="928"/>
      <c r="AK248" s="928"/>
      <c r="AL248" s="928"/>
      <c r="AM248" s="928"/>
      <c r="AN248" s="928"/>
      <c r="AO248" s="928"/>
      <c r="AP248" s="928"/>
      <c r="AQ248" s="928"/>
      <c r="AR248" s="928"/>
      <c r="AS248" s="928"/>
    </row>
    <row r="249" spans="11:45">
      <c r="K249" s="957"/>
      <c r="L249" s="928"/>
      <c r="M249" s="928"/>
      <c r="N249" s="960"/>
      <c r="O249" s="960"/>
      <c r="P249" s="960"/>
      <c r="Q249" s="960"/>
      <c r="R249" s="960"/>
      <c r="S249" s="960"/>
      <c r="T249" s="960"/>
      <c r="U249" s="960"/>
      <c r="V249" s="960"/>
      <c r="W249" s="960"/>
      <c r="X249" s="960"/>
      <c r="Y249" s="960"/>
      <c r="Z249" s="960"/>
      <c r="AA249" s="960"/>
      <c r="AB249" s="928"/>
      <c r="AC249" s="928"/>
      <c r="AD249" s="928"/>
      <c r="AE249" s="928"/>
      <c r="AF249" s="928"/>
      <c r="AG249" s="928"/>
      <c r="AH249" s="928"/>
      <c r="AI249" s="928"/>
      <c r="AJ249" s="928"/>
      <c r="AK249" s="928"/>
      <c r="AL249" s="928"/>
      <c r="AM249" s="928"/>
      <c r="AN249" s="928"/>
      <c r="AO249" s="928"/>
      <c r="AP249" s="928"/>
      <c r="AQ249" s="928"/>
      <c r="AR249" s="928"/>
      <c r="AS249" s="928"/>
    </row>
    <row r="250" spans="11:45">
      <c r="K250" s="957"/>
      <c r="L250" s="928"/>
      <c r="M250" s="928"/>
      <c r="N250" s="960"/>
      <c r="O250" s="960"/>
      <c r="P250" s="960"/>
      <c r="Q250" s="960"/>
      <c r="R250" s="960"/>
      <c r="S250" s="960"/>
      <c r="T250" s="960"/>
      <c r="U250" s="960"/>
      <c r="V250" s="960"/>
      <c r="W250" s="960"/>
      <c r="X250" s="960"/>
      <c r="Y250" s="960"/>
      <c r="Z250" s="960"/>
      <c r="AA250" s="960"/>
      <c r="AB250" s="928"/>
      <c r="AC250" s="928"/>
      <c r="AD250" s="928"/>
      <c r="AE250" s="928"/>
      <c r="AF250" s="928"/>
      <c r="AG250" s="928"/>
      <c r="AH250" s="928"/>
      <c r="AI250" s="928"/>
      <c r="AJ250" s="928"/>
      <c r="AK250" s="928"/>
      <c r="AL250" s="928"/>
      <c r="AM250" s="928"/>
      <c r="AN250" s="928"/>
      <c r="AO250" s="928"/>
      <c r="AP250" s="928"/>
      <c r="AQ250" s="928"/>
      <c r="AR250" s="928"/>
      <c r="AS250" s="928"/>
    </row>
    <row r="251" spans="11:45">
      <c r="K251" s="957"/>
      <c r="L251" s="928"/>
      <c r="M251" s="928"/>
      <c r="N251" s="960"/>
      <c r="O251" s="960"/>
      <c r="P251" s="960"/>
      <c r="Q251" s="960"/>
      <c r="R251" s="960"/>
      <c r="S251" s="960"/>
      <c r="T251" s="960"/>
      <c r="U251" s="960"/>
      <c r="V251" s="960"/>
      <c r="W251" s="960"/>
      <c r="X251" s="960"/>
      <c r="Y251" s="960"/>
      <c r="Z251" s="960"/>
      <c r="AA251" s="960"/>
      <c r="AB251" s="928"/>
      <c r="AC251" s="928"/>
      <c r="AD251" s="928"/>
      <c r="AE251" s="928"/>
      <c r="AF251" s="928"/>
      <c r="AG251" s="928"/>
      <c r="AH251" s="928"/>
      <c r="AI251" s="928"/>
      <c r="AJ251" s="928"/>
      <c r="AK251" s="928"/>
      <c r="AL251" s="928"/>
      <c r="AM251" s="928"/>
      <c r="AN251" s="928"/>
      <c r="AO251" s="928"/>
      <c r="AP251" s="928"/>
      <c r="AQ251" s="928"/>
      <c r="AR251" s="928"/>
      <c r="AS251" s="928"/>
    </row>
    <row r="252" spans="11:45">
      <c r="K252" s="957"/>
      <c r="L252" s="928"/>
      <c r="M252" s="928"/>
      <c r="N252" s="960"/>
      <c r="O252" s="960"/>
      <c r="P252" s="960"/>
      <c r="Q252" s="960"/>
      <c r="R252" s="960"/>
      <c r="S252" s="960"/>
      <c r="T252" s="960"/>
      <c r="U252" s="960"/>
      <c r="V252" s="960"/>
      <c r="W252" s="960"/>
      <c r="X252" s="960"/>
      <c r="Y252" s="960"/>
      <c r="Z252" s="960"/>
      <c r="AA252" s="960"/>
      <c r="AB252" s="928"/>
      <c r="AC252" s="928"/>
      <c r="AD252" s="928"/>
      <c r="AE252" s="928"/>
      <c r="AF252" s="928"/>
      <c r="AG252" s="928"/>
      <c r="AH252" s="928"/>
      <c r="AI252" s="928"/>
      <c r="AJ252" s="928"/>
      <c r="AK252" s="928"/>
      <c r="AL252" s="928"/>
      <c r="AM252" s="928"/>
      <c r="AN252" s="928"/>
      <c r="AO252" s="928"/>
      <c r="AP252" s="928"/>
      <c r="AQ252" s="928"/>
      <c r="AR252" s="928"/>
      <c r="AS252" s="928"/>
    </row>
    <row r="253" spans="11:45">
      <c r="K253" s="957"/>
      <c r="L253" s="928"/>
      <c r="M253" s="928"/>
      <c r="N253" s="960"/>
      <c r="O253" s="960"/>
      <c r="P253" s="960"/>
      <c r="Q253" s="960"/>
      <c r="R253" s="960"/>
      <c r="S253" s="960"/>
      <c r="T253" s="960"/>
      <c r="U253" s="960"/>
      <c r="V253" s="960"/>
      <c r="W253" s="960"/>
      <c r="X253" s="960"/>
      <c r="Y253" s="960"/>
      <c r="Z253" s="960"/>
      <c r="AA253" s="960"/>
      <c r="AB253" s="928"/>
      <c r="AC253" s="928"/>
      <c r="AD253" s="928"/>
      <c r="AE253" s="928"/>
      <c r="AF253" s="928"/>
      <c r="AG253" s="928"/>
      <c r="AH253" s="928"/>
      <c r="AI253" s="928"/>
      <c r="AJ253" s="928"/>
      <c r="AK253" s="928"/>
      <c r="AL253" s="928"/>
      <c r="AM253" s="928"/>
      <c r="AN253" s="928"/>
      <c r="AO253" s="928"/>
      <c r="AP253" s="928"/>
      <c r="AQ253" s="928"/>
      <c r="AR253" s="928"/>
      <c r="AS253" s="928"/>
    </row>
    <row r="254" spans="11:45">
      <c r="K254" s="957"/>
      <c r="L254" s="928"/>
      <c r="M254" s="928"/>
      <c r="N254" s="960"/>
      <c r="O254" s="960"/>
      <c r="P254" s="960"/>
      <c r="Q254" s="960"/>
      <c r="R254" s="960"/>
      <c r="S254" s="960"/>
      <c r="T254" s="960"/>
      <c r="U254" s="960"/>
      <c r="V254" s="960"/>
      <c r="W254" s="960"/>
      <c r="X254" s="960"/>
      <c r="Y254" s="960"/>
      <c r="Z254" s="960"/>
      <c r="AA254" s="960"/>
      <c r="AB254" s="928"/>
      <c r="AC254" s="928"/>
      <c r="AD254" s="928"/>
      <c r="AE254" s="928"/>
      <c r="AF254" s="928"/>
      <c r="AG254" s="928"/>
      <c r="AH254" s="928"/>
      <c r="AI254" s="928"/>
      <c r="AJ254" s="928"/>
      <c r="AK254" s="928"/>
      <c r="AL254" s="928"/>
      <c r="AM254" s="928"/>
      <c r="AN254" s="928"/>
      <c r="AO254" s="928"/>
      <c r="AP254" s="928"/>
      <c r="AQ254" s="928"/>
      <c r="AR254" s="928"/>
      <c r="AS254" s="928"/>
    </row>
    <row r="255" spans="11:45">
      <c r="K255" s="957"/>
      <c r="L255" s="928"/>
      <c r="M255" s="928"/>
      <c r="N255" s="960"/>
      <c r="O255" s="960"/>
      <c r="P255" s="960"/>
      <c r="Q255" s="960"/>
      <c r="R255" s="960"/>
      <c r="S255" s="960"/>
      <c r="T255" s="960"/>
      <c r="U255" s="960"/>
      <c r="V255" s="960"/>
      <c r="W255" s="960"/>
      <c r="X255" s="960"/>
      <c r="Y255" s="960"/>
      <c r="Z255" s="960"/>
      <c r="AA255" s="960"/>
      <c r="AB255" s="928"/>
      <c r="AC255" s="928"/>
      <c r="AD255" s="928"/>
      <c r="AE255" s="928"/>
      <c r="AF255" s="928"/>
      <c r="AG255" s="928"/>
      <c r="AH255" s="928"/>
      <c r="AI255" s="928"/>
      <c r="AJ255" s="928"/>
      <c r="AK255" s="928"/>
      <c r="AL255" s="928"/>
      <c r="AM255" s="928"/>
      <c r="AN255" s="928"/>
      <c r="AO255" s="928"/>
      <c r="AP255" s="928"/>
      <c r="AQ255" s="928"/>
      <c r="AR255" s="928"/>
      <c r="AS255" s="928"/>
    </row>
    <row r="256" spans="11:45">
      <c r="K256" s="957"/>
      <c r="L256" s="928"/>
      <c r="M256" s="928"/>
      <c r="N256" s="960"/>
      <c r="O256" s="960"/>
      <c r="P256" s="960"/>
      <c r="Q256" s="960"/>
      <c r="R256" s="960"/>
      <c r="S256" s="960"/>
      <c r="T256" s="960"/>
      <c r="U256" s="960"/>
      <c r="V256" s="960"/>
      <c r="W256" s="960"/>
      <c r="X256" s="960"/>
      <c r="Y256" s="960"/>
      <c r="Z256" s="960"/>
      <c r="AA256" s="960"/>
      <c r="AB256" s="928"/>
      <c r="AC256" s="928"/>
      <c r="AD256" s="928"/>
      <c r="AE256" s="928"/>
      <c r="AF256" s="928"/>
      <c r="AG256" s="928"/>
      <c r="AH256" s="928"/>
      <c r="AI256" s="928"/>
      <c r="AJ256" s="928"/>
      <c r="AK256" s="928"/>
      <c r="AL256" s="928"/>
      <c r="AM256" s="928"/>
      <c r="AN256" s="928"/>
      <c r="AO256" s="928"/>
      <c r="AP256" s="928"/>
      <c r="AQ256" s="928"/>
      <c r="AR256" s="928"/>
      <c r="AS256" s="928"/>
    </row>
    <row r="257" spans="11:45">
      <c r="K257" s="957"/>
      <c r="L257" s="928"/>
      <c r="M257" s="928"/>
      <c r="N257" s="960"/>
      <c r="O257" s="960"/>
      <c r="P257" s="960"/>
      <c r="Q257" s="960"/>
      <c r="R257" s="960"/>
      <c r="S257" s="960"/>
      <c r="T257" s="960"/>
      <c r="U257" s="960"/>
      <c r="V257" s="960"/>
      <c r="W257" s="960"/>
      <c r="X257" s="960"/>
      <c r="Y257" s="960"/>
      <c r="Z257" s="960"/>
      <c r="AA257" s="960"/>
      <c r="AB257" s="928"/>
      <c r="AC257" s="928"/>
      <c r="AD257" s="928"/>
      <c r="AE257" s="928"/>
      <c r="AF257" s="928"/>
      <c r="AG257" s="928"/>
      <c r="AH257" s="928"/>
      <c r="AI257" s="928"/>
      <c r="AJ257" s="928"/>
      <c r="AK257" s="928"/>
      <c r="AL257" s="928"/>
      <c r="AM257" s="928"/>
      <c r="AN257" s="928"/>
      <c r="AO257" s="928"/>
      <c r="AP257" s="928"/>
      <c r="AQ257" s="928"/>
      <c r="AR257" s="928"/>
      <c r="AS257" s="928"/>
    </row>
    <row r="258" spans="11:45">
      <c r="K258" s="957"/>
      <c r="L258" s="928"/>
      <c r="M258" s="928"/>
      <c r="N258" s="960"/>
      <c r="O258" s="960"/>
      <c r="P258" s="960"/>
      <c r="Q258" s="960"/>
      <c r="R258" s="960"/>
      <c r="S258" s="960"/>
      <c r="T258" s="960"/>
      <c r="U258" s="960"/>
      <c r="V258" s="960"/>
      <c r="W258" s="960"/>
      <c r="X258" s="960"/>
      <c r="Y258" s="960"/>
      <c r="Z258" s="960"/>
      <c r="AA258" s="960"/>
      <c r="AB258" s="928"/>
      <c r="AC258" s="928"/>
      <c r="AD258" s="928"/>
      <c r="AE258" s="928"/>
      <c r="AF258" s="928"/>
      <c r="AG258" s="928"/>
      <c r="AH258" s="928"/>
      <c r="AI258" s="928"/>
      <c r="AJ258" s="928"/>
      <c r="AK258" s="928"/>
      <c r="AL258" s="928"/>
      <c r="AM258" s="928"/>
      <c r="AN258" s="928"/>
      <c r="AO258" s="928"/>
      <c r="AP258" s="928"/>
      <c r="AQ258" s="928"/>
      <c r="AR258" s="928"/>
      <c r="AS258" s="928"/>
    </row>
    <row r="259" spans="11:45">
      <c r="K259" s="957"/>
      <c r="L259" s="928"/>
      <c r="M259" s="928"/>
      <c r="N259" s="960"/>
      <c r="O259" s="960"/>
      <c r="P259" s="960"/>
      <c r="Q259" s="960"/>
      <c r="R259" s="960"/>
      <c r="S259" s="960"/>
      <c r="T259" s="960"/>
      <c r="U259" s="960"/>
      <c r="V259" s="960"/>
      <c r="W259" s="960"/>
      <c r="X259" s="960"/>
      <c r="Y259" s="960"/>
      <c r="Z259" s="960"/>
      <c r="AA259" s="960"/>
      <c r="AB259" s="928"/>
      <c r="AC259" s="928"/>
      <c r="AD259" s="928"/>
      <c r="AE259" s="928"/>
      <c r="AF259" s="928"/>
      <c r="AG259" s="928"/>
      <c r="AH259" s="928"/>
      <c r="AI259" s="928"/>
      <c r="AJ259" s="928"/>
      <c r="AK259" s="928"/>
      <c r="AL259" s="928"/>
      <c r="AM259" s="928"/>
      <c r="AN259" s="928"/>
      <c r="AO259" s="928"/>
      <c r="AP259" s="928"/>
      <c r="AQ259" s="928"/>
      <c r="AR259" s="928"/>
      <c r="AS259" s="928"/>
    </row>
    <row r="260" spans="11:45">
      <c r="K260" s="957"/>
      <c r="L260" s="928"/>
      <c r="M260" s="928"/>
      <c r="N260" s="960"/>
      <c r="O260" s="960"/>
      <c r="P260" s="960"/>
      <c r="Q260" s="960"/>
      <c r="R260" s="960"/>
      <c r="S260" s="960"/>
      <c r="T260" s="960"/>
      <c r="U260" s="960"/>
      <c r="V260" s="960"/>
      <c r="W260" s="960"/>
      <c r="X260" s="960"/>
      <c r="Y260" s="960"/>
      <c r="Z260" s="960"/>
      <c r="AA260" s="960"/>
      <c r="AB260" s="928"/>
      <c r="AC260" s="928"/>
      <c r="AD260" s="928"/>
      <c r="AE260" s="928"/>
      <c r="AF260" s="928"/>
      <c r="AG260" s="928"/>
      <c r="AH260" s="928"/>
      <c r="AI260" s="928"/>
      <c r="AJ260" s="928"/>
      <c r="AK260" s="928"/>
      <c r="AL260" s="928"/>
      <c r="AM260" s="928"/>
      <c r="AN260" s="928"/>
      <c r="AO260" s="928"/>
      <c r="AP260" s="928"/>
      <c r="AQ260" s="928"/>
      <c r="AR260" s="928"/>
      <c r="AS260" s="928"/>
    </row>
    <row r="261" spans="11:45">
      <c r="K261" s="957"/>
      <c r="L261" s="928"/>
      <c r="M261" s="928"/>
      <c r="N261" s="960"/>
      <c r="O261" s="960"/>
      <c r="P261" s="960"/>
      <c r="Q261" s="960"/>
      <c r="R261" s="960"/>
      <c r="S261" s="960"/>
      <c r="T261" s="960"/>
      <c r="U261" s="960"/>
      <c r="V261" s="960"/>
      <c r="W261" s="960"/>
      <c r="X261" s="960"/>
      <c r="Y261" s="960"/>
      <c r="Z261" s="960"/>
      <c r="AA261" s="960"/>
      <c r="AB261" s="928"/>
      <c r="AC261" s="928"/>
      <c r="AD261" s="928"/>
      <c r="AE261" s="928"/>
      <c r="AF261" s="928"/>
      <c r="AG261" s="928"/>
      <c r="AH261" s="928"/>
      <c r="AI261" s="928"/>
      <c r="AJ261" s="928"/>
      <c r="AK261" s="928"/>
      <c r="AL261" s="928"/>
      <c r="AM261" s="928"/>
      <c r="AN261" s="928"/>
      <c r="AO261" s="928"/>
      <c r="AP261" s="928"/>
      <c r="AQ261" s="928"/>
      <c r="AR261" s="928"/>
      <c r="AS261" s="928"/>
    </row>
    <row r="262" spans="11:45">
      <c r="K262" s="957"/>
      <c r="L262" s="928"/>
      <c r="M262" s="928"/>
      <c r="N262" s="960"/>
      <c r="O262" s="960"/>
      <c r="P262" s="960"/>
      <c r="Q262" s="960"/>
      <c r="R262" s="960"/>
      <c r="S262" s="960"/>
      <c r="T262" s="960"/>
      <c r="U262" s="960"/>
      <c r="V262" s="960"/>
      <c r="W262" s="960"/>
      <c r="X262" s="960"/>
      <c r="Y262" s="960"/>
      <c r="Z262" s="960"/>
      <c r="AA262" s="960"/>
      <c r="AB262" s="928"/>
      <c r="AC262" s="928"/>
      <c r="AD262" s="928"/>
      <c r="AE262" s="928"/>
      <c r="AF262" s="928"/>
      <c r="AG262" s="928"/>
      <c r="AH262" s="928"/>
      <c r="AI262" s="928"/>
      <c r="AJ262" s="928"/>
      <c r="AK262" s="928"/>
      <c r="AL262" s="928"/>
      <c r="AM262" s="928"/>
      <c r="AN262" s="928"/>
      <c r="AO262" s="928"/>
      <c r="AP262" s="928"/>
      <c r="AQ262" s="928"/>
      <c r="AR262" s="928"/>
      <c r="AS262" s="928"/>
    </row>
    <row r="263" spans="11:45">
      <c r="K263" s="957"/>
      <c r="L263" s="928"/>
      <c r="M263" s="928"/>
      <c r="N263" s="960"/>
      <c r="O263" s="960"/>
      <c r="P263" s="960"/>
      <c r="Q263" s="960"/>
      <c r="R263" s="960"/>
      <c r="S263" s="960"/>
      <c r="T263" s="960"/>
      <c r="U263" s="960"/>
      <c r="V263" s="960"/>
      <c r="W263" s="960"/>
      <c r="X263" s="960"/>
      <c r="Y263" s="960"/>
      <c r="Z263" s="960"/>
      <c r="AA263" s="960"/>
      <c r="AB263" s="928"/>
      <c r="AC263" s="928"/>
      <c r="AD263" s="928"/>
      <c r="AE263" s="928"/>
      <c r="AF263" s="928"/>
      <c r="AG263" s="928"/>
      <c r="AH263" s="928"/>
      <c r="AI263" s="928"/>
      <c r="AJ263" s="928"/>
      <c r="AK263" s="928"/>
      <c r="AL263" s="928"/>
      <c r="AM263" s="928"/>
      <c r="AN263" s="928"/>
      <c r="AO263" s="928"/>
      <c r="AP263" s="928"/>
      <c r="AQ263" s="928"/>
      <c r="AR263" s="928"/>
      <c r="AS263" s="928"/>
    </row>
    <row r="264" spans="11:45">
      <c r="K264" s="957"/>
      <c r="L264" s="928"/>
      <c r="M264" s="928"/>
      <c r="N264" s="960"/>
      <c r="O264" s="960"/>
      <c r="P264" s="960"/>
      <c r="Q264" s="960"/>
      <c r="R264" s="960"/>
      <c r="S264" s="960"/>
      <c r="T264" s="960"/>
      <c r="U264" s="960"/>
      <c r="V264" s="960"/>
      <c r="W264" s="960"/>
      <c r="X264" s="960"/>
      <c r="Y264" s="960"/>
      <c r="Z264" s="960"/>
      <c r="AA264" s="960"/>
      <c r="AB264" s="928"/>
      <c r="AC264" s="928"/>
      <c r="AD264" s="928"/>
      <c r="AE264" s="928"/>
      <c r="AF264" s="928"/>
      <c r="AG264" s="928"/>
      <c r="AH264" s="928"/>
      <c r="AI264" s="928"/>
      <c r="AJ264" s="928"/>
      <c r="AK264" s="928"/>
      <c r="AL264" s="928"/>
      <c r="AM264" s="928"/>
      <c r="AN264" s="928"/>
      <c r="AO264" s="928"/>
      <c r="AP264" s="928"/>
      <c r="AQ264" s="928"/>
      <c r="AR264" s="928"/>
      <c r="AS264" s="928"/>
    </row>
    <row r="265" spans="11:45">
      <c r="K265" s="957"/>
      <c r="L265" s="928"/>
      <c r="M265" s="928"/>
      <c r="N265" s="960"/>
      <c r="O265" s="960"/>
      <c r="P265" s="960"/>
      <c r="Q265" s="960"/>
      <c r="R265" s="960"/>
      <c r="S265" s="960"/>
      <c r="T265" s="960"/>
      <c r="U265" s="960"/>
      <c r="V265" s="960"/>
      <c r="W265" s="960"/>
      <c r="X265" s="960"/>
      <c r="Y265" s="960"/>
      <c r="Z265" s="960"/>
      <c r="AA265" s="960"/>
      <c r="AB265" s="928"/>
      <c r="AC265" s="928"/>
      <c r="AD265" s="928"/>
      <c r="AE265" s="928"/>
      <c r="AF265" s="928"/>
      <c r="AG265" s="928"/>
      <c r="AH265" s="928"/>
      <c r="AI265" s="928"/>
      <c r="AJ265" s="928"/>
      <c r="AK265" s="928"/>
      <c r="AL265" s="928"/>
      <c r="AM265" s="928"/>
      <c r="AN265" s="928"/>
      <c r="AO265" s="928"/>
      <c r="AP265" s="928"/>
      <c r="AQ265" s="928"/>
      <c r="AR265" s="928"/>
      <c r="AS265" s="928"/>
    </row>
    <row r="266" spans="11:45">
      <c r="K266" s="957"/>
      <c r="L266" s="928"/>
      <c r="M266" s="928"/>
      <c r="N266" s="960"/>
      <c r="O266" s="960"/>
      <c r="P266" s="960"/>
      <c r="Q266" s="960"/>
      <c r="R266" s="960"/>
      <c r="S266" s="960"/>
      <c r="T266" s="960"/>
      <c r="U266" s="960"/>
      <c r="V266" s="960"/>
      <c r="W266" s="960"/>
      <c r="X266" s="960"/>
      <c r="Y266" s="960"/>
      <c r="Z266" s="960"/>
      <c r="AA266" s="960"/>
      <c r="AB266" s="928"/>
      <c r="AC266" s="928"/>
      <c r="AD266" s="928"/>
      <c r="AE266" s="928"/>
      <c r="AF266" s="928"/>
      <c r="AG266" s="928"/>
      <c r="AH266" s="928"/>
      <c r="AI266" s="928"/>
      <c r="AJ266" s="928"/>
      <c r="AK266" s="928"/>
      <c r="AL266" s="928"/>
      <c r="AM266" s="928"/>
      <c r="AN266" s="928"/>
      <c r="AO266" s="928"/>
      <c r="AP266" s="928"/>
      <c r="AQ266" s="928"/>
      <c r="AR266" s="928"/>
      <c r="AS266" s="928"/>
    </row>
    <row r="267" spans="11:45">
      <c r="K267" s="957"/>
      <c r="L267" s="928"/>
      <c r="M267" s="928"/>
      <c r="N267" s="960"/>
      <c r="O267" s="960"/>
      <c r="P267" s="960"/>
      <c r="Q267" s="960"/>
      <c r="R267" s="960"/>
      <c r="S267" s="960"/>
      <c r="T267" s="960"/>
      <c r="U267" s="960"/>
      <c r="V267" s="960"/>
      <c r="W267" s="960"/>
      <c r="X267" s="960"/>
      <c r="Y267" s="960"/>
      <c r="Z267" s="960"/>
      <c r="AA267" s="960"/>
      <c r="AB267" s="928"/>
      <c r="AC267" s="928"/>
      <c r="AD267" s="928"/>
      <c r="AE267" s="928"/>
      <c r="AF267" s="928"/>
      <c r="AG267" s="928"/>
      <c r="AH267" s="928"/>
      <c r="AI267" s="928"/>
      <c r="AJ267" s="928"/>
      <c r="AK267" s="928"/>
      <c r="AL267" s="928"/>
      <c r="AM267" s="928"/>
      <c r="AN267" s="928"/>
      <c r="AO267" s="928"/>
      <c r="AP267" s="928"/>
      <c r="AQ267" s="928"/>
      <c r="AR267" s="928"/>
      <c r="AS267" s="928"/>
    </row>
    <row r="268" spans="11:45">
      <c r="K268" s="957"/>
      <c r="L268" s="928"/>
      <c r="M268" s="928"/>
      <c r="N268" s="960"/>
      <c r="O268" s="960"/>
      <c r="P268" s="960"/>
      <c r="Q268" s="960"/>
      <c r="R268" s="960"/>
      <c r="S268" s="960"/>
      <c r="T268" s="960"/>
      <c r="U268" s="960"/>
      <c r="V268" s="960"/>
      <c r="W268" s="960"/>
      <c r="X268" s="960"/>
      <c r="Y268" s="960"/>
      <c r="Z268" s="960"/>
      <c r="AA268" s="960"/>
      <c r="AB268" s="928"/>
      <c r="AC268" s="928"/>
      <c r="AD268" s="928"/>
      <c r="AE268" s="928"/>
      <c r="AF268" s="928"/>
      <c r="AG268" s="928"/>
      <c r="AH268" s="928"/>
      <c r="AI268" s="928"/>
      <c r="AJ268" s="928"/>
      <c r="AK268" s="928"/>
      <c r="AL268" s="928"/>
      <c r="AM268" s="928"/>
      <c r="AN268" s="928"/>
      <c r="AO268" s="928"/>
      <c r="AP268" s="928"/>
      <c r="AQ268" s="928"/>
      <c r="AR268" s="928"/>
      <c r="AS268" s="928"/>
    </row>
    <row r="269" spans="11:45">
      <c r="K269" s="957"/>
      <c r="L269" s="928"/>
      <c r="M269" s="928"/>
      <c r="N269" s="960"/>
      <c r="O269" s="960"/>
      <c r="P269" s="960"/>
      <c r="Q269" s="960"/>
      <c r="R269" s="960"/>
      <c r="S269" s="960"/>
      <c r="T269" s="960"/>
      <c r="U269" s="960"/>
      <c r="V269" s="960"/>
      <c r="W269" s="960"/>
      <c r="X269" s="960"/>
      <c r="Y269" s="960"/>
      <c r="Z269" s="960"/>
      <c r="AA269" s="960"/>
      <c r="AB269" s="928"/>
      <c r="AC269" s="928"/>
      <c r="AD269" s="928"/>
      <c r="AE269" s="928"/>
      <c r="AF269" s="928"/>
      <c r="AG269" s="928"/>
      <c r="AH269" s="928"/>
      <c r="AI269" s="928"/>
      <c r="AJ269" s="928"/>
      <c r="AK269" s="928"/>
      <c r="AL269" s="928"/>
      <c r="AM269" s="928"/>
      <c r="AN269" s="928"/>
      <c r="AO269" s="928"/>
      <c r="AP269" s="928"/>
      <c r="AQ269" s="928"/>
      <c r="AR269" s="928"/>
      <c r="AS269" s="928"/>
    </row>
    <row r="270" spans="11:45">
      <c r="K270" s="957"/>
      <c r="L270" s="928"/>
      <c r="M270" s="928"/>
      <c r="N270" s="960"/>
      <c r="O270" s="960"/>
      <c r="P270" s="960"/>
      <c r="Q270" s="960"/>
      <c r="R270" s="960"/>
      <c r="S270" s="960"/>
      <c r="T270" s="960"/>
      <c r="U270" s="960"/>
      <c r="V270" s="960"/>
      <c r="W270" s="960"/>
      <c r="X270" s="960"/>
      <c r="Y270" s="960"/>
      <c r="Z270" s="960"/>
      <c r="AA270" s="960"/>
      <c r="AB270" s="928"/>
      <c r="AC270" s="928"/>
      <c r="AD270" s="928"/>
      <c r="AE270" s="928"/>
      <c r="AF270" s="928"/>
      <c r="AG270" s="928"/>
      <c r="AH270" s="928"/>
      <c r="AI270" s="928"/>
      <c r="AJ270" s="928"/>
      <c r="AK270" s="928"/>
      <c r="AL270" s="928"/>
      <c r="AM270" s="928"/>
      <c r="AN270" s="928"/>
      <c r="AO270" s="928"/>
      <c r="AP270" s="928"/>
      <c r="AQ270" s="928"/>
      <c r="AR270" s="928"/>
      <c r="AS270" s="928"/>
    </row>
    <row r="271" spans="11:45">
      <c r="K271" s="957"/>
      <c r="L271" s="928"/>
      <c r="M271" s="928"/>
      <c r="N271" s="960"/>
      <c r="O271" s="960"/>
      <c r="P271" s="960"/>
      <c r="Q271" s="960"/>
      <c r="R271" s="960"/>
      <c r="S271" s="960"/>
      <c r="T271" s="960"/>
      <c r="U271" s="960"/>
      <c r="V271" s="960"/>
      <c r="W271" s="960"/>
      <c r="X271" s="960"/>
      <c r="Y271" s="960"/>
      <c r="Z271" s="960"/>
      <c r="AA271" s="960"/>
      <c r="AB271" s="928"/>
      <c r="AC271" s="928"/>
      <c r="AD271" s="928"/>
      <c r="AE271" s="928"/>
      <c r="AF271" s="928"/>
      <c r="AG271" s="928"/>
      <c r="AH271" s="928"/>
      <c r="AI271" s="928"/>
      <c r="AJ271" s="928"/>
      <c r="AK271" s="928"/>
      <c r="AL271" s="928"/>
      <c r="AM271" s="928"/>
      <c r="AN271" s="928"/>
      <c r="AO271" s="928"/>
      <c r="AP271" s="928"/>
      <c r="AQ271" s="928"/>
      <c r="AR271" s="928"/>
      <c r="AS271" s="928"/>
    </row>
    <row r="272" spans="11:45">
      <c r="K272" s="957"/>
      <c r="L272" s="928"/>
      <c r="M272" s="928"/>
      <c r="N272" s="960"/>
      <c r="O272" s="960"/>
      <c r="P272" s="960"/>
      <c r="Q272" s="960"/>
      <c r="R272" s="960"/>
      <c r="S272" s="960"/>
      <c r="T272" s="960"/>
      <c r="U272" s="960"/>
      <c r="V272" s="960"/>
      <c r="W272" s="960"/>
      <c r="X272" s="960"/>
      <c r="Y272" s="960"/>
      <c r="Z272" s="960"/>
      <c r="AA272" s="960"/>
      <c r="AB272" s="928"/>
      <c r="AC272" s="928"/>
      <c r="AD272" s="928"/>
      <c r="AE272" s="928"/>
      <c r="AF272" s="928"/>
      <c r="AG272" s="928"/>
      <c r="AH272" s="928"/>
      <c r="AI272" s="928"/>
      <c r="AJ272" s="928"/>
      <c r="AK272" s="928"/>
      <c r="AL272" s="928"/>
      <c r="AM272" s="928"/>
      <c r="AN272" s="928"/>
      <c r="AO272" s="928"/>
      <c r="AP272" s="928"/>
      <c r="AQ272" s="928"/>
      <c r="AR272" s="928"/>
      <c r="AS272" s="928"/>
    </row>
    <row r="273" spans="11:45">
      <c r="K273" s="957"/>
      <c r="L273" s="928"/>
      <c r="M273" s="928"/>
      <c r="N273" s="960"/>
      <c r="O273" s="960"/>
      <c r="P273" s="960"/>
      <c r="Q273" s="960"/>
      <c r="R273" s="960"/>
      <c r="S273" s="960"/>
      <c r="T273" s="960"/>
      <c r="U273" s="960"/>
      <c r="V273" s="960"/>
      <c r="W273" s="960"/>
      <c r="X273" s="960"/>
      <c r="Y273" s="960"/>
      <c r="Z273" s="960"/>
      <c r="AA273" s="960"/>
      <c r="AB273" s="928"/>
      <c r="AC273" s="928"/>
      <c r="AD273" s="928"/>
      <c r="AE273" s="928"/>
      <c r="AF273" s="928"/>
      <c r="AG273" s="928"/>
      <c r="AH273" s="928"/>
      <c r="AI273" s="928"/>
      <c r="AJ273" s="928"/>
      <c r="AK273" s="928"/>
      <c r="AL273" s="928"/>
      <c r="AM273" s="928"/>
      <c r="AN273" s="928"/>
      <c r="AO273" s="928"/>
      <c r="AP273" s="928"/>
      <c r="AQ273" s="928"/>
      <c r="AR273" s="928"/>
      <c r="AS273" s="928"/>
    </row>
    <row r="274" spans="11:45">
      <c r="K274" s="957"/>
      <c r="L274" s="928"/>
      <c r="M274" s="928"/>
      <c r="N274" s="960"/>
      <c r="O274" s="960"/>
      <c r="P274" s="960"/>
      <c r="Q274" s="960"/>
      <c r="R274" s="960"/>
      <c r="S274" s="960"/>
      <c r="T274" s="960"/>
      <c r="U274" s="960"/>
      <c r="V274" s="960"/>
      <c r="W274" s="960"/>
      <c r="X274" s="960"/>
      <c r="Y274" s="960"/>
      <c r="Z274" s="960"/>
      <c r="AA274" s="960"/>
      <c r="AB274" s="928"/>
      <c r="AC274" s="928"/>
      <c r="AD274" s="928"/>
      <c r="AE274" s="928"/>
      <c r="AF274" s="928"/>
      <c r="AG274" s="928"/>
      <c r="AH274" s="928"/>
      <c r="AI274" s="928"/>
      <c r="AJ274" s="928"/>
      <c r="AK274" s="928"/>
      <c r="AL274" s="928"/>
      <c r="AM274" s="928"/>
      <c r="AN274" s="928"/>
      <c r="AO274" s="928"/>
      <c r="AP274" s="928"/>
      <c r="AQ274" s="928"/>
      <c r="AR274" s="928"/>
      <c r="AS274" s="928"/>
    </row>
    <row r="275" spans="11:45">
      <c r="K275" s="957"/>
      <c r="L275" s="928"/>
      <c r="M275" s="928"/>
      <c r="N275" s="960"/>
      <c r="O275" s="960"/>
      <c r="P275" s="960"/>
      <c r="Q275" s="960"/>
      <c r="R275" s="960"/>
      <c r="S275" s="960"/>
      <c r="T275" s="960"/>
      <c r="U275" s="960"/>
      <c r="V275" s="960"/>
      <c r="W275" s="960"/>
      <c r="X275" s="960"/>
      <c r="Y275" s="960"/>
      <c r="Z275" s="960"/>
      <c r="AA275" s="960"/>
      <c r="AB275" s="928"/>
      <c r="AC275" s="928"/>
      <c r="AD275" s="928"/>
      <c r="AE275" s="928"/>
      <c r="AF275" s="928"/>
      <c r="AG275" s="928"/>
      <c r="AH275" s="928"/>
      <c r="AI275" s="928"/>
      <c r="AJ275" s="928"/>
      <c r="AK275" s="928"/>
      <c r="AL275" s="928"/>
      <c r="AM275" s="928"/>
      <c r="AN275" s="928"/>
      <c r="AO275" s="928"/>
      <c r="AP275" s="928"/>
      <c r="AQ275" s="928"/>
      <c r="AR275" s="928"/>
      <c r="AS275" s="928"/>
    </row>
    <row r="276" spans="11:45">
      <c r="K276" s="957"/>
      <c r="L276" s="928"/>
      <c r="M276" s="928"/>
      <c r="N276" s="960"/>
      <c r="O276" s="960"/>
      <c r="P276" s="960"/>
      <c r="Q276" s="960"/>
      <c r="R276" s="960"/>
      <c r="S276" s="960"/>
      <c r="T276" s="960"/>
      <c r="U276" s="960"/>
      <c r="V276" s="960"/>
      <c r="W276" s="960"/>
      <c r="X276" s="960"/>
      <c r="Y276" s="960"/>
      <c r="Z276" s="960"/>
      <c r="AA276" s="960"/>
      <c r="AB276" s="928"/>
      <c r="AC276" s="928"/>
      <c r="AD276" s="928"/>
      <c r="AE276" s="928"/>
      <c r="AF276" s="928"/>
      <c r="AG276" s="928"/>
      <c r="AH276" s="928"/>
      <c r="AI276" s="928"/>
      <c r="AJ276" s="928"/>
      <c r="AK276" s="928"/>
      <c r="AL276" s="928"/>
      <c r="AM276" s="928"/>
      <c r="AN276" s="928"/>
      <c r="AO276" s="928"/>
      <c r="AP276" s="928"/>
      <c r="AQ276" s="928"/>
      <c r="AR276" s="928"/>
      <c r="AS276" s="928"/>
    </row>
    <row r="277" spans="11:45">
      <c r="K277" s="957"/>
      <c r="L277" s="928"/>
      <c r="M277" s="928"/>
      <c r="N277" s="960"/>
      <c r="O277" s="960"/>
      <c r="P277" s="960"/>
      <c r="Q277" s="960"/>
      <c r="R277" s="960"/>
      <c r="S277" s="960"/>
      <c r="T277" s="960"/>
      <c r="U277" s="960"/>
      <c r="V277" s="960"/>
      <c r="W277" s="960"/>
      <c r="X277" s="960"/>
      <c r="Y277" s="960"/>
      <c r="Z277" s="960"/>
      <c r="AA277" s="960"/>
      <c r="AB277" s="928"/>
      <c r="AC277" s="928"/>
      <c r="AD277" s="928"/>
      <c r="AE277" s="928"/>
      <c r="AF277" s="928"/>
      <c r="AG277" s="928"/>
      <c r="AH277" s="928"/>
      <c r="AI277" s="928"/>
      <c r="AJ277" s="928"/>
      <c r="AK277" s="928"/>
      <c r="AL277" s="928"/>
      <c r="AM277" s="928"/>
      <c r="AN277" s="928"/>
      <c r="AO277" s="928"/>
      <c r="AP277" s="928"/>
      <c r="AQ277" s="928"/>
      <c r="AR277" s="928"/>
      <c r="AS277" s="928"/>
    </row>
    <row r="278" spans="11:45">
      <c r="K278" s="957"/>
      <c r="L278" s="928"/>
      <c r="M278" s="928"/>
      <c r="N278" s="960"/>
      <c r="O278" s="960"/>
      <c r="P278" s="960"/>
      <c r="Q278" s="960"/>
      <c r="R278" s="960"/>
      <c r="S278" s="960"/>
      <c r="T278" s="960"/>
      <c r="U278" s="960"/>
      <c r="V278" s="960"/>
      <c r="W278" s="960"/>
      <c r="X278" s="960"/>
      <c r="Y278" s="960"/>
      <c r="Z278" s="960"/>
      <c r="AA278" s="960"/>
      <c r="AB278" s="928"/>
      <c r="AC278" s="928"/>
      <c r="AD278" s="928"/>
      <c r="AE278" s="928"/>
      <c r="AF278" s="928"/>
      <c r="AG278" s="928"/>
      <c r="AH278" s="928"/>
      <c r="AI278" s="928"/>
      <c r="AJ278" s="928"/>
      <c r="AK278" s="928"/>
      <c r="AL278" s="928"/>
      <c r="AM278" s="928"/>
      <c r="AN278" s="928"/>
      <c r="AO278" s="928"/>
      <c r="AP278" s="928"/>
      <c r="AQ278" s="928"/>
      <c r="AR278" s="928"/>
      <c r="AS278" s="928"/>
    </row>
    <row r="279" spans="11:45">
      <c r="K279" s="957"/>
      <c r="L279" s="928"/>
      <c r="M279" s="928"/>
      <c r="N279" s="960"/>
      <c r="O279" s="960"/>
      <c r="P279" s="960"/>
      <c r="Q279" s="960"/>
      <c r="R279" s="960"/>
      <c r="S279" s="960"/>
      <c r="T279" s="960"/>
      <c r="U279" s="960"/>
      <c r="V279" s="960"/>
      <c r="W279" s="960"/>
      <c r="X279" s="960"/>
      <c r="Y279" s="960"/>
      <c r="Z279" s="960"/>
      <c r="AA279" s="960"/>
      <c r="AB279" s="928"/>
      <c r="AC279" s="928"/>
      <c r="AD279" s="928"/>
      <c r="AE279" s="928"/>
      <c r="AF279" s="928"/>
      <c r="AG279" s="928"/>
      <c r="AH279" s="928"/>
      <c r="AI279" s="928"/>
      <c r="AJ279" s="928"/>
      <c r="AK279" s="928"/>
      <c r="AL279" s="928"/>
      <c r="AM279" s="928"/>
      <c r="AN279" s="928"/>
      <c r="AO279" s="928"/>
      <c r="AP279" s="928"/>
      <c r="AQ279" s="928"/>
      <c r="AR279" s="928"/>
      <c r="AS279" s="928"/>
    </row>
    <row r="280" spans="11:45">
      <c r="K280" s="957"/>
      <c r="L280" s="928"/>
      <c r="M280" s="928"/>
      <c r="N280" s="960"/>
      <c r="O280" s="960"/>
      <c r="P280" s="960"/>
      <c r="Q280" s="960"/>
      <c r="R280" s="960"/>
      <c r="S280" s="960"/>
      <c r="T280" s="960"/>
      <c r="U280" s="960"/>
      <c r="V280" s="960"/>
      <c r="W280" s="960"/>
      <c r="X280" s="960"/>
      <c r="Y280" s="960"/>
      <c r="Z280" s="960"/>
      <c r="AA280" s="960"/>
      <c r="AB280" s="928"/>
      <c r="AC280" s="928"/>
      <c r="AD280" s="928"/>
      <c r="AE280" s="928"/>
      <c r="AF280" s="928"/>
      <c r="AG280" s="928"/>
      <c r="AH280" s="928"/>
      <c r="AI280" s="928"/>
      <c r="AJ280" s="928"/>
      <c r="AK280" s="928"/>
      <c r="AL280" s="928"/>
      <c r="AM280" s="928"/>
      <c r="AN280" s="928"/>
      <c r="AO280" s="928"/>
      <c r="AP280" s="928"/>
      <c r="AQ280" s="928"/>
      <c r="AR280" s="928"/>
      <c r="AS280" s="928"/>
    </row>
    <row r="281" spans="11:45">
      <c r="K281" s="957"/>
      <c r="L281" s="928"/>
      <c r="M281" s="928"/>
      <c r="N281" s="960"/>
      <c r="O281" s="960"/>
      <c r="P281" s="960"/>
      <c r="Q281" s="960"/>
      <c r="R281" s="960"/>
      <c r="S281" s="960"/>
      <c r="T281" s="960"/>
      <c r="U281" s="960"/>
      <c r="V281" s="960"/>
      <c r="W281" s="960"/>
      <c r="X281" s="960"/>
      <c r="Y281" s="960"/>
      <c r="Z281" s="960"/>
      <c r="AA281" s="960"/>
      <c r="AB281" s="928"/>
      <c r="AC281" s="928"/>
      <c r="AD281" s="928"/>
      <c r="AE281" s="928"/>
      <c r="AF281" s="928"/>
      <c r="AG281" s="928"/>
      <c r="AH281" s="928"/>
      <c r="AI281" s="928"/>
      <c r="AJ281" s="928"/>
      <c r="AK281" s="928"/>
      <c r="AL281" s="928"/>
      <c r="AM281" s="928"/>
      <c r="AN281" s="928"/>
      <c r="AO281" s="928"/>
      <c r="AP281" s="928"/>
      <c r="AQ281" s="928"/>
      <c r="AR281" s="928"/>
      <c r="AS281" s="928"/>
    </row>
    <row r="282" spans="11:45">
      <c r="K282" s="957"/>
      <c r="L282" s="928"/>
      <c r="M282" s="928"/>
      <c r="N282" s="960"/>
      <c r="O282" s="960"/>
      <c r="P282" s="960"/>
      <c r="Q282" s="960"/>
      <c r="R282" s="960"/>
      <c r="S282" s="960"/>
      <c r="T282" s="960"/>
      <c r="U282" s="960"/>
      <c r="V282" s="960"/>
      <c r="W282" s="960"/>
      <c r="X282" s="960"/>
      <c r="Y282" s="960"/>
      <c r="Z282" s="960"/>
      <c r="AA282" s="960"/>
      <c r="AB282" s="928"/>
      <c r="AC282" s="928"/>
      <c r="AD282" s="928"/>
      <c r="AE282" s="928"/>
      <c r="AF282" s="928"/>
      <c r="AG282" s="928"/>
      <c r="AH282" s="928"/>
      <c r="AI282" s="928"/>
      <c r="AJ282" s="928"/>
      <c r="AK282" s="928"/>
      <c r="AL282" s="928"/>
      <c r="AM282" s="928"/>
      <c r="AN282" s="928"/>
      <c r="AO282" s="928"/>
      <c r="AP282" s="928"/>
      <c r="AQ282" s="928"/>
      <c r="AR282" s="928"/>
      <c r="AS282" s="928"/>
    </row>
    <row r="283" spans="11:45">
      <c r="K283" s="957"/>
      <c r="L283" s="928"/>
      <c r="M283" s="928"/>
      <c r="N283" s="960"/>
      <c r="O283" s="960"/>
      <c r="P283" s="960"/>
      <c r="Q283" s="960"/>
      <c r="R283" s="960"/>
      <c r="S283" s="960"/>
      <c r="T283" s="960"/>
      <c r="U283" s="960"/>
      <c r="V283" s="960"/>
      <c r="W283" s="960"/>
      <c r="X283" s="960"/>
      <c r="Y283" s="960"/>
      <c r="Z283" s="960"/>
      <c r="AA283" s="960"/>
      <c r="AB283" s="928"/>
      <c r="AC283" s="928"/>
      <c r="AD283" s="928"/>
      <c r="AE283" s="928"/>
      <c r="AF283" s="928"/>
      <c r="AG283" s="928"/>
      <c r="AH283" s="928"/>
      <c r="AI283" s="928"/>
      <c r="AJ283" s="928"/>
      <c r="AK283" s="928"/>
      <c r="AL283" s="928"/>
      <c r="AM283" s="928"/>
      <c r="AN283" s="928"/>
      <c r="AO283" s="928"/>
      <c r="AP283" s="928"/>
      <c r="AQ283" s="928"/>
      <c r="AR283" s="928"/>
      <c r="AS283" s="928"/>
    </row>
    <row r="284" spans="11:45">
      <c r="K284" s="957"/>
      <c r="L284" s="928"/>
      <c r="M284" s="928"/>
      <c r="N284" s="960"/>
      <c r="O284" s="960"/>
      <c r="P284" s="960"/>
      <c r="Q284" s="960"/>
      <c r="R284" s="960"/>
      <c r="S284" s="960"/>
      <c r="T284" s="960"/>
      <c r="U284" s="960"/>
      <c r="V284" s="960"/>
      <c r="W284" s="960"/>
      <c r="X284" s="960"/>
      <c r="Y284" s="960"/>
      <c r="Z284" s="960"/>
      <c r="AA284" s="960"/>
      <c r="AB284" s="928"/>
      <c r="AC284" s="928"/>
      <c r="AD284" s="928"/>
      <c r="AE284" s="928"/>
      <c r="AF284" s="928"/>
      <c r="AG284" s="928"/>
      <c r="AH284" s="928"/>
      <c r="AI284" s="928"/>
      <c r="AJ284" s="928"/>
      <c r="AK284" s="928"/>
      <c r="AL284" s="928"/>
      <c r="AM284" s="928"/>
      <c r="AN284" s="928"/>
      <c r="AO284" s="928"/>
      <c r="AP284" s="928"/>
      <c r="AQ284" s="928"/>
      <c r="AR284" s="928"/>
      <c r="AS284" s="928"/>
    </row>
    <row r="285" spans="11:45">
      <c r="K285" s="957"/>
      <c r="L285" s="928"/>
      <c r="M285" s="928"/>
      <c r="N285" s="960"/>
      <c r="O285" s="960"/>
      <c r="P285" s="960"/>
      <c r="Q285" s="960"/>
      <c r="R285" s="960"/>
      <c r="S285" s="960"/>
      <c r="T285" s="960"/>
      <c r="U285" s="960"/>
      <c r="V285" s="960"/>
      <c r="W285" s="960"/>
      <c r="X285" s="960"/>
      <c r="Y285" s="960"/>
      <c r="Z285" s="960"/>
      <c r="AA285" s="960"/>
      <c r="AB285" s="928"/>
      <c r="AC285" s="928"/>
      <c r="AD285" s="928"/>
      <c r="AE285" s="928"/>
      <c r="AF285" s="928"/>
      <c r="AG285" s="928"/>
      <c r="AH285" s="928"/>
      <c r="AI285" s="928"/>
      <c r="AJ285" s="928"/>
      <c r="AK285" s="928"/>
      <c r="AL285" s="928"/>
      <c r="AM285" s="928"/>
      <c r="AN285" s="928"/>
      <c r="AO285" s="928"/>
      <c r="AP285" s="928"/>
      <c r="AQ285" s="928"/>
      <c r="AR285" s="928"/>
      <c r="AS285" s="928"/>
    </row>
    <row r="286" spans="11:45">
      <c r="K286" s="957"/>
      <c r="L286" s="928"/>
      <c r="M286" s="928"/>
      <c r="N286" s="960"/>
      <c r="O286" s="960"/>
      <c r="P286" s="960"/>
      <c r="Q286" s="960"/>
      <c r="R286" s="960"/>
      <c r="S286" s="960"/>
      <c r="T286" s="960"/>
      <c r="U286" s="960"/>
      <c r="V286" s="960"/>
      <c r="W286" s="960"/>
      <c r="X286" s="960"/>
      <c r="Y286" s="960"/>
      <c r="Z286" s="960"/>
      <c r="AA286" s="960"/>
      <c r="AB286" s="928"/>
      <c r="AC286" s="928"/>
      <c r="AD286" s="928"/>
      <c r="AE286" s="928"/>
      <c r="AF286" s="928"/>
      <c r="AG286" s="928"/>
      <c r="AH286" s="928"/>
      <c r="AI286" s="928"/>
      <c r="AJ286" s="928"/>
      <c r="AK286" s="928"/>
      <c r="AL286" s="928"/>
      <c r="AM286" s="928"/>
      <c r="AN286" s="928"/>
      <c r="AO286" s="928"/>
      <c r="AP286" s="928"/>
      <c r="AQ286" s="928"/>
      <c r="AR286" s="928"/>
      <c r="AS286" s="928"/>
    </row>
    <row r="287" spans="11:45">
      <c r="K287" s="957"/>
      <c r="L287" s="928"/>
      <c r="M287" s="928"/>
      <c r="N287" s="960"/>
      <c r="O287" s="960"/>
      <c r="P287" s="960"/>
      <c r="Q287" s="960"/>
      <c r="R287" s="960"/>
      <c r="S287" s="960"/>
      <c r="T287" s="960"/>
      <c r="U287" s="960"/>
      <c r="V287" s="960"/>
      <c r="W287" s="960"/>
      <c r="X287" s="960"/>
      <c r="Y287" s="960"/>
      <c r="Z287" s="960"/>
      <c r="AA287" s="960"/>
      <c r="AB287" s="928"/>
      <c r="AC287" s="928"/>
      <c r="AD287" s="928"/>
      <c r="AE287" s="928"/>
      <c r="AF287" s="928"/>
      <c r="AG287" s="928"/>
      <c r="AH287" s="928"/>
      <c r="AI287" s="928"/>
      <c r="AJ287" s="928"/>
      <c r="AK287" s="928"/>
      <c r="AL287" s="928"/>
      <c r="AM287" s="928"/>
      <c r="AN287" s="928"/>
      <c r="AO287" s="928"/>
      <c r="AP287" s="928"/>
      <c r="AQ287" s="928"/>
      <c r="AR287" s="928"/>
      <c r="AS287" s="928"/>
    </row>
    <row r="288" spans="11:45">
      <c r="K288" s="957"/>
      <c r="L288" s="928"/>
      <c r="M288" s="928"/>
      <c r="N288" s="960"/>
      <c r="O288" s="960"/>
      <c r="P288" s="960"/>
      <c r="Q288" s="960"/>
      <c r="R288" s="960"/>
      <c r="S288" s="960"/>
      <c r="T288" s="960"/>
      <c r="U288" s="960"/>
      <c r="V288" s="960"/>
      <c r="W288" s="960"/>
      <c r="X288" s="960"/>
      <c r="Y288" s="960"/>
      <c r="Z288" s="960"/>
      <c r="AA288" s="960"/>
      <c r="AB288" s="928"/>
      <c r="AC288" s="928"/>
      <c r="AD288" s="928"/>
      <c r="AE288" s="928"/>
      <c r="AF288" s="928"/>
      <c r="AG288" s="928"/>
      <c r="AH288" s="928"/>
      <c r="AI288" s="928"/>
      <c r="AJ288" s="928"/>
      <c r="AK288" s="928"/>
      <c r="AL288" s="928"/>
      <c r="AM288" s="928"/>
      <c r="AN288" s="928"/>
      <c r="AO288" s="928"/>
      <c r="AP288" s="928"/>
      <c r="AQ288" s="928"/>
      <c r="AR288" s="928"/>
      <c r="AS288" s="928"/>
    </row>
    <row r="289" spans="11:45">
      <c r="K289" s="957"/>
      <c r="L289" s="928"/>
      <c r="M289" s="928"/>
      <c r="N289" s="960"/>
      <c r="O289" s="960"/>
      <c r="P289" s="960"/>
      <c r="Q289" s="960"/>
      <c r="R289" s="960"/>
      <c r="S289" s="960"/>
      <c r="T289" s="960"/>
      <c r="U289" s="960"/>
      <c r="V289" s="960"/>
      <c r="W289" s="960"/>
      <c r="X289" s="960"/>
      <c r="Y289" s="960"/>
      <c r="Z289" s="960"/>
      <c r="AA289" s="960"/>
      <c r="AB289" s="928"/>
      <c r="AC289" s="928"/>
      <c r="AD289" s="928"/>
      <c r="AE289" s="928"/>
      <c r="AF289" s="928"/>
      <c r="AG289" s="928"/>
      <c r="AH289" s="928"/>
      <c r="AI289" s="928"/>
      <c r="AJ289" s="928"/>
      <c r="AK289" s="928"/>
      <c r="AL289" s="928"/>
      <c r="AM289" s="928"/>
      <c r="AN289" s="928"/>
      <c r="AO289" s="928"/>
      <c r="AP289" s="928"/>
      <c r="AQ289" s="928"/>
      <c r="AR289" s="928"/>
      <c r="AS289" s="928"/>
    </row>
    <row r="290" spans="11:45">
      <c r="K290" s="957"/>
      <c r="L290" s="928"/>
      <c r="M290" s="928"/>
      <c r="N290" s="960"/>
      <c r="O290" s="960"/>
      <c r="P290" s="960"/>
      <c r="Q290" s="960"/>
      <c r="R290" s="960"/>
      <c r="S290" s="960"/>
      <c r="T290" s="960"/>
      <c r="U290" s="960"/>
      <c r="V290" s="960"/>
      <c r="W290" s="960"/>
      <c r="X290" s="960"/>
      <c r="Y290" s="960"/>
      <c r="Z290" s="960"/>
      <c r="AA290" s="960"/>
      <c r="AB290" s="928"/>
      <c r="AC290" s="928"/>
      <c r="AD290" s="928"/>
      <c r="AE290" s="928"/>
      <c r="AF290" s="928"/>
      <c r="AG290" s="928"/>
      <c r="AH290" s="928"/>
      <c r="AI290" s="928"/>
      <c r="AJ290" s="928"/>
      <c r="AK290" s="928"/>
      <c r="AL290" s="928"/>
      <c r="AM290" s="928"/>
      <c r="AN290" s="928"/>
      <c r="AO290" s="928"/>
      <c r="AP290" s="928"/>
      <c r="AQ290" s="928"/>
      <c r="AR290" s="928"/>
      <c r="AS290" s="928"/>
    </row>
    <row r="291" spans="11:45">
      <c r="K291" s="957"/>
      <c r="L291" s="928"/>
      <c r="M291" s="928"/>
      <c r="N291" s="960"/>
      <c r="O291" s="960"/>
      <c r="P291" s="960"/>
      <c r="Q291" s="960"/>
      <c r="R291" s="960"/>
      <c r="S291" s="960"/>
      <c r="T291" s="960"/>
      <c r="U291" s="960"/>
      <c r="V291" s="960"/>
      <c r="W291" s="960"/>
      <c r="X291" s="960"/>
      <c r="Y291" s="960"/>
      <c r="Z291" s="960"/>
      <c r="AA291" s="960"/>
      <c r="AB291" s="928"/>
      <c r="AC291" s="928"/>
      <c r="AD291" s="928"/>
      <c r="AE291" s="928"/>
      <c r="AF291" s="928"/>
      <c r="AG291" s="928"/>
      <c r="AH291" s="928"/>
      <c r="AI291" s="928"/>
      <c r="AJ291" s="928"/>
      <c r="AK291" s="928"/>
      <c r="AL291" s="928"/>
      <c r="AM291" s="928"/>
      <c r="AN291" s="928"/>
      <c r="AO291" s="928"/>
      <c r="AP291" s="928"/>
      <c r="AQ291" s="928"/>
      <c r="AR291" s="928"/>
      <c r="AS291" s="928"/>
    </row>
    <row r="292" spans="11:45">
      <c r="K292" s="957"/>
      <c r="L292" s="928"/>
      <c r="M292" s="928"/>
      <c r="N292" s="960"/>
      <c r="O292" s="960"/>
      <c r="P292" s="960"/>
      <c r="Q292" s="960"/>
      <c r="R292" s="960"/>
      <c r="S292" s="960"/>
      <c r="T292" s="960"/>
      <c r="U292" s="960"/>
      <c r="V292" s="960"/>
      <c r="W292" s="960"/>
      <c r="X292" s="960"/>
      <c r="Y292" s="960"/>
      <c r="Z292" s="960"/>
      <c r="AA292" s="960"/>
      <c r="AB292" s="928"/>
      <c r="AC292" s="928"/>
      <c r="AD292" s="928"/>
      <c r="AE292" s="928"/>
      <c r="AF292" s="928"/>
      <c r="AG292" s="928"/>
      <c r="AH292" s="928"/>
      <c r="AI292" s="928"/>
      <c r="AJ292" s="928"/>
      <c r="AK292" s="928"/>
      <c r="AL292" s="928"/>
      <c r="AM292" s="928"/>
      <c r="AN292" s="928"/>
      <c r="AO292" s="928"/>
      <c r="AP292" s="928"/>
      <c r="AQ292" s="928"/>
      <c r="AR292" s="928"/>
      <c r="AS292" s="928"/>
    </row>
    <row r="293" spans="11:45">
      <c r="K293" s="957"/>
      <c r="L293" s="928"/>
      <c r="M293" s="928"/>
      <c r="N293" s="960"/>
      <c r="O293" s="960"/>
      <c r="P293" s="960"/>
      <c r="Q293" s="960"/>
      <c r="R293" s="960"/>
      <c r="S293" s="960"/>
      <c r="T293" s="960"/>
      <c r="U293" s="960"/>
      <c r="V293" s="960"/>
      <c r="W293" s="960"/>
      <c r="X293" s="960"/>
      <c r="Y293" s="960"/>
      <c r="Z293" s="960"/>
      <c r="AA293" s="960"/>
      <c r="AB293" s="928"/>
      <c r="AC293" s="928"/>
      <c r="AD293" s="928"/>
      <c r="AE293" s="928"/>
      <c r="AF293" s="928"/>
      <c r="AG293" s="928"/>
      <c r="AH293" s="928"/>
      <c r="AI293" s="928"/>
      <c r="AJ293" s="928"/>
      <c r="AK293" s="928"/>
      <c r="AL293" s="928"/>
      <c r="AM293" s="928"/>
      <c r="AN293" s="928"/>
      <c r="AO293" s="928"/>
      <c r="AP293" s="928"/>
      <c r="AQ293" s="928"/>
      <c r="AR293" s="928"/>
      <c r="AS293" s="928"/>
    </row>
    <row r="294" spans="11:45">
      <c r="K294" s="957"/>
      <c r="L294" s="928"/>
      <c r="M294" s="928"/>
      <c r="N294" s="960"/>
      <c r="O294" s="960"/>
      <c r="P294" s="960"/>
      <c r="Q294" s="960"/>
      <c r="R294" s="960"/>
      <c r="S294" s="960"/>
      <c r="T294" s="960"/>
      <c r="U294" s="960"/>
      <c r="V294" s="960"/>
      <c r="W294" s="960"/>
      <c r="X294" s="960"/>
      <c r="Y294" s="960"/>
      <c r="Z294" s="960"/>
      <c r="AA294" s="960"/>
      <c r="AB294" s="928"/>
      <c r="AC294" s="928"/>
      <c r="AD294" s="928"/>
      <c r="AE294" s="928"/>
      <c r="AF294" s="928"/>
      <c r="AG294" s="928"/>
      <c r="AH294" s="928"/>
      <c r="AI294" s="928"/>
      <c r="AJ294" s="928"/>
      <c r="AK294" s="928"/>
      <c r="AL294" s="928"/>
      <c r="AM294" s="928"/>
      <c r="AN294" s="928"/>
      <c r="AO294" s="928"/>
      <c r="AP294" s="928"/>
      <c r="AQ294" s="928"/>
      <c r="AR294" s="928"/>
      <c r="AS294" s="928"/>
    </row>
    <row r="295" spans="11:45">
      <c r="K295" s="957"/>
      <c r="L295" s="928"/>
      <c r="M295" s="928"/>
      <c r="N295" s="960"/>
      <c r="O295" s="960"/>
      <c r="P295" s="960"/>
      <c r="Q295" s="960"/>
      <c r="R295" s="960"/>
      <c r="S295" s="960"/>
      <c r="T295" s="960"/>
      <c r="U295" s="960"/>
      <c r="V295" s="960"/>
      <c r="W295" s="960"/>
      <c r="X295" s="960"/>
      <c r="Y295" s="960"/>
      <c r="Z295" s="960"/>
      <c r="AA295" s="960"/>
      <c r="AB295" s="928"/>
      <c r="AC295" s="928"/>
      <c r="AD295" s="928"/>
      <c r="AE295" s="928"/>
      <c r="AF295" s="928"/>
      <c r="AG295" s="928"/>
      <c r="AH295" s="928"/>
      <c r="AI295" s="928"/>
      <c r="AJ295" s="928"/>
      <c r="AK295" s="928"/>
      <c r="AL295" s="928"/>
      <c r="AM295" s="928"/>
      <c r="AN295" s="928"/>
      <c r="AO295" s="928"/>
      <c r="AP295" s="928"/>
      <c r="AQ295" s="928"/>
      <c r="AR295" s="928"/>
      <c r="AS295" s="928"/>
    </row>
    <row r="296" spans="11:45">
      <c r="K296" s="957"/>
      <c r="L296" s="928"/>
      <c r="M296" s="928"/>
      <c r="N296" s="960"/>
      <c r="O296" s="960"/>
      <c r="P296" s="960"/>
      <c r="Q296" s="960"/>
      <c r="R296" s="960"/>
      <c r="S296" s="960"/>
      <c r="T296" s="960"/>
      <c r="U296" s="960"/>
      <c r="V296" s="960"/>
      <c r="W296" s="960"/>
      <c r="X296" s="960"/>
      <c r="Y296" s="960"/>
      <c r="Z296" s="960"/>
      <c r="AA296" s="960"/>
      <c r="AB296" s="928"/>
      <c r="AC296" s="928"/>
      <c r="AD296" s="928"/>
      <c r="AE296" s="928"/>
      <c r="AF296" s="928"/>
      <c r="AG296" s="928"/>
      <c r="AH296" s="928"/>
      <c r="AI296" s="928"/>
      <c r="AJ296" s="928"/>
      <c r="AK296" s="928"/>
      <c r="AL296" s="928"/>
      <c r="AM296" s="928"/>
      <c r="AN296" s="928"/>
      <c r="AO296" s="928"/>
      <c r="AP296" s="928"/>
      <c r="AQ296" s="928"/>
      <c r="AR296" s="928"/>
      <c r="AS296" s="928"/>
    </row>
    <row r="297" spans="11:45">
      <c r="K297" s="957"/>
      <c r="L297" s="928"/>
      <c r="M297" s="928"/>
      <c r="N297" s="960"/>
      <c r="O297" s="960"/>
      <c r="P297" s="960"/>
      <c r="Q297" s="960"/>
      <c r="R297" s="960"/>
      <c r="S297" s="960"/>
      <c r="T297" s="960"/>
      <c r="U297" s="960"/>
      <c r="V297" s="960"/>
      <c r="W297" s="960"/>
      <c r="X297" s="960"/>
      <c r="Y297" s="960"/>
      <c r="Z297" s="960"/>
      <c r="AA297" s="960"/>
      <c r="AB297" s="928"/>
      <c r="AC297" s="928"/>
      <c r="AD297" s="928"/>
      <c r="AE297" s="928"/>
      <c r="AF297" s="928"/>
      <c r="AG297" s="928"/>
      <c r="AH297" s="928"/>
      <c r="AI297" s="928"/>
      <c r="AJ297" s="928"/>
      <c r="AK297" s="928"/>
      <c r="AL297" s="928"/>
      <c r="AM297" s="928"/>
      <c r="AN297" s="928"/>
      <c r="AO297" s="928"/>
      <c r="AP297" s="928"/>
      <c r="AQ297" s="928"/>
      <c r="AR297" s="928"/>
      <c r="AS297" s="928"/>
    </row>
    <row r="298" spans="11:45">
      <c r="K298" s="957"/>
      <c r="L298" s="928"/>
      <c r="M298" s="928"/>
      <c r="N298" s="960"/>
      <c r="O298" s="960"/>
      <c r="P298" s="960"/>
      <c r="Q298" s="960"/>
      <c r="R298" s="960"/>
      <c r="S298" s="960"/>
      <c r="T298" s="960"/>
      <c r="U298" s="960"/>
      <c r="V298" s="960"/>
      <c r="W298" s="960"/>
      <c r="X298" s="960"/>
      <c r="Y298" s="960"/>
      <c r="Z298" s="960"/>
      <c r="AA298" s="960"/>
      <c r="AB298" s="928"/>
      <c r="AC298" s="928"/>
      <c r="AD298" s="928"/>
      <c r="AE298" s="928"/>
      <c r="AF298" s="928"/>
      <c r="AG298" s="928"/>
      <c r="AH298" s="928"/>
      <c r="AI298" s="928"/>
      <c r="AJ298" s="928"/>
      <c r="AK298" s="928"/>
      <c r="AL298" s="928"/>
      <c r="AM298" s="928"/>
      <c r="AN298" s="928"/>
      <c r="AO298" s="928"/>
      <c r="AP298" s="928"/>
      <c r="AQ298" s="928"/>
      <c r="AR298" s="928"/>
      <c r="AS298" s="928"/>
    </row>
    <row r="299" spans="11:45">
      <c r="K299" s="957"/>
      <c r="L299" s="928"/>
      <c r="M299" s="928"/>
      <c r="N299" s="960"/>
      <c r="O299" s="960"/>
      <c r="P299" s="960"/>
      <c r="Q299" s="960"/>
      <c r="R299" s="960"/>
      <c r="S299" s="960"/>
      <c r="T299" s="960"/>
      <c r="U299" s="960"/>
      <c r="V299" s="960"/>
      <c r="W299" s="960"/>
      <c r="X299" s="960"/>
      <c r="Y299" s="960"/>
      <c r="Z299" s="960"/>
      <c r="AA299" s="960"/>
      <c r="AB299" s="928"/>
      <c r="AC299" s="928"/>
      <c r="AD299" s="928"/>
      <c r="AE299" s="928"/>
      <c r="AF299" s="928"/>
      <c r="AG299" s="928"/>
      <c r="AH299" s="928"/>
      <c r="AI299" s="928"/>
      <c r="AJ299" s="928"/>
      <c r="AK299" s="928"/>
      <c r="AL299" s="928"/>
      <c r="AM299" s="928"/>
      <c r="AN299" s="928"/>
      <c r="AO299" s="928"/>
      <c r="AP299" s="928"/>
      <c r="AQ299" s="928"/>
      <c r="AR299" s="928"/>
      <c r="AS299" s="928"/>
    </row>
    <row r="300" spans="11:45">
      <c r="K300" s="957"/>
      <c r="L300" s="928"/>
      <c r="M300" s="928"/>
      <c r="N300" s="960"/>
      <c r="O300" s="960"/>
      <c r="P300" s="960"/>
      <c r="Q300" s="960"/>
      <c r="R300" s="960"/>
      <c r="S300" s="960"/>
      <c r="T300" s="960"/>
      <c r="U300" s="960"/>
      <c r="V300" s="960"/>
      <c r="W300" s="960"/>
      <c r="X300" s="960"/>
      <c r="Y300" s="960"/>
      <c r="Z300" s="960"/>
      <c r="AA300" s="960"/>
      <c r="AB300" s="928"/>
      <c r="AC300" s="928"/>
      <c r="AD300" s="928"/>
      <c r="AE300" s="928"/>
      <c r="AF300" s="928"/>
      <c r="AG300" s="928"/>
      <c r="AH300" s="928"/>
      <c r="AI300" s="928"/>
      <c r="AJ300" s="928"/>
      <c r="AK300" s="928"/>
      <c r="AL300" s="928"/>
      <c r="AM300" s="928"/>
      <c r="AN300" s="928"/>
      <c r="AO300" s="928"/>
      <c r="AP300" s="928"/>
      <c r="AQ300" s="928"/>
      <c r="AR300" s="928"/>
      <c r="AS300" s="928"/>
    </row>
    <row r="301" spans="11:45">
      <c r="K301" s="957"/>
      <c r="L301" s="928"/>
      <c r="M301" s="928"/>
      <c r="N301" s="960"/>
      <c r="O301" s="960"/>
      <c r="P301" s="960"/>
      <c r="Q301" s="960"/>
      <c r="R301" s="960"/>
      <c r="S301" s="960"/>
      <c r="T301" s="960"/>
      <c r="U301" s="960"/>
      <c r="V301" s="960"/>
      <c r="W301" s="960"/>
      <c r="X301" s="960"/>
      <c r="Y301" s="960"/>
      <c r="Z301" s="960"/>
      <c r="AA301" s="960"/>
      <c r="AB301" s="928"/>
      <c r="AC301" s="928"/>
      <c r="AD301" s="928"/>
      <c r="AE301" s="928"/>
      <c r="AF301" s="928"/>
      <c r="AG301" s="928"/>
      <c r="AH301" s="928"/>
      <c r="AI301" s="928"/>
      <c r="AJ301" s="928"/>
      <c r="AK301" s="928"/>
      <c r="AL301" s="928"/>
      <c r="AM301" s="928"/>
      <c r="AN301" s="928"/>
      <c r="AO301" s="928"/>
      <c r="AP301" s="928"/>
      <c r="AQ301" s="928"/>
      <c r="AR301" s="928"/>
      <c r="AS301" s="928"/>
    </row>
    <row r="302" spans="11:45">
      <c r="K302" s="957"/>
      <c r="L302" s="928"/>
      <c r="M302" s="928"/>
      <c r="N302" s="960"/>
      <c r="O302" s="960"/>
      <c r="P302" s="960"/>
      <c r="Q302" s="960"/>
      <c r="R302" s="960"/>
      <c r="S302" s="960"/>
      <c r="T302" s="960"/>
      <c r="U302" s="960"/>
      <c r="V302" s="960"/>
      <c r="W302" s="960"/>
      <c r="X302" s="960"/>
      <c r="Y302" s="960"/>
      <c r="Z302" s="960"/>
      <c r="AA302" s="960"/>
      <c r="AB302" s="928"/>
      <c r="AC302" s="928"/>
      <c r="AD302" s="928"/>
      <c r="AE302" s="928"/>
      <c r="AF302" s="928"/>
      <c r="AG302" s="928"/>
      <c r="AH302" s="928"/>
      <c r="AI302" s="928"/>
      <c r="AJ302" s="928"/>
      <c r="AK302" s="928"/>
      <c r="AL302" s="928"/>
      <c r="AM302" s="928"/>
      <c r="AN302" s="928"/>
      <c r="AO302" s="928"/>
      <c r="AP302" s="928"/>
      <c r="AQ302" s="928"/>
      <c r="AR302" s="928"/>
      <c r="AS302" s="928"/>
    </row>
    <row r="303" spans="11:45">
      <c r="K303" s="957"/>
      <c r="L303" s="928"/>
      <c r="M303" s="928"/>
      <c r="N303" s="960"/>
      <c r="O303" s="960"/>
      <c r="P303" s="960"/>
      <c r="Q303" s="960"/>
      <c r="R303" s="960"/>
      <c r="S303" s="960"/>
      <c r="T303" s="960"/>
      <c r="U303" s="960"/>
      <c r="V303" s="960"/>
      <c r="W303" s="960"/>
      <c r="X303" s="960"/>
      <c r="Y303" s="960"/>
      <c r="Z303" s="960"/>
      <c r="AA303" s="960"/>
      <c r="AB303" s="928"/>
      <c r="AC303" s="928"/>
      <c r="AD303" s="928"/>
      <c r="AE303" s="928"/>
      <c r="AF303" s="928"/>
      <c r="AG303" s="928"/>
      <c r="AH303" s="928"/>
      <c r="AI303" s="928"/>
      <c r="AJ303" s="928"/>
      <c r="AK303" s="928"/>
      <c r="AL303" s="928"/>
      <c r="AM303" s="928"/>
      <c r="AN303" s="928"/>
      <c r="AO303" s="928"/>
      <c r="AP303" s="928"/>
      <c r="AQ303" s="928"/>
      <c r="AR303" s="928"/>
      <c r="AS303" s="928"/>
    </row>
    <row r="304" spans="11:45">
      <c r="K304" s="957"/>
      <c r="L304" s="928"/>
      <c r="M304" s="928"/>
      <c r="N304" s="960"/>
      <c r="O304" s="960"/>
      <c r="P304" s="960"/>
      <c r="Q304" s="960"/>
      <c r="R304" s="960"/>
      <c r="S304" s="960"/>
      <c r="T304" s="960"/>
      <c r="U304" s="960"/>
      <c r="V304" s="960"/>
      <c r="W304" s="960"/>
      <c r="X304" s="960"/>
      <c r="Y304" s="960"/>
      <c r="Z304" s="960"/>
      <c r="AA304" s="960"/>
      <c r="AB304" s="928"/>
      <c r="AC304" s="928"/>
      <c r="AD304" s="928"/>
      <c r="AE304" s="928"/>
      <c r="AF304" s="928"/>
      <c r="AG304" s="928"/>
      <c r="AH304" s="928"/>
      <c r="AI304" s="928"/>
      <c r="AJ304" s="928"/>
      <c r="AK304" s="928"/>
      <c r="AL304" s="928"/>
      <c r="AM304" s="928"/>
      <c r="AN304" s="928"/>
      <c r="AO304" s="928"/>
      <c r="AP304" s="928"/>
      <c r="AQ304" s="928"/>
      <c r="AR304" s="928"/>
      <c r="AS304" s="928"/>
    </row>
    <row r="305" spans="11:45">
      <c r="K305" s="957"/>
      <c r="L305" s="928"/>
      <c r="M305" s="928"/>
      <c r="N305" s="960"/>
      <c r="O305" s="960"/>
      <c r="P305" s="960"/>
      <c r="Q305" s="960"/>
      <c r="R305" s="960"/>
      <c r="S305" s="960"/>
      <c r="T305" s="960"/>
      <c r="U305" s="960"/>
      <c r="V305" s="960"/>
      <c r="W305" s="960"/>
      <c r="X305" s="960"/>
      <c r="Y305" s="960"/>
      <c r="Z305" s="960"/>
      <c r="AA305" s="960"/>
      <c r="AB305" s="928"/>
      <c r="AC305" s="928"/>
      <c r="AD305" s="928"/>
      <c r="AE305" s="928"/>
      <c r="AF305" s="928"/>
      <c r="AG305" s="928"/>
      <c r="AH305" s="928"/>
      <c r="AI305" s="928"/>
      <c r="AJ305" s="928"/>
      <c r="AK305" s="928"/>
      <c r="AL305" s="928"/>
      <c r="AM305" s="928"/>
      <c r="AN305" s="928"/>
      <c r="AO305" s="928"/>
      <c r="AP305" s="928"/>
      <c r="AQ305" s="928"/>
      <c r="AR305" s="928"/>
      <c r="AS305" s="928"/>
    </row>
    <row r="306" spans="11:45">
      <c r="K306" s="957"/>
      <c r="L306" s="928"/>
      <c r="M306" s="928"/>
      <c r="N306" s="960"/>
      <c r="O306" s="960"/>
      <c r="P306" s="960"/>
      <c r="Q306" s="960"/>
      <c r="R306" s="960"/>
      <c r="S306" s="960"/>
      <c r="T306" s="960"/>
      <c r="U306" s="960"/>
      <c r="V306" s="960"/>
      <c r="W306" s="960"/>
      <c r="X306" s="960"/>
      <c r="Y306" s="960"/>
      <c r="Z306" s="960"/>
      <c r="AA306" s="960"/>
      <c r="AB306" s="928"/>
      <c r="AC306" s="928"/>
      <c r="AD306" s="928"/>
      <c r="AE306" s="928"/>
      <c r="AF306" s="928"/>
      <c r="AG306" s="928"/>
      <c r="AH306" s="928"/>
      <c r="AI306" s="928"/>
      <c r="AJ306" s="928"/>
      <c r="AK306" s="928"/>
      <c r="AL306" s="928"/>
      <c r="AM306" s="928"/>
      <c r="AN306" s="928"/>
      <c r="AO306" s="928"/>
      <c r="AP306" s="928"/>
      <c r="AQ306" s="928"/>
      <c r="AR306" s="928"/>
      <c r="AS306" s="928"/>
    </row>
    <row r="307" spans="11:45">
      <c r="K307" s="957"/>
      <c r="L307" s="928"/>
      <c r="M307" s="928"/>
      <c r="N307" s="960"/>
      <c r="O307" s="960"/>
      <c r="P307" s="960"/>
      <c r="Q307" s="960"/>
      <c r="R307" s="960"/>
      <c r="S307" s="960"/>
      <c r="T307" s="960"/>
      <c r="U307" s="960"/>
      <c r="V307" s="960"/>
      <c r="W307" s="960"/>
      <c r="X307" s="960"/>
      <c r="Y307" s="960"/>
      <c r="Z307" s="960"/>
      <c r="AA307" s="960"/>
      <c r="AB307" s="928"/>
      <c r="AC307" s="928"/>
      <c r="AD307" s="928"/>
      <c r="AE307" s="928"/>
      <c r="AF307" s="928"/>
      <c r="AG307" s="928"/>
      <c r="AH307" s="928"/>
      <c r="AI307" s="928"/>
      <c r="AJ307" s="928"/>
      <c r="AK307" s="928"/>
      <c r="AL307" s="928"/>
      <c r="AM307" s="928"/>
      <c r="AN307" s="928"/>
      <c r="AO307" s="928"/>
      <c r="AP307" s="928"/>
      <c r="AQ307" s="928"/>
      <c r="AR307" s="928"/>
      <c r="AS307" s="928"/>
    </row>
    <row r="308" spans="11:45">
      <c r="K308" s="957"/>
      <c r="L308" s="928"/>
      <c r="M308" s="928"/>
      <c r="N308" s="960"/>
      <c r="O308" s="960"/>
      <c r="P308" s="960"/>
      <c r="Q308" s="960"/>
      <c r="R308" s="960"/>
      <c r="W308" s="960"/>
      <c r="X308" s="960"/>
      <c r="Y308" s="960"/>
      <c r="Z308" s="960"/>
      <c r="AA308" s="960"/>
      <c r="AB308" s="928"/>
      <c r="AC308" s="928"/>
      <c r="AD308" s="928"/>
      <c r="AE308" s="928"/>
      <c r="AF308" s="928"/>
      <c r="AG308" s="928"/>
      <c r="AH308" s="928"/>
      <c r="AI308" s="928"/>
      <c r="AJ308" s="928"/>
      <c r="AK308" s="928"/>
      <c r="AL308" s="928"/>
      <c r="AM308" s="928"/>
      <c r="AN308" s="928"/>
      <c r="AO308" s="928"/>
      <c r="AP308" s="928"/>
      <c r="AQ308" s="928"/>
      <c r="AR308" s="928"/>
      <c r="AS308" s="928"/>
    </row>
    <row r="309" spans="11:45">
      <c r="K309" s="957"/>
      <c r="L309" s="928"/>
      <c r="M309" s="928"/>
      <c r="N309" s="960"/>
      <c r="O309" s="960"/>
      <c r="P309" s="960"/>
      <c r="Q309" s="960"/>
      <c r="R309" s="960"/>
      <c r="W309" s="960"/>
      <c r="X309" s="960"/>
      <c r="Y309" s="960"/>
      <c r="Z309" s="960"/>
      <c r="AA309" s="960"/>
      <c r="AB309" s="928"/>
      <c r="AC309" s="928"/>
      <c r="AD309" s="928"/>
      <c r="AE309" s="928"/>
      <c r="AF309" s="928"/>
      <c r="AG309" s="928"/>
      <c r="AH309" s="928"/>
      <c r="AI309" s="928"/>
      <c r="AJ309" s="928"/>
      <c r="AK309" s="928"/>
      <c r="AL309" s="928"/>
      <c r="AM309" s="928"/>
      <c r="AN309" s="928"/>
      <c r="AO309" s="928"/>
      <c r="AP309" s="928"/>
      <c r="AQ309" s="928"/>
      <c r="AR309" s="928"/>
      <c r="AS309" s="928"/>
    </row>
    <row r="310" spans="11:45">
      <c r="K310" s="957"/>
      <c r="L310" s="928"/>
      <c r="M310" s="928"/>
      <c r="N310" s="960"/>
      <c r="O310" s="960"/>
      <c r="P310" s="960"/>
      <c r="Q310" s="960"/>
      <c r="R310" s="960"/>
      <c r="W310" s="960"/>
      <c r="X310" s="960"/>
      <c r="Y310" s="960"/>
      <c r="Z310" s="960"/>
      <c r="AA310" s="960"/>
      <c r="AB310" s="928"/>
      <c r="AC310" s="928"/>
      <c r="AD310" s="928"/>
      <c r="AE310" s="928"/>
      <c r="AF310" s="928"/>
      <c r="AG310" s="928"/>
      <c r="AH310" s="928"/>
      <c r="AI310" s="928"/>
      <c r="AJ310" s="928"/>
      <c r="AK310" s="928"/>
      <c r="AL310" s="928"/>
      <c r="AM310" s="928"/>
      <c r="AN310" s="928"/>
      <c r="AO310" s="928"/>
      <c r="AP310" s="928"/>
      <c r="AQ310" s="928"/>
      <c r="AR310" s="928"/>
      <c r="AS310" s="928"/>
    </row>
    <row r="311" spans="11:45">
      <c r="K311" s="957"/>
      <c r="L311" s="928"/>
      <c r="M311" s="928"/>
      <c r="N311" s="960"/>
      <c r="O311" s="960"/>
      <c r="P311" s="960"/>
      <c r="Q311" s="960"/>
      <c r="R311" s="960"/>
      <c r="W311" s="960"/>
      <c r="X311" s="960"/>
      <c r="Y311" s="960"/>
      <c r="Z311" s="960"/>
      <c r="AA311" s="960"/>
      <c r="AB311" s="928"/>
      <c r="AC311" s="928"/>
      <c r="AD311" s="928"/>
      <c r="AE311" s="928"/>
      <c r="AF311" s="928"/>
      <c r="AG311" s="928"/>
      <c r="AH311" s="928"/>
      <c r="AI311" s="928"/>
      <c r="AJ311" s="928"/>
      <c r="AK311" s="928"/>
      <c r="AL311" s="928"/>
      <c r="AM311" s="928"/>
      <c r="AN311" s="928"/>
      <c r="AO311" s="928"/>
      <c r="AP311" s="928"/>
      <c r="AQ311" s="928"/>
      <c r="AR311" s="928"/>
      <c r="AS311" s="928"/>
    </row>
  </sheetData>
  <sheetProtection sheet="1" objects="1" scenarios="1"/>
  <mergeCells count="80">
    <mergeCell ref="B25:M25"/>
    <mergeCell ref="A27:C27"/>
    <mergeCell ref="E27:H27"/>
    <mergeCell ref="L27:M27"/>
    <mergeCell ref="A28:C28"/>
    <mergeCell ref="E28:H28"/>
    <mergeCell ref="L28:M28"/>
    <mergeCell ref="L22:M23"/>
    <mergeCell ref="A20:A21"/>
    <mergeCell ref="B20:B21"/>
    <mergeCell ref="C20:C21"/>
    <mergeCell ref="J20:J21"/>
    <mergeCell ref="K20:K21"/>
    <mergeCell ref="L20:M21"/>
    <mergeCell ref="A22:A23"/>
    <mergeCell ref="B22:B23"/>
    <mergeCell ref="C22:C23"/>
    <mergeCell ref="J22:J23"/>
    <mergeCell ref="K22:K23"/>
    <mergeCell ref="L18:M19"/>
    <mergeCell ref="A16:A17"/>
    <mergeCell ref="B16:B17"/>
    <mergeCell ref="C16:C17"/>
    <mergeCell ref="J16:J17"/>
    <mergeCell ref="K16:K17"/>
    <mergeCell ref="L16:M17"/>
    <mergeCell ref="A18:A19"/>
    <mergeCell ref="B18:B19"/>
    <mergeCell ref="C18:C19"/>
    <mergeCell ref="J18:J19"/>
    <mergeCell ref="K18:K19"/>
    <mergeCell ref="L14:M15"/>
    <mergeCell ref="A12:A13"/>
    <mergeCell ref="B12:B13"/>
    <mergeCell ref="C12:C13"/>
    <mergeCell ref="J12:J13"/>
    <mergeCell ref="K12:K13"/>
    <mergeCell ref="L12:M13"/>
    <mergeCell ref="A14:A15"/>
    <mergeCell ref="B14:B15"/>
    <mergeCell ref="C14:C15"/>
    <mergeCell ref="J14:J15"/>
    <mergeCell ref="K14:K15"/>
    <mergeCell ref="I8:I9"/>
    <mergeCell ref="J8:M8"/>
    <mergeCell ref="L9:M9"/>
    <mergeCell ref="A10:A11"/>
    <mergeCell ref="B10:B11"/>
    <mergeCell ref="C10:C11"/>
    <mergeCell ref="J10:J11"/>
    <mergeCell ref="K10:K11"/>
    <mergeCell ref="L10:M11"/>
    <mergeCell ref="A8:A9"/>
    <mergeCell ref="B8:B9"/>
    <mergeCell ref="C8:C9"/>
    <mergeCell ref="D8:E9"/>
    <mergeCell ref="F8:G9"/>
    <mergeCell ref="H8:H9"/>
    <mergeCell ref="A6:C6"/>
    <mergeCell ref="D6:G6"/>
    <mergeCell ref="H6:I6"/>
    <mergeCell ref="K6:M6"/>
    <mergeCell ref="A7:B7"/>
    <mergeCell ref="C7:D7"/>
    <mergeCell ref="E7:H7"/>
    <mergeCell ref="I7:J7"/>
    <mergeCell ref="K7:M7"/>
    <mergeCell ref="D4:E4"/>
    <mergeCell ref="I4:J4"/>
    <mergeCell ref="K4:L4"/>
    <mergeCell ref="B5:D5"/>
    <mergeCell ref="E5:G5"/>
    <mergeCell ref="H5:J5"/>
    <mergeCell ref="K5:L5"/>
    <mergeCell ref="C1:H1"/>
    <mergeCell ref="J1:K1"/>
    <mergeCell ref="L1:M1"/>
    <mergeCell ref="B2:G2"/>
    <mergeCell ref="H2:I2"/>
    <mergeCell ref="J2:M2"/>
  </mergeCells>
  <dataValidations count="11">
    <dataValidation type="list" allowBlank="1" showInputMessage="1" showErrorMessage="1" sqref="B24">
      <formula1>#REF!</formula1>
    </dataValidation>
    <dataValidation type="list" allowBlank="1" sqref="F10:F23 D10:D23">
      <formula1>Hue</formula1>
    </dataValidation>
    <dataValidation type="list" allowBlank="1" sqref="E10:E23 G10:G23">
      <formula1>ValueChroma</formula1>
    </dataValidation>
    <dataValidation type="list" allowBlank="1" sqref="J22 J18 J10 J12 J14 J16 J20">
      <formula1>StructureShape</formula1>
    </dataValidation>
    <dataValidation type="list" allowBlank="1" sqref="K22 K18 K10 K12 K14 K16 K20">
      <formula1>StructureGrade</formula1>
    </dataValidation>
    <dataValidation type="list" allowBlank="1" sqref="L22 L10 L12 L14 L16 L18 L20">
      <formula1>StructureConsistence</formula1>
    </dataValidation>
    <dataValidation type="list" allowBlank="1" sqref="C22 C18 C10 C12 C14 C16 C20">
      <formula1>CoarseFragments</formula1>
    </dataValidation>
    <dataValidation type="list" allowBlank="1" sqref="B22 B18 B10 B12 B14 B16 B20">
      <formula1>SoilTexture7080</formula1>
    </dataValidation>
    <dataValidation type="list" allowBlank="1" sqref="I4">
      <formula1>SlopeShape</formula1>
    </dataValidation>
    <dataValidation type="list" errorStyle="information" allowBlank="1" showInputMessage="1" showErrorMessage="1" errorTitle="Slope" error="Check slope value" prompt="Land Slope" sqref="G4">
      <formula1>Slope</formula1>
    </dataValidation>
    <dataValidation type="list" errorStyle="information" allowBlank="1" showInputMessage="1" showErrorMessage="1" error="Check type before proceeding" sqref="K7:M7">
      <formula1>ObservationType</formula1>
    </dataValidation>
  </dataValidations>
  <printOptions horizontalCentered="1" verticalCentered="1"/>
  <pageMargins left="0.25" right="0.25" top="0.25" bottom="0.25" header="0" footer="0"/>
  <pageSetup fitToHeight="0" orientation="landscape"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3840001" r:id="rId4" name="Check Box 1">
              <controlPr defaultSize="0" autoFill="0" autoLine="0" autoPict="0">
                <anchor moveWithCells="1" sizeWithCells="1">
                  <from>
                    <xdr:col>4</xdr:col>
                    <xdr:colOff>312420</xdr:colOff>
                    <xdr:row>2</xdr:row>
                    <xdr:rowOff>45720</xdr:rowOff>
                  </from>
                  <to>
                    <xdr:col>6</xdr:col>
                    <xdr:colOff>304800</xdr:colOff>
                    <xdr:row>2</xdr:row>
                    <xdr:rowOff>259080</xdr:rowOff>
                  </to>
                </anchor>
              </controlPr>
            </control>
          </mc:Choice>
        </mc:AlternateContent>
        <mc:AlternateContent xmlns:mc="http://schemas.openxmlformats.org/markup-compatibility/2006">
          <mc:Choice Requires="x14">
            <control shapeId="3840002" r:id="rId5" name="Check Box 2">
              <controlPr defaultSize="0" autoFill="0" autoLine="0" autoPict="0">
                <anchor moveWithCells="1" sizeWithCells="1">
                  <from>
                    <xdr:col>5</xdr:col>
                    <xdr:colOff>419100</xdr:colOff>
                    <xdr:row>2</xdr:row>
                    <xdr:rowOff>45720</xdr:rowOff>
                  </from>
                  <to>
                    <xdr:col>7</xdr:col>
                    <xdr:colOff>411480</xdr:colOff>
                    <xdr:row>2</xdr:row>
                    <xdr:rowOff>259080</xdr:rowOff>
                  </to>
                </anchor>
              </controlPr>
            </control>
          </mc:Choice>
        </mc:AlternateContent>
        <mc:AlternateContent xmlns:mc="http://schemas.openxmlformats.org/markup-compatibility/2006">
          <mc:Choice Requires="x14">
            <control shapeId="3840003" r:id="rId6" name="Check Box 3">
              <controlPr defaultSize="0" autoFill="0" autoLine="0" autoPict="0">
                <anchor moveWithCells="1" sizeWithCells="1">
                  <from>
                    <xdr:col>7</xdr:col>
                    <xdr:colOff>182880</xdr:colOff>
                    <xdr:row>2</xdr:row>
                    <xdr:rowOff>45720</xdr:rowOff>
                  </from>
                  <to>
                    <xdr:col>8</xdr:col>
                    <xdr:colOff>220980</xdr:colOff>
                    <xdr:row>2</xdr:row>
                    <xdr:rowOff>259080</xdr:rowOff>
                  </to>
                </anchor>
              </controlPr>
            </control>
          </mc:Choice>
        </mc:AlternateContent>
        <mc:AlternateContent xmlns:mc="http://schemas.openxmlformats.org/markup-compatibility/2006">
          <mc:Choice Requires="x14">
            <control shapeId="3840004" r:id="rId7" name="Check Box 4">
              <controlPr defaultSize="0" autoFill="0" autoLine="0" autoPict="0">
                <anchor moveWithCells="1" sizeWithCells="1">
                  <from>
                    <xdr:col>7</xdr:col>
                    <xdr:colOff>731520</xdr:colOff>
                    <xdr:row>2</xdr:row>
                    <xdr:rowOff>45720</xdr:rowOff>
                  </from>
                  <to>
                    <xdr:col>9</xdr:col>
                    <xdr:colOff>45720</xdr:colOff>
                    <xdr:row>2</xdr:row>
                    <xdr:rowOff>259080</xdr:rowOff>
                  </to>
                </anchor>
              </controlPr>
            </control>
          </mc:Choice>
        </mc:AlternateContent>
        <mc:AlternateContent xmlns:mc="http://schemas.openxmlformats.org/markup-compatibility/2006">
          <mc:Choice Requires="x14">
            <control shapeId="3840005" r:id="rId8" name="Check Box 5">
              <controlPr defaultSize="0" autoFill="0" autoLine="0" autoPict="0">
                <anchor moveWithCells="1" sizeWithCells="1">
                  <from>
                    <xdr:col>8</xdr:col>
                    <xdr:colOff>350520</xdr:colOff>
                    <xdr:row>2</xdr:row>
                    <xdr:rowOff>45720</xdr:rowOff>
                  </from>
                  <to>
                    <xdr:col>9</xdr:col>
                    <xdr:colOff>609600</xdr:colOff>
                    <xdr:row>2</xdr:row>
                    <xdr:rowOff>259080</xdr:rowOff>
                  </to>
                </anchor>
              </controlPr>
            </control>
          </mc:Choice>
        </mc:AlternateContent>
        <mc:AlternateContent xmlns:mc="http://schemas.openxmlformats.org/markup-compatibility/2006">
          <mc:Choice Requires="x14">
            <control shapeId="3840006" r:id="rId9" name="Check Box 6">
              <controlPr defaultSize="0" autoFill="0" autoLine="0" autoPict="0">
                <anchor moveWithCells="1" sizeWithCells="1">
                  <from>
                    <xdr:col>9</xdr:col>
                    <xdr:colOff>388620</xdr:colOff>
                    <xdr:row>2</xdr:row>
                    <xdr:rowOff>45720</xdr:rowOff>
                  </from>
                  <to>
                    <xdr:col>10</xdr:col>
                    <xdr:colOff>617220</xdr:colOff>
                    <xdr:row>2</xdr:row>
                    <xdr:rowOff>259080</xdr:rowOff>
                  </to>
                </anchor>
              </controlPr>
            </control>
          </mc:Choice>
        </mc:AlternateContent>
        <mc:AlternateContent xmlns:mc="http://schemas.openxmlformats.org/markup-compatibility/2006">
          <mc:Choice Requires="x14">
            <control shapeId="3840007" r:id="rId10" name="Check Box 7">
              <controlPr defaultSize="0" autoFill="0" autoLine="0" autoPict="0">
                <anchor moveWithCells="1" sizeWithCells="1">
                  <from>
                    <xdr:col>10</xdr:col>
                    <xdr:colOff>426720</xdr:colOff>
                    <xdr:row>2</xdr:row>
                    <xdr:rowOff>45720</xdr:rowOff>
                  </from>
                  <to>
                    <xdr:col>11</xdr:col>
                    <xdr:colOff>541020</xdr:colOff>
                    <xdr:row>2</xdr:row>
                    <xdr:rowOff>259080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x14:formula1>
            <xm:f>'Drop-Down Lists'!$I$40:$I$44</xm:f>
          </x14:formula1>
          <xm:sqref>D4:E4</xm:sqref>
        </x14:dataValidation>
        <x14:dataValidation type="list" allowBlank="1" showInputMessage="1">
          <x14:formula1>
            <xm:f>'Drop-Down Lists'!$D$63:$D$68</xm:f>
          </x14:formula1>
          <xm:sqref>B5:D5</xm:sqref>
        </x14:dataValidation>
        <x14:dataValidation type="list" allowBlank="1">
          <x14:formula1>
            <xm:f>'Drop-Down Lists'!$C$13:$C$20</xm:f>
          </x14:formula1>
          <xm:sqref>H10:H23</xm:sqref>
        </x14:dataValidation>
        <x14:dataValidation type="list" allowBlank="1" showInputMessage="1">
          <x14:formula1>
            <xm:f>'Drop-Down Lists'!$F$2:$F$34</xm:f>
          </x14:formula1>
          <xm:sqref>I10:I23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pageSetUpPr fitToPage="1"/>
  </sheetPr>
  <dimension ref="A1:AS311"/>
  <sheetViews>
    <sheetView view="pageBreakPreview" zoomScaleNormal="100" zoomScaleSheetLayoutView="100" workbookViewId="0">
      <selection activeCell="D4" sqref="D4:E4"/>
    </sheetView>
  </sheetViews>
  <sheetFormatPr defaultColWidth="9.109375" defaultRowHeight="14.4"/>
  <cols>
    <col min="1" max="1" width="10.44140625" style="929" customWidth="1"/>
    <col min="2" max="2" width="11.44140625" style="929" customWidth="1"/>
    <col min="3" max="3" width="7.88671875" style="929" customWidth="1"/>
    <col min="4" max="7" width="7.44140625" style="929" customWidth="1"/>
    <col min="8" max="8" width="14.44140625" style="929" customWidth="1"/>
    <col min="9" max="9" width="11.109375" style="929" customWidth="1"/>
    <col min="10" max="10" width="11.44140625" style="929" customWidth="1"/>
    <col min="11" max="11" width="13.44140625" style="929" customWidth="1"/>
    <col min="12" max="13" width="9.109375" style="929"/>
    <col min="14" max="14" width="13.109375" style="969" customWidth="1"/>
    <col min="15" max="15" width="7.88671875" style="969" customWidth="1"/>
    <col min="16" max="27" width="9.109375" style="969"/>
    <col min="28" max="16384" width="9.109375" style="929"/>
  </cols>
  <sheetData>
    <row r="1" spans="1:45" ht="45.75" customHeight="1" thickBot="1">
      <c r="A1" s="923"/>
      <c r="B1" s="924"/>
      <c r="C1" s="2844" t="s">
        <v>1746</v>
      </c>
      <c r="D1" s="2844"/>
      <c r="E1" s="2844"/>
      <c r="F1" s="2844"/>
      <c r="G1" s="2844"/>
      <c r="H1" s="2844"/>
      <c r="I1" s="2050" t="s">
        <v>1015</v>
      </c>
      <c r="J1" s="2845" t="str">
        <f>IF(ISBLANK(Prelim!S5)," ",Prelim!S5)</f>
        <v xml:space="preserve"> </v>
      </c>
      <c r="K1" s="2845"/>
      <c r="L1" s="2845" t="str">
        <f>'Drop-Down Lists'!J40</f>
        <v>v 04.01.2021</v>
      </c>
      <c r="M1" s="2845"/>
      <c r="N1" s="926"/>
      <c r="O1" s="926"/>
      <c r="P1" s="926"/>
      <c r="Q1" s="926"/>
      <c r="R1" s="926"/>
      <c r="S1" s="926"/>
      <c r="T1" s="926"/>
      <c r="U1" s="926"/>
      <c r="V1" s="926"/>
      <c r="W1" s="926"/>
      <c r="X1" s="926"/>
      <c r="Y1" s="926"/>
      <c r="Z1" s="926"/>
      <c r="AA1" s="926"/>
      <c r="AB1" s="927"/>
      <c r="AC1" s="928"/>
      <c r="AD1" s="928"/>
      <c r="AE1" s="928"/>
      <c r="AF1" s="928"/>
      <c r="AG1" s="928"/>
      <c r="AH1" s="928"/>
      <c r="AI1" s="928"/>
      <c r="AJ1" s="928"/>
      <c r="AK1" s="928"/>
      <c r="AL1" s="928"/>
      <c r="AM1" s="928"/>
      <c r="AN1" s="928"/>
      <c r="AO1" s="928"/>
      <c r="AP1" s="928"/>
      <c r="AQ1" s="928"/>
      <c r="AR1" s="928"/>
      <c r="AS1" s="928"/>
    </row>
    <row r="2" spans="1:45" ht="21.9" customHeight="1">
      <c r="A2" s="2160" t="s">
        <v>1774</v>
      </c>
      <c r="B2" s="2846" t="str">
        <f>IF(ISBLANK(Prelim!G3),"  ", Prelim!G3)</f>
        <v xml:space="preserve">  </v>
      </c>
      <c r="C2" s="2846"/>
      <c r="D2" s="2846"/>
      <c r="E2" s="2846"/>
      <c r="F2" s="2846"/>
      <c r="G2" s="2847"/>
      <c r="H2" s="2848" t="s">
        <v>1775</v>
      </c>
      <c r="I2" s="2849"/>
      <c r="J2" s="2850" t="str">
        <f>IF(ISBLANK(Prelim!G5), " ", Prelim!G5)</f>
        <v xml:space="preserve"> </v>
      </c>
      <c r="K2" s="2850"/>
      <c r="L2" s="2850"/>
      <c r="M2" s="2851"/>
      <c r="N2" s="926"/>
      <c r="O2" s="930"/>
      <c r="P2" s="930"/>
      <c r="Q2" s="930"/>
      <c r="R2" s="930"/>
      <c r="S2" s="930"/>
      <c r="T2" s="930"/>
      <c r="U2" s="930"/>
      <c r="V2" s="930"/>
      <c r="W2" s="930"/>
      <c r="X2" s="930"/>
      <c r="Y2" s="930"/>
      <c r="Z2" s="930"/>
      <c r="AA2" s="926"/>
      <c r="AB2" s="927"/>
      <c r="AC2" s="928"/>
      <c r="AD2" s="928"/>
      <c r="AE2" s="928"/>
      <c r="AF2" s="928"/>
      <c r="AG2" s="928"/>
      <c r="AH2" s="928"/>
      <c r="AI2" s="928"/>
      <c r="AJ2" s="928"/>
      <c r="AK2" s="928"/>
      <c r="AL2" s="928"/>
      <c r="AM2" s="928"/>
      <c r="AN2" s="928"/>
      <c r="AO2" s="928"/>
      <c r="AP2" s="928"/>
      <c r="AQ2" s="928"/>
      <c r="AR2" s="928"/>
      <c r="AS2" s="928"/>
    </row>
    <row r="3" spans="1:45" ht="21.9" customHeight="1">
      <c r="A3" s="2051" t="s">
        <v>1139</v>
      </c>
      <c r="B3" s="925"/>
      <c r="C3" s="925"/>
      <c r="D3" s="925"/>
      <c r="E3" s="925"/>
      <c r="F3" s="925"/>
      <c r="G3" s="925"/>
      <c r="H3" s="925"/>
      <c r="I3" s="925"/>
      <c r="J3" s="925"/>
      <c r="K3" s="925"/>
      <c r="L3" s="925"/>
      <c r="M3" s="2052"/>
      <c r="N3" s="926"/>
      <c r="O3" s="930"/>
      <c r="P3" s="930"/>
      <c r="Q3" s="930"/>
      <c r="R3" s="930"/>
      <c r="S3" s="930"/>
      <c r="T3" s="930"/>
      <c r="U3" s="930"/>
      <c r="V3" s="930"/>
      <c r="W3" s="930"/>
      <c r="X3" s="930"/>
      <c r="Y3" s="930"/>
      <c r="Z3" s="930"/>
      <c r="AA3" s="926"/>
      <c r="AB3" s="927"/>
      <c r="AC3" s="928"/>
      <c r="AD3" s="928"/>
      <c r="AE3" s="928"/>
      <c r="AF3" s="928"/>
      <c r="AG3" s="928"/>
      <c r="AH3" s="928"/>
      <c r="AI3" s="928"/>
      <c r="AJ3" s="928"/>
      <c r="AK3" s="928"/>
      <c r="AL3" s="928"/>
      <c r="AM3" s="928"/>
      <c r="AN3" s="928"/>
      <c r="AO3" s="928"/>
      <c r="AP3" s="928"/>
      <c r="AQ3" s="928"/>
      <c r="AR3" s="928"/>
      <c r="AS3" s="928"/>
    </row>
    <row r="4" spans="1:45" ht="24" customHeight="1">
      <c r="A4" s="931" t="s">
        <v>1921</v>
      </c>
      <c r="B4" s="932"/>
      <c r="C4" s="932"/>
      <c r="D4" s="2852"/>
      <c r="E4" s="2853"/>
      <c r="F4" s="2053" t="s">
        <v>1590</v>
      </c>
      <c r="G4" s="2054"/>
      <c r="H4" s="2053" t="s">
        <v>1140</v>
      </c>
      <c r="I4" s="2854"/>
      <c r="J4" s="2855"/>
      <c r="K4" s="2856" t="s">
        <v>1922</v>
      </c>
      <c r="L4" s="2857"/>
      <c r="M4" s="2262"/>
      <c r="N4" s="926"/>
      <c r="O4" s="930"/>
      <c r="P4" s="930"/>
      <c r="Q4" s="933"/>
      <c r="R4" s="933"/>
      <c r="S4" s="933"/>
      <c r="T4" s="933"/>
      <c r="U4" s="930"/>
      <c r="V4" s="930"/>
      <c r="W4" s="930"/>
      <c r="X4" s="930"/>
      <c r="Y4" s="930"/>
      <c r="Z4" s="930"/>
      <c r="AA4" s="926"/>
      <c r="AB4" s="927"/>
      <c r="AC4" s="928"/>
      <c r="AD4" s="928"/>
      <c r="AE4" s="928"/>
      <c r="AF4" s="928"/>
      <c r="AG4" s="928"/>
      <c r="AH4" s="928"/>
      <c r="AI4" s="928"/>
      <c r="AJ4" s="928"/>
      <c r="AK4" s="928"/>
      <c r="AL4" s="928"/>
      <c r="AM4" s="928"/>
      <c r="AN4" s="928"/>
      <c r="AO4" s="928"/>
      <c r="AP4" s="928"/>
      <c r="AQ4" s="928"/>
      <c r="AR4" s="928"/>
      <c r="AS4" s="928"/>
    </row>
    <row r="5" spans="1:45" ht="21.9" customHeight="1">
      <c r="A5" s="2257" t="s">
        <v>1589</v>
      </c>
      <c r="B5" s="2854"/>
      <c r="C5" s="2854"/>
      <c r="D5" s="2855"/>
      <c r="E5" s="2858" t="s">
        <v>1588</v>
      </c>
      <c r="F5" s="2859"/>
      <c r="G5" s="2859"/>
      <c r="H5" s="2854"/>
      <c r="I5" s="2854"/>
      <c r="J5" s="2855"/>
      <c r="K5" s="2860" t="s">
        <v>1925</v>
      </c>
      <c r="L5" s="2861"/>
      <c r="M5" s="2239"/>
      <c r="N5" s="926"/>
      <c r="O5" s="933"/>
      <c r="P5" s="930"/>
      <c r="Q5" s="930"/>
      <c r="R5" s="930"/>
      <c r="S5" s="933"/>
      <c r="T5" s="933"/>
      <c r="U5" s="930"/>
      <c r="V5" s="930"/>
      <c r="W5" s="930"/>
      <c r="X5" s="930"/>
      <c r="Y5" s="930"/>
      <c r="Z5" s="930"/>
      <c r="AA5" s="926"/>
      <c r="AB5" s="927"/>
      <c r="AC5" s="928"/>
      <c r="AD5" s="928"/>
      <c r="AE5" s="928"/>
      <c r="AF5" s="928"/>
      <c r="AG5" s="928"/>
      <c r="AH5" s="928"/>
      <c r="AI5" s="928"/>
      <c r="AJ5" s="928"/>
      <c r="AK5" s="928"/>
      <c r="AL5" s="928"/>
      <c r="AM5" s="928"/>
      <c r="AN5" s="928"/>
      <c r="AO5" s="928"/>
      <c r="AP5" s="928"/>
      <c r="AQ5" s="928"/>
      <c r="AR5" s="928"/>
      <c r="AS5" s="928"/>
    </row>
    <row r="6" spans="1:45" ht="21.9" customHeight="1">
      <c r="A6" s="2862" t="s">
        <v>1141</v>
      </c>
      <c r="B6" s="2863"/>
      <c r="C6" s="2863"/>
      <c r="D6" s="2864"/>
      <c r="E6" s="2864"/>
      <c r="F6" s="2864"/>
      <c r="G6" s="2864"/>
      <c r="H6" s="2865"/>
      <c r="I6" s="2855"/>
      <c r="J6" s="2252" t="s">
        <v>1128</v>
      </c>
      <c r="K6" s="2866"/>
      <c r="L6" s="2866"/>
      <c r="M6" s="2867"/>
      <c r="N6" s="926"/>
      <c r="O6" s="1887"/>
      <c r="P6" s="1887"/>
      <c r="Q6" s="934"/>
      <c r="R6" s="934"/>
      <c r="S6" s="933"/>
      <c r="T6" s="933"/>
      <c r="U6" s="930"/>
      <c r="V6" s="930"/>
      <c r="W6" s="930"/>
      <c r="X6" s="930"/>
      <c r="Y6" s="930"/>
      <c r="Z6" s="930"/>
      <c r="AA6" s="926"/>
      <c r="AB6" s="927"/>
      <c r="AC6" s="928"/>
      <c r="AD6" s="928"/>
      <c r="AE6" s="928"/>
      <c r="AF6" s="928"/>
      <c r="AG6" s="928"/>
      <c r="AH6" s="928"/>
      <c r="AI6" s="928"/>
      <c r="AJ6" s="928"/>
      <c r="AK6" s="928"/>
      <c r="AL6" s="928"/>
      <c r="AM6" s="928"/>
      <c r="AN6" s="928"/>
      <c r="AO6" s="928"/>
      <c r="AP6" s="928"/>
      <c r="AQ6" s="928"/>
      <c r="AR6" s="928"/>
      <c r="AS6" s="928"/>
    </row>
    <row r="7" spans="1:45" ht="21.9" customHeight="1" thickBot="1">
      <c r="A7" s="2868" t="s">
        <v>1142</v>
      </c>
      <c r="B7" s="2869"/>
      <c r="C7" s="2870"/>
      <c r="D7" s="2870"/>
      <c r="E7" s="2870"/>
      <c r="F7" s="2870"/>
      <c r="G7" s="2870"/>
      <c r="H7" s="2870"/>
      <c r="I7" s="2871" t="s">
        <v>1143</v>
      </c>
      <c r="J7" s="2872"/>
      <c r="K7" s="2873"/>
      <c r="L7" s="2873"/>
      <c r="M7" s="2874"/>
      <c r="N7" s="930"/>
      <c r="O7" s="930"/>
      <c r="P7" s="930"/>
      <c r="Q7" s="930"/>
      <c r="R7" s="930"/>
      <c r="S7" s="930"/>
      <c r="T7" s="930"/>
      <c r="U7" s="930"/>
      <c r="V7" s="930"/>
      <c r="W7" s="930"/>
      <c r="X7" s="926"/>
      <c r="Y7" s="927"/>
      <c r="Z7" s="928"/>
      <c r="AA7" s="928"/>
      <c r="AB7" s="928"/>
      <c r="AC7" s="928"/>
      <c r="AD7" s="928"/>
      <c r="AE7" s="928"/>
      <c r="AF7" s="928"/>
      <c r="AG7" s="928"/>
      <c r="AH7" s="928"/>
      <c r="AI7" s="928"/>
      <c r="AJ7" s="928"/>
      <c r="AK7" s="928"/>
      <c r="AL7" s="928"/>
      <c r="AM7" s="928"/>
      <c r="AN7" s="928"/>
      <c r="AO7" s="928"/>
      <c r="AP7" s="928"/>
    </row>
    <row r="8" spans="1:45" ht="14.1" customHeight="1">
      <c r="A8" s="2892" t="s">
        <v>1144</v>
      </c>
      <c r="B8" s="2875" t="s">
        <v>669</v>
      </c>
      <c r="C8" s="2894" t="s">
        <v>1145</v>
      </c>
      <c r="D8" s="2896" t="s">
        <v>1146</v>
      </c>
      <c r="E8" s="2897"/>
      <c r="F8" s="2896" t="s">
        <v>1147</v>
      </c>
      <c r="G8" s="2900"/>
      <c r="H8" s="2875" t="s">
        <v>1148</v>
      </c>
      <c r="I8" s="2875" t="s">
        <v>1149</v>
      </c>
      <c r="J8" s="2877" t="s">
        <v>1150</v>
      </c>
      <c r="K8" s="2877"/>
      <c r="L8" s="2877"/>
      <c r="M8" s="2878"/>
      <c r="N8" s="926"/>
      <c r="O8" s="930"/>
      <c r="P8" s="930"/>
      <c r="Q8" s="930"/>
      <c r="R8" s="930"/>
      <c r="S8" s="930"/>
      <c r="T8" s="930"/>
      <c r="U8" s="930"/>
      <c r="V8" s="930"/>
      <c r="W8" s="930"/>
      <c r="X8" s="930"/>
      <c r="Y8" s="930"/>
      <c r="Z8" s="930"/>
      <c r="AA8" s="926"/>
      <c r="AB8" s="927"/>
      <c r="AC8" s="928"/>
      <c r="AD8" s="928"/>
      <c r="AE8" s="928"/>
      <c r="AF8" s="928"/>
      <c r="AG8" s="928"/>
      <c r="AH8" s="928"/>
      <c r="AI8" s="928"/>
      <c r="AJ8" s="928"/>
      <c r="AK8" s="928"/>
      <c r="AL8" s="928"/>
      <c r="AM8" s="928"/>
      <c r="AN8" s="928"/>
      <c r="AO8" s="928"/>
      <c r="AP8" s="928"/>
      <c r="AQ8" s="928"/>
      <c r="AR8" s="928"/>
      <c r="AS8" s="928"/>
    </row>
    <row r="9" spans="1:45" ht="14.1" customHeight="1" thickBot="1">
      <c r="A9" s="2893"/>
      <c r="B9" s="2876"/>
      <c r="C9" s="2895"/>
      <c r="D9" s="2898"/>
      <c r="E9" s="2899"/>
      <c r="F9" s="2901"/>
      <c r="G9" s="2902"/>
      <c r="H9" s="2876"/>
      <c r="I9" s="2876"/>
      <c r="J9" s="2253" t="s">
        <v>1151</v>
      </c>
      <c r="K9" s="2253" t="s">
        <v>671</v>
      </c>
      <c r="L9" s="2876" t="s">
        <v>672</v>
      </c>
      <c r="M9" s="2879"/>
      <c r="N9" s="926"/>
      <c r="O9" s="930"/>
      <c r="P9" s="930"/>
      <c r="Q9" s="930"/>
      <c r="R9" s="935"/>
      <c r="S9" s="936"/>
      <c r="T9" s="930"/>
      <c r="U9" s="930"/>
      <c r="V9" s="930"/>
      <c r="W9" s="930"/>
      <c r="X9" s="930"/>
      <c r="Y9" s="930"/>
      <c r="Z9" s="930"/>
      <c r="AA9" s="926"/>
      <c r="AB9" s="927"/>
      <c r="AC9" s="928"/>
      <c r="AD9" s="928"/>
      <c r="AE9" s="928"/>
      <c r="AF9" s="928"/>
      <c r="AG9" s="928"/>
      <c r="AH9" s="928"/>
      <c r="AI9" s="928"/>
      <c r="AJ9" s="928"/>
      <c r="AK9" s="928"/>
      <c r="AL9" s="928"/>
      <c r="AM9" s="928"/>
      <c r="AN9" s="928"/>
      <c r="AO9" s="928"/>
      <c r="AP9" s="928"/>
      <c r="AQ9" s="928"/>
      <c r="AR9" s="928"/>
      <c r="AS9" s="928"/>
    </row>
    <row r="10" spans="1:45" ht="21.9" customHeight="1" thickTop="1">
      <c r="A10" s="2880"/>
      <c r="B10" s="2882"/>
      <c r="C10" s="2884"/>
      <c r="D10" s="2027"/>
      <c r="E10" s="2028"/>
      <c r="F10" s="2027"/>
      <c r="G10" s="2028"/>
      <c r="H10" s="2254"/>
      <c r="I10" s="2254"/>
      <c r="J10" s="2886"/>
      <c r="K10" s="2886"/>
      <c r="L10" s="2888"/>
      <c r="M10" s="2889"/>
      <c r="N10" s="937"/>
      <c r="O10" s="930"/>
      <c r="P10" s="930"/>
      <c r="Q10" s="930"/>
      <c r="R10" s="1887"/>
      <c r="S10" s="936"/>
      <c r="T10" s="930"/>
      <c r="U10" s="930"/>
      <c r="V10" s="930"/>
      <c r="W10" s="930"/>
      <c r="X10" s="930"/>
      <c r="Y10" s="930"/>
      <c r="Z10" s="930"/>
      <c r="AA10" s="926"/>
      <c r="AB10" s="926"/>
      <c r="AC10" s="928"/>
      <c r="AD10" s="928"/>
      <c r="AE10" s="928"/>
      <c r="AF10" s="928"/>
      <c r="AG10" s="928"/>
      <c r="AH10" s="928"/>
      <c r="AI10" s="928"/>
      <c r="AJ10" s="928"/>
      <c r="AK10" s="928"/>
      <c r="AL10" s="928"/>
      <c r="AM10" s="928"/>
      <c r="AN10" s="928"/>
      <c r="AO10" s="928"/>
      <c r="AP10" s="928"/>
      <c r="AQ10" s="928"/>
      <c r="AR10" s="928"/>
      <c r="AS10" s="928"/>
    </row>
    <row r="11" spans="1:45" ht="21.9" customHeight="1">
      <c r="A11" s="2881"/>
      <c r="B11" s="2883"/>
      <c r="C11" s="2885"/>
      <c r="D11" s="2027"/>
      <c r="E11" s="2028"/>
      <c r="F11" s="2027"/>
      <c r="G11" s="2028"/>
      <c r="H11" s="1423"/>
      <c r="I11" s="1423"/>
      <c r="J11" s="2887"/>
      <c r="K11" s="2887"/>
      <c r="L11" s="2890"/>
      <c r="M11" s="2891"/>
      <c r="N11" s="937"/>
      <c r="O11" s="934"/>
      <c r="P11" s="934"/>
      <c r="Q11" s="934"/>
      <c r="R11" s="934"/>
      <c r="S11" s="934"/>
      <c r="T11" s="930"/>
      <c r="U11" s="930"/>
      <c r="V11" s="930"/>
      <c r="W11" s="930"/>
      <c r="X11" s="930"/>
      <c r="Y11" s="930"/>
      <c r="Z11" s="930"/>
      <c r="AA11" s="926"/>
      <c r="AB11" s="926"/>
      <c r="AC11" s="928"/>
      <c r="AD11" s="928"/>
      <c r="AE11" s="928"/>
      <c r="AF11" s="928"/>
      <c r="AG11" s="928"/>
      <c r="AH11" s="928"/>
      <c r="AI11" s="928"/>
      <c r="AJ11" s="928"/>
      <c r="AK11" s="928"/>
      <c r="AL11" s="928"/>
      <c r="AM11" s="928"/>
      <c r="AN11" s="928"/>
      <c r="AO11" s="928"/>
      <c r="AP11" s="928"/>
      <c r="AQ11" s="928"/>
      <c r="AR11" s="928"/>
      <c r="AS11" s="928"/>
    </row>
    <row r="12" spans="1:45" ht="21.9" customHeight="1">
      <c r="A12" s="2905"/>
      <c r="B12" s="2906"/>
      <c r="C12" s="2907"/>
      <c r="D12" s="2029"/>
      <c r="E12" s="2030"/>
      <c r="F12" s="2029"/>
      <c r="G12" s="2030"/>
      <c r="H12" s="1423"/>
      <c r="I12" s="1423"/>
      <c r="J12" s="2908"/>
      <c r="K12" s="2908"/>
      <c r="L12" s="2903"/>
      <c r="M12" s="2904"/>
      <c r="N12" s="937"/>
      <c r="O12" s="930"/>
      <c r="P12" s="930"/>
      <c r="Q12" s="930"/>
      <c r="R12" s="1887"/>
      <c r="S12" s="936"/>
      <c r="T12" s="930"/>
      <c r="U12" s="930"/>
      <c r="V12" s="930"/>
      <c r="W12" s="930"/>
      <c r="X12" s="930"/>
      <c r="Y12" s="930"/>
      <c r="Z12" s="930"/>
      <c r="AA12" s="926"/>
      <c r="AB12" s="926"/>
      <c r="AC12" s="928"/>
      <c r="AD12" s="928"/>
      <c r="AE12" s="928"/>
      <c r="AF12" s="928"/>
      <c r="AG12" s="928"/>
      <c r="AH12" s="928"/>
      <c r="AI12" s="928"/>
      <c r="AJ12" s="928"/>
      <c r="AK12" s="928"/>
      <c r="AL12" s="928"/>
      <c r="AM12" s="928"/>
      <c r="AN12" s="928"/>
      <c r="AO12" s="928"/>
      <c r="AP12" s="928"/>
      <c r="AQ12" s="928"/>
      <c r="AR12" s="928"/>
      <c r="AS12" s="928"/>
    </row>
    <row r="13" spans="1:45" ht="21.9" customHeight="1">
      <c r="A13" s="2881"/>
      <c r="B13" s="2883"/>
      <c r="C13" s="2885"/>
      <c r="D13" s="2027"/>
      <c r="E13" s="2028"/>
      <c r="F13" s="2027"/>
      <c r="G13" s="2028"/>
      <c r="H13" s="1423"/>
      <c r="I13" s="1423"/>
      <c r="J13" s="2887"/>
      <c r="K13" s="2887"/>
      <c r="L13" s="2890"/>
      <c r="M13" s="2891"/>
      <c r="N13" s="937"/>
      <c r="O13" s="934"/>
      <c r="P13" s="934"/>
      <c r="Q13" s="934"/>
      <c r="R13" s="934"/>
      <c r="S13" s="934"/>
      <c r="T13" s="930"/>
      <c r="U13" s="930"/>
      <c r="V13" s="930"/>
      <c r="W13" s="930"/>
      <c r="X13" s="930"/>
      <c r="Y13" s="930"/>
      <c r="Z13" s="930"/>
      <c r="AA13" s="926"/>
      <c r="AB13" s="926"/>
      <c r="AC13" s="928"/>
      <c r="AD13" s="928"/>
      <c r="AE13" s="928"/>
      <c r="AF13" s="928"/>
      <c r="AG13" s="928"/>
      <c r="AH13" s="928"/>
      <c r="AI13" s="928"/>
      <c r="AJ13" s="928"/>
      <c r="AK13" s="928"/>
      <c r="AL13" s="928"/>
      <c r="AM13" s="928"/>
      <c r="AN13" s="928"/>
      <c r="AO13" s="928"/>
      <c r="AP13" s="928"/>
      <c r="AQ13" s="928"/>
      <c r="AR13" s="928"/>
      <c r="AS13" s="928"/>
    </row>
    <row r="14" spans="1:45" ht="21.9" customHeight="1">
      <c r="A14" s="2905"/>
      <c r="B14" s="2906"/>
      <c r="C14" s="2907"/>
      <c r="D14" s="2029"/>
      <c r="E14" s="2030"/>
      <c r="F14" s="2029"/>
      <c r="G14" s="2030"/>
      <c r="H14" s="1423"/>
      <c r="I14" s="1423"/>
      <c r="J14" s="2908"/>
      <c r="K14" s="2908"/>
      <c r="L14" s="2903"/>
      <c r="M14" s="2904"/>
      <c r="N14" s="937"/>
      <c r="O14" s="930"/>
      <c r="P14" s="930"/>
      <c r="Q14" s="930"/>
      <c r="R14" s="1887"/>
      <c r="S14" s="936"/>
      <c r="T14" s="930"/>
      <c r="U14" s="930"/>
      <c r="V14" s="930"/>
      <c r="W14" s="930"/>
      <c r="X14" s="930"/>
      <c r="Y14" s="930"/>
      <c r="Z14" s="930"/>
      <c r="AA14" s="926"/>
      <c r="AB14" s="926"/>
      <c r="AC14" s="928"/>
      <c r="AD14" s="928"/>
      <c r="AE14" s="928"/>
      <c r="AF14" s="928"/>
      <c r="AG14" s="928"/>
      <c r="AH14" s="928"/>
      <c r="AI14" s="928"/>
      <c r="AJ14" s="928"/>
      <c r="AK14" s="928"/>
      <c r="AL14" s="928"/>
      <c r="AM14" s="928"/>
      <c r="AN14" s="928"/>
      <c r="AO14" s="928"/>
      <c r="AP14" s="928"/>
      <c r="AQ14" s="928"/>
      <c r="AR14" s="928"/>
      <c r="AS14" s="928"/>
    </row>
    <row r="15" spans="1:45" ht="21.9" customHeight="1">
      <c r="A15" s="2881"/>
      <c r="B15" s="2883"/>
      <c r="C15" s="2885"/>
      <c r="D15" s="2027"/>
      <c r="E15" s="2028"/>
      <c r="F15" s="2027"/>
      <c r="G15" s="2028"/>
      <c r="H15" s="1423"/>
      <c r="I15" s="1423"/>
      <c r="J15" s="2887"/>
      <c r="K15" s="2887"/>
      <c r="L15" s="2890"/>
      <c r="M15" s="2891"/>
      <c r="N15" s="937"/>
      <c r="O15" s="934"/>
      <c r="P15" s="934"/>
      <c r="Q15" s="934"/>
      <c r="R15" s="934"/>
      <c r="S15" s="934"/>
      <c r="T15" s="930"/>
      <c r="U15" s="930"/>
      <c r="V15" s="930"/>
      <c r="W15" s="930"/>
      <c r="X15" s="930"/>
      <c r="Y15" s="930"/>
      <c r="Z15" s="930"/>
      <c r="AA15" s="926"/>
      <c r="AB15" s="926"/>
      <c r="AC15" s="928"/>
      <c r="AD15" s="928"/>
      <c r="AE15" s="928"/>
      <c r="AF15" s="928"/>
      <c r="AG15" s="928"/>
      <c r="AH15" s="928"/>
      <c r="AI15" s="928"/>
      <c r="AJ15" s="928"/>
      <c r="AK15" s="928"/>
      <c r="AL15" s="928"/>
      <c r="AM15" s="928"/>
      <c r="AN15" s="928"/>
      <c r="AO15" s="928"/>
      <c r="AP15" s="928"/>
      <c r="AQ15" s="928"/>
      <c r="AR15" s="928"/>
      <c r="AS15" s="928"/>
    </row>
    <row r="16" spans="1:45" ht="21.9" customHeight="1">
      <c r="A16" s="2905"/>
      <c r="B16" s="2906"/>
      <c r="C16" s="2907"/>
      <c r="D16" s="2029"/>
      <c r="E16" s="2030"/>
      <c r="F16" s="2029"/>
      <c r="G16" s="2030"/>
      <c r="H16" s="1423"/>
      <c r="I16" s="1423"/>
      <c r="J16" s="2908"/>
      <c r="K16" s="2908"/>
      <c r="L16" s="2903"/>
      <c r="M16" s="2904"/>
      <c r="N16" s="937"/>
      <c r="O16" s="930"/>
      <c r="P16" s="930"/>
      <c r="Q16" s="930"/>
      <c r="R16" s="1887"/>
      <c r="S16" s="936"/>
      <c r="T16" s="930"/>
      <c r="U16" s="930"/>
      <c r="V16" s="930"/>
      <c r="W16" s="930"/>
      <c r="X16" s="930"/>
      <c r="Y16" s="930"/>
      <c r="Z16" s="930"/>
      <c r="AA16" s="926"/>
      <c r="AB16" s="926"/>
      <c r="AC16" s="928"/>
      <c r="AD16" s="928"/>
      <c r="AE16" s="928"/>
      <c r="AF16" s="928"/>
      <c r="AG16" s="928"/>
      <c r="AH16" s="928"/>
      <c r="AI16" s="928"/>
      <c r="AJ16" s="928"/>
      <c r="AK16" s="928"/>
      <c r="AL16" s="928"/>
      <c r="AM16" s="928"/>
      <c r="AN16" s="928"/>
      <c r="AO16" s="928"/>
      <c r="AP16" s="928"/>
      <c r="AQ16" s="928"/>
      <c r="AR16" s="928"/>
      <c r="AS16" s="928"/>
    </row>
    <row r="17" spans="1:45" ht="21.9" customHeight="1">
      <c r="A17" s="2881"/>
      <c r="B17" s="2883"/>
      <c r="C17" s="2885"/>
      <c r="D17" s="2027"/>
      <c r="E17" s="2028"/>
      <c r="F17" s="2027"/>
      <c r="G17" s="2028"/>
      <c r="H17" s="1423"/>
      <c r="I17" s="1423"/>
      <c r="J17" s="2887"/>
      <c r="K17" s="2887"/>
      <c r="L17" s="2890"/>
      <c r="M17" s="2891"/>
      <c r="N17" s="937"/>
      <c r="O17" s="934"/>
      <c r="P17" s="934"/>
      <c r="Q17" s="934"/>
      <c r="R17" s="934"/>
      <c r="S17" s="934"/>
      <c r="T17" s="930"/>
      <c r="U17" s="930"/>
      <c r="V17" s="930"/>
      <c r="W17" s="930"/>
      <c r="X17" s="930"/>
      <c r="Y17" s="930"/>
      <c r="Z17" s="930"/>
      <c r="AA17" s="926"/>
      <c r="AB17" s="926"/>
      <c r="AC17" s="928"/>
      <c r="AD17" s="928"/>
      <c r="AE17" s="928"/>
      <c r="AF17" s="928"/>
      <c r="AG17" s="928"/>
      <c r="AH17" s="928"/>
      <c r="AI17" s="928"/>
      <c r="AJ17" s="928"/>
      <c r="AK17" s="928"/>
      <c r="AL17" s="928"/>
      <c r="AM17" s="928"/>
      <c r="AN17" s="928"/>
      <c r="AO17" s="928"/>
      <c r="AP17" s="928"/>
      <c r="AQ17" s="928"/>
      <c r="AR17" s="928"/>
      <c r="AS17" s="928"/>
    </row>
    <row r="18" spans="1:45" ht="21.9" customHeight="1">
      <c r="A18" s="2905"/>
      <c r="B18" s="2906"/>
      <c r="C18" s="2907"/>
      <c r="D18" s="2029"/>
      <c r="E18" s="2030"/>
      <c r="F18" s="2029"/>
      <c r="G18" s="2030"/>
      <c r="H18" s="1423"/>
      <c r="I18" s="1423"/>
      <c r="J18" s="2908"/>
      <c r="K18" s="2908"/>
      <c r="L18" s="2903"/>
      <c r="M18" s="2904"/>
      <c r="N18" s="937"/>
      <c r="O18" s="930"/>
      <c r="P18" s="930"/>
      <c r="Q18" s="930"/>
      <c r="R18" s="1887"/>
      <c r="S18" s="936"/>
      <c r="T18" s="930"/>
      <c r="U18" s="930"/>
      <c r="V18" s="930"/>
      <c r="W18" s="930"/>
      <c r="X18" s="930"/>
      <c r="Y18" s="930"/>
      <c r="Z18" s="930"/>
      <c r="AA18" s="926"/>
      <c r="AB18" s="926"/>
      <c r="AC18" s="928"/>
      <c r="AD18" s="928"/>
      <c r="AE18" s="928"/>
      <c r="AF18" s="928"/>
      <c r="AG18" s="928"/>
      <c r="AH18" s="928"/>
      <c r="AI18" s="928"/>
      <c r="AJ18" s="928"/>
      <c r="AK18" s="928"/>
      <c r="AL18" s="928"/>
      <c r="AM18" s="928"/>
      <c r="AN18" s="928"/>
      <c r="AO18" s="928"/>
      <c r="AP18" s="928"/>
      <c r="AQ18" s="928"/>
      <c r="AR18" s="928"/>
      <c r="AS18" s="928"/>
    </row>
    <row r="19" spans="1:45" ht="21.9" customHeight="1">
      <c r="A19" s="2881"/>
      <c r="B19" s="2883"/>
      <c r="C19" s="2885"/>
      <c r="D19" s="2027"/>
      <c r="E19" s="2028"/>
      <c r="F19" s="2027"/>
      <c r="G19" s="2028"/>
      <c r="H19" s="1423"/>
      <c r="I19" s="1423"/>
      <c r="J19" s="2887"/>
      <c r="K19" s="2887"/>
      <c r="L19" s="2890"/>
      <c r="M19" s="2891"/>
      <c r="N19" s="937"/>
      <c r="O19" s="934"/>
      <c r="P19" s="934"/>
      <c r="Q19" s="934"/>
      <c r="R19" s="934"/>
      <c r="S19" s="934"/>
      <c r="T19" s="930"/>
      <c r="U19" s="930"/>
      <c r="V19" s="930"/>
      <c r="W19" s="930"/>
      <c r="X19" s="930"/>
      <c r="Y19" s="930"/>
      <c r="Z19" s="930"/>
      <c r="AA19" s="926"/>
      <c r="AB19" s="926"/>
      <c r="AC19" s="928"/>
      <c r="AD19" s="928"/>
      <c r="AE19" s="928"/>
      <c r="AF19" s="928"/>
      <c r="AG19" s="928"/>
      <c r="AH19" s="928"/>
      <c r="AI19" s="928"/>
      <c r="AJ19" s="928"/>
      <c r="AK19" s="928"/>
      <c r="AL19" s="928"/>
      <c r="AM19" s="928"/>
      <c r="AN19" s="928"/>
      <c r="AO19" s="928"/>
      <c r="AP19" s="928"/>
      <c r="AQ19" s="928"/>
      <c r="AR19" s="928"/>
      <c r="AS19" s="928"/>
    </row>
    <row r="20" spans="1:45" ht="21.9" customHeight="1">
      <c r="A20" s="2905"/>
      <c r="B20" s="2906"/>
      <c r="C20" s="2907"/>
      <c r="D20" s="2029"/>
      <c r="E20" s="2030"/>
      <c r="F20" s="2029"/>
      <c r="G20" s="2030"/>
      <c r="H20" s="1423"/>
      <c r="I20" s="1423"/>
      <c r="J20" s="2908"/>
      <c r="K20" s="2908"/>
      <c r="L20" s="2903"/>
      <c r="M20" s="2904"/>
      <c r="N20" s="937"/>
      <c r="O20" s="930"/>
      <c r="P20" s="930"/>
      <c r="Q20" s="930"/>
      <c r="R20" s="1887"/>
      <c r="S20" s="936"/>
      <c r="T20" s="930"/>
      <c r="U20" s="930"/>
      <c r="V20" s="930"/>
      <c r="W20" s="930"/>
      <c r="X20" s="930"/>
      <c r="Y20" s="930"/>
      <c r="Z20" s="930"/>
      <c r="AA20" s="926"/>
      <c r="AB20" s="926"/>
      <c r="AC20" s="928"/>
      <c r="AD20" s="928"/>
      <c r="AE20" s="928"/>
      <c r="AF20" s="928"/>
      <c r="AG20" s="928"/>
      <c r="AH20" s="928"/>
      <c r="AI20" s="928"/>
      <c r="AJ20" s="928"/>
      <c r="AK20" s="928"/>
      <c r="AL20" s="928"/>
      <c r="AM20" s="928"/>
      <c r="AN20" s="928"/>
      <c r="AO20" s="928"/>
      <c r="AP20" s="928"/>
      <c r="AQ20" s="928"/>
      <c r="AR20" s="928"/>
      <c r="AS20" s="928"/>
    </row>
    <row r="21" spans="1:45" ht="21.9" customHeight="1">
      <c r="A21" s="2881"/>
      <c r="B21" s="2883"/>
      <c r="C21" s="2885"/>
      <c r="D21" s="2027"/>
      <c r="E21" s="2028"/>
      <c r="F21" s="2027"/>
      <c r="G21" s="2028"/>
      <c r="H21" s="1423"/>
      <c r="I21" s="1423"/>
      <c r="J21" s="2887"/>
      <c r="K21" s="2887"/>
      <c r="L21" s="2890"/>
      <c r="M21" s="2891"/>
      <c r="N21" s="937"/>
      <c r="O21" s="934"/>
      <c r="P21" s="934"/>
      <c r="Q21" s="934"/>
      <c r="R21" s="934"/>
      <c r="S21" s="934"/>
      <c r="T21" s="930"/>
      <c r="U21" s="930"/>
      <c r="V21" s="930"/>
      <c r="W21" s="930"/>
      <c r="X21" s="930"/>
      <c r="Y21" s="930"/>
      <c r="Z21" s="930"/>
      <c r="AA21" s="926"/>
      <c r="AB21" s="926"/>
      <c r="AC21" s="928"/>
      <c r="AD21" s="928"/>
      <c r="AE21" s="928"/>
      <c r="AF21" s="928"/>
      <c r="AG21" s="928"/>
      <c r="AH21" s="928"/>
      <c r="AI21" s="928"/>
      <c r="AJ21" s="928"/>
      <c r="AK21" s="928"/>
      <c r="AL21" s="928"/>
      <c r="AM21" s="928"/>
      <c r="AN21" s="928"/>
      <c r="AO21" s="928"/>
      <c r="AP21" s="928"/>
      <c r="AQ21" s="928"/>
      <c r="AR21" s="928"/>
      <c r="AS21" s="928"/>
    </row>
    <row r="22" spans="1:45" ht="21.9" customHeight="1">
      <c r="A22" s="2905"/>
      <c r="B22" s="2906"/>
      <c r="C22" s="2907"/>
      <c r="D22" s="2029"/>
      <c r="E22" s="2030"/>
      <c r="F22" s="2029"/>
      <c r="G22" s="2030"/>
      <c r="H22" s="1423"/>
      <c r="I22" s="1423"/>
      <c r="J22" s="2908"/>
      <c r="K22" s="2908"/>
      <c r="L22" s="2903"/>
      <c r="M22" s="2904"/>
      <c r="N22" s="937"/>
      <c r="O22" s="930"/>
      <c r="P22" s="930"/>
      <c r="Q22" s="930"/>
      <c r="R22" s="1887"/>
      <c r="S22" s="936"/>
      <c r="T22" s="930"/>
      <c r="U22" s="930"/>
      <c r="V22" s="930"/>
      <c r="W22" s="930"/>
      <c r="X22" s="930"/>
      <c r="Y22" s="930"/>
      <c r="Z22" s="930"/>
      <c r="AA22" s="926"/>
      <c r="AB22" s="926"/>
      <c r="AC22" s="928"/>
      <c r="AD22" s="928"/>
      <c r="AE22" s="928"/>
      <c r="AF22" s="928"/>
      <c r="AG22" s="928"/>
      <c r="AH22" s="928"/>
      <c r="AI22" s="928"/>
      <c r="AJ22" s="928"/>
      <c r="AK22" s="928"/>
      <c r="AL22" s="928"/>
      <c r="AM22" s="928"/>
      <c r="AN22" s="928"/>
      <c r="AO22" s="928"/>
      <c r="AP22" s="928"/>
      <c r="AQ22" s="928"/>
      <c r="AR22" s="928"/>
      <c r="AS22" s="928"/>
    </row>
    <row r="23" spans="1:45" ht="21.9" customHeight="1" thickBot="1">
      <c r="A23" s="2911"/>
      <c r="B23" s="2912"/>
      <c r="C23" s="2913"/>
      <c r="D23" s="2031"/>
      <c r="E23" s="2032"/>
      <c r="F23" s="2031"/>
      <c r="G23" s="2032"/>
      <c r="H23" s="1952"/>
      <c r="I23" s="1952"/>
      <c r="J23" s="2914"/>
      <c r="K23" s="2914"/>
      <c r="L23" s="2909"/>
      <c r="M23" s="2910"/>
      <c r="N23" s="937"/>
      <c r="O23" s="934"/>
      <c r="P23" s="934"/>
      <c r="Q23" s="934"/>
      <c r="R23" s="934"/>
      <c r="S23" s="934"/>
      <c r="T23" s="930"/>
      <c r="U23" s="930"/>
      <c r="V23" s="930"/>
      <c r="W23" s="930"/>
      <c r="X23" s="930"/>
      <c r="Y23" s="930"/>
      <c r="Z23" s="930"/>
      <c r="AA23" s="926"/>
      <c r="AB23" s="926"/>
      <c r="AC23" s="928"/>
      <c r="AD23" s="928"/>
      <c r="AE23" s="928"/>
      <c r="AF23" s="928"/>
      <c r="AG23" s="928"/>
      <c r="AH23" s="928"/>
      <c r="AI23" s="928"/>
      <c r="AJ23" s="928"/>
      <c r="AK23" s="928"/>
      <c r="AL23" s="928"/>
      <c r="AM23" s="928"/>
      <c r="AN23" s="928"/>
      <c r="AO23" s="928"/>
      <c r="AP23" s="928"/>
      <c r="AQ23" s="928"/>
      <c r="AR23" s="928"/>
      <c r="AS23" s="928"/>
    </row>
    <row r="24" spans="1:45" s="942" customFormat="1" ht="6" customHeight="1">
      <c r="A24" s="952"/>
      <c r="B24" s="953"/>
      <c r="C24" s="953"/>
      <c r="D24" s="953"/>
      <c r="E24" s="953"/>
      <c r="F24" s="953"/>
      <c r="G24" s="953"/>
      <c r="H24" s="954"/>
      <c r="I24" s="954"/>
      <c r="J24" s="955"/>
      <c r="K24" s="955"/>
      <c r="L24" s="955"/>
      <c r="M24" s="956"/>
      <c r="N24" s="939"/>
      <c r="O24" s="926"/>
      <c r="P24" s="926"/>
      <c r="Q24" s="926"/>
      <c r="R24" s="930"/>
      <c r="S24" s="926"/>
      <c r="T24" s="926"/>
      <c r="U24" s="926"/>
      <c r="V24" s="930"/>
      <c r="W24" s="926"/>
      <c r="X24" s="926"/>
      <c r="Y24" s="926"/>
      <c r="Z24" s="926"/>
      <c r="AA24" s="940"/>
      <c r="AB24" s="940"/>
      <c r="AC24" s="941"/>
      <c r="AD24" s="941"/>
      <c r="AE24" s="941"/>
      <c r="AF24" s="941"/>
      <c r="AG24" s="941"/>
      <c r="AH24" s="941"/>
      <c r="AI24" s="941"/>
      <c r="AJ24" s="941"/>
      <c r="AK24" s="941"/>
      <c r="AL24" s="941"/>
      <c r="AM24" s="941"/>
      <c r="AN24" s="941"/>
      <c r="AO24" s="941"/>
      <c r="AP24" s="941"/>
      <c r="AQ24" s="941"/>
      <c r="AR24" s="941"/>
      <c r="AS24" s="941"/>
    </row>
    <row r="25" spans="1:45" ht="21.9" customHeight="1" thickBot="1">
      <c r="A25" s="943" t="s">
        <v>1152</v>
      </c>
      <c r="B25" s="2915"/>
      <c r="C25" s="2916"/>
      <c r="D25" s="2916"/>
      <c r="E25" s="2916"/>
      <c r="F25" s="2916"/>
      <c r="G25" s="2916"/>
      <c r="H25" s="2916"/>
      <c r="I25" s="2916"/>
      <c r="J25" s="2916"/>
      <c r="K25" s="2916"/>
      <c r="L25" s="2916"/>
      <c r="M25" s="2917"/>
      <c r="N25" s="938"/>
      <c r="O25" s="926"/>
      <c r="P25" s="944"/>
      <c r="Q25" s="944"/>
      <c r="R25" s="944"/>
      <c r="S25" s="944"/>
      <c r="T25" s="944"/>
      <c r="U25" s="944"/>
      <c r="V25" s="944"/>
      <c r="W25" s="926"/>
      <c r="X25" s="944"/>
      <c r="Y25" s="944"/>
      <c r="Z25" s="944"/>
      <c r="AA25" s="926"/>
      <c r="AB25" s="926"/>
      <c r="AC25" s="928"/>
      <c r="AD25" s="928"/>
      <c r="AE25" s="928"/>
      <c r="AF25" s="928"/>
      <c r="AG25" s="928"/>
      <c r="AH25" s="928"/>
      <c r="AI25" s="928"/>
      <c r="AJ25" s="928"/>
      <c r="AK25" s="928"/>
      <c r="AL25" s="928"/>
      <c r="AM25" s="928"/>
      <c r="AN25" s="928"/>
      <c r="AO25" s="928"/>
      <c r="AP25" s="928"/>
      <c r="AQ25" s="928"/>
      <c r="AR25" s="928"/>
      <c r="AS25" s="928"/>
    </row>
    <row r="26" spans="1:45" s="917" customFormat="1" ht="14.1" customHeight="1">
      <c r="A26" s="945" t="s">
        <v>135</v>
      </c>
      <c r="B26" s="946"/>
      <c r="C26" s="947"/>
      <c r="D26" s="948"/>
      <c r="E26" s="948"/>
      <c r="F26" s="948"/>
      <c r="G26" s="948"/>
      <c r="H26" s="948"/>
      <c r="I26" s="948"/>
      <c r="J26" s="948"/>
      <c r="K26" s="948"/>
      <c r="L26" s="948"/>
      <c r="M26" s="949"/>
      <c r="N26" s="2258"/>
      <c r="O26" s="926"/>
      <c r="P26" s="926"/>
      <c r="Q26" s="926"/>
      <c r="R26" s="930"/>
      <c r="S26" s="926"/>
      <c r="T26" s="926"/>
      <c r="U26" s="926"/>
      <c r="V26" s="930"/>
      <c r="W26" s="926"/>
      <c r="X26" s="926"/>
      <c r="Y26" s="926"/>
      <c r="Z26" s="926"/>
      <c r="AA26" s="950"/>
      <c r="AB26" s="950"/>
    </row>
    <row r="27" spans="1:45" s="917" customFormat="1" ht="21.9" customHeight="1" thickBot="1">
      <c r="A27" s="2918"/>
      <c r="B27" s="2919"/>
      <c r="C27" s="2919"/>
      <c r="D27" s="920"/>
      <c r="E27" s="2920"/>
      <c r="F27" s="2920"/>
      <c r="G27" s="2920"/>
      <c r="H27" s="2920"/>
      <c r="I27" s="918"/>
      <c r="J27" s="2338"/>
      <c r="K27" s="918"/>
      <c r="L27" s="2921"/>
      <c r="M27" s="2922"/>
      <c r="N27" s="951"/>
      <c r="O27" s="930"/>
      <c r="P27" s="926"/>
      <c r="Q27" s="926"/>
      <c r="R27" s="930"/>
      <c r="S27" s="926"/>
      <c r="T27" s="926"/>
      <c r="U27" s="926"/>
      <c r="V27" s="930"/>
      <c r="W27" s="930"/>
      <c r="X27" s="926"/>
      <c r="Y27" s="926"/>
      <c r="Z27" s="926"/>
      <c r="AA27" s="950"/>
      <c r="AB27" s="950"/>
    </row>
    <row r="28" spans="1:45" s="917" customFormat="1" ht="14.1" customHeight="1" thickBot="1">
      <c r="A28" s="2923" t="s">
        <v>1385</v>
      </c>
      <c r="B28" s="2924"/>
      <c r="C28" s="2924"/>
      <c r="D28" s="2256"/>
      <c r="E28" s="2924" t="s">
        <v>137</v>
      </c>
      <c r="F28" s="2924"/>
      <c r="G28" s="2924"/>
      <c r="H28" s="2925"/>
      <c r="I28" s="922"/>
      <c r="J28" s="2255" t="s">
        <v>138</v>
      </c>
      <c r="K28" s="922"/>
      <c r="L28" s="2926" t="s">
        <v>139</v>
      </c>
      <c r="M28" s="2927"/>
      <c r="N28" s="950"/>
      <c r="O28" s="930"/>
      <c r="P28" s="926"/>
      <c r="Q28" s="926"/>
      <c r="R28" s="930"/>
      <c r="S28" s="926"/>
      <c r="T28" s="926"/>
      <c r="U28" s="926"/>
      <c r="V28" s="930"/>
      <c r="W28" s="926"/>
      <c r="X28" s="926"/>
      <c r="Y28" s="926"/>
      <c r="Z28" s="926"/>
      <c r="AA28" s="950"/>
      <c r="AB28" s="950"/>
    </row>
    <row r="29" spans="1:45">
      <c r="K29" s="957"/>
      <c r="L29" s="928"/>
      <c r="M29" s="928"/>
      <c r="N29" s="960"/>
      <c r="O29" s="960"/>
      <c r="P29" s="960"/>
      <c r="Q29" s="960"/>
      <c r="R29" s="960"/>
      <c r="S29" s="960"/>
      <c r="T29" s="960"/>
      <c r="U29" s="960"/>
      <c r="V29" s="960"/>
      <c r="W29" s="960"/>
      <c r="X29" s="960"/>
      <c r="Y29" s="960"/>
      <c r="Z29" s="960"/>
      <c r="AA29" s="960"/>
      <c r="AB29" s="928"/>
      <c r="AC29" s="928"/>
      <c r="AD29" s="928"/>
      <c r="AE29" s="928"/>
      <c r="AF29" s="928"/>
      <c r="AG29" s="928"/>
      <c r="AH29" s="928"/>
      <c r="AI29" s="928"/>
      <c r="AJ29" s="928"/>
      <c r="AK29" s="928"/>
      <c r="AL29" s="928"/>
      <c r="AM29" s="928"/>
      <c r="AN29" s="928"/>
      <c r="AO29" s="928"/>
      <c r="AP29" s="928"/>
      <c r="AQ29" s="928"/>
      <c r="AR29" s="928"/>
      <c r="AS29" s="928"/>
    </row>
    <row r="30" spans="1:45">
      <c r="K30" s="957"/>
      <c r="L30" s="928"/>
      <c r="M30" s="928"/>
      <c r="N30" s="960"/>
      <c r="O30" s="960"/>
      <c r="P30" s="960"/>
      <c r="Q30" s="960"/>
      <c r="R30" s="960"/>
      <c r="S30" s="960"/>
      <c r="T30" s="960"/>
      <c r="U30" s="960"/>
      <c r="V30" s="960"/>
      <c r="W30" s="960"/>
      <c r="X30" s="960"/>
      <c r="Y30" s="960"/>
      <c r="Z30" s="960"/>
      <c r="AA30" s="960"/>
      <c r="AB30" s="928"/>
      <c r="AC30" s="928"/>
      <c r="AD30" s="928"/>
      <c r="AE30" s="928"/>
      <c r="AF30" s="928"/>
      <c r="AG30" s="928"/>
      <c r="AH30" s="928"/>
      <c r="AI30" s="928"/>
      <c r="AJ30" s="928"/>
      <c r="AK30" s="928"/>
      <c r="AL30" s="928"/>
      <c r="AM30" s="928"/>
      <c r="AN30" s="928"/>
      <c r="AO30" s="928"/>
      <c r="AP30" s="928"/>
      <c r="AQ30" s="928"/>
      <c r="AR30" s="928"/>
      <c r="AS30" s="928"/>
    </row>
    <row r="31" spans="1:45">
      <c r="K31" s="957"/>
      <c r="L31" s="928"/>
      <c r="M31" s="928"/>
      <c r="N31" s="960"/>
      <c r="O31" s="960"/>
      <c r="P31" s="960"/>
      <c r="Q31" s="960"/>
      <c r="R31" s="960"/>
      <c r="S31" s="960"/>
      <c r="T31" s="960"/>
      <c r="U31" s="960"/>
      <c r="V31" s="960"/>
      <c r="W31" s="960"/>
      <c r="X31" s="960"/>
      <c r="Y31" s="960"/>
      <c r="Z31" s="960"/>
      <c r="AA31" s="960"/>
      <c r="AB31" s="928"/>
      <c r="AC31" s="928"/>
      <c r="AD31" s="928"/>
      <c r="AE31" s="928"/>
      <c r="AF31" s="928"/>
      <c r="AG31" s="928"/>
      <c r="AH31" s="928"/>
      <c r="AI31" s="928"/>
      <c r="AJ31" s="928"/>
      <c r="AK31" s="928"/>
      <c r="AL31" s="928"/>
      <c r="AM31" s="928"/>
      <c r="AN31" s="928"/>
      <c r="AO31" s="928"/>
      <c r="AP31" s="928"/>
      <c r="AQ31" s="928"/>
      <c r="AR31" s="928"/>
      <c r="AS31" s="928"/>
    </row>
    <row r="32" spans="1:45">
      <c r="K32" s="957"/>
      <c r="L32" s="928"/>
      <c r="M32" s="928"/>
      <c r="N32" s="960"/>
      <c r="O32" s="960"/>
      <c r="P32" s="960"/>
      <c r="Q32" s="960"/>
      <c r="R32" s="960"/>
      <c r="S32" s="960"/>
      <c r="T32" s="960"/>
      <c r="U32" s="960"/>
      <c r="V32" s="960"/>
      <c r="W32" s="960"/>
      <c r="X32" s="960"/>
      <c r="Y32" s="960"/>
      <c r="Z32" s="960"/>
      <c r="AA32" s="960"/>
      <c r="AB32" s="928"/>
      <c r="AC32" s="928"/>
      <c r="AD32" s="928"/>
      <c r="AE32" s="928"/>
      <c r="AF32" s="928"/>
      <c r="AG32" s="928"/>
      <c r="AH32" s="928"/>
      <c r="AI32" s="928"/>
      <c r="AJ32" s="928"/>
      <c r="AK32" s="928"/>
      <c r="AL32" s="928"/>
      <c r="AM32" s="928"/>
      <c r="AN32" s="928"/>
      <c r="AO32" s="928"/>
      <c r="AP32" s="928"/>
      <c r="AQ32" s="928"/>
      <c r="AR32" s="928"/>
      <c r="AS32" s="928"/>
    </row>
    <row r="33" spans="11:45">
      <c r="K33" s="957"/>
      <c r="L33" s="928"/>
      <c r="M33" s="928"/>
      <c r="N33" s="960"/>
      <c r="O33" s="960"/>
      <c r="P33" s="960"/>
      <c r="Q33" s="960"/>
      <c r="R33" s="960"/>
      <c r="S33" s="960"/>
      <c r="T33" s="960"/>
      <c r="U33" s="960"/>
      <c r="V33" s="960"/>
      <c r="W33" s="960"/>
      <c r="X33" s="960"/>
      <c r="Y33" s="960"/>
      <c r="Z33" s="960"/>
      <c r="AA33" s="960"/>
      <c r="AB33" s="928"/>
      <c r="AC33" s="928"/>
      <c r="AD33" s="928"/>
      <c r="AE33" s="928"/>
      <c r="AF33" s="928"/>
      <c r="AG33" s="928"/>
      <c r="AH33" s="928"/>
      <c r="AI33" s="928"/>
      <c r="AJ33" s="928"/>
      <c r="AK33" s="928"/>
      <c r="AL33" s="928"/>
      <c r="AM33" s="928"/>
      <c r="AN33" s="928"/>
      <c r="AO33" s="928"/>
      <c r="AP33" s="928"/>
      <c r="AQ33" s="928"/>
      <c r="AR33" s="928"/>
      <c r="AS33" s="928"/>
    </row>
    <row r="34" spans="11:45">
      <c r="K34" s="957"/>
      <c r="L34" s="928"/>
      <c r="M34" s="928"/>
      <c r="N34" s="960"/>
      <c r="O34" s="960"/>
      <c r="P34" s="960"/>
      <c r="Q34" s="960"/>
      <c r="R34" s="960"/>
      <c r="S34" s="960"/>
      <c r="T34" s="960"/>
      <c r="U34" s="960"/>
      <c r="V34" s="960"/>
      <c r="W34" s="960"/>
      <c r="X34" s="960"/>
      <c r="Y34" s="960"/>
      <c r="Z34" s="960"/>
      <c r="AA34" s="960"/>
      <c r="AB34" s="928"/>
      <c r="AC34" s="928"/>
      <c r="AD34" s="928"/>
      <c r="AE34" s="928"/>
      <c r="AF34" s="928"/>
      <c r="AG34" s="928"/>
      <c r="AH34" s="928"/>
      <c r="AI34" s="928"/>
      <c r="AJ34" s="928"/>
      <c r="AK34" s="928"/>
      <c r="AL34" s="928"/>
      <c r="AM34" s="928"/>
      <c r="AN34" s="928"/>
      <c r="AO34" s="928"/>
      <c r="AP34" s="928"/>
      <c r="AQ34" s="928"/>
      <c r="AR34" s="928"/>
      <c r="AS34" s="928"/>
    </row>
    <row r="35" spans="11:45">
      <c r="K35" s="957"/>
      <c r="L35" s="928"/>
      <c r="M35" s="928"/>
      <c r="N35" s="960"/>
      <c r="O35" s="960"/>
      <c r="P35" s="960"/>
      <c r="Q35" s="960"/>
      <c r="R35" s="960"/>
      <c r="S35" s="960"/>
      <c r="T35" s="960"/>
      <c r="U35" s="960"/>
      <c r="V35" s="960"/>
      <c r="W35" s="960"/>
      <c r="X35" s="960"/>
      <c r="Y35" s="960"/>
      <c r="Z35" s="960"/>
      <c r="AA35" s="960"/>
      <c r="AB35" s="928"/>
      <c r="AC35" s="928"/>
      <c r="AD35" s="928"/>
      <c r="AE35" s="928"/>
      <c r="AF35" s="928"/>
      <c r="AG35" s="928"/>
      <c r="AH35" s="928"/>
      <c r="AI35" s="928"/>
      <c r="AJ35" s="928"/>
      <c r="AK35" s="928"/>
      <c r="AL35" s="928"/>
      <c r="AM35" s="928"/>
      <c r="AN35" s="928"/>
      <c r="AO35" s="928"/>
      <c r="AP35" s="928"/>
      <c r="AQ35" s="928"/>
      <c r="AR35" s="928"/>
      <c r="AS35" s="928"/>
    </row>
    <row r="36" spans="11:45">
      <c r="K36" s="957"/>
      <c r="L36" s="928"/>
      <c r="M36" s="928"/>
      <c r="N36" s="960"/>
      <c r="O36" s="960"/>
      <c r="P36" s="960"/>
      <c r="Q36" s="960"/>
      <c r="R36" s="960"/>
      <c r="S36" s="960"/>
      <c r="T36" s="960"/>
      <c r="U36" s="960"/>
      <c r="V36" s="960"/>
      <c r="W36" s="960"/>
      <c r="X36" s="960"/>
      <c r="Y36" s="960"/>
      <c r="Z36" s="960"/>
      <c r="AA36" s="960"/>
      <c r="AB36" s="928"/>
      <c r="AC36" s="928"/>
      <c r="AD36" s="928"/>
      <c r="AE36" s="928"/>
      <c r="AF36" s="928"/>
      <c r="AG36" s="928"/>
      <c r="AH36" s="928"/>
      <c r="AI36" s="928"/>
      <c r="AJ36" s="928"/>
      <c r="AK36" s="928"/>
      <c r="AL36" s="928"/>
      <c r="AM36" s="928"/>
      <c r="AN36" s="928"/>
      <c r="AO36" s="928"/>
      <c r="AP36" s="928"/>
      <c r="AQ36" s="928"/>
      <c r="AR36" s="928"/>
      <c r="AS36" s="928"/>
    </row>
    <row r="37" spans="11:45">
      <c r="K37" s="957"/>
      <c r="L37" s="928"/>
      <c r="M37" s="928"/>
      <c r="N37" s="960"/>
      <c r="O37" s="960"/>
      <c r="P37" s="960"/>
      <c r="Q37" s="960"/>
      <c r="R37" s="960"/>
      <c r="S37" s="960"/>
      <c r="T37" s="960"/>
      <c r="U37" s="960"/>
      <c r="V37" s="960"/>
      <c r="W37" s="960"/>
      <c r="X37" s="960"/>
      <c r="Y37" s="960"/>
      <c r="Z37" s="960"/>
      <c r="AA37" s="960"/>
      <c r="AB37" s="928"/>
      <c r="AC37" s="928"/>
      <c r="AD37" s="928"/>
      <c r="AE37" s="928"/>
      <c r="AF37" s="928"/>
      <c r="AG37" s="928"/>
      <c r="AH37" s="928"/>
      <c r="AI37" s="928"/>
      <c r="AJ37" s="928"/>
      <c r="AK37" s="928"/>
      <c r="AL37" s="928"/>
      <c r="AM37" s="928"/>
      <c r="AN37" s="928"/>
      <c r="AO37" s="928"/>
      <c r="AP37" s="928"/>
      <c r="AQ37" s="928"/>
      <c r="AR37" s="928"/>
      <c r="AS37" s="928"/>
    </row>
    <row r="38" spans="11:45">
      <c r="K38" s="957"/>
      <c r="L38" s="928"/>
      <c r="M38" s="928"/>
      <c r="N38" s="960"/>
      <c r="O38" s="960"/>
      <c r="P38" s="960"/>
      <c r="Q38" s="960"/>
      <c r="R38" s="960"/>
      <c r="S38" s="960"/>
      <c r="T38" s="960"/>
      <c r="U38" s="960"/>
      <c r="V38" s="960"/>
      <c r="W38" s="960"/>
      <c r="X38" s="960"/>
      <c r="Y38" s="960"/>
      <c r="Z38" s="960"/>
      <c r="AA38" s="960"/>
      <c r="AB38" s="928"/>
      <c r="AC38" s="928"/>
      <c r="AD38" s="928"/>
      <c r="AE38" s="928"/>
      <c r="AF38" s="928"/>
      <c r="AG38" s="928"/>
      <c r="AH38" s="928"/>
      <c r="AI38" s="928"/>
      <c r="AJ38" s="928"/>
      <c r="AK38" s="928"/>
      <c r="AL38" s="928"/>
      <c r="AM38" s="928"/>
      <c r="AN38" s="928"/>
      <c r="AO38" s="928"/>
      <c r="AP38" s="928"/>
      <c r="AQ38" s="928"/>
      <c r="AR38" s="928"/>
      <c r="AS38" s="928"/>
    </row>
    <row r="39" spans="11:45">
      <c r="K39" s="957"/>
      <c r="L39" s="928"/>
      <c r="M39" s="928"/>
      <c r="N39" s="960"/>
      <c r="O39" s="960"/>
      <c r="P39" s="960"/>
      <c r="Q39" s="960"/>
      <c r="R39" s="960"/>
      <c r="S39" s="960"/>
      <c r="T39" s="960"/>
      <c r="U39" s="960"/>
      <c r="V39" s="960"/>
      <c r="W39" s="960"/>
      <c r="X39" s="960"/>
      <c r="Y39" s="960"/>
      <c r="Z39" s="960"/>
      <c r="AA39" s="960"/>
      <c r="AB39" s="928"/>
      <c r="AC39" s="928"/>
      <c r="AD39" s="928"/>
      <c r="AE39" s="928"/>
      <c r="AF39" s="928"/>
      <c r="AG39" s="928"/>
      <c r="AH39" s="928"/>
      <c r="AI39" s="928"/>
      <c r="AJ39" s="928"/>
      <c r="AK39" s="928"/>
      <c r="AL39" s="928"/>
      <c r="AM39" s="928"/>
      <c r="AN39" s="928"/>
      <c r="AO39" s="928"/>
      <c r="AP39" s="928"/>
      <c r="AQ39" s="928"/>
      <c r="AR39" s="928"/>
      <c r="AS39" s="928"/>
    </row>
    <row r="40" spans="11:45">
      <c r="K40" s="957"/>
      <c r="L40" s="928"/>
      <c r="M40" s="928"/>
      <c r="N40" s="960"/>
      <c r="O40" s="960"/>
      <c r="P40" s="960"/>
      <c r="Q40" s="960"/>
      <c r="R40" s="960"/>
      <c r="S40" s="960"/>
      <c r="T40" s="960"/>
      <c r="U40" s="960"/>
      <c r="V40" s="960"/>
      <c r="W40" s="960"/>
      <c r="X40" s="960"/>
      <c r="Y40" s="960"/>
      <c r="Z40" s="960"/>
      <c r="AA40" s="960"/>
      <c r="AB40" s="928"/>
      <c r="AC40" s="928"/>
      <c r="AD40" s="928"/>
      <c r="AE40" s="928"/>
      <c r="AF40" s="928"/>
      <c r="AG40" s="928"/>
      <c r="AH40" s="928"/>
      <c r="AI40" s="928"/>
      <c r="AJ40" s="928"/>
      <c r="AK40" s="928"/>
      <c r="AL40" s="928"/>
      <c r="AM40" s="928"/>
      <c r="AN40" s="928"/>
      <c r="AO40" s="928"/>
      <c r="AP40" s="928"/>
      <c r="AQ40" s="928"/>
      <c r="AR40" s="928"/>
      <c r="AS40" s="928"/>
    </row>
    <row r="41" spans="11:45">
      <c r="K41" s="957"/>
      <c r="L41" s="928"/>
      <c r="M41" s="928"/>
      <c r="N41" s="960"/>
      <c r="O41" s="960"/>
      <c r="P41" s="960"/>
      <c r="Q41" s="960"/>
      <c r="R41" s="960"/>
      <c r="S41" s="960"/>
      <c r="T41" s="960"/>
      <c r="U41" s="960"/>
      <c r="V41" s="960"/>
      <c r="W41" s="960"/>
      <c r="X41" s="960"/>
      <c r="Y41" s="960"/>
      <c r="Z41" s="960"/>
      <c r="AA41" s="960"/>
      <c r="AB41" s="928"/>
      <c r="AC41" s="928"/>
      <c r="AD41" s="928"/>
      <c r="AE41" s="928"/>
      <c r="AF41" s="928"/>
      <c r="AG41" s="928"/>
      <c r="AH41" s="928"/>
      <c r="AI41" s="928"/>
      <c r="AJ41" s="928"/>
      <c r="AK41" s="928"/>
      <c r="AL41" s="928"/>
      <c r="AM41" s="928"/>
      <c r="AN41" s="928"/>
      <c r="AO41" s="928"/>
      <c r="AP41" s="928"/>
      <c r="AQ41" s="928"/>
      <c r="AR41" s="928"/>
      <c r="AS41" s="928"/>
    </row>
    <row r="42" spans="11:45">
      <c r="K42" s="957"/>
      <c r="L42" s="928"/>
      <c r="M42" s="928"/>
      <c r="N42" s="960"/>
      <c r="O42" s="960"/>
      <c r="P42" s="960"/>
      <c r="Q42" s="960"/>
      <c r="R42" s="960"/>
      <c r="S42" s="960"/>
      <c r="T42" s="960"/>
      <c r="U42" s="960"/>
      <c r="V42" s="960"/>
      <c r="W42" s="960"/>
      <c r="X42" s="960"/>
      <c r="Y42" s="960"/>
      <c r="Z42" s="960"/>
      <c r="AA42" s="960"/>
      <c r="AB42" s="928"/>
      <c r="AC42" s="928"/>
      <c r="AD42" s="928"/>
      <c r="AE42" s="928"/>
      <c r="AF42" s="928"/>
      <c r="AG42" s="928"/>
      <c r="AH42" s="928"/>
      <c r="AI42" s="928"/>
      <c r="AJ42" s="928"/>
      <c r="AK42" s="928"/>
      <c r="AL42" s="928"/>
      <c r="AM42" s="928"/>
      <c r="AN42" s="928"/>
      <c r="AO42" s="928"/>
      <c r="AP42" s="928"/>
      <c r="AQ42" s="928"/>
      <c r="AR42" s="928"/>
      <c r="AS42" s="928"/>
    </row>
    <row r="43" spans="11:45">
      <c r="K43" s="957"/>
      <c r="L43" s="928"/>
      <c r="M43" s="928"/>
      <c r="N43" s="960"/>
      <c r="O43" s="960"/>
      <c r="P43" s="960"/>
      <c r="Q43" s="960"/>
      <c r="R43" s="960"/>
      <c r="S43" s="960"/>
      <c r="T43" s="960"/>
      <c r="U43" s="960"/>
      <c r="V43" s="960"/>
      <c r="W43" s="960"/>
      <c r="X43" s="960"/>
      <c r="Y43" s="960"/>
      <c r="Z43" s="960"/>
      <c r="AA43" s="960"/>
      <c r="AB43" s="928"/>
      <c r="AC43" s="928"/>
      <c r="AD43" s="928"/>
      <c r="AE43" s="928"/>
      <c r="AF43" s="928"/>
      <c r="AG43" s="928"/>
      <c r="AH43" s="928"/>
      <c r="AI43" s="928"/>
      <c r="AJ43" s="928"/>
      <c r="AK43" s="928"/>
      <c r="AL43" s="928"/>
      <c r="AM43" s="928"/>
      <c r="AN43" s="928"/>
      <c r="AO43" s="928"/>
      <c r="AP43" s="928"/>
      <c r="AQ43" s="928"/>
      <c r="AR43" s="928"/>
      <c r="AS43" s="928"/>
    </row>
    <row r="44" spans="11:45">
      <c r="K44" s="957"/>
      <c r="L44" s="928"/>
      <c r="M44" s="928"/>
      <c r="N44" s="960"/>
      <c r="O44" s="960"/>
      <c r="P44" s="960"/>
      <c r="Q44" s="960"/>
      <c r="R44" s="960"/>
      <c r="S44" s="960"/>
      <c r="T44" s="960"/>
      <c r="U44" s="960"/>
      <c r="V44" s="960"/>
      <c r="W44" s="960"/>
      <c r="X44" s="960"/>
      <c r="Y44" s="960"/>
      <c r="Z44" s="960"/>
      <c r="AA44" s="960"/>
      <c r="AB44" s="928"/>
      <c r="AC44" s="928"/>
      <c r="AD44" s="928"/>
      <c r="AE44" s="928"/>
      <c r="AF44" s="928"/>
      <c r="AG44" s="928"/>
      <c r="AH44" s="928"/>
      <c r="AI44" s="928"/>
      <c r="AJ44" s="928"/>
      <c r="AK44" s="928"/>
      <c r="AL44" s="928"/>
      <c r="AM44" s="928"/>
      <c r="AN44" s="928"/>
      <c r="AO44" s="928"/>
      <c r="AP44" s="928"/>
      <c r="AQ44" s="928"/>
      <c r="AR44" s="928"/>
      <c r="AS44" s="928"/>
    </row>
    <row r="45" spans="11:45">
      <c r="K45" s="957"/>
      <c r="L45" s="928"/>
      <c r="M45" s="928"/>
      <c r="N45" s="960"/>
      <c r="O45" s="960"/>
      <c r="P45" s="960"/>
      <c r="Q45" s="960"/>
      <c r="R45" s="960"/>
      <c r="S45" s="960"/>
      <c r="T45" s="960"/>
      <c r="U45" s="960"/>
      <c r="V45" s="960"/>
      <c r="W45" s="960"/>
      <c r="X45" s="960"/>
      <c r="Y45" s="960"/>
      <c r="Z45" s="960"/>
      <c r="AA45" s="960"/>
      <c r="AB45" s="928"/>
      <c r="AC45" s="928"/>
      <c r="AD45" s="928"/>
      <c r="AE45" s="928"/>
      <c r="AF45" s="928"/>
      <c r="AG45" s="928"/>
      <c r="AH45" s="928"/>
      <c r="AI45" s="928"/>
      <c r="AJ45" s="928"/>
      <c r="AK45" s="928"/>
      <c r="AL45" s="928"/>
      <c r="AM45" s="928"/>
      <c r="AN45" s="928"/>
      <c r="AO45" s="928"/>
      <c r="AP45" s="928"/>
      <c r="AQ45" s="928"/>
      <c r="AR45" s="928"/>
      <c r="AS45" s="928"/>
    </row>
    <row r="46" spans="11:45">
      <c r="K46" s="957"/>
      <c r="L46" s="928"/>
      <c r="M46" s="928"/>
      <c r="N46" s="960"/>
      <c r="O46" s="960"/>
      <c r="P46" s="960"/>
      <c r="Q46" s="960"/>
      <c r="R46" s="960"/>
      <c r="S46" s="960"/>
      <c r="T46" s="960"/>
      <c r="U46" s="960"/>
      <c r="V46" s="960"/>
      <c r="W46" s="960"/>
      <c r="X46" s="960"/>
      <c r="Y46" s="960"/>
      <c r="Z46" s="960"/>
      <c r="AA46" s="960"/>
      <c r="AB46" s="928"/>
      <c r="AC46" s="928"/>
      <c r="AD46" s="928"/>
      <c r="AE46" s="928"/>
      <c r="AF46" s="928"/>
      <c r="AG46" s="928"/>
      <c r="AH46" s="928"/>
      <c r="AI46" s="928"/>
      <c r="AJ46" s="928"/>
      <c r="AK46" s="928"/>
      <c r="AL46" s="928"/>
      <c r="AM46" s="928"/>
      <c r="AN46" s="928"/>
      <c r="AO46" s="928"/>
      <c r="AP46" s="928"/>
      <c r="AQ46" s="928"/>
      <c r="AR46" s="928"/>
      <c r="AS46" s="928"/>
    </row>
    <row r="47" spans="11:45">
      <c r="K47" s="957"/>
      <c r="L47" s="928"/>
      <c r="M47" s="928"/>
      <c r="N47" s="960"/>
      <c r="O47" s="960"/>
      <c r="P47" s="960"/>
      <c r="Q47" s="960"/>
      <c r="R47" s="960"/>
      <c r="S47" s="960"/>
      <c r="T47" s="960"/>
      <c r="U47" s="960"/>
      <c r="V47" s="960"/>
      <c r="W47" s="960"/>
      <c r="X47" s="960"/>
      <c r="Y47" s="960"/>
      <c r="Z47" s="960"/>
      <c r="AA47" s="960"/>
      <c r="AB47" s="928"/>
      <c r="AC47" s="928"/>
      <c r="AD47" s="928"/>
      <c r="AE47" s="928"/>
      <c r="AF47" s="928"/>
      <c r="AG47" s="928"/>
      <c r="AH47" s="928"/>
      <c r="AI47" s="928"/>
      <c r="AJ47" s="928"/>
      <c r="AK47" s="928"/>
      <c r="AL47" s="928"/>
      <c r="AM47" s="928"/>
      <c r="AN47" s="928"/>
      <c r="AO47" s="928"/>
      <c r="AP47" s="928"/>
      <c r="AQ47" s="928"/>
      <c r="AR47" s="928"/>
      <c r="AS47" s="928"/>
    </row>
    <row r="48" spans="11:45">
      <c r="K48" s="957"/>
      <c r="L48" s="928"/>
      <c r="M48" s="928"/>
      <c r="N48" s="960"/>
      <c r="O48" s="960"/>
      <c r="P48" s="960"/>
      <c r="Q48" s="960"/>
      <c r="R48" s="960"/>
      <c r="S48" s="960"/>
      <c r="T48" s="960"/>
      <c r="U48" s="960"/>
      <c r="V48" s="960"/>
      <c r="W48" s="960"/>
      <c r="X48" s="960"/>
      <c r="Y48" s="960"/>
      <c r="Z48" s="960"/>
      <c r="AA48" s="960"/>
      <c r="AB48" s="928"/>
      <c r="AC48" s="928"/>
      <c r="AD48" s="928"/>
      <c r="AE48" s="928"/>
      <c r="AF48" s="928"/>
      <c r="AG48" s="928"/>
      <c r="AH48" s="928"/>
      <c r="AI48" s="928"/>
      <c r="AJ48" s="928"/>
      <c r="AK48" s="928"/>
      <c r="AL48" s="928"/>
      <c r="AM48" s="928"/>
      <c r="AN48" s="928"/>
      <c r="AO48" s="928"/>
      <c r="AP48" s="928"/>
      <c r="AQ48" s="928"/>
      <c r="AR48" s="928"/>
      <c r="AS48" s="928"/>
    </row>
    <row r="49" spans="11:45">
      <c r="K49" s="957"/>
      <c r="L49" s="928"/>
      <c r="M49" s="928"/>
      <c r="N49" s="960"/>
      <c r="O49" s="960"/>
      <c r="P49" s="960"/>
      <c r="Q49" s="960"/>
      <c r="R49" s="960"/>
      <c r="S49" s="960"/>
      <c r="T49" s="960"/>
      <c r="U49" s="960"/>
      <c r="V49" s="960"/>
      <c r="W49" s="960"/>
      <c r="X49" s="960"/>
      <c r="Y49" s="960"/>
      <c r="Z49" s="960"/>
      <c r="AA49" s="960"/>
      <c r="AB49" s="928"/>
      <c r="AC49" s="928"/>
      <c r="AD49" s="928"/>
      <c r="AE49" s="928"/>
      <c r="AF49" s="928"/>
      <c r="AG49" s="928"/>
      <c r="AH49" s="928"/>
      <c r="AI49" s="928"/>
      <c r="AJ49" s="928"/>
      <c r="AK49" s="928"/>
      <c r="AL49" s="928"/>
      <c r="AM49" s="928"/>
      <c r="AN49" s="928"/>
      <c r="AO49" s="928"/>
      <c r="AP49" s="928"/>
      <c r="AQ49" s="928"/>
      <c r="AR49" s="928"/>
      <c r="AS49" s="928"/>
    </row>
    <row r="50" spans="11:45">
      <c r="K50" s="957"/>
      <c r="L50" s="928"/>
      <c r="M50" s="928"/>
      <c r="N50" s="960"/>
      <c r="O50" s="960"/>
      <c r="P50" s="960"/>
      <c r="Q50" s="960"/>
      <c r="R50" s="960"/>
      <c r="S50" s="960"/>
      <c r="T50" s="960"/>
      <c r="U50" s="960"/>
      <c r="V50" s="960"/>
      <c r="W50" s="960"/>
      <c r="X50" s="960"/>
      <c r="Y50" s="960"/>
      <c r="Z50" s="960"/>
      <c r="AA50" s="960"/>
      <c r="AB50" s="928"/>
      <c r="AC50" s="928"/>
      <c r="AD50" s="928"/>
      <c r="AE50" s="928"/>
      <c r="AF50" s="928"/>
      <c r="AG50" s="928"/>
      <c r="AH50" s="928"/>
      <c r="AI50" s="928"/>
      <c r="AJ50" s="928"/>
      <c r="AK50" s="928"/>
      <c r="AL50" s="928"/>
      <c r="AM50" s="928"/>
      <c r="AN50" s="928"/>
      <c r="AO50" s="928"/>
      <c r="AP50" s="928"/>
      <c r="AQ50" s="928"/>
      <c r="AR50" s="928"/>
      <c r="AS50" s="928"/>
    </row>
    <row r="51" spans="11:45">
      <c r="K51" s="957"/>
      <c r="L51" s="928"/>
      <c r="M51" s="928"/>
      <c r="N51" s="960"/>
      <c r="O51" s="960"/>
      <c r="P51" s="960"/>
      <c r="Q51" s="960"/>
      <c r="R51" s="960"/>
      <c r="S51" s="960"/>
      <c r="T51" s="960"/>
      <c r="U51" s="960"/>
      <c r="V51" s="960"/>
      <c r="W51" s="960"/>
      <c r="X51" s="960"/>
      <c r="Y51" s="960"/>
      <c r="Z51" s="960"/>
      <c r="AA51" s="960"/>
      <c r="AB51" s="928"/>
      <c r="AC51" s="928"/>
      <c r="AD51" s="928"/>
      <c r="AE51" s="928"/>
      <c r="AF51" s="928"/>
      <c r="AG51" s="928"/>
      <c r="AH51" s="928"/>
      <c r="AI51" s="928"/>
      <c r="AJ51" s="928"/>
      <c r="AK51" s="928"/>
      <c r="AL51" s="928"/>
      <c r="AM51" s="928"/>
      <c r="AN51" s="928"/>
      <c r="AO51" s="928"/>
      <c r="AP51" s="928"/>
      <c r="AQ51" s="928"/>
      <c r="AR51" s="928"/>
      <c r="AS51" s="928"/>
    </row>
    <row r="52" spans="11:45">
      <c r="K52" s="957"/>
      <c r="L52" s="928"/>
      <c r="M52" s="928"/>
      <c r="N52" s="960"/>
      <c r="O52" s="960"/>
      <c r="P52" s="960"/>
      <c r="Q52" s="960"/>
      <c r="R52" s="960"/>
      <c r="S52" s="960"/>
      <c r="T52" s="960"/>
      <c r="U52" s="960"/>
      <c r="V52" s="960"/>
      <c r="W52" s="960"/>
      <c r="X52" s="960"/>
      <c r="Y52" s="960"/>
      <c r="Z52" s="960"/>
      <c r="AA52" s="960"/>
      <c r="AB52" s="928"/>
      <c r="AC52" s="928"/>
      <c r="AD52" s="928"/>
      <c r="AE52" s="928"/>
      <c r="AF52" s="928"/>
      <c r="AG52" s="928"/>
      <c r="AH52" s="928"/>
      <c r="AI52" s="928"/>
      <c r="AJ52" s="928"/>
      <c r="AK52" s="928"/>
      <c r="AL52" s="928"/>
      <c r="AM52" s="928"/>
      <c r="AN52" s="928"/>
      <c r="AO52" s="928"/>
      <c r="AP52" s="928"/>
      <c r="AQ52" s="928"/>
      <c r="AR52" s="928"/>
      <c r="AS52" s="928"/>
    </row>
    <row r="53" spans="11:45">
      <c r="K53" s="957"/>
      <c r="L53" s="928"/>
      <c r="M53" s="928"/>
      <c r="N53" s="960"/>
      <c r="O53" s="960"/>
      <c r="P53" s="960"/>
      <c r="Q53" s="960"/>
      <c r="R53" s="960"/>
      <c r="S53" s="960"/>
      <c r="T53" s="960"/>
      <c r="U53" s="960"/>
      <c r="V53" s="960"/>
      <c r="W53" s="960"/>
      <c r="X53" s="960"/>
      <c r="Y53" s="960"/>
      <c r="Z53" s="960"/>
      <c r="AA53" s="960"/>
      <c r="AB53" s="928"/>
      <c r="AC53" s="928"/>
      <c r="AD53" s="928"/>
      <c r="AE53" s="928"/>
      <c r="AF53" s="928"/>
      <c r="AG53" s="928"/>
      <c r="AH53" s="928"/>
      <c r="AI53" s="928"/>
      <c r="AJ53" s="928"/>
      <c r="AK53" s="928"/>
      <c r="AL53" s="928"/>
      <c r="AM53" s="928"/>
      <c r="AN53" s="928"/>
      <c r="AO53" s="928"/>
      <c r="AP53" s="928"/>
      <c r="AQ53" s="928"/>
      <c r="AR53" s="928"/>
      <c r="AS53" s="928"/>
    </row>
    <row r="54" spans="11:45">
      <c r="K54" s="957"/>
      <c r="L54" s="928"/>
      <c r="M54" s="928"/>
      <c r="N54" s="960"/>
      <c r="O54" s="960"/>
      <c r="P54" s="960"/>
      <c r="Q54" s="960"/>
      <c r="R54" s="960"/>
      <c r="S54" s="960"/>
      <c r="T54" s="960"/>
      <c r="U54" s="960"/>
      <c r="V54" s="960"/>
      <c r="W54" s="960"/>
      <c r="X54" s="960"/>
      <c r="Y54" s="960"/>
      <c r="Z54" s="960"/>
      <c r="AA54" s="960"/>
      <c r="AB54" s="928"/>
      <c r="AC54" s="928"/>
      <c r="AD54" s="928"/>
      <c r="AE54" s="928"/>
      <c r="AF54" s="928"/>
      <c r="AG54" s="928"/>
      <c r="AH54" s="928"/>
      <c r="AI54" s="928"/>
      <c r="AJ54" s="928"/>
      <c r="AK54" s="928"/>
      <c r="AL54" s="928"/>
      <c r="AM54" s="928"/>
      <c r="AN54" s="928"/>
      <c r="AO54" s="928"/>
      <c r="AP54" s="928"/>
      <c r="AQ54" s="928"/>
      <c r="AR54" s="928"/>
      <c r="AS54" s="928"/>
    </row>
    <row r="55" spans="11:45">
      <c r="K55" s="957"/>
      <c r="L55" s="928"/>
      <c r="M55" s="928"/>
      <c r="N55" s="960"/>
      <c r="O55" s="960"/>
      <c r="P55" s="960"/>
      <c r="Q55" s="960"/>
      <c r="R55" s="960"/>
      <c r="S55" s="960"/>
      <c r="T55" s="960"/>
      <c r="U55" s="960"/>
      <c r="V55" s="960"/>
      <c r="W55" s="960"/>
      <c r="X55" s="960"/>
      <c r="Y55" s="960"/>
      <c r="Z55" s="960"/>
      <c r="AA55" s="960"/>
      <c r="AB55" s="928"/>
      <c r="AC55" s="928"/>
      <c r="AD55" s="928"/>
      <c r="AE55" s="928"/>
      <c r="AF55" s="928"/>
      <c r="AG55" s="928"/>
      <c r="AH55" s="928"/>
      <c r="AI55" s="928"/>
      <c r="AJ55" s="928"/>
      <c r="AK55" s="928"/>
      <c r="AL55" s="928"/>
      <c r="AM55" s="928"/>
      <c r="AN55" s="928"/>
      <c r="AO55" s="928"/>
      <c r="AP55" s="928"/>
      <c r="AQ55" s="928"/>
      <c r="AR55" s="928"/>
      <c r="AS55" s="928"/>
    </row>
    <row r="56" spans="11:45">
      <c r="K56" s="957"/>
      <c r="L56" s="928"/>
      <c r="M56" s="928"/>
      <c r="N56" s="960"/>
      <c r="O56" s="960"/>
      <c r="P56" s="960"/>
      <c r="Q56" s="960"/>
      <c r="R56" s="960"/>
      <c r="S56" s="960"/>
      <c r="T56" s="960"/>
      <c r="U56" s="960"/>
      <c r="V56" s="960"/>
      <c r="W56" s="960"/>
      <c r="X56" s="960"/>
      <c r="Y56" s="960"/>
      <c r="Z56" s="960"/>
      <c r="AA56" s="960"/>
      <c r="AB56" s="928"/>
      <c r="AC56" s="928"/>
      <c r="AD56" s="928"/>
      <c r="AE56" s="928"/>
      <c r="AF56" s="928"/>
      <c r="AG56" s="928"/>
      <c r="AH56" s="928"/>
      <c r="AI56" s="928"/>
      <c r="AJ56" s="928"/>
      <c r="AK56" s="928"/>
      <c r="AL56" s="928"/>
      <c r="AM56" s="928"/>
      <c r="AN56" s="928"/>
      <c r="AO56" s="928"/>
      <c r="AP56" s="928"/>
      <c r="AQ56" s="928"/>
      <c r="AR56" s="928"/>
      <c r="AS56" s="928"/>
    </row>
    <row r="57" spans="11:45">
      <c r="K57" s="957"/>
      <c r="L57" s="928"/>
      <c r="M57" s="928"/>
      <c r="N57" s="960"/>
      <c r="O57" s="960"/>
      <c r="P57" s="960"/>
      <c r="Q57" s="960"/>
      <c r="R57" s="960"/>
      <c r="S57" s="960"/>
      <c r="T57" s="960"/>
      <c r="U57" s="960"/>
      <c r="V57" s="960"/>
      <c r="W57" s="960"/>
      <c r="X57" s="960"/>
      <c r="Y57" s="960"/>
      <c r="Z57" s="960"/>
      <c r="AA57" s="960"/>
      <c r="AB57" s="928"/>
      <c r="AC57" s="928"/>
      <c r="AD57" s="928"/>
      <c r="AE57" s="928"/>
      <c r="AF57" s="928"/>
      <c r="AG57" s="928"/>
      <c r="AH57" s="928"/>
      <c r="AI57" s="928"/>
      <c r="AJ57" s="928"/>
      <c r="AK57" s="928"/>
      <c r="AL57" s="928"/>
      <c r="AM57" s="928"/>
      <c r="AN57" s="928"/>
      <c r="AO57" s="928"/>
      <c r="AP57" s="928"/>
      <c r="AQ57" s="928"/>
      <c r="AR57" s="928"/>
      <c r="AS57" s="928"/>
    </row>
    <row r="58" spans="11:45">
      <c r="K58" s="957"/>
      <c r="L58" s="928"/>
      <c r="M58" s="928"/>
      <c r="N58" s="960"/>
      <c r="O58" s="960"/>
      <c r="P58" s="960"/>
      <c r="Q58" s="960"/>
      <c r="R58" s="960"/>
      <c r="S58" s="960"/>
      <c r="T58" s="960"/>
      <c r="U58" s="960"/>
      <c r="V58" s="960"/>
      <c r="W58" s="960"/>
      <c r="X58" s="960"/>
      <c r="Y58" s="960"/>
      <c r="Z58" s="960"/>
      <c r="AA58" s="960"/>
      <c r="AB58" s="928"/>
      <c r="AC58" s="928"/>
      <c r="AD58" s="928"/>
      <c r="AE58" s="928"/>
      <c r="AF58" s="928"/>
      <c r="AG58" s="928"/>
      <c r="AH58" s="928"/>
      <c r="AI58" s="928"/>
      <c r="AJ58" s="928"/>
      <c r="AK58" s="928"/>
      <c r="AL58" s="928"/>
      <c r="AM58" s="928"/>
      <c r="AN58" s="928"/>
      <c r="AO58" s="928"/>
      <c r="AP58" s="928"/>
      <c r="AQ58" s="928"/>
      <c r="AR58" s="928"/>
      <c r="AS58" s="928"/>
    </row>
    <row r="59" spans="11:45">
      <c r="K59" s="957"/>
      <c r="L59" s="928"/>
      <c r="M59" s="928"/>
      <c r="N59" s="960"/>
      <c r="O59" s="960"/>
      <c r="P59" s="960"/>
      <c r="Q59" s="960"/>
      <c r="R59" s="960"/>
      <c r="S59" s="960"/>
      <c r="T59" s="960"/>
      <c r="U59" s="960"/>
      <c r="V59" s="960"/>
      <c r="W59" s="960"/>
      <c r="X59" s="960"/>
      <c r="Y59" s="960"/>
      <c r="Z59" s="960"/>
      <c r="AA59" s="960"/>
      <c r="AB59" s="928"/>
      <c r="AC59" s="928"/>
      <c r="AD59" s="928"/>
      <c r="AE59" s="928"/>
      <c r="AF59" s="928"/>
      <c r="AG59" s="928"/>
      <c r="AH59" s="928"/>
      <c r="AI59" s="928"/>
      <c r="AJ59" s="928"/>
      <c r="AK59" s="928"/>
      <c r="AL59" s="928"/>
      <c r="AM59" s="928"/>
      <c r="AN59" s="928"/>
      <c r="AO59" s="928"/>
      <c r="AP59" s="928"/>
      <c r="AQ59" s="928"/>
      <c r="AR59" s="928"/>
      <c r="AS59" s="928"/>
    </row>
    <row r="60" spans="11:45">
      <c r="K60" s="957"/>
      <c r="L60" s="928"/>
      <c r="M60" s="928"/>
      <c r="N60" s="960"/>
      <c r="O60" s="960"/>
      <c r="P60" s="960"/>
      <c r="Q60" s="960"/>
      <c r="R60" s="960"/>
      <c r="S60" s="960"/>
      <c r="T60" s="960"/>
      <c r="U60" s="960"/>
      <c r="V60" s="960"/>
      <c r="W60" s="960"/>
      <c r="X60" s="960"/>
      <c r="Y60" s="960"/>
      <c r="Z60" s="960"/>
      <c r="AA60" s="960"/>
      <c r="AB60" s="928"/>
      <c r="AC60" s="928"/>
      <c r="AD60" s="928"/>
      <c r="AE60" s="928"/>
      <c r="AF60" s="928"/>
      <c r="AG60" s="928"/>
      <c r="AH60" s="928"/>
      <c r="AI60" s="928"/>
      <c r="AJ60" s="928"/>
      <c r="AK60" s="928"/>
      <c r="AL60" s="928"/>
      <c r="AM60" s="928"/>
      <c r="AN60" s="928"/>
      <c r="AO60" s="928"/>
      <c r="AP60" s="928"/>
      <c r="AQ60" s="928"/>
      <c r="AR60" s="928"/>
      <c r="AS60" s="928"/>
    </row>
    <row r="61" spans="11:45">
      <c r="K61" s="957"/>
      <c r="L61" s="928"/>
      <c r="M61" s="928"/>
      <c r="N61" s="960"/>
      <c r="O61" s="960"/>
      <c r="P61" s="960"/>
      <c r="Q61" s="960"/>
      <c r="R61" s="960"/>
      <c r="S61" s="960"/>
      <c r="T61" s="960"/>
      <c r="U61" s="960"/>
      <c r="V61" s="960"/>
      <c r="W61" s="960"/>
      <c r="X61" s="960"/>
      <c r="Y61" s="960"/>
      <c r="Z61" s="960"/>
      <c r="AA61" s="960"/>
      <c r="AB61" s="928"/>
      <c r="AC61" s="928"/>
      <c r="AD61" s="928"/>
      <c r="AE61" s="928"/>
      <c r="AF61" s="928"/>
      <c r="AG61" s="928"/>
      <c r="AH61" s="928"/>
      <c r="AI61" s="928"/>
      <c r="AJ61" s="928"/>
      <c r="AK61" s="928"/>
      <c r="AL61" s="928"/>
      <c r="AM61" s="928"/>
      <c r="AN61" s="928"/>
      <c r="AO61" s="928"/>
      <c r="AP61" s="928"/>
      <c r="AQ61" s="928"/>
      <c r="AR61" s="928"/>
      <c r="AS61" s="928"/>
    </row>
    <row r="62" spans="11:45">
      <c r="K62" s="957"/>
      <c r="L62" s="928"/>
      <c r="M62" s="928"/>
      <c r="N62" s="960"/>
      <c r="O62" s="960"/>
      <c r="P62" s="960"/>
      <c r="Q62" s="960"/>
      <c r="R62" s="960"/>
      <c r="S62" s="960"/>
      <c r="T62" s="960"/>
      <c r="U62" s="960"/>
      <c r="V62" s="960"/>
      <c r="W62" s="960"/>
      <c r="X62" s="960"/>
      <c r="Y62" s="960"/>
      <c r="Z62" s="960"/>
      <c r="AA62" s="960"/>
      <c r="AB62" s="928"/>
      <c r="AC62" s="928"/>
      <c r="AD62" s="928"/>
      <c r="AE62" s="928"/>
      <c r="AF62" s="928"/>
      <c r="AG62" s="928"/>
      <c r="AH62" s="928"/>
      <c r="AI62" s="928"/>
      <c r="AJ62" s="928"/>
      <c r="AK62" s="928"/>
      <c r="AL62" s="928"/>
      <c r="AM62" s="928"/>
      <c r="AN62" s="928"/>
      <c r="AO62" s="928"/>
      <c r="AP62" s="928"/>
      <c r="AQ62" s="928"/>
      <c r="AR62" s="928"/>
      <c r="AS62" s="928"/>
    </row>
    <row r="63" spans="11:45">
      <c r="K63" s="957"/>
      <c r="L63" s="928"/>
      <c r="M63" s="928"/>
      <c r="N63" s="960"/>
      <c r="O63" s="960"/>
      <c r="P63" s="960"/>
      <c r="Q63" s="960"/>
      <c r="R63" s="960"/>
      <c r="S63" s="960"/>
      <c r="T63" s="960"/>
      <c r="U63" s="960"/>
      <c r="V63" s="960"/>
      <c r="W63" s="960"/>
      <c r="X63" s="960"/>
      <c r="Y63" s="960"/>
      <c r="Z63" s="960"/>
      <c r="AA63" s="960"/>
      <c r="AB63" s="928"/>
      <c r="AC63" s="928"/>
      <c r="AD63" s="928"/>
      <c r="AE63" s="928"/>
      <c r="AF63" s="928"/>
      <c r="AG63" s="928"/>
      <c r="AH63" s="928"/>
      <c r="AI63" s="928"/>
      <c r="AJ63" s="928"/>
      <c r="AK63" s="928"/>
      <c r="AL63" s="928"/>
      <c r="AM63" s="928"/>
      <c r="AN63" s="928"/>
      <c r="AO63" s="928"/>
      <c r="AP63" s="928"/>
      <c r="AQ63" s="928"/>
      <c r="AR63" s="928"/>
      <c r="AS63" s="928"/>
    </row>
    <row r="64" spans="11:45">
      <c r="K64" s="957"/>
      <c r="L64" s="928"/>
      <c r="M64" s="928"/>
      <c r="N64" s="960"/>
      <c r="O64" s="960"/>
      <c r="P64" s="960"/>
      <c r="Q64" s="960"/>
      <c r="R64" s="960"/>
      <c r="S64" s="960"/>
      <c r="T64" s="960"/>
      <c r="U64" s="960"/>
      <c r="V64" s="960"/>
      <c r="W64" s="960"/>
      <c r="X64" s="960"/>
      <c r="Y64" s="960"/>
      <c r="Z64" s="960"/>
      <c r="AA64" s="960"/>
      <c r="AB64" s="928"/>
      <c r="AC64" s="928"/>
      <c r="AD64" s="928"/>
      <c r="AE64" s="928"/>
      <c r="AF64" s="928"/>
      <c r="AG64" s="928"/>
      <c r="AH64" s="928"/>
      <c r="AI64" s="928"/>
      <c r="AJ64" s="928"/>
      <c r="AK64" s="928"/>
      <c r="AL64" s="928"/>
      <c r="AM64" s="928"/>
      <c r="AN64" s="928"/>
      <c r="AO64" s="928"/>
      <c r="AP64" s="928"/>
      <c r="AQ64" s="928"/>
      <c r="AR64" s="928"/>
      <c r="AS64" s="928"/>
    </row>
    <row r="65" spans="11:45">
      <c r="K65" s="957"/>
      <c r="L65" s="928"/>
      <c r="M65" s="928"/>
      <c r="N65" s="960"/>
      <c r="O65" s="960"/>
      <c r="P65" s="960"/>
      <c r="Q65" s="960"/>
      <c r="R65" s="960"/>
      <c r="S65" s="960"/>
      <c r="T65" s="960"/>
      <c r="U65" s="960"/>
      <c r="V65" s="960"/>
      <c r="W65" s="960"/>
      <c r="X65" s="960"/>
      <c r="Y65" s="960"/>
      <c r="Z65" s="960"/>
      <c r="AA65" s="960"/>
      <c r="AB65" s="928"/>
      <c r="AC65" s="928"/>
      <c r="AD65" s="928"/>
      <c r="AE65" s="928"/>
      <c r="AF65" s="928"/>
      <c r="AG65" s="928"/>
      <c r="AH65" s="928"/>
      <c r="AI65" s="928"/>
      <c r="AJ65" s="928"/>
      <c r="AK65" s="928"/>
      <c r="AL65" s="928"/>
      <c r="AM65" s="928"/>
      <c r="AN65" s="928"/>
      <c r="AO65" s="928"/>
      <c r="AP65" s="928"/>
      <c r="AQ65" s="928"/>
      <c r="AR65" s="928"/>
      <c r="AS65" s="928"/>
    </row>
    <row r="66" spans="11:45">
      <c r="K66" s="957"/>
      <c r="L66" s="928"/>
      <c r="M66" s="928"/>
      <c r="N66" s="960"/>
      <c r="O66" s="960"/>
      <c r="P66" s="960"/>
      <c r="Q66" s="960"/>
      <c r="R66" s="960"/>
      <c r="S66" s="960"/>
      <c r="T66" s="960"/>
      <c r="U66" s="960"/>
      <c r="V66" s="960"/>
      <c r="W66" s="960"/>
      <c r="X66" s="960"/>
      <c r="Y66" s="960"/>
      <c r="Z66" s="960"/>
      <c r="AA66" s="960"/>
      <c r="AB66" s="928"/>
      <c r="AC66" s="928"/>
      <c r="AD66" s="928"/>
      <c r="AE66" s="928"/>
      <c r="AF66" s="928"/>
      <c r="AG66" s="928"/>
      <c r="AH66" s="928"/>
      <c r="AI66" s="928"/>
      <c r="AJ66" s="928"/>
      <c r="AK66" s="928"/>
      <c r="AL66" s="928"/>
      <c r="AM66" s="928"/>
      <c r="AN66" s="928"/>
      <c r="AO66" s="928"/>
      <c r="AP66" s="928"/>
      <c r="AQ66" s="928"/>
      <c r="AR66" s="928"/>
      <c r="AS66" s="928"/>
    </row>
    <row r="67" spans="11:45">
      <c r="K67" s="957"/>
      <c r="L67" s="928"/>
      <c r="M67" s="928"/>
      <c r="N67" s="960"/>
      <c r="O67" s="960"/>
      <c r="P67" s="960"/>
      <c r="Q67" s="960"/>
      <c r="R67" s="960"/>
      <c r="S67" s="960"/>
      <c r="T67" s="960"/>
      <c r="U67" s="960"/>
      <c r="V67" s="960"/>
      <c r="W67" s="960"/>
      <c r="X67" s="960"/>
      <c r="Y67" s="960"/>
      <c r="Z67" s="960"/>
      <c r="AA67" s="960"/>
      <c r="AB67" s="928"/>
      <c r="AC67" s="928"/>
      <c r="AD67" s="928"/>
      <c r="AE67" s="928"/>
      <c r="AF67" s="928"/>
      <c r="AG67" s="928"/>
      <c r="AH67" s="928"/>
      <c r="AI67" s="928"/>
      <c r="AJ67" s="928"/>
      <c r="AK67" s="928"/>
      <c r="AL67" s="928"/>
      <c r="AM67" s="928"/>
      <c r="AN67" s="928"/>
      <c r="AO67" s="928"/>
      <c r="AP67" s="928"/>
      <c r="AQ67" s="928"/>
      <c r="AR67" s="928"/>
      <c r="AS67" s="928"/>
    </row>
    <row r="68" spans="11:45">
      <c r="K68" s="957"/>
      <c r="L68" s="928"/>
      <c r="M68" s="928"/>
      <c r="N68" s="960"/>
      <c r="O68" s="960"/>
      <c r="P68" s="960"/>
      <c r="Q68" s="960"/>
      <c r="R68" s="960"/>
      <c r="S68" s="960"/>
      <c r="T68" s="960"/>
      <c r="U68" s="960"/>
      <c r="V68" s="960"/>
      <c r="W68" s="960"/>
      <c r="X68" s="960"/>
      <c r="Y68" s="960"/>
      <c r="Z68" s="960"/>
      <c r="AA68" s="960"/>
      <c r="AB68" s="928"/>
      <c r="AC68" s="928"/>
      <c r="AD68" s="928"/>
      <c r="AE68" s="928"/>
      <c r="AF68" s="928"/>
      <c r="AG68" s="928"/>
      <c r="AH68" s="928"/>
      <c r="AI68" s="928"/>
      <c r="AJ68" s="928"/>
      <c r="AK68" s="928"/>
      <c r="AL68" s="928"/>
      <c r="AM68" s="928"/>
      <c r="AN68" s="928"/>
      <c r="AO68" s="928"/>
      <c r="AP68" s="928"/>
      <c r="AQ68" s="928"/>
      <c r="AR68" s="928"/>
      <c r="AS68" s="928"/>
    </row>
    <row r="69" spans="11:45">
      <c r="K69" s="957"/>
      <c r="L69" s="928"/>
      <c r="M69" s="928"/>
      <c r="N69" s="960"/>
      <c r="O69" s="960"/>
      <c r="P69" s="960"/>
      <c r="Q69" s="960"/>
      <c r="R69" s="960"/>
      <c r="S69" s="960"/>
      <c r="T69" s="960"/>
      <c r="U69" s="960"/>
      <c r="V69" s="960"/>
      <c r="W69" s="960"/>
      <c r="X69" s="960"/>
      <c r="Y69" s="960"/>
      <c r="Z69" s="960"/>
      <c r="AA69" s="960"/>
      <c r="AB69" s="928"/>
      <c r="AC69" s="928"/>
      <c r="AD69" s="928"/>
      <c r="AE69" s="928"/>
      <c r="AF69" s="928"/>
      <c r="AG69" s="928"/>
      <c r="AH69" s="928"/>
      <c r="AI69" s="928"/>
      <c r="AJ69" s="928"/>
      <c r="AK69" s="928"/>
      <c r="AL69" s="928"/>
      <c r="AM69" s="928"/>
      <c r="AN69" s="928"/>
      <c r="AO69" s="928"/>
      <c r="AP69" s="928"/>
      <c r="AQ69" s="928"/>
      <c r="AR69" s="928"/>
      <c r="AS69" s="928"/>
    </row>
    <row r="70" spans="11:45">
      <c r="K70" s="957"/>
      <c r="L70" s="928"/>
      <c r="M70" s="928"/>
      <c r="N70" s="960"/>
      <c r="O70" s="960"/>
      <c r="P70" s="960"/>
      <c r="Q70" s="960"/>
      <c r="R70" s="960"/>
      <c r="S70" s="960"/>
      <c r="T70" s="960"/>
      <c r="U70" s="960"/>
      <c r="V70" s="960"/>
      <c r="W70" s="960"/>
      <c r="X70" s="960"/>
      <c r="Y70" s="960"/>
      <c r="Z70" s="960"/>
      <c r="AA70" s="960"/>
      <c r="AB70" s="928"/>
      <c r="AC70" s="928"/>
      <c r="AD70" s="928"/>
      <c r="AE70" s="928"/>
      <c r="AF70" s="928"/>
      <c r="AG70" s="928"/>
      <c r="AH70" s="928"/>
      <c r="AI70" s="928"/>
      <c r="AJ70" s="928"/>
      <c r="AK70" s="928"/>
      <c r="AL70" s="928"/>
      <c r="AM70" s="928"/>
      <c r="AN70" s="928"/>
      <c r="AO70" s="928"/>
      <c r="AP70" s="928"/>
      <c r="AQ70" s="928"/>
      <c r="AR70" s="928"/>
      <c r="AS70" s="928"/>
    </row>
    <row r="71" spans="11:45">
      <c r="K71" s="957"/>
      <c r="L71" s="928"/>
      <c r="M71" s="928"/>
      <c r="N71" s="960"/>
      <c r="O71" s="960"/>
      <c r="P71" s="960"/>
      <c r="Q71" s="960"/>
      <c r="R71" s="960"/>
      <c r="S71" s="960"/>
      <c r="T71" s="960"/>
      <c r="U71" s="960"/>
      <c r="V71" s="960"/>
      <c r="W71" s="960"/>
      <c r="X71" s="960"/>
      <c r="Y71" s="960"/>
      <c r="Z71" s="960"/>
      <c r="AA71" s="960"/>
      <c r="AB71" s="928"/>
      <c r="AC71" s="928"/>
      <c r="AD71" s="928"/>
      <c r="AE71" s="928"/>
      <c r="AF71" s="928"/>
      <c r="AG71" s="928"/>
      <c r="AH71" s="928"/>
      <c r="AI71" s="928"/>
      <c r="AJ71" s="928"/>
      <c r="AK71" s="928"/>
      <c r="AL71" s="928"/>
      <c r="AM71" s="928"/>
      <c r="AN71" s="928"/>
      <c r="AO71" s="928"/>
      <c r="AP71" s="928"/>
      <c r="AQ71" s="928"/>
      <c r="AR71" s="928"/>
      <c r="AS71" s="928"/>
    </row>
    <row r="72" spans="11:45">
      <c r="K72" s="957"/>
      <c r="L72" s="928"/>
      <c r="M72" s="928"/>
      <c r="N72" s="960"/>
      <c r="O72" s="960"/>
      <c r="P72" s="960"/>
      <c r="Q72" s="960"/>
      <c r="R72" s="960"/>
      <c r="S72" s="960"/>
      <c r="T72" s="960"/>
      <c r="U72" s="960"/>
      <c r="V72" s="960"/>
      <c r="W72" s="960"/>
      <c r="X72" s="960"/>
      <c r="Y72" s="960"/>
      <c r="Z72" s="960"/>
      <c r="AA72" s="960"/>
      <c r="AB72" s="928"/>
      <c r="AC72" s="928"/>
      <c r="AD72" s="928"/>
      <c r="AE72" s="928"/>
      <c r="AF72" s="928"/>
      <c r="AG72" s="928"/>
      <c r="AH72" s="928"/>
      <c r="AI72" s="928"/>
      <c r="AJ72" s="928"/>
      <c r="AK72" s="928"/>
      <c r="AL72" s="928"/>
      <c r="AM72" s="928"/>
      <c r="AN72" s="928"/>
      <c r="AO72" s="928"/>
      <c r="AP72" s="928"/>
      <c r="AQ72" s="928"/>
      <c r="AR72" s="928"/>
      <c r="AS72" s="928"/>
    </row>
    <row r="73" spans="11:45">
      <c r="K73" s="957"/>
      <c r="L73" s="928"/>
      <c r="M73" s="928"/>
      <c r="N73" s="960"/>
      <c r="O73" s="960"/>
      <c r="P73" s="960"/>
      <c r="Q73" s="960"/>
      <c r="R73" s="960"/>
      <c r="S73" s="960"/>
      <c r="T73" s="960"/>
      <c r="U73" s="960"/>
      <c r="V73" s="960"/>
      <c r="W73" s="960"/>
      <c r="X73" s="960"/>
      <c r="Y73" s="960"/>
      <c r="Z73" s="960"/>
      <c r="AA73" s="960"/>
      <c r="AB73" s="928"/>
      <c r="AC73" s="928"/>
      <c r="AD73" s="928"/>
      <c r="AE73" s="928"/>
      <c r="AF73" s="928"/>
      <c r="AG73" s="928"/>
      <c r="AH73" s="928"/>
      <c r="AI73" s="928"/>
      <c r="AJ73" s="928"/>
      <c r="AK73" s="928"/>
      <c r="AL73" s="928"/>
      <c r="AM73" s="928"/>
      <c r="AN73" s="928"/>
      <c r="AO73" s="928"/>
      <c r="AP73" s="928"/>
      <c r="AQ73" s="928"/>
      <c r="AR73" s="928"/>
      <c r="AS73" s="928"/>
    </row>
    <row r="74" spans="11:45">
      <c r="K74" s="957"/>
      <c r="L74" s="928"/>
      <c r="M74" s="928"/>
      <c r="N74" s="960"/>
      <c r="O74" s="960"/>
      <c r="P74" s="960"/>
      <c r="Q74" s="960"/>
      <c r="R74" s="960"/>
      <c r="S74" s="960"/>
      <c r="T74" s="960"/>
      <c r="U74" s="960"/>
      <c r="V74" s="960"/>
      <c r="W74" s="960"/>
      <c r="X74" s="960"/>
      <c r="Y74" s="960"/>
      <c r="Z74" s="960"/>
      <c r="AA74" s="960"/>
      <c r="AB74" s="928"/>
      <c r="AC74" s="928"/>
      <c r="AD74" s="928"/>
      <c r="AE74" s="928"/>
      <c r="AF74" s="928"/>
      <c r="AG74" s="928"/>
      <c r="AH74" s="928"/>
      <c r="AI74" s="928"/>
      <c r="AJ74" s="928"/>
      <c r="AK74" s="928"/>
      <c r="AL74" s="928"/>
      <c r="AM74" s="928"/>
      <c r="AN74" s="928"/>
      <c r="AO74" s="928"/>
      <c r="AP74" s="928"/>
      <c r="AQ74" s="928"/>
      <c r="AR74" s="928"/>
      <c r="AS74" s="928"/>
    </row>
    <row r="75" spans="11:45">
      <c r="K75" s="957"/>
      <c r="L75" s="928"/>
      <c r="M75" s="928"/>
      <c r="N75" s="960"/>
      <c r="O75" s="960"/>
      <c r="P75" s="960"/>
      <c r="Q75" s="960"/>
      <c r="R75" s="960"/>
      <c r="S75" s="960"/>
      <c r="T75" s="960"/>
      <c r="U75" s="960"/>
      <c r="V75" s="960"/>
      <c r="W75" s="960"/>
      <c r="X75" s="960"/>
      <c r="Y75" s="960"/>
      <c r="Z75" s="960"/>
      <c r="AA75" s="960"/>
      <c r="AB75" s="928"/>
      <c r="AC75" s="928"/>
      <c r="AD75" s="928"/>
      <c r="AE75" s="928"/>
      <c r="AF75" s="928"/>
      <c r="AG75" s="928"/>
      <c r="AH75" s="928"/>
      <c r="AI75" s="928"/>
      <c r="AJ75" s="928"/>
      <c r="AK75" s="928"/>
      <c r="AL75" s="928"/>
      <c r="AM75" s="928"/>
      <c r="AN75" s="928"/>
      <c r="AO75" s="928"/>
      <c r="AP75" s="928"/>
      <c r="AQ75" s="928"/>
      <c r="AR75" s="928"/>
      <c r="AS75" s="928"/>
    </row>
    <row r="76" spans="11:45">
      <c r="K76" s="957"/>
      <c r="L76" s="928"/>
      <c r="M76" s="928"/>
      <c r="N76" s="960"/>
      <c r="O76" s="960"/>
      <c r="P76" s="960"/>
      <c r="Q76" s="960"/>
      <c r="R76" s="960"/>
      <c r="S76" s="960"/>
      <c r="T76" s="960"/>
      <c r="U76" s="960"/>
      <c r="V76" s="960"/>
      <c r="W76" s="960"/>
      <c r="X76" s="960"/>
      <c r="Y76" s="960"/>
      <c r="Z76" s="960"/>
      <c r="AA76" s="960"/>
      <c r="AB76" s="928"/>
      <c r="AC76" s="928"/>
      <c r="AD76" s="928"/>
      <c r="AE76" s="928"/>
      <c r="AF76" s="928"/>
      <c r="AG76" s="928"/>
      <c r="AH76" s="928"/>
      <c r="AI76" s="928"/>
      <c r="AJ76" s="928"/>
      <c r="AK76" s="928"/>
      <c r="AL76" s="928"/>
      <c r="AM76" s="928"/>
      <c r="AN76" s="928"/>
      <c r="AO76" s="928"/>
      <c r="AP76" s="928"/>
      <c r="AQ76" s="928"/>
      <c r="AR76" s="928"/>
      <c r="AS76" s="928"/>
    </row>
    <row r="77" spans="11:45">
      <c r="K77" s="957"/>
      <c r="L77" s="928"/>
      <c r="M77" s="928"/>
      <c r="N77" s="960"/>
      <c r="O77" s="960"/>
      <c r="P77" s="960"/>
      <c r="Q77" s="960"/>
      <c r="R77" s="960"/>
      <c r="S77" s="960"/>
      <c r="T77" s="960"/>
      <c r="U77" s="960"/>
      <c r="V77" s="960"/>
      <c r="W77" s="960"/>
      <c r="X77" s="960"/>
      <c r="Y77" s="960"/>
      <c r="Z77" s="960"/>
      <c r="AA77" s="960"/>
      <c r="AB77" s="928"/>
      <c r="AC77" s="928"/>
      <c r="AD77" s="928"/>
      <c r="AE77" s="928"/>
      <c r="AF77" s="928"/>
      <c r="AG77" s="928"/>
      <c r="AH77" s="928"/>
      <c r="AI77" s="928"/>
      <c r="AJ77" s="928"/>
      <c r="AK77" s="928"/>
      <c r="AL77" s="928"/>
      <c r="AM77" s="928"/>
      <c r="AN77" s="928"/>
      <c r="AO77" s="928"/>
      <c r="AP77" s="928"/>
      <c r="AQ77" s="928"/>
      <c r="AR77" s="928"/>
      <c r="AS77" s="928"/>
    </row>
    <row r="78" spans="11:45">
      <c r="K78" s="957"/>
      <c r="L78" s="928"/>
      <c r="M78" s="928"/>
      <c r="N78" s="960"/>
      <c r="O78" s="960"/>
      <c r="P78" s="960"/>
      <c r="Q78" s="960"/>
      <c r="R78" s="960"/>
      <c r="S78" s="960"/>
      <c r="T78" s="960"/>
      <c r="U78" s="960"/>
      <c r="V78" s="960"/>
      <c r="W78" s="960"/>
      <c r="X78" s="960"/>
      <c r="Y78" s="960"/>
      <c r="Z78" s="960"/>
      <c r="AA78" s="960"/>
      <c r="AB78" s="928"/>
      <c r="AC78" s="928"/>
      <c r="AD78" s="928"/>
      <c r="AE78" s="928"/>
      <c r="AF78" s="928"/>
      <c r="AG78" s="928"/>
      <c r="AH78" s="928"/>
      <c r="AI78" s="928"/>
      <c r="AJ78" s="928"/>
      <c r="AK78" s="928"/>
      <c r="AL78" s="928"/>
      <c r="AM78" s="928"/>
      <c r="AN78" s="928"/>
      <c r="AO78" s="928"/>
      <c r="AP78" s="928"/>
      <c r="AQ78" s="928"/>
      <c r="AR78" s="928"/>
      <c r="AS78" s="928"/>
    </row>
    <row r="79" spans="11:45">
      <c r="K79" s="957"/>
      <c r="L79" s="928"/>
      <c r="M79" s="928"/>
      <c r="N79" s="960"/>
      <c r="O79" s="960"/>
      <c r="P79" s="960"/>
      <c r="Q79" s="960"/>
      <c r="R79" s="960"/>
      <c r="S79" s="960"/>
      <c r="T79" s="960"/>
      <c r="U79" s="960"/>
      <c r="V79" s="960"/>
      <c r="W79" s="960"/>
      <c r="X79" s="960"/>
      <c r="Y79" s="960"/>
      <c r="Z79" s="960"/>
      <c r="AA79" s="960"/>
      <c r="AB79" s="928"/>
      <c r="AC79" s="928"/>
      <c r="AD79" s="928"/>
      <c r="AE79" s="928"/>
      <c r="AF79" s="928"/>
      <c r="AG79" s="928"/>
      <c r="AH79" s="928"/>
      <c r="AI79" s="928"/>
      <c r="AJ79" s="928"/>
      <c r="AK79" s="928"/>
      <c r="AL79" s="928"/>
      <c r="AM79" s="928"/>
      <c r="AN79" s="928"/>
      <c r="AO79" s="928"/>
      <c r="AP79" s="928"/>
      <c r="AQ79" s="928"/>
      <c r="AR79" s="928"/>
      <c r="AS79" s="928"/>
    </row>
    <row r="80" spans="11:45">
      <c r="K80" s="957"/>
      <c r="L80" s="928"/>
      <c r="M80" s="928"/>
      <c r="N80" s="960"/>
      <c r="O80" s="960"/>
      <c r="P80" s="960"/>
      <c r="Q80" s="960"/>
      <c r="R80" s="960"/>
      <c r="S80" s="960"/>
      <c r="T80" s="960"/>
      <c r="U80" s="960"/>
      <c r="V80" s="960"/>
      <c r="W80" s="960"/>
      <c r="X80" s="960"/>
      <c r="Y80" s="960"/>
      <c r="Z80" s="960"/>
      <c r="AA80" s="960"/>
      <c r="AB80" s="928"/>
      <c r="AC80" s="928"/>
      <c r="AD80" s="928"/>
      <c r="AE80" s="928"/>
      <c r="AF80" s="928"/>
      <c r="AG80" s="928"/>
      <c r="AH80" s="928"/>
      <c r="AI80" s="928"/>
      <c r="AJ80" s="928"/>
      <c r="AK80" s="928"/>
      <c r="AL80" s="928"/>
      <c r="AM80" s="928"/>
      <c r="AN80" s="928"/>
      <c r="AO80" s="928"/>
      <c r="AP80" s="928"/>
      <c r="AQ80" s="928"/>
      <c r="AR80" s="928"/>
      <c r="AS80" s="928"/>
    </row>
    <row r="81" spans="11:45">
      <c r="K81" s="957"/>
      <c r="L81" s="928"/>
      <c r="M81" s="928"/>
      <c r="N81" s="960"/>
      <c r="O81" s="960"/>
      <c r="P81" s="960"/>
      <c r="Q81" s="960"/>
      <c r="R81" s="960"/>
      <c r="S81" s="960"/>
      <c r="T81" s="960"/>
      <c r="U81" s="960"/>
      <c r="V81" s="960"/>
      <c r="W81" s="960"/>
      <c r="X81" s="960"/>
      <c r="Y81" s="960"/>
      <c r="Z81" s="960"/>
      <c r="AA81" s="960"/>
      <c r="AB81" s="928"/>
      <c r="AC81" s="928"/>
      <c r="AD81" s="928"/>
      <c r="AE81" s="928"/>
      <c r="AF81" s="928"/>
      <c r="AG81" s="928"/>
      <c r="AH81" s="928"/>
      <c r="AI81" s="928"/>
      <c r="AJ81" s="928"/>
      <c r="AK81" s="928"/>
      <c r="AL81" s="928"/>
      <c r="AM81" s="928"/>
      <c r="AN81" s="928"/>
      <c r="AO81" s="928"/>
      <c r="AP81" s="928"/>
      <c r="AQ81" s="928"/>
      <c r="AR81" s="928"/>
      <c r="AS81" s="928"/>
    </row>
    <row r="82" spans="11:45">
      <c r="K82" s="957"/>
      <c r="L82" s="928"/>
      <c r="M82" s="928"/>
      <c r="N82" s="960"/>
      <c r="O82" s="960"/>
      <c r="P82" s="960"/>
      <c r="Q82" s="960"/>
      <c r="R82" s="960"/>
      <c r="S82" s="960"/>
      <c r="T82" s="960"/>
      <c r="U82" s="960"/>
      <c r="V82" s="960"/>
      <c r="W82" s="960"/>
      <c r="X82" s="960"/>
      <c r="Y82" s="960"/>
      <c r="Z82" s="960"/>
      <c r="AA82" s="960"/>
      <c r="AB82" s="928"/>
      <c r="AC82" s="928"/>
      <c r="AD82" s="928"/>
      <c r="AE82" s="928"/>
      <c r="AF82" s="928"/>
      <c r="AG82" s="928"/>
      <c r="AH82" s="928"/>
      <c r="AI82" s="928"/>
      <c r="AJ82" s="928"/>
      <c r="AK82" s="928"/>
      <c r="AL82" s="928"/>
      <c r="AM82" s="928"/>
      <c r="AN82" s="928"/>
      <c r="AO82" s="928"/>
      <c r="AP82" s="928"/>
      <c r="AQ82" s="928"/>
      <c r="AR82" s="928"/>
      <c r="AS82" s="928"/>
    </row>
    <row r="83" spans="11:45">
      <c r="K83" s="957"/>
      <c r="L83" s="928"/>
      <c r="M83" s="928"/>
      <c r="N83" s="960"/>
      <c r="O83" s="960"/>
      <c r="P83" s="960"/>
      <c r="Q83" s="960"/>
      <c r="R83" s="960"/>
      <c r="S83" s="960"/>
      <c r="T83" s="960"/>
      <c r="U83" s="960"/>
      <c r="V83" s="960"/>
      <c r="W83" s="960"/>
      <c r="X83" s="960"/>
      <c r="Y83" s="960"/>
      <c r="Z83" s="960"/>
      <c r="AA83" s="960"/>
      <c r="AB83" s="928"/>
      <c r="AC83" s="928"/>
      <c r="AD83" s="928"/>
      <c r="AE83" s="928"/>
      <c r="AF83" s="928"/>
      <c r="AG83" s="928"/>
      <c r="AH83" s="928"/>
      <c r="AI83" s="928"/>
      <c r="AJ83" s="928"/>
      <c r="AK83" s="928"/>
      <c r="AL83" s="928"/>
      <c r="AM83" s="928"/>
      <c r="AN83" s="928"/>
      <c r="AO83" s="928"/>
      <c r="AP83" s="928"/>
      <c r="AQ83" s="928"/>
      <c r="AR83" s="928"/>
      <c r="AS83" s="928"/>
    </row>
    <row r="84" spans="11:45">
      <c r="K84" s="957"/>
      <c r="L84" s="928"/>
      <c r="M84" s="928"/>
      <c r="N84" s="960"/>
      <c r="O84" s="960"/>
      <c r="P84" s="960"/>
      <c r="Q84" s="960"/>
      <c r="R84" s="960"/>
      <c r="S84" s="960"/>
      <c r="T84" s="960"/>
      <c r="U84" s="960"/>
      <c r="V84" s="960"/>
      <c r="W84" s="960"/>
      <c r="X84" s="960"/>
      <c r="Y84" s="960"/>
      <c r="Z84" s="960"/>
      <c r="AA84" s="960"/>
      <c r="AB84" s="928"/>
      <c r="AC84" s="928"/>
      <c r="AD84" s="928"/>
      <c r="AE84" s="928"/>
      <c r="AF84" s="928"/>
      <c r="AG84" s="928"/>
      <c r="AH84" s="928"/>
      <c r="AI84" s="928"/>
      <c r="AJ84" s="928"/>
      <c r="AK84" s="928"/>
      <c r="AL84" s="928"/>
      <c r="AM84" s="928"/>
      <c r="AN84" s="928"/>
      <c r="AO84" s="928"/>
      <c r="AP84" s="928"/>
      <c r="AQ84" s="928"/>
      <c r="AR84" s="928"/>
      <c r="AS84" s="928"/>
    </row>
    <row r="85" spans="11:45">
      <c r="K85" s="957"/>
      <c r="L85" s="928"/>
      <c r="M85" s="928"/>
      <c r="N85" s="960"/>
      <c r="O85" s="960"/>
      <c r="P85" s="960"/>
      <c r="Q85" s="960"/>
      <c r="R85" s="960"/>
      <c r="S85" s="960"/>
      <c r="T85" s="960"/>
      <c r="U85" s="960"/>
      <c r="V85" s="960"/>
      <c r="W85" s="960"/>
      <c r="X85" s="960"/>
      <c r="Y85" s="960"/>
      <c r="Z85" s="960"/>
      <c r="AA85" s="960"/>
      <c r="AB85" s="928"/>
      <c r="AC85" s="928"/>
      <c r="AD85" s="928"/>
      <c r="AE85" s="928"/>
      <c r="AF85" s="928"/>
      <c r="AG85" s="928"/>
      <c r="AH85" s="928"/>
      <c r="AI85" s="928"/>
      <c r="AJ85" s="928"/>
      <c r="AK85" s="928"/>
      <c r="AL85" s="928"/>
      <c r="AM85" s="928"/>
      <c r="AN85" s="928"/>
      <c r="AO85" s="928"/>
      <c r="AP85" s="928"/>
      <c r="AQ85" s="928"/>
      <c r="AR85" s="928"/>
      <c r="AS85" s="928"/>
    </row>
    <row r="86" spans="11:45">
      <c r="K86" s="957"/>
      <c r="L86" s="928"/>
      <c r="M86" s="928"/>
      <c r="N86" s="960"/>
      <c r="O86" s="960"/>
      <c r="P86" s="960"/>
      <c r="Q86" s="960"/>
      <c r="R86" s="960"/>
      <c r="S86" s="960"/>
      <c r="T86" s="960"/>
      <c r="U86" s="960"/>
      <c r="V86" s="960"/>
      <c r="W86" s="960"/>
      <c r="X86" s="960"/>
      <c r="Y86" s="960"/>
      <c r="Z86" s="960"/>
      <c r="AA86" s="960"/>
      <c r="AB86" s="928"/>
      <c r="AC86" s="928"/>
      <c r="AD86" s="928"/>
      <c r="AE86" s="928"/>
      <c r="AF86" s="928"/>
      <c r="AG86" s="928"/>
      <c r="AH86" s="928"/>
      <c r="AI86" s="928"/>
      <c r="AJ86" s="928"/>
      <c r="AK86" s="928"/>
      <c r="AL86" s="928"/>
      <c r="AM86" s="928"/>
      <c r="AN86" s="928"/>
      <c r="AO86" s="928"/>
      <c r="AP86" s="928"/>
      <c r="AQ86" s="928"/>
      <c r="AR86" s="928"/>
      <c r="AS86" s="928"/>
    </row>
    <row r="87" spans="11:45">
      <c r="K87" s="957"/>
      <c r="L87" s="928"/>
      <c r="M87" s="928"/>
      <c r="N87" s="960"/>
      <c r="O87" s="960"/>
      <c r="P87" s="960"/>
      <c r="Q87" s="960"/>
      <c r="R87" s="960"/>
      <c r="S87" s="960"/>
      <c r="T87" s="960"/>
      <c r="U87" s="960"/>
      <c r="V87" s="960"/>
      <c r="W87" s="960"/>
      <c r="X87" s="960"/>
      <c r="Y87" s="960"/>
      <c r="Z87" s="960"/>
      <c r="AA87" s="960"/>
      <c r="AB87" s="928"/>
      <c r="AC87" s="928"/>
      <c r="AD87" s="928"/>
      <c r="AE87" s="928"/>
      <c r="AF87" s="928"/>
      <c r="AG87" s="928"/>
      <c r="AH87" s="928"/>
      <c r="AI87" s="928"/>
      <c r="AJ87" s="928"/>
      <c r="AK87" s="928"/>
      <c r="AL87" s="928"/>
      <c r="AM87" s="928"/>
      <c r="AN87" s="928"/>
      <c r="AO87" s="928"/>
      <c r="AP87" s="928"/>
      <c r="AQ87" s="928"/>
      <c r="AR87" s="928"/>
      <c r="AS87" s="928"/>
    </row>
    <row r="88" spans="11:45">
      <c r="K88" s="957"/>
      <c r="L88" s="928"/>
      <c r="M88" s="928"/>
      <c r="N88" s="960"/>
      <c r="O88" s="960"/>
      <c r="P88" s="960"/>
      <c r="Q88" s="960"/>
      <c r="R88" s="960"/>
      <c r="S88" s="960"/>
      <c r="T88" s="960"/>
      <c r="U88" s="960"/>
      <c r="V88" s="960"/>
      <c r="W88" s="960"/>
      <c r="X88" s="960"/>
      <c r="Y88" s="960"/>
      <c r="Z88" s="960"/>
      <c r="AA88" s="960"/>
      <c r="AB88" s="928"/>
      <c r="AC88" s="928"/>
      <c r="AD88" s="928"/>
      <c r="AE88" s="928"/>
      <c r="AF88" s="928"/>
      <c r="AG88" s="928"/>
      <c r="AH88" s="928"/>
      <c r="AI88" s="928"/>
      <c r="AJ88" s="928"/>
      <c r="AK88" s="928"/>
      <c r="AL88" s="928"/>
      <c r="AM88" s="928"/>
      <c r="AN88" s="928"/>
      <c r="AO88" s="928"/>
      <c r="AP88" s="928"/>
      <c r="AQ88" s="928"/>
      <c r="AR88" s="928"/>
      <c r="AS88" s="928"/>
    </row>
    <row r="89" spans="11:45">
      <c r="K89" s="957"/>
      <c r="L89" s="928"/>
      <c r="M89" s="928"/>
      <c r="N89" s="960"/>
      <c r="O89" s="960"/>
      <c r="P89" s="960"/>
      <c r="Q89" s="960"/>
      <c r="R89" s="960"/>
      <c r="S89" s="960"/>
      <c r="T89" s="960"/>
      <c r="U89" s="960"/>
      <c r="V89" s="960"/>
      <c r="W89" s="960"/>
      <c r="X89" s="960"/>
      <c r="Y89" s="960"/>
      <c r="Z89" s="960"/>
      <c r="AA89" s="960"/>
      <c r="AB89" s="928"/>
      <c r="AC89" s="928"/>
      <c r="AD89" s="928"/>
      <c r="AE89" s="928"/>
      <c r="AF89" s="928"/>
      <c r="AG89" s="928"/>
      <c r="AH89" s="928"/>
      <c r="AI89" s="928"/>
      <c r="AJ89" s="928"/>
      <c r="AK89" s="928"/>
      <c r="AL89" s="928"/>
      <c r="AM89" s="928"/>
      <c r="AN89" s="928"/>
      <c r="AO89" s="928"/>
      <c r="AP89" s="928"/>
      <c r="AQ89" s="928"/>
      <c r="AR89" s="928"/>
      <c r="AS89" s="928"/>
    </row>
    <row r="90" spans="11:45">
      <c r="K90" s="957"/>
      <c r="L90" s="928"/>
      <c r="M90" s="928"/>
      <c r="N90" s="960"/>
      <c r="O90" s="960"/>
      <c r="P90" s="960"/>
      <c r="Q90" s="960"/>
      <c r="R90" s="960"/>
      <c r="S90" s="960"/>
      <c r="T90" s="960"/>
      <c r="U90" s="960"/>
      <c r="V90" s="960"/>
      <c r="W90" s="960"/>
      <c r="X90" s="960"/>
      <c r="Y90" s="960"/>
      <c r="Z90" s="960"/>
      <c r="AA90" s="960"/>
      <c r="AB90" s="928"/>
      <c r="AC90" s="928"/>
      <c r="AD90" s="928"/>
      <c r="AE90" s="928"/>
      <c r="AF90" s="928"/>
      <c r="AG90" s="928"/>
      <c r="AH90" s="928"/>
      <c r="AI90" s="928"/>
      <c r="AJ90" s="928"/>
      <c r="AK90" s="928"/>
      <c r="AL90" s="928"/>
      <c r="AM90" s="928"/>
      <c r="AN90" s="928"/>
      <c r="AO90" s="928"/>
      <c r="AP90" s="928"/>
      <c r="AQ90" s="928"/>
      <c r="AR90" s="928"/>
      <c r="AS90" s="928"/>
    </row>
    <row r="91" spans="11:45">
      <c r="K91" s="957"/>
      <c r="L91" s="928"/>
      <c r="M91" s="928"/>
      <c r="N91" s="960"/>
      <c r="O91" s="960"/>
      <c r="P91" s="960"/>
      <c r="Q91" s="960"/>
      <c r="R91" s="960"/>
      <c r="S91" s="960"/>
      <c r="T91" s="960"/>
      <c r="U91" s="960"/>
      <c r="V91" s="960"/>
      <c r="W91" s="960"/>
      <c r="X91" s="960"/>
      <c r="Y91" s="960"/>
      <c r="Z91" s="960"/>
      <c r="AA91" s="960"/>
      <c r="AB91" s="928"/>
      <c r="AC91" s="928"/>
      <c r="AD91" s="928"/>
      <c r="AE91" s="928"/>
      <c r="AF91" s="928"/>
      <c r="AG91" s="928"/>
      <c r="AH91" s="928"/>
      <c r="AI91" s="928"/>
      <c r="AJ91" s="928"/>
      <c r="AK91" s="928"/>
      <c r="AL91" s="928"/>
      <c r="AM91" s="928"/>
      <c r="AN91" s="928"/>
      <c r="AO91" s="928"/>
      <c r="AP91" s="928"/>
      <c r="AQ91" s="928"/>
      <c r="AR91" s="928"/>
      <c r="AS91" s="928"/>
    </row>
    <row r="92" spans="11:45">
      <c r="K92" s="957"/>
      <c r="L92" s="928"/>
      <c r="M92" s="928"/>
      <c r="N92" s="960"/>
      <c r="O92" s="960"/>
      <c r="P92" s="960"/>
      <c r="Q92" s="960"/>
      <c r="R92" s="960"/>
      <c r="S92" s="960"/>
      <c r="T92" s="960"/>
      <c r="U92" s="960"/>
      <c r="V92" s="960"/>
      <c r="W92" s="960"/>
      <c r="X92" s="960"/>
      <c r="Y92" s="960"/>
      <c r="Z92" s="960"/>
      <c r="AA92" s="960"/>
      <c r="AB92" s="928"/>
      <c r="AC92" s="928"/>
      <c r="AD92" s="928"/>
      <c r="AE92" s="928"/>
      <c r="AF92" s="928"/>
      <c r="AG92" s="928"/>
      <c r="AH92" s="928"/>
      <c r="AI92" s="928"/>
      <c r="AJ92" s="928"/>
      <c r="AK92" s="928"/>
      <c r="AL92" s="928"/>
      <c r="AM92" s="928"/>
      <c r="AN92" s="928"/>
      <c r="AO92" s="928"/>
      <c r="AP92" s="928"/>
      <c r="AQ92" s="928"/>
      <c r="AR92" s="928"/>
      <c r="AS92" s="928"/>
    </row>
    <row r="93" spans="11:45">
      <c r="K93" s="957"/>
      <c r="L93" s="928"/>
      <c r="M93" s="928"/>
      <c r="N93" s="960"/>
      <c r="O93" s="960"/>
      <c r="P93" s="960"/>
      <c r="Q93" s="960"/>
      <c r="R93" s="960"/>
      <c r="S93" s="960"/>
      <c r="T93" s="960"/>
      <c r="U93" s="960"/>
      <c r="V93" s="960"/>
      <c r="W93" s="960"/>
      <c r="X93" s="960"/>
      <c r="Y93" s="960"/>
      <c r="Z93" s="960"/>
      <c r="AA93" s="960"/>
      <c r="AB93" s="928"/>
      <c r="AC93" s="928"/>
      <c r="AD93" s="928"/>
      <c r="AE93" s="928"/>
      <c r="AF93" s="928"/>
      <c r="AG93" s="928"/>
      <c r="AH93" s="928"/>
      <c r="AI93" s="928"/>
      <c r="AJ93" s="928"/>
      <c r="AK93" s="928"/>
      <c r="AL93" s="928"/>
      <c r="AM93" s="928"/>
      <c r="AN93" s="928"/>
      <c r="AO93" s="928"/>
      <c r="AP93" s="928"/>
      <c r="AQ93" s="928"/>
      <c r="AR93" s="928"/>
      <c r="AS93" s="928"/>
    </row>
    <row r="94" spans="11:45">
      <c r="K94" s="957"/>
      <c r="L94" s="928"/>
      <c r="M94" s="928"/>
      <c r="N94" s="960"/>
      <c r="O94" s="960"/>
      <c r="P94" s="960"/>
      <c r="Q94" s="960"/>
      <c r="R94" s="960"/>
      <c r="S94" s="960"/>
      <c r="T94" s="960"/>
      <c r="U94" s="960"/>
      <c r="V94" s="960"/>
      <c r="W94" s="960"/>
      <c r="X94" s="960"/>
      <c r="Y94" s="960"/>
      <c r="Z94" s="960"/>
      <c r="AA94" s="960"/>
      <c r="AB94" s="928"/>
      <c r="AC94" s="928"/>
      <c r="AD94" s="928"/>
      <c r="AE94" s="928"/>
      <c r="AF94" s="928"/>
      <c r="AG94" s="928"/>
      <c r="AH94" s="928"/>
      <c r="AI94" s="928"/>
      <c r="AJ94" s="928"/>
      <c r="AK94" s="928"/>
      <c r="AL94" s="928"/>
      <c r="AM94" s="928"/>
      <c r="AN94" s="928"/>
      <c r="AO94" s="928"/>
      <c r="AP94" s="928"/>
      <c r="AQ94" s="928"/>
      <c r="AR94" s="928"/>
      <c r="AS94" s="928"/>
    </row>
    <row r="95" spans="11:45">
      <c r="K95" s="957"/>
      <c r="L95" s="928"/>
      <c r="M95" s="928"/>
      <c r="N95" s="960"/>
      <c r="O95" s="960"/>
      <c r="P95" s="960"/>
      <c r="Q95" s="960"/>
      <c r="R95" s="960"/>
      <c r="S95" s="960"/>
      <c r="T95" s="960"/>
      <c r="U95" s="960"/>
      <c r="V95" s="960"/>
      <c r="W95" s="960"/>
      <c r="X95" s="960"/>
      <c r="Y95" s="960"/>
      <c r="Z95" s="960"/>
      <c r="AA95" s="960"/>
      <c r="AB95" s="928"/>
      <c r="AC95" s="928"/>
      <c r="AD95" s="928"/>
      <c r="AE95" s="928"/>
      <c r="AF95" s="928"/>
      <c r="AG95" s="928"/>
      <c r="AH95" s="928"/>
      <c r="AI95" s="928"/>
      <c r="AJ95" s="928"/>
      <c r="AK95" s="928"/>
      <c r="AL95" s="928"/>
      <c r="AM95" s="928"/>
      <c r="AN95" s="928"/>
      <c r="AO95" s="928"/>
      <c r="AP95" s="928"/>
      <c r="AQ95" s="928"/>
      <c r="AR95" s="928"/>
      <c r="AS95" s="928"/>
    </row>
    <row r="96" spans="11:45">
      <c r="K96" s="957"/>
      <c r="L96" s="928"/>
      <c r="M96" s="928"/>
      <c r="N96" s="960"/>
      <c r="O96" s="960"/>
      <c r="P96" s="960"/>
      <c r="Q96" s="960"/>
      <c r="R96" s="960"/>
      <c r="S96" s="960"/>
      <c r="T96" s="960"/>
      <c r="U96" s="960"/>
      <c r="V96" s="960"/>
      <c r="W96" s="960"/>
      <c r="X96" s="960"/>
      <c r="Y96" s="960"/>
      <c r="Z96" s="960"/>
      <c r="AA96" s="960"/>
      <c r="AB96" s="928"/>
      <c r="AC96" s="928"/>
      <c r="AD96" s="928"/>
      <c r="AE96" s="928"/>
      <c r="AF96" s="928"/>
      <c r="AG96" s="928"/>
      <c r="AH96" s="928"/>
      <c r="AI96" s="928"/>
      <c r="AJ96" s="928"/>
      <c r="AK96" s="928"/>
      <c r="AL96" s="928"/>
      <c r="AM96" s="928"/>
      <c r="AN96" s="928"/>
      <c r="AO96" s="928"/>
      <c r="AP96" s="928"/>
      <c r="AQ96" s="928"/>
      <c r="AR96" s="928"/>
      <c r="AS96" s="928"/>
    </row>
    <row r="97" spans="11:45">
      <c r="K97" s="957"/>
      <c r="L97" s="928"/>
      <c r="M97" s="928"/>
      <c r="N97" s="960"/>
      <c r="O97" s="960"/>
      <c r="P97" s="960"/>
      <c r="Q97" s="960"/>
      <c r="R97" s="960"/>
      <c r="S97" s="960"/>
      <c r="T97" s="960"/>
      <c r="U97" s="960"/>
      <c r="V97" s="960"/>
      <c r="W97" s="960"/>
      <c r="X97" s="960"/>
      <c r="Y97" s="960"/>
      <c r="Z97" s="960"/>
      <c r="AA97" s="960"/>
      <c r="AB97" s="928"/>
      <c r="AC97" s="928"/>
      <c r="AD97" s="928"/>
      <c r="AE97" s="928"/>
      <c r="AF97" s="928"/>
      <c r="AG97" s="928"/>
      <c r="AH97" s="928"/>
      <c r="AI97" s="928"/>
      <c r="AJ97" s="928"/>
      <c r="AK97" s="928"/>
      <c r="AL97" s="928"/>
      <c r="AM97" s="928"/>
      <c r="AN97" s="928"/>
      <c r="AO97" s="928"/>
      <c r="AP97" s="928"/>
      <c r="AQ97" s="928"/>
      <c r="AR97" s="928"/>
      <c r="AS97" s="928"/>
    </row>
    <row r="98" spans="11:45">
      <c r="K98" s="957"/>
      <c r="L98" s="928"/>
      <c r="M98" s="928"/>
      <c r="N98" s="960"/>
      <c r="O98" s="960"/>
      <c r="P98" s="960"/>
      <c r="Q98" s="960"/>
      <c r="R98" s="960"/>
      <c r="S98" s="960"/>
      <c r="T98" s="960"/>
      <c r="U98" s="960"/>
      <c r="V98" s="960"/>
      <c r="W98" s="960"/>
      <c r="X98" s="960"/>
      <c r="Y98" s="960"/>
      <c r="Z98" s="960"/>
      <c r="AA98" s="960"/>
      <c r="AB98" s="928"/>
      <c r="AC98" s="928"/>
      <c r="AD98" s="928"/>
      <c r="AE98" s="928"/>
      <c r="AF98" s="928"/>
      <c r="AG98" s="928"/>
      <c r="AH98" s="928"/>
      <c r="AI98" s="928"/>
      <c r="AJ98" s="928"/>
      <c r="AK98" s="928"/>
      <c r="AL98" s="928"/>
      <c r="AM98" s="928"/>
      <c r="AN98" s="928"/>
      <c r="AO98" s="928"/>
      <c r="AP98" s="928"/>
      <c r="AQ98" s="928"/>
      <c r="AR98" s="928"/>
      <c r="AS98" s="928"/>
    </row>
    <row r="99" spans="11:45">
      <c r="K99" s="957"/>
      <c r="L99" s="928"/>
      <c r="M99" s="928"/>
      <c r="N99" s="960"/>
      <c r="O99" s="960"/>
      <c r="P99" s="960"/>
      <c r="Q99" s="960"/>
      <c r="R99" s="960"/>
      <c r="S99" s="960"/>
      <c r="T99" s="960"/>
      <c r="U99" s="960"/>
      <c r="V99" s="960"/>
      <c r="W99" s="960"/>
      <c r="X99" s="960"/>
      <c r="Y99" s="960"/>
      <c r="Z99" s="960"/>
      <c r="AA99" s="960"/>
      <c r="AB99" s="928"/>
      <c r="AC99" s="928"/>
      <c r="AD99" s="928"/>
      <c r="AE99" s="928"/>
      <c r="AF99" s="928"/>
      <c r="AG99" s="928"/>
      <c r="AH99" s="928"/>
      <c r="AI99" s="928"/>
      <c r="AJ99" s="928"/>
      <c r="AK99" s="928"/>
      <c r="AL99" s="928"/>
      <c r="AM99" s="928"/>
      <c r="AN99" s="928"/>
      <c r="AO99" s="928"/>
      <c r="AP99" s="928"/>
      <c r="AQ99" s="928"/>
      <c r="AR99" s="928"/>
      <c r="AS99" s="928"/>
    </row>
    <row r="100" spans="11:45">
      <c r="K100" s="957"/>
      <c r="L100" s="928"/>
      <c r="M100" s="928"/>
      <c r="N100" s="960"/>
      <c r="O100" s="960"/>
      <c r="P100" s="960"/>
      <c r="Q100" s="960"/>
      <c r="R100" s="960"/>
      <c r="S100" s="960"/>
      <c r="T100" s="960"/>
      <c r="U100" s="960"/>
      <c r="V100" s="960"/>
      <c r="W100" s="960"/>
      <c r="X100" s="960"/>
      <c r="Y100" s="960"/>
      <c r="Z100" s="960"/>
      <c r="AA100" s="960"/>
      <c r="AB100" s="928"/>
      <c r="AC100" s="928"/>
      <c r="AD100" s="928"/>
      <c r="AE100" s="928"/>
      <c r="AF100" s="928"/>
      <c r="AG100" s="928"/>
      <c r="AH100" s="928"/>
      <c r="AI100" s="928"/>
      <c r="AJ100" s="928"/>
      <c r="AK100" s="928"/>
      <c r="AL100" s="928"/>
      <c r="AM100" s="928"/>
      <c r="AN100" s="928"/>
      <c r="AO100" s="928"/>
      <c r="AP100" s="928"/>
      <c r="AQ100" s="928"/>
      <c r="AR100" s="928"/>
      <c r="AS100" s="928"/>
    </row>
    <row r="101" spans="11:45">
      <c r="K101" s="957"/>
      <c r="L101" s="928"/>
      <c r="M101" s="928"/>
      <c r="N101" s="960"/>
      <c r="O101" s="960"/>
      <c r="P101" s="960"/>
      <c r="Q101" s="960"/>
      <c r="R101" s="960"/>
      <c r="S101" s="960"/>
      <c r="T101" s="960"/>
      <c r="U101" s="960"/>
      <c r="V101" s="960"/>
      <c r="W101" s="960"/>
      <c r="X101" s="960"/>
      <c r="Y101" s="960"/>
      <c r="Z101" s="960"/>
      <c r="AA101" s="960"/>
      <c r="AB101" s="928"/>
      <c r="AC101" s="928"/>
      <c r="AD101" s="928"/>
      <c r="AE101" s="928"/>
      <c r="AF101" s="928"/>
      <c r="AG101" s="928"/>
      <c r="AH101" s="928"/>
      <c r="AI101" s="928"/>
      <c r="AJ101" s="928"/>
      <c r="AK101" s="928"/>
      <c r="AL101" s="928"/>
      <c r="AM101" s="928"/>
      <c r="AN101" s="928"/>
      <c r="AO101" s="928"/>
      <c r="AP101" s="928"/>
      <c r="AQ101" s="928"/>
      <c r="AR101" s="928"/>
      <c r="AS101" s="928"/>
    </row>
    <row r="102" spans="11:45">
      <c r="K102" s="957"/>
      <c r="L102" s="928"/>
      <c r="M102" s="928"/>
      <c r="N102" s="960"/>
      <c r="O102" s="960"/>
      <c r="P102" s="960"/>
      <c r="Q102" s="960"/>
      <c r="R102" s="960"/>
      <c r="S102" s="960"/>
      <c r="T102" s="960"/>
      <c r="U102" s="960"/>
      <c r="V102" s="960"/>
      <c r="W102" s="960"/>
      <c r="X102" s="960"/>
      <c r="Y102" s="960"/>
      <c r="Z102" s="960"/>
      <c r="AA102" s="960"/>
      <c r="AB102" s="928"/>
      <c r="AC102" s="928"/>
      <c r="AD102" s="928"/>
      <c r="AE102" s="928"/>
      <c r="AF102" s="928"/>
      <c r="AG102" s="928"/>
      <c r="AH102" s="928"/>
      <c r="AI102" s="928"/>
      <c r="AJ102" s="928"/>
      <c r="AK102" s="928"/>
      <c r="AL102" s="928"/>
      <c r="AM102" s="928"/>
      <c r="AN102" s="928"/>
      <c r="AO102" s="928"/>
      <c r="AP102" s="928"/>
      <c r="AQ102" s="928"/>
      <c r="AR102" s="928"/>
      <c r="AS102" s="928"/>
    </row>
    <row r="103" spans="11:45">
      <c r="K103" s="957"/>
      <c r="L103" s="928"/>
      <c r="M103" s="928"/>
      <c r="N103" s="960"/>
      <c r="O103" s="960"/>
      <c r="P103" s="960"/>
      <c r="Q103" s="960"/>
      <c r="R103" s="960"/>
      <c r="S103" s="960"/>
      <c r="T103" s="960"/>
      <c r="U103" s="960"/>
      <c r="V103" s="960"/>
      <c r="W103" s="960"/>
      <c r="X103" s="960"/>
      <c r="Y103" s="960"/>
      <c r="Z103" s="960"/>
      <c r="AA103" s="960"/>
      <c r="AB103" s="928"/>
      <c r="AC103" s="928"/>
      <c r="AD103" s="928"/>
      <c r="AE103" s="928"/>
      <c r="AF103" s="928"/>
      <c r="AG103" s="928"/>
      <c r="AH103" s="928"/>
      <c r="AI103" s="928"/>
      <c r="AJ103" s="928"/>
      <c r="AK103" s="928"/>
      <c r="AL103" s="928"/>
      <c r="AM103" s="928"/>
      <c r="AN103" s="928"/>
      <c r="AO103" s="928"/>
      <c r="AP103" s="928"/>
      <c r="AQ103" s="928"/>
      <c r="AR103" s="928"/>
      <c r="AS103" s="928"/>
    </row>
    <row r="104" spans="11:45">
      <c r="K104" s="957"/>
      <c r="L104" s="928"/>
      <c r="M104" s="928"/>
      <c r="N104" s="960"/>
      <c r="O104" s="960"/>
      <c r="P104" s="960"/>
      <c r="Q104" s="960"/>
      <c r="R104" s="960"/>
      <c r="S104" s="960"/>
      <c r="T104" s="960"/>
      <c r="U104" s="960"/>
      <c r="V104" s="960"/>
      <c r="W104" s="960"/>
      <c r="X104" s="960"/>
      <c r="Y104" s="960"/>
      <c r="Z104" s="960"/>
      <c r="AA104" s="960"/>
      <c r="AB104" s="928"/>
      <c r="AC104" s="928"/>
      <c r="AD104" s="928"/>
      <c r="AE104" s="928"/>
      <c r="AF104" s="928"/>
      <c r="AG104" s="928"/>
      <c r="AH104" s="928"/>
      <c r="AI104" s="928"/>
      <c r="AJ104" s="928"/>
      <c r="AK104" s="928"/>
      <c r="AL104" s="928"/>
      <c r="AM104" s="928"/>
      <c r="AN104" s="928"/>
      <c r="AO104" s="928"/>
      <c r="AP104" s="928"/>
      <c r="AQ104" s="928"/>
      <c r="AR104" s="928"/>
      <c r="AS104" s="928"/>
    </row>
    <row r="105" spans="11:45">
      <c r="K105" s="957"/>
      <c r="L105" s="928"/>
      <c r="M105" s="928"/>
      <c r="N105" s="960"/>
      <c r="O105" s="960"/>
      <c r="P105" s="960"/>
      <c r="Q105" s="960"/>
      <c r="R105" s="960"/>
      <c r="S105" s="960"/>
      <c r="T105" s="960"/>
      <c r="U105" s="960"/>
      <c r="V105" s="960"/>
      <c r="W105" s="960"/>
      <c r="X105" s="960"/>
      <c r="Y105" s="960"/>
      <c r="Z105" s="960"/>
      <c r="AA105" s="960"/>
      <c r="AB105" s="928"/>
      <c r="AC105" s="928"/>
      <c r="AD105" s="928"/>
      <c r="AE105" s="928"/>
      <c r="AF105" s="928"/>
      <c r="AG105" s="928"/>
      <c r="AH105" s="928"/>
      <c r="AI105" s="928"/>
      <c r="AJ105" s="928"/>
      <c r="AK105" s="928"/>
      <c r="AL105" s="928"/>
      <c r="AM105" s="928"/>
      <c r="AN105" s="928"/>
      <c r="AO105" s="928"/>
      <c r="AP105" s="928"/>
      <c r="AQ105" s="928"/>
      <c r="AR105" s="928"/>
      <c r="AS105" s="928"/>
    </row>
    <row r="106" spans="11:45">
      <c r="K106" s="957"/>
      <c r="L106" s="928"/>
      <c r="M106" s="928"/>
      <c r="N106" s="960"/>
      <c r="O106" s="960"/>
      <c r="P106" s="960"/>
      <c r="Q106" s="960"/>
      <c r="R106" s="960"/>
      <c r="S106" s="960"/>
      <c r="T106" s="960"/>
      <c r="U106" s="960"/>
      <c r="V106" s="960"/>
      <c r="W106" s="960"/>
      <c r="X106" s="960"/>
      <c r="Y106" s="960"/>
      <c r="Z106" s="960"/>
      <c r="AA106" s="960"/>
      <c r="AB106" s="928"/>
      <c r="AC106" s="928"/>
      <c r="AD106" s="928"/>
      <c r="AE106" s="928"/>
      <c r="AF106" s="928"/>
      <c r="AG106" s="928"/>
      <c r="AH106" s="928"/>
      <c r="AI106" s="928"/>
      <c r="AJ106" s="928"/>
      <c r="AK106" s="928"/>
      <c r="AL106" s="928"/>
      <c r="AM106" s="928"/>
      <c r="AN106" s="928"/>
      <c r="AO106" s="928"/>
      <c r="AP106" s="928"/>
      <c r="AQ106" s="928"/>
      <c r="AR106" s="928"/>
      <c r="AS106" s="928"/>
    </row>
    <row r="107" spans="11:45">
      <c r="K107" s="957"/>
      <c r="L107" s="928"/>
      <c r="M107" s="928"/>
      <c r="N107" s="960"/>
      <c r="O107" s="960"/>
      <c r="P107" s="960"/>
      <c r="Q107" s="960"/>
      <c r="R107" s="960"/>
      <c r="S107" s="960"/>
      <c r="T107" s="960"/>
      <c r="U107" s="960"/>
      <c r="V107" s="960"/>
      <c r="W107" s="960"/>
      <c r="X107" s="960"/>
      <c r="Y107" s="960"/>
      <c r="Z107" s="960"/>
      <c r="AA107" s="960"/>
      <c r="AB107" s="928"/>
      <c r="AC107" s="928"/>
      <c r="AD107" s="928"/>
      <c r="AE107" s="928"/>
      <c r="AF107" s="928"/>
      <c r="AG107" s="928"/>
      <c r="AH107" s="928"/>
      <c r="AI107" s="928"/>
      <c r="AJ107" s="928"/>
      <c r="AK107" s="928"/>
      <c r="AL107" s="928"/>
      <c r="AM107" s="928"/>
      <c r="AN107" s="928"/>
      <c r="AO107" s="928"/>
      <c r="AP107" s="928"/>
      <c r="AQ107" s="928"/>
      <c r="AR107" s="928"/>
      <c r="AS107" s="928"/>
    </row>
    <row r="108" spans="11:45">
      <c r="K108" s="957"/>
      <c r="L108" s="928"/>
      <c r="M108" s="928"/>
      <c r="N108" s="960"/>
      <c r="O108" s="960"/>
      <c r="P108" s="960"/>
      <c r="Q108" s="960"/>
      <c r="R108" s="960"/>
      <c r="S108" s="960"/>
      <c r="T108" s="960"/>
      <c r="U108" s="960"/>
      <c r="V108" s="960"/>
      <c r="W108" s="960"/>
      <c r="X108" s="960"/>
      <c r="Y108" s="960"/>
      <c r="Z108" s="960"/>
      <c r="AA108" s="960"/>
      <c r="AB108" s="928"/>
      <c r="AC108" s="928"/>
      <c r="AD108" s="928"/>
      <c r="AE108" s="928"/>
      <c r="AF108" s="928"/>
      <c r="AG108" s="928"/>
      <c r="AH108" s="928"/>
      <c r="AI108" s="928"/>
      <c r="AJ108" s="928"/>
      <c r="AK108" s="928"/>
      <c r="AL108" s="928"/>
      <c r="AM108" s="928"/>
      <c r="AN108" s="928"/>
      <c r="AO108" s="928"/>
      <c r="AP108" s="928"/>
      <c r="AQ108" s="928"/>
      <c r="AR108" s="928"/>
      <c r="AS108" s="928"/>
    </row>
    <row r="109" spans="11:45">
      <c r="K109" s="957"/>
      <c r="L109" s="928"/>
      <c r="M109" s="928"/>
      <c r="N109" s="960"/>
      <c r="O109" s="960"/>
      <c r="P109" s="960"/>
      <c r="Q109" s="960"/>
      <c r="R109" s="960"/>
      <c r="S109" s="960"/>
      <c r="T109" s="960"/>
      <c r="U109" s="960"/>
      <c r="V109" s="960"/>
      <c r="W109" s="960"/>
      <c r="X109" s="960"/>
      <c r="Y109" s="960"/>
      <c r="Z109" s="960"/>
      <c r="AA109" s="960"/>
      <c r="AB109" s="928"/>
      <c r="AC109" s="928"/>
      <c r="AD109" s="928"/>
      <c r="AE109" s="928"/>
      <c r="AF109" s="928"/>
      <c r="AG109" s="928"/>
      <c r="AH109" s="928"/>
      <c r="AI109" s="928"/>
      <c r="AJ109" s="928"/>
      <c r="AK109" s="928"/>
      <c r="AL109" s="928"/>
      <c r="AM109" s="928"/>
      <c r="AN109" s="928"/>
      <c r="AO109" s="928"/>
      <c r="AP109" s="928"/>
      <c r="AQ109" s="928"/>
      <c r="AR109" s="928"/>
      <c r="AS109" s="928"/>
    </row>
    <row r="110" spans="11:45">
      <c r="K110" s="957"/>
      <c r="L110" s="928"/>
      <c r="M110" s="928"/>
      <c r="N110" s="960"/>
      <c r="O110" s="960"/>
      <c r="P110" s="960"/>
      <c r="Q110" s="960"/>
      <c r="R110" s="960"/>
      <c r="S110" s="960"/>
      <c r="T110" s="960"/>
      <c r="U110" s="960"/>
      <c r="V110" s="960"/>
      <c r="W110" s="960"/>
      <c r="X110" s="960"/>
      <c r="Y110" s="960"/>
      <c r="Z110" s="960"/>
      <c r="AA110" s="960"/>
      <c r="AB110" s="928"/>
      <c r="AC110" s="928"/>
      <c r="AD110" s="928"/>
      <c r="AE110" s="928"/>
      <c r="AF110" s="928"/>
      <c r="AG110" s="928"/>
      <c r="AH110" s="928"/>
      <c r="AI110" s="928"/>
      <c r="AJ110" s="928"/>
      <c r="AK110" s="928"/>
      <c r="AL110" s="928"/>
      <c r="AM110" s="928"/>
      <c r="AN110" s="928"/>
      <c r="AO110" s="928"/>
      <c r="AP110" s="928"/>
      <c r="AQ110" s="928"/>
      <c r="AR110" s="928"/>
      <c r="AS110" s="928"/>
    </row>
    <row r="111" spans="11:45">
      <c r="K111" s="957"/>
      <c r="L111" s="928"/>
      <c r="M111" s="928"/>
      <c r="N111" s="960"/>
      <c r="O111" s="960"/>
      <c r="P111" s="960"/>
      <c r="Q111" s="960"/>
      <c r="R111" s="960"/>
      <c r="S111" s="960"/>
      <c r="T111" s="960"/>
      <c r="U111" s="960"/>
      <c r="V111" s="960"/>
      <c r="W111" s="960"/>
      <c r="X111" s="960"/>
      <c r="Y111" s="960"/>
      <c r="Z111" s="960"/>
      <c r="AA111" s="960"/>
      <c r="AB111" s="928"/>
      <c r="AC111" s="928"/>
      <c r="AD111" s="928"/>
      <c r="AE111" s="928"/>
      <c r="AF111" s="928"/>
      <c r="AG111" s="928"/>
      <c r="AH111" s="928"/>
      <c r="AI111" s="928"/>
      <c r="AJ111" s="928"/>
      <c r="AK111" s="928"/>
      <c r="AL111" s="928"/>
      <c r="AM111" s="928"/>
      <c r="AN111" s="928"/>
      <c r="AO111" s="928"/>
      <c r="AP111" s="928"/>
      <c r="AQ111" s="928"/>
      <c r="AR111" s="928"/>
      <c r="AS111" s="928"/>
    </row>
    <row r="112" spans="11:45">
      <c r="K112" s="957"/>
      <c r="L112" s="928"/>
      <c r="M112" s="928"/>
      <c r="N112" s="960"/>
      <c r="O112" s="960"/>
      <c r="P112" s="960"/>
      <c r="Q112" s="960"/>
      <c r="R112" s="960"/>
      <c r="S112" s="960"/>
      <c r="T112" s="960"/>
      <c r="U112" s="960"/>
      <c r="V112" s="960"/>
      <c r="W112" s="960"/>
      <c r="X112" s="960"/>
      <c r="Y112" s="960"/>
      <c r="Z112" s="960"/>
      <c r="AA112" s="960"/>
      <c r="AB112" s="928"/>
      <c r="AC112" s="928"/>
      <c r="AD112" s="928"/>
      <c r="AE112" s="928"/>
      <c r="AF112" s="928"/>
      <c r="AG112" s="928"/>
      <c r="AH112" s="928"/>
      <c r="AI112" s="928"/>
      <c r="AJ112" s="928"/>
      <c r="AK112" s="928"/>
      <c r="AL112" s="928"/>
      <c r="AM112" s="928"/>
      <c r="AN112" s="928"/>
      <c r="AO112" s="928"/>
      <c r="AP112" s="928"/>
      <c r="AQ112" s="928"/>
      <c r="AR112" s="928"/>
      <c r="AS112" s="928"/>
    </row>
    <row r="113" spans="11:45">
      <c r="K113" s="957"/>
      <c r="L113" s="928"/>
      <c r="M113" s="928"/>
      <c r="N113" s="960"/>
      <c r="O113" s="960"/>
      <c r="P113" s="960"/>
      <c r="Q113" s="960"/>
      <c r="R113" s="960"/>
      <c r="S113" s="960"/>
      <c r="T113" s="960"/>
      <c r="U113" s="960"/>
      <c r="V113" s="960"/>
      <c r="W113" s="960"/>
      <c r="X113" s="960"/>
      <c r="Y113" s="960"/>
      <c r="Z113" s="960"/>
      <c r="AA113" s="960"/>
      <c r="AB113" s="928"/>
      <c r="AC113" s="928"/>
      <c r="AD113" s="928"/>
      <c r="AE113" s="928"/>
      <c r="AF113" s="928"/>
      <c r="AG113" s="928"/>
      <c r="AH113" s="928"/>
      <c r="AI113" s="928"/>
      <c r="AJ113" s="928"/>
      <c r="AK113" s="928"/>
      <c r="AL113" s="928"/>
      <c r="AM113" s="928"/>
      <c r="AN113" s="928"/>
      <c r="AO113" s="928"/>
      <c r="AP113" s="928"/>
      <c r="AQ113" s="928"/>
      <c r="AR113" s="928"/>
      <c r="AS113" s="928"/>
    </row>
    <row r="114" spans="11:45">
      <c r="K114" s="957"/>
      <c r="L114" s="928"/>
      <c r="M114" s="928"/>
      <c r="N114" s="960"/>
      <c r="O114" s="960"/>
      <c r="P114" s="960"/>
      <c r="Q114" s="960"/>
      <c r="R114" s="960"/>
      <c r="S114" s="960"/>
      <c r="T114" s="960"/>
      <c r="U114" s="960"/>
      <c r="V114" s="960"/>
      <c r="W114" s="960"/>
      <c r="X114" s="960"/>
      <c r="Y114" s="960"/>
      <c r="Z114" s="960"/>
      <c r="AA114" s="960"/>
      <c r="AB114" s="928"/>
      <c r="AC114" s="928"/>
      <c r="AD114" s="928"/>
      <c r="AE114" s="928"/>
      <c r="AF114" s="928"/>
      <c r="AG114" s="928"/>
      <c r="AH114" s="928"/>
      <c r="AI114" s="928"/>
      <c r="AJ114" s="928"/>
      <c r="AK114" s="928"/>
      <c r="AL114" s="928"/>
      <c r="AM114" s="928"/>
      <c r="AN114" s="928"/>
      <c r="AO114" s="928"/>
      <c r="AP114" s="928"/>
      <c r="AQ114" s="928"/>
      <c r="AR114" s="928"/>
      <c r="AS114" s="928"/>
    </row>
    <row r="115" spans="11:45">
      <c r="K115" s="957"/>
      <c r="L115" s="928"/>
      <c r="M115" s="928"/>
      <c r="N115" s="960"/>
      <c r="O115" s="960"/>
      <c r="P115" s="960"/>
      <c r="Q115" s="960"/>
      <c r="R115" s="960"/>
      <c r="S115" s="960"/>
      <c r="T115" s="960"/>
      <c r="U115" s="960"/>
      <c r="V115" s="960"/>
      <c r="W115" s="960"/>
      <c r="X115" s="960"/>
      <c r="Y115" s="960"/>
      <c r="Z115" s="960"/>
      <c r="AA115" s="960"/>
      <c r="AB115" s="928"/>
      <c r="AC115" s="928"/>
      <c r="AD115" s="928"/>
      <c r="AE115" s="928"/>
      <c r="AF115" s="928"/>
      <c r="AG115" s="928"/>
      <c r="AH115" s="928"/>
      <c r="AI115" s="928"/>
      <c r="AJ115" s="928"/>
      <c r="AK115" s="928"/>
      <c r="AL115" s="928"/>
      <c r="AM115" s="928"/>
      <c r="AN115" s="928"/>
      <c r="AO115" s="928"/>
      <c r="AP115" s="928"/>
      <c r="AQ115" s="928"/>
      <c r="AR115" s="928"/>
      <c r="AS115" s="928"/>
    </row>
    <row r="116" spans="11:45">
      <c r="K116" s="957"/>
      <c r="L116" s="928"/>
      <c r="M116" s="928"/>
      <c r="N116" s="960"/>
      <c r="O116" s="960"/>
      <c r="P116" s="960"/>
      <c r="Q116" s="960"/>
      <c r="R116" s="960"/>
      <c r="S116" s="960"/>
      <c r="T116" s="960"/>
      <c r="U116" s="960"/>
      <c r="V116" s="960"/>
      <c r="W116" s="960"/>
      <c r="X116" s="960"/>
      <c r="Y116" s="960"/>
      <c r="Z116" s="960"/>
      <c r="AA116" s="960"/>
      <c r="AB116" s="928"/>
      <c r="AC116" s="928"/>
      <c r="AD116" s="928"/>
      <c r="AE116" s="928"/>
      <c r="AF116" s="928"/>
      <c r="AG116" s="928"/>
      <c r="AH116" s="928"/>
      <c r="AI116" s="928"/>
      <c r="AJ116" s="928"/>
      <c r="AK116" s="928"/>
      <c r="AL116" s="928"/>
      <c r="AM116" s="928"/>
      <c r="AN116" s="928"/>
      <c r="AO116" s="928"/>
      <c r="AP116" s="928"/>
      <c r="AQ116" s="928"/>
      <c r="AR116" s="928"/>
      <c r="AS116" s="928"/>
    </row>
    <row r="117" spans="11:45">
      <c r="K117" s="957"/>
      <c r="L117" s="928"/>
      <c r="M117" s="928"/>
      <c r="N117" s="960"/>
      <c r="O117" s="960"/>
      <c r="P117" s="960"/>
      <c r="Q117" s="960"/>
      <c r="R117" s="960"/>
      <c r="S117" s="960"/>
      <c r="T117" s="960"/>
      <c r="U117" s="960"/>
      <c r="V117" s="960"/>
      <c r="W117" s="960"/>
      <c r="X117" s="960"/>
      <c r="Y117" s="960"/>
      <c r="Z117" s="960"/>
      <c r="AA117" s="960"/>
      <c r="AB117" s="928"/>
      <c r="AC117" s="928"/>
      <c r="AD117" s="928"/>
      <c r="AE117" s="928"/>
      <c r="AF117" s="928"/>
      <c r="AG117" s="928"/>
      <c r="AH117" s="928"/>
      <c r="AI117" s="928"/>
      <c r="AJ117" s="928"/>
      <c r="AK117" s="928"/>
      <c r="AL117" s="928"/>
      <c r="AM117" s="928"/>
      <c r="AN117" s="928"/>
      <c r="AO117" s="928"/>
      <c r="AP117" s="928"/>
      <c r="AQ117" s="928"/>
      <c r="AR117" s="928"/>
      <c r="AS117" s="928"/>
    </row>
    <row r="118" spans="11:45">
      <c r="K118" s="957"/>
      <c r="L118" s="928"/>
      <c r="M118" s="928"/>
      <c r="N118" s="960"/>
      <c r="O118" s="960"/>
      <c r="P118" s="960"/>
      <c r="Q118" s="960"/>
      <c r="R118" s="960"/>
      <c r="S118" s="960"/>
      <c r="T118" s="960"/>
      <c r="U118" s="960"/>
      <c r="V118" s="960"/>
      <c r="W118" s="960"/>
      <c r="X118" s="960"/>
      <c r="Y118" s="960"/>
      <c r="Z118" s="960"/>
      <c r="AA118" s="960"/>
      <c r="AB118" s="928"/>
      <c r="AC118" s="928"/>
      <c r="AD118" s="928"/>
      <c r="AE118" s="928"/>
      <c r="AF118" s="928"/>
      <c r="AG118" s="928"/>
      <c r="AH118" s="928"/>
      <c r="AI118" s="928"/>
      <c r="AJ118" s="928"/>
      <c r="AK118" s="928"/>
      <c r="AL118" s="928"/>
      <c r="AM118" s="928"/>
      <c r="AN118" s="928"/>
      <c r="AO118" s="928"/>
      <c r="AP118" s="928"/>
      <c r="AQ118" s="928"/>
      <c r="AR118" s="928"/>
      <c r="AS118" s="928"/>
    </row>
    <row r="119" spans="11:45">
      <c r="K119" s="957"/>
      <c r="L119" s="928"/>
      <c r="M119" s="928"/>
      <c r="N119" s="960"/>
      <c r="O119" s="960"/>
      <c r="P119" s="960"/>
      <c r="Q119" s="960"/>
      <c r="R119" s="960"/>
      <c r="S119" s="960"/>
      <c r="T119" s="960"/>
      <c r="U119" s="960"/>
      <c r="V119" s="960"/>
      <c r="W119" s="960"/>
      <c r="X119" s="960"/>
      <c r="Y119" s="960"/>
      <c r="Z119" s="960"/>
      <c r="AA119" s="960"/>
      <c r="AB119" s="928"/>
      <c r="AC119" s="928"/>
      <c r="AD119" s="928"/>
      <c r="AE119" s="928"/>
      <c r="AF119" s="928"/>
      <c r="AG119" s="928"/>
      <c r="AH119" s="928"/>
      <c r="AI119" s="928"/>
      <c r="AJ119" s="928"/>
      <c r="AK119" s="928"/>
      <c r="AL119" s="928"/>
      <c r="AM119" s="928"/>
      <c r="AN119" s="928"/>
      <c r="AO119" s="928"/>
      <c r="AP119" s="928"/>
      <c r="AQ119" s="928"/>
      <c r="AR119" s="928"/>
      <c r="AS119" s="928"/>
    </row>
    <row r="120" spans="11:45">
      <c r="K120" s="957"/>
      <c r="L120" s="928"/>
      <c r="M120" s="928"/>
      <c r="N120" s="960"/>
      <c r="O120" s="960"/>
      <c r="P120" s="960"/>
      <c r="Q120" s="960"/>
      <c r="R120" s="960"/>
      <c r="S120" s="960"/>
      <c r="T120" s="960"/>
      <c r="U120" s="960"/>
      <c r="V120" s="960"/>
      <c r="W120" s="960"/>
      <c r="X120" s="960"/>
      <c r="Y120" s="960"/>
      <c r="Z120" s="960"/>
      <c r="AA120" s="960"/>
      <c r="AB120" s="928"/>
      <c r="AC120" s="928"/>
      <c r="AD120" s="928"/>
      <c r="AE120" s="928"/>
      <c r="AF120" s="928"/>
      <c r="AG120" s="928"/>
      <c r="AH120" s="928"/>
      <c r="AI120" s="928"/>
      <c r="AJ120" s="928"/>
      <c r="AK120" s="928"/>
      <c r="AL120" s="928"/>
      <c r="AM120" s="928"/>
      <c r="AN120" s="928"/>
      <c r="AO120" s="928"/>
      <c r="AP120" s="928"/>
      <c r="AQ120" s="928"/>
      <c r="AR120" s="928"/>
      <c r="AS120" s="928"/>
    </row>
    <row r="121" spans="11:45">
      <c r="K121" s="957"/>
      <c r="L121" s="928"/>
      <c r="M121" s="928"/>
      <c r="N121" s="960"/>
      <c r="O121" s="960"/>
      <c r="P121" s="960"/>
      <c r="Q121" s="960"/>
      <c r="R121" s="960"/>
      <c r="S121" s="960"/>
      <c r="T121" s="960"/>
      <c r="U121" s="960"/>
      <c r="V121" s="960"/>
      <c r="W121" s="960"/>
      <c r="X121" s="960"/>
      <c r="Y121" s="960"/>
      <c r="Z121" s="960"/>
      <c r="AA121" s="960"/>
      <c r="AB121" s="928"/>
      <c r="AC121" s="928"/>
      <c r="AD121" s="928"/>
      <c r="AE121" s="928"/>
      <c r="AF121" s="928"/>
      <c r="AG121" s="928"/>
      <c r="AH121" s="928"/>
      <c r="AI121" s="928"/>
      <c r="AJ121" s="928"/>
      <c r="AK121" s="928"/>
      <c r="AL121" s="928"/>
      <c r="AM121" s="928"/>
      <c r="AN121" s="928"/>
      <c r="AO121" s="928"/>
      <c r="AP121" s="928"/>
      <c r="AQ121" s="928"/>
      <c r="AR121" s="928"/>
      <c r="AS121" s="928"/>
    </row>
    <row r="122" spans="11:45">
      <c r="K122" s="957"/>
      <c r="L122" s="928"/>
      <c r="M122" s="928"/>
      <c r="N122" s="960"/>
      <c r="O122" s="960"/>
      <c r="P122" s="960"/>
      <c r="Q122" s="960"/>
      <c r="R122" s="960"/>
      <c r="S122" s="960"/>
      <c r="T122" s="960"/>
      <c r="U122" s="960"/>
      <c r="V122" s="960"/>
      <c r="W122" s="960"/>
      <c r="X122" s="960"/>
      <c r="Y122" s="960"/>
      <c r="Z122" s="960"/>
      <c r="AA122" s="960"/>
      <c r="AB122" s="928"/>
      <c r="AC122" s="928"/>
      <c r="AD122" s="928"/>
      <c r="AE122" s="928"/>
      <c r="AF122" s="928"/>
      <c r="AG122" s="928"/>
      <c r="AH122" s="928"/>
      <c r="AI122" s="928"/>
      <c r="AJ122" s="928"/>
      <c r="AK122" s="928"/>
      <c r="AL122" s="928"/>
      <c r="AM122" s="928"/>
      <c r="AN122" s="928"/>
      <c r="AO122" s="928"/>
      <c r="AP122" s="928"/>
      <c r="AQ122" s="928"/>
      <c r="AR122" s="928"/>
      <c r="AS122" s="928"/>
    </row>
    <row r="123" spans="11:45">
      <c r="K123" s="957"/>
      <c r="L123" s="928"/>
      <c r="M123" s="928"/>
      <c r="N123" s="960"/>
      <c r="O123" s="960"/>
      <c r="P123" s="960"/>
      <c r="Q123" s="960"/>
      <c r="R123" s="960"/>
      <c r="S123" s="960"/>
      <c r="T123" s="960"/>
      <c r="U123" s="960"/>
      <c r="V123" s="960"/>
      <c r="W123" s="960"/>
      <c r="X123" s="960"/>
      <c r="Y123" s="960"/>
      <c r="Z123" s="960"/>
      <c r="AA123" s="960"/>
      <c r="AB123" s="928"/>
      <c r="AC123" s="928"/>
      <c r="AD123" s="928"/>
      <c r="AE123" s="928"/>
      <c r="AF123" s="928"/>
      <c r="AG123" s="928"/>
      <c r="AH123" s="928"/>
      <c r="AI123" s="928"/>
      <c r="AJ123" s="928"/>
      <c r="AK123" s="928"/>
      <c r="AL123" s="928"/>
      <c r="AM123" s="928"/>
      <c r="AN123" s="928"/>
      <c r="AO123" s="928"/>
      <c r="AP123" s="928"/>
      <c r="AQ123" s="928"/>
      <c r="AR123" s="928"/>
      <c r="AS123" s="928"/>
    </row>
    <row r="124" spans="11:45">
      <c r="K124" s="957"/>
      <c r="L124" s="928"/>
      <c r="M124" s="928"/>
      <c r="N124" s="960"/>
      <c r="O124" s="960"/>
      <c r="P124" s="960"/>
      <c r="Q124" s="960"/>
      <c r="R124" s="960"/>
      <c r="S124" s="960"/>
      <c r="T124" s="960"/>
      <c r="U124" s="960"/>
      <c r="V124" s="960"/>
      <c r="W124" s="960"/>
      <c r="X124" s="960"/>
      <c r="Y124" s="960"/>
      <c r="Z124" s="960"/>
      <c r="AA124" s="960"/>
      <c r="AB124" s="928"/>
      <c r="AC124" s="928"/>
      <c r="AD124" s="928"/>
      <c r="AE124" s="928"/>
      <c r="AF124" s="928"/>
      <c r="AG124" s="928"/>
      <c r="AH124" s="928"/>
      <c r="AI124" s="928"/>
      <c r="AJ124" s="928"/>
      <c r="AK124" s="928"/>
      <c r="AL124" s="928"/>
      <c r="AM124" s="928"/>
      <c r="AN124" s="928"/>
      <c r="AO124" s="928"/>
      <c r="AP124" s="928"/>
      <c r="AQ124" s="928"/>
      <c r="AR124" s="928"/>
      <c r="AS124" s="928"/>
    </row>
    <row r="125" spans="11:45">
      <c r="K125" s="957"/>
      <c r="L125" s="928"/>
      <c r="M125" s="928"/>
      <c r="N125" s="960"/>
      <c r="O125" s="960"/>
      <c r="P125" s="960"/>
      <c r="Q125" s="960"/>
      <c r="R125" s="960"/>
      <c r="S125" s="960"/>
      <c r="T125" s="960"/>
      <c r="U125" s="960"/>
      <c r="V125" s="960"/>
      <c r="W125" s="960"/>
      <c r="X125" s="960"/>
      <c r="Y125" s="960"/>
      <c r="Z125" s="960"/>
      <c r="AA125" s="960"/>
      <c r="AB125" s="928"/>
      <c r="AC125" s="928"/>
      <c r="AD125" s="928"/>
      <c r="AE125" s="928"/>
      <c r="AF125" s="928"/>
      <c r="AG125" s="928"/>
      <c r="AH125" s="928"/>
      <c r="AI125" s="928"/>
      <c r="AJ125" s="928"/>
      <c r="AK125" s="928"/>
      <c r="AL125" s="928"/>
      <c r="AM125" s="928"/>
      <c r="AN125" s="928"/>
      <c r="AO125" s="928"/>
      <c r="AP125" s="928"/>
      <c r="AQ125" s="928"/>
      <c r="AR125" s="928"/>
      <c r="AS125" s="928"/>
    </row>
    <row r="126" spans="11:45">
      <c r="K126" s="957"/>
      <c r="L126" s="928"/>
      <c r="M126" s="928"/>
      <c r="N126" s="960"/>
      <c r="O126" s="960"/>
      <c r="P126" s="960"/>
      <c r="Q126" s="960"/>
      <c r="R126" s="960"/>
      <c r="S126" s="960"/>
      <c r="T126" s="960"/>
      <c r="U126" s="960"/>
      <c r="V126" s="960"/>
      <c r="W126" s="960"/>
      <c r="X126" s="960"/>
      <c r="Y126" s="960"/>
      <c r="Z126" s="960"/>
      <c r="AA126" s="960"/>
      <c r="AB126" s="928"/>
      <c r="AC126" s="928"/>
      <c r="AD126" s="928"/>
      <c r="AE126" s="928"/>
      <c r="AF126" s="928"/>
      <c r="AG126" s="928"/>
      <c r="AH126" s="928"/>
      <c r="AI126" s="928"/>
      <c r="AJ126" s="928"/>
      <c r="AK126" s="928"/>
      <c r="AL126" s="928"/>
      <c r="AM126" s="928"/>
      <c r="AN126" s="928"/>
      <c r="AO126" s="928"/>
      <c r="AP126" s="928"/>
      <c r="AQ126" s="928"/>
      <c r="AR126" s="928"/>
      <c r="AS126" s="928"/>
    </row>
    <row r="127" spans="11:45">
      <c r="K127" s="957"/>
      <c r="L127" s="928"/>
      <c r="M127" s="928"/>
      <c r="N127" s="960"/>
      <c r="O127" s="960"/>
      <c r="P127" s="960"/>
      <c r="Q127" s="960"/>
      <c r="R127" s="960"/>
      <c r="S127" s="960"/>
      <c r="T127" s="960"/>
      <c r="U127" s="960"/>
      <c r="V127" s="960"/>
      <c r="W127" s="960"/>
      <c r="X127" s="960"/>
      <c r="Y127" s="960"/>
      <c r="Z127" s="960"/>
      <c r="AA127" s="960"/>
      <c r="AB127" s="928"/>
      <c r="AC127" s="928"/>
      <c r="AD127" s="928"/>
      <c r="AE127" s="928"/>
      <c r="AF127" s="928"/>
      <c r="AG127" s="928"/>
      <c r="AH127" s="928"/>
      <c r="AI127" s="928"/>
      <c r="AJ127" s="928"/>
      <c r="AK127" s="928"/>
      <c r="AL127" s="928"/>
      <c r="AM127" s="928"/>
      <c r="AN127" s="928"/>
      <c r="AO127" s="928"/>
      <c r="AP127" s="928"/>
      <c r="AQ127" s="928"/>
      <c r="AR127" s="928"/>
      <c r="AS127" s="928"/>
    </row>
    <row r="128" spans="11:45">
      <c r="K128" s="957"/>
      <c r="L128" s="928"/>
      <c r="M128" s="928"/>
      <c r="N128" s="960"/>
      <c r="O128" s="960"/>
      <c r="P128" s="960"/>
      <c r="Q128" s="960"/>
      <c r="R128" s="960"/>
      <c r="S128" s="960"/>
      <c r="T128" s="960"/>
      <c r="U128" s="960"/>
      <c r="V128" s="960"/>
      <c r="W128" s="960"/>
      <c r="X128" s="960"/>
      <c r="Y128" s="960"/>
      <c r="Z128" s="960"/>
      <c r="AA128" s="960"/>
      <c r="AB128" s="928"/>
      <c r="AC128" s="928"/>
      <c r="AD128" s="928"/>
      <c r="AE128" s="928"/>
      <c r="AF128" s="928"/>
      <c r="AG128" s="928"/>
      <c r="AH128" s="928"/>
      <c r="AI128" s="928"/>
      <c r="AJ128" s="928"/>
      <c r="AK128" s="928"/>
      <c r="AL128" s="928"/>
      <c r="AM128" s="928"/>
      <c r="AN128" s="928"/>
      <c r="AO128" s="928"/>
      <c r="AP128" s="928"/>
      <c r="AQ128" s="928"/>
      <c r="AR128" s="928"/>
      <c r="AS128" s="928"/>
    </row>
    <row r="129" spans="11:45">
      <c r="K129" s="957"/>
      <c r="L129" s="928"/>
      <c r="M129" s="928"/>
      <c r="N129" s="960"/>
      <c r="O129" s="960"/>
      <c r="P129" s="960"/>
      <c r="Q129" s="960"/>
      <c r="R129" s="960"/>
      <c r="S129" s="960"/>
      <c r="T129" s="960"/>
      <c r="U129" s="960"/>
      <c r="V129" s="960"/>
      <c r="W129" s="960"/>
      <c r="X129" s="960"/>
      <c r="Y129" s="960"/>
      <c r="Z129" s="960"/>
      <c r="AA129" s="960"/>
      <c r="AB129" s="928"/>
      <c r="AC129" s="928"/>
      <c r="AD129" s="928"/>
      <c r="AE129" s="928"/>
      <c r="AF129" s="928"/>
      <c r="AG129" s="928"/>
      <c r="AH129" s="928"/>
      <c r="AI129" s="928"/>
      <c r="AJ129" s="928"/>
      <c r="AK129" s="928"/>
      <c r="AL129" s="928"/>
      <c r="AM129" s="928"/>
      <c r="AN129" s="928"/>
      <c r="AO129" s="928"/>
      <c r="AP129" s="928"/>
      <c r="AQ129" s="928"/>
      <c r="AR129" s="928"/>
      <c r="AS129" s="928"/>
    </row>
    <row r="130" spans="11:45">
      <c r="K130" s="957"/>
      <c r="L130" s="928"/>
      <c r="M130" s="928"/>
      <c r="N130" s="960"/>
      <c r="O130" s="960"/>
      <c r="P130" s="960"/>
      <c r="Q130" s="960"/>
      <c r="R130" s="960"/>
      <c r="S130" s="960"/>
      <c r="T130" s="960"/>
      <c r="U130" s="960"/>
      <c r="V130" s="960"/>
      <c r="W130" s="960"/>
      <c r="X130" s="960"/>
      <c r="Y130" s="960"/>
      <c r="Z130" s="960"/>
      <c r="AA130" s="960"/>
      <c r="AB130" s="928"/>
      <c r="AC130" s="928"/>
      <c r="AD130" s="928"/>
      <c r="AE130" s="928"/>
      <c r="AF130" s="928"/>
      <c r="AG130" s="928"/>
      <c r="AH130" s="928"/>
      <c r="AI130" s="928"/>
      <c r="AJ130" s="928"/>
      <c r="AK130" s="928"/>
      <c r="AL130" s="928"/>
      <c r="AM130" s="928"/>
      <c r="AN130" s="928"/>
      <c r="AO130" s="928"/>
      <c r="AP130" s="928"/>
      <c r="AQ130" s="928"/>
      <c r="AR130" s="928"/>
      <c r="AS130" s="928"/>
    </row>
    <row r="131" spans="11:45">
      <c r="K131" s="957"/>
      <c r="L131" s="928"/>
      <c r="M131" s="928"/>
      <c r="N131" s="960"/>
      <c r="O131" s="960"/>
      <c r="P131" s="960"/>
      <c r="Q131" s="960"/>
      <c r="R131" s="960"/>
      <c r="S131" s="960"/>
      <c r="T131" s="960"/>
      <c r="U131" s="960"/>
      <c r="V131" s="960"/>
      <c r="W131" s="960"/>
      <c r="X131" s="960"/>
      <c r="Y131" s="960"/>
      <c r="Z131" s="960"/>
      <c r="AA131" s="960"/>
      <c r="AB131" s="928"/>
      <c r="AC131" s="928"/>
      <c r="AD131" s="928"/>
      <c r="AE131" s="928"/>
      <c r="AF131" s="928"/>
      <c r="AG131" s="928"/>
      <c r="AH131" s="928"/>
      <c r="AI131" s="928"/>
      <c r="AJ131" s="928"/>
      <c r="AK131" s="928"/>
      <c r="AL131" s="928"/>
      <c r="AM131" s="928"/>
      <c r="AN131" s="928"/>
      <c r="AO131" s="928"/>
      <c r="AP131" s="928"/>
      <c r="AQ131" s="928"/>
      <c r="AR131" s="928"/>
      <c r="AS131" s="928"/>
    </row>
    <row r="132" spans="11:45">
      <c r="K132" s="957"/>
      <c r="L132" s="928"/>
      <c r="M132" s="928"/>
      <c r="N132" s="960"/>
      <c r="O132" s="960"/>
      <c r="P132" s="960"/>
      <c r="Q132" s="960"/>
      <c r="R132" s="960"/>
      <c r="S132" s="960"/>
      <c r="T132" s="960"/>
      <c r="U132" s="960"/>
      <c r="V132" s="960"/>
      <c r="W132" s="960"/>
      <c r="X132" s="960"/>
      <c r="Y132" s="960"/>
      <c r="Z132" s="960"/>
      <c r="AA132" s="960"/>
      <c r="AB132" s="928"/>
      <c r="AC132" s="928"/>
      <c r="AD132" s="928"/>
      <c r="AE132" s="928"/>
      <c r="AF132" s="928"/>
      <c r="AG132" s="928"/>
      <c r="AH132" s="928"/>
      <c r="AI132" s="928"/>
      <c r="AJ132" s="928"/>
      <c r="AK132" s="928"/>
      <c r="AL132" s="928"/>
      <c r="AM132" s="928"/>
      <c r="AN132" s="928"/>
      <c r="AO132" s="928"/>
      <c r="AP132" s="928"/>
      <c r="AQ132" s="928"/>
      <c r="AR132" s="928"/>
      <c r="AS132" s="928"/>
    </row>
    <row r="133" spans="11:45">
      <c r="K133" s="957"/>
      <c r="L133" s="928"/>
      <c r="M133" s="928"/>
      <c r="N133" s="960"/>
      <c r="O133" s="960"/>
      <c r="P133" s="960"/>
      <c r="Q133" s="960"/>
      <c r="R133" s="960"/>
      <c r="S133" s="960"/>
      <c r="T133" s="960"/>
      <c r="U133" s="960"/>
      <c r="V133" s="960"/>
      <c r="W133" s="960"/>
      <c r="X133" s="960"/>
      <c r="Y133" s="960"/>
      <c r="Z133" s="960"/>
      <c r="AA133" s="960"/>
      <c r="AB133" s="928"/>
      <c r="AC133" s="928"/>
      <c r="AD133" s="928"/>
      <c r="AE133" s="928"/>
      <c r="AF133" s="928"/>
      <c r="AG133" s="928"/>
      <c r="AH133" s="928"/>
      <c r="AI133" s="928"/>
      <c r="AJ133" s="928"/>
      <c r="AK133" s="928"/>
      <c r="AL133" s="928"/>
      <c r="AM133" s="928"/>
      <c r="AN133" s="928"/>
      <c r="AO133" s="928"/>
      <c r="AP133" s="928"/>
      <c r="AQ133" s="928"/>
      <c r="AR133" s="928"/>
      <c r="AS133" s="928"/>
    </row>
    <row r="134" spans="11:45">
      <c r="K134" s="957"/>
      <c r="L134" s="928"/>
      <c r="M134" s="928"/>
      <c r="N134" s="960"/>
      <c r="O134" s="960"/>
      <c r="P134" s="960"/>
      <c r="Q134" s="960"/>
      <c r="R134" s="960"/>
      <c r="S134" s="960"/>
      <c r="T134" s="960"/>
      <c r="U134" s="960"/>
      <c r="V134" s="960"/>
      <c r="W134" s="960"/>
      <c r="X134" s="960"/>
      <c r="Y134" s="960"/>
      <c r="Z134" s="960"/>
      <c r="AA134" s="960"/>
      <c r="AB134" s="928"/>
      <c r="AC134" s="928"/>
      <c r="AD134" s="928"/>
      <c r="AE134" s="928"/>
      <c r="AF134" s="928"/>
      <c r="AG134" s="928"/>
      <c r="AH134" s="928"/>
      <c r="AI134" s="928"/>
      <c r="AJ134" s="928"/>
      <c r="AK134" s="928"/>
      <c r="AL134" s="928"/>
      <c r="AM134" s="928"/>
      <c r="AN134" s="928"/>
      <c r="AO134" s="928"/>
      <c r="AP134" s="928"/>
      <c r="AQ134" s="928"/>
      <c r="AR134" s="928"/>
      <c r="AS134" s="928"/>
    </row>
    <row r="135" spans="11:45">
      <c r="K135" s="957"/>
      <c r="L135" s="928"/>
      <c r="M135" s="928"/>
      <c r="N135" s="960"/>
      <c r="O135" s="960"/>
      <c r="P135" s="960"/>
      <c r="Q135" s="960"/>
      <c r="R135" s="960"/>
      <c r="S135" s="960"/>
      <c r="T135" s="960"/>
      <c r="U135" s="960"/>
      <c r="V135" s="960"/>
      <c r="W135" s="960"/>
      <c r="X135" s="960"/>
      <c r="Y135" s="960"/>
      <c r="Z135" s="960"/>
      <c r="AA135" s="960"/>
      <c r="AB135" s="928"/>
      <c r="AC135" s="928"/>
      <c r="AD135" s="928"/>
      <c r="AE135" s="928"/>
      <c r="AF135" s="928"/>
      <c r="AG135" s="928"/>
      <c r="AH135" s="928"/>
      <c r="AI135" s="928"/>
      <c r="AJ135" s="928"/>
      <c r="AK135" s="928"/>
      <c r="AL135" s="928"/>
      <c r="AM135" s="928"/>
      <c r="AN135" s="928"/>
      <c r="AO135" s="928"/>
      <c r="AP135" s="928"/>
      <c r="AQ135" s="928"/>
      <c r="AR135" s="928"/>
      <c r="AS135" s="928"/>
    </row>
    <row r="136" spans="11:45">
      <c r="K136" s="957"/>
      <c r="L136" s="928"/>
      <c r="M136" s="928"/>
      <c r="N136" s="960"/>
      <c r="O136" s="960"/>
      <c r="P136" s="960"/>
      <c r="Q136" s="960"/>
      <c r="R136" s="960"/>
      <c r="S136" s="960"/>
      <c r="T136" s="960"/>
      <c r="U136" s="960"/>
      <c r="V136" s="960"/>
      <c r="W136" s="960"/>
      <c r="X136" s="960"/>
      <c r="Y136" s="960"/>
      <c r="Z136" s="960"/>
      <c r="AA136" s="960"/>
      <c r="AB136" s="928"/>
      <c r="AC136" s="928"/>
      <c r="AD136" s="928"/>
      <c r="AE136" s="928"/>
      <c r="AF136" s="928"/>
      <c r="AG136" s="928"/>
      <c r="AH136" s="928"/>
      <c r="AI136" s="928"/>
      <c r="AJ136" s="928"/>
      <c r="AK136" s="928"/>
      <c r="AL136" s="928"/>
      <c r="AM136" s="928"/>
      <c r="AN136" s="928"/>
      <c r="AO136" s="928"/>
      <c r="AP136" s="928"/>
      <c r="AQ136" s="928"/>
      <c r="AR136" s="928"/>
      <c r="AS136" s="928"/>
    </row>
    <row r="137" spans="11:45">
      <c r="K137" s="957"/>
      <c r="L137" s="928"/>
      <c r="M137" s="928"/>
      <c r="N137" s="960"/>
      <c r="O137" s="960"/>
      <c r="P137" s="960"/>
      <c r="Q137" s="960"/>
      <c r="R137" s="960"/>
      <c r="S137" s="960"/>
      <c r="T137" s="960"/>
      <c r="U137" s="960"/>
      <c r="V137" s="960"/>
      <c r="W137" s="960"/>
      <c r="X137" s="960"/>
      <c r="Y137" s="960"/>
      <c r="Z137" s="960"/>
      <c r="AA137" s="960"/>
      <c r="AB137" s="928"/>
      <c r="AC137" s="928"/>
      <c r="AD137" s="928"/>
      <c r="AE137" s="928"/>
      <c r="AF137" s="928"/>
      <c r="AG137" s="928"/>
      <c r="AH137" s="928"/>
      <c r="AI137" s="928"/>
      <c r="AJ137" s="928"/>
      <c r="AK137" s="928"/>
      <c r="AL137" s="928"/>
      <c r="AM137" s="928"/>
      <c r="AN137" s="928"/>
      <c r="AO137" s="928"/>
      <c r="AP137" s="928"/>
      <c r="AQ137" s="928"/>
      <c r="AR137" s="928"/>
      <c r="AS137" s="928"/>
    </row>
    <row r="138" spans="11:45">
      <c r="K138" s="957"/>
      <c r="L138" s="928"/>
      <c r="M138" s="928"/>
      <c r="N138" s="960"/>
      <c r="O138" s="960"/>
      <c r="P138" s="960"/>
      <c r="Q138" s="960"/>
      <c r="R138" s="960"/>
      <c r="S138" s="960"/>
      <c r="T138" s="960"/>
      <c r="U138" s="960"/>
      <c r="V138" s="960"/>
      <c r="W138" s="960"/>
      <c r="X138" s="960"/>
      <c r="Y138" s="960"/>
      <c r="Z138" s="960"/>
      <c r="AA138" s="960"/>
      <c r="AB138" s="928"/>
      <c r="AC138" s="928"/>
      <c r="AD138" s="928"/>
      <c r="AE138" s="928"/>
      <c r="AF138" s="928"/>
      <c r="AG138" s="928"/>
      <c r="AH138" s="928"/>
      <c r="AI138" s="928"/>
      <c r="AJ138" s="928"/>
      <c r="AK138" s="928"/>
      <c r="AL138" s="928"/>
      <c r="AM138" s="928"/>
      <c r="AN138" s="928"/>
      <c r="AO138" s="928"/>
      <c r="AP138" s="928"/>
      <c r="AQ138" s="928"/>
      <c r="AR138" s="928"/>
      <c r="AS138" s="928"/>
    </row>
    <row r="139" spans="11:45">
      <c r="K139" s="957"/>
      <c r="L139" s="928"/>
      <c r="M139" s="928"/>
      <c r="N139" s="960"/>
      <c r="O139" s="960"/>
      <c r="P139" s="960"/>
      <c r="Q139" s="960"/>
      <c r="R139" s="960"/>
      <c r="S139" s="960"/>
      <c r="T139" s="960"/>
      <c r="U139" s="960"/>
      <c r="V139" s="960"/>
      <c r="W139" s="960"/>
      <c r="X139" s="960"/>
      <c r="Y139" s="960"/>
      <c r="Z139" s="960"/>
      <c r="AA139" s="960"/>
      <c r="AB139" s="928"/>
      <c r="AC139" s="928"/>
      <c r="AD139" s="928"/>
      <c r="AE139" s="928"/>
      <c r="AF139" s="928"/>
      <c r="AG139" s="928"/>
      <c r="AH139" s="928"/>
      <c r="AI139" s="928"/>
      <c r="AJ139" s="928"/>
      <c r="AK139" s="928"/>
      <c r="AL139" s="928"/>
      <c r="AM139" s="928"/>
      <c r="AN139" s="928"/>
      <c r="AO139" s="928"/>
      <c r="AP139" s="928"/>
      <c r="AQ139" s="928"/>
      <c r="AR139" s="928"/>
      <c r="AS139" s="928"/>
    </row>
    <row r="140" spans="11:45">
      <c r="K140" s="957"/>
      <c r="L140" s="928"/>
      <c r="M140" s="928"/>
      <c r="N140" s="960"/>
      <c r="O140" s="960"/>
      <c r="P140" s="960"/>
      <c r="Q140" s="960"/>
      <c r="R140" s="960"/>
      <c r="S140" s="960"/>
      <c r="T140" s="960"/>
      <c r="U140" s="960"/>
      <c r="V140" s="960"/>
      <c r="W140" s="960"/>
      <c r="X140" s="960"/>
      <c r="Y140" s="960"/>
      <c r="Z140" s="960"/>
      <c r="AA140" s="960"/>
      <c r="AB140" s="928"/>
      <c r="AC140" s="928"/>
      <c r="AD140" s="928"/>
      <c r="AE140" s="928"/>
      <c r="AF140" s="928"/>
      <c r="AG140" s="928"/>
      <c r="AH140" s="928"/>
      <c r="AI140" s="928"/>
      <c r="AJ140" s="928"/>
      <c r="AK140" s="928"/>
      <c r="AL140" s="928"/>
      <c r="AM140" s="928"/>
      <c r="AN140" s="928"/>
      <c r="AO140" s="928"/>
      <c r="AP140" s="928"/>
      <c r="AQ140" s="928"/>
      <c r="AR140" s="928"/>
      <c r="AS140" s="928"/>
    </row>
    <row r="141" spans="11:45">
      <c r="K141" s="957"/>
      <c r="L141" s="928"/>
      <c r="M141" s="928"/>
      <c r="N141" s="960"/>
      <c r="O141" s="960"/>
      <c r="P141" s="960"/>
      <c r="Q141" s="960"/>
      <c r="R141" s="960"/>
      <c r="S141" s="960"/>
      <c r="T141" s="960"/>
      <c r="U141" s="960"/>
      <c r="V141" s="960"/>
      <c r="W141" s="960"/>
      <c r="X141" s="960"/>
      <c r="Y141" s="960"/>
      <c r="Z141" s="960"/>
      <c r="AA141" s="960"/>
      <c r="AB141" s="928"/>
      <c r="AC141" s="928"/>
      <c r="AD141" s="928"/>
      <c r="AE141" s="928"/>
      <c r="AF141" s="928"/>
      <c r="AG141" s="928"/>
      <c r="AH141" s="928"/>
      <c r="AI141" s="928"/>
      <c r="AJ141" s="928"/>
      <c r="AK141" s="928"/>
      <c r="AL141" s="928"/>
      <c r="AM141" s="928"/>
      <c r="AN141" s="928"/>
      <c r="AO141" s="928"/>
      <c r="AP141" s="928"/>
      <c r="AQ141" s="928"/>
      <c r="AR141" s="928"/>
      <c r="AS141" s="928"/>
    </row>
    <row r="142" spans="11:45">
      <c r="K142" s="957"/>
      <c r="L142" s="928"/>
      <c r="M142" s="928"/>
      <c r="N142" s="960"/>
      <c r="O142" s="960"/>
      <c r="P142" s="960"/>
      <c r="Q142" s="960"/>
      <c r="R142" s="960"/>
      <c r="S142" s="960"/>
      <c r="T142" s="960"/>
      <c r="U142" s="960"/>
      <c r="V142" s="960"/>
      <c r="W142" s="960"/>
      <c r="X142" s="960"/>
      <c r="Y142" s="960"/>
      <c r="Z142" s="960"/>
      <c r="AA142" s="960"/>
      <c r="AB142" s="928"/>
      <c r="AC142" s="928"/>
      <c r="AD142" s="928"/>
      <c r="AE142" s="928"/>
      <c r="AF142" s="928"/>
      <c r="AG142" s="928"/>
      <c r="AH142" s="928"/>
      <c r="AI142" s="928"/>
      <c r="AJ142" s="928"/>
      <c r="AK142" s="928"/>
      <c r="AL142" s="928"/>
      <c r="AM142" s="928"/>
      <c r="AN142" s="928"/>
      <c r="AO142" s="928"/>
      <c r="AP142" s="928"/>
      <c r="AQ142" s="928"/>
      <c r="AR142" s="928"/>
      <c r="AS142" s="928"/>
    </row>
    <row r="143" spans="11:45">
      <c r="K143" s="957"/>
      <c r="L143" s="928"/>
      <c r="M143" s="928"/>
      <c r="N143" s="960"/>
      <c r="O143" s="960"/>
      <c r="P143" s="960"/>
      <c r="Q143" s="960"/>
      <c r="R143" s="960"/>
      <c r="S143" s="960"/>
      <c r="T143" s="960"/>
      <c r="U143" s="960"/>
      <c r="V143" s="960"/>
      <c r="W143" s="960"/>
      <c r="X143" s="960"/>
      <c r="Y143" s="960"/>
      <c r="Z143" s="960"/>
      <c r="AA143" s="960"/>
      <c r="AB143" s="928"/>
      <c r="AC143" s="928"/>
      <c r="AD143" s="928"/>
      <c r="AE143" s="928"/>
      <c r="AF143" s="928"/>
      <c r="AG143" s="928"/>
      <c r="AH143" s="928"/>
      <c r="AI143" s="928"/>
      <c r="AJ143" s="928"/>
      <c r="AK143" s="928"/>
      <c r="AL143" s="928"/>
      <c r="AM143" s="928"/>
      <c r="AN143" s="928"/>
      <c r="AO143" s="928"/>
      <c r="AP143" s="928"/>
      <c r="AQ143" s="928"/>
      <c r="AR143" s="928"/>
      <c r="AS143" s="928"/>
    </row>
    <row r="144" spans="11:45">
      <c r="K144" s="957"/>
      <c r="L144" s="928"/>
      <c r="M144" s="928"/>
      <c r="N144" s="960"/>
      <c r="O144" s="960"/>
      <c r="P144" s="960"/>
      <c r="Q144" s="960"/>
      <c r="R144" s="960"/>
      <c r="S144" s="960"/>
      <c r="T144" s="960"/>
      <c r="U144" s="960"/>
      <c r="V144" s="960"/>
      <c r="W144" s="960"/>
      <c r="X144" s="960"/>
      <c r="Y144" s="960"/>
      <c r="Z144" s="960"/>
      <c r="AA144" s="960"/>
      <c r="AB144" s="928"/>
      <c r="AC144" s="928"/>
      <c r="AD144" s="928"/>
      <c r="AE144" s="928"/>
      <c r="AF144" s="928"/>
      <c r="AG144" s="928"/>
      <c r="AH144" s="928"/>
      <c r="AI144" s="928"/>
      <c r="AJ144" s="928"/>
      <c r="AK144" s="928"/>
      <c r="AL144" s="928"/>
      <c r="AM144" s="928"/>
      <c r="AN144" s="928"/>
      <c r="AO144" s="928"/>
      <c r="AP144" s="928"/>
      <c r="AQ144" s="928"/>
      <c r="AR144" s="928"/>
      <c r="AS144" s="928"/>
    </row>
    <row r="145" spans="11:45">
      <c r="K145" s="957"/>
      <c r="L145" s="928"/>
      <c r="M145" s="928"/>
      <c r="N145" s="960"/>
      <c r="O145" s="960"/>
      <c r="P145" s="960"/>
      <c r="Q145" s="960"/>
      <c r="R145" s="960"/>
      <c r="S145" s="960"/>
      <c r="T145" s="960"/>
      <c r="U145" s="960"/>
      <c r="V145" s="960"/>
      <c r="W145" s="960"/>
      <c r="X145" s="960"/>
      <c r="Y145" s="960"/>
      <c r="Z145" s="960"/>
      <c r="AA145" s="960"/>
      <c r="AB145" s="928"/>
      <c r="AC145" s="928"/>
      <c r="AD145" s="928"/>
      <c r="AE145" s="928"/>
      <c r="AF145" s="928"/>
      <c r="AG145" s="928"/>
      <c r="AH145" s="928"/>
      <c r="AI145" s="928"/>
      <c r="AJ145" s="928"/>
      <c r="AK145" s="928"/>
      <c r="AL145" s="928"/>
      <c r="AM145" s="928"/>
      <c r="AN145" s="928"/>
      <c r="AO145" s="928"/>
      <c r="AP145" s="928"/>
      <c r="AQ145" s="928"/>
      <c r="AR145" s="928"/>
      <c r="AS145" s="928"/>
    </row>
    <row r="146" spans="11:45">
      <c r="K146" s="957"/>
      <c r="L146" s="928"/>
      <c r="M146" s="928"/>
      <c r="N146" s="960"/>
      <c r="O146" s="960"/>
      <c r="P146" s="960"/>
      <c r="Q146" s="960"/>
      <c r="R146" s="960"/>
      <c r="S146" s="960"/>
      <c r="T146" s="960"/>
      <c r="U146" s="960"/>
      <c r="V146" s="960"/>
      <c r="W146" s="960"/>
      <c r="X146" s="960"/>
      <c r="Y146" s="960"/>
      <c r="Z146" s="960"/>
      <c r="AA146" s="960"/>
      <c r="AB146" s="928"/>
      <c r="AC146" s="928"/>
      <c r="AD146" s="928"/>
      <c r="AE146" s="928"/>
      <c r="AF146" s="928"/>
      <c r="AG146" s="928"/>
      <c r="AH146" s="928"/>
      <c r="AI146" s="928"/>
      <c r="AJ146" s="928"/>
      <c r="AK146" s="928"/>
      <c r="AL146" s="928"/>
      <c r="AM146" s="928"/>
      <c r="AN146" s="928"/>
      <c r="AO146" s="928"/>
      <c r="AP146" s="928"/>
      <c r="AQ146" s="928"/>
      <c r="AR146" s="928"/>
      <c r="AS146" s="928"/>
    </row>
    <row r="147" spans="11:45">
      <c r="K147" s="957"/>
      <c r="L147" s="928"/>
      <c r="M147" s="928"/>
      <c r="N147" s="960"/>
      <c r="O147" s="960"/>
      <c r="P147" s="960"/>
      <c r="Q147" s="960"/>
      <c r="R147" s="960"/>
      <c r="S147" s="960"/>
      <c r="T147" s="960"/>
      <c r="U147" s="960"/>
      <c r="V147" s="960"/>
      <c r="W147" s="960"/>
      <c r="X147" s="960"/>
      <c r="Y147" s="960"/>
      <c r="Z147" s="960"/>
      <c r="AA147" s="960"/>
      <c r="AB147" s="928"/>
      <c r="AC147" s="928"/>
      <c r="AD147" s="928"/>
      <c r="AE147" s="928"/>
      <c r="AF147" s="928"/>
      <c r="AG147" s="928"/>
      <c r="AH147" s="928"/>
      <c r="AI147" s="928"/>
      <c r="AJ147" s="928"/>
      <c r="AK147" s="928"/>
      <c r="AL147" s="928"/>
      <c r="AM147" s="928"/>
      <c r="AN147" s="928"/>
      <c r="AO147" s="928"/>
      <c r="AP147" s="928"/>
      <c r="AQ147" s="928"/>
      <c r="AR147" s="928"/>
      <c r="AS147" s="928"/>
    </row>
    <row r="148" spans="11:45">
      <c r="K148" s="957"/>
      <c r="L148" s="928"/>
      <c r="M148" s="928"/>
      <c r="N148" s="960"/>
      <c r="O148" s="960"/>
      <c r="P148" s="960"/>
      <c r="Q148" s="960"/>
      <c r="R148" s="960"/>
      <c r="S148" s="960"/>
      <c r="T148" s="960"/>
      <c r="U148" s="960"/>
      <c r="V148" s="960"/>
      <c r="W148" s="960"/>
      <c r="X148" s="960"/>
      <c r="Y148" s="960"/>
      <c r="Z148" s="960"/>
      <c r="AA148" s="960"/>
      <c r="AB148" s="928"/>
      <c r="AC148" s="928"/>
      <c r="AD148" s="928"/>
      <c r="AE148" s="928"/>
      <c r="AF148" s="928"/>
      <c r="AG148" s="928"/>
      <c r="AH148" s="928"/>
      <c r="AI148" s="928"/>
      <c r="AJ148" s="928"/>
      <c r="AK148" s="928"/>
      <c r="AL148" s="928"/>
      <c r="AM148" s="928"/>
      <c r="AN148" s="928"/>
      <c r="AO148" s="928"/>
      <c r="AP148" s="928"/>
      <c r="AQ148" s="928"/>
      <c r="AR148" s="928"/>
      <c r="AS148" s="928"/>
    </row>
    <row r="149" spans="11:45">
      <c r="K149" s="957"/>
      <c r="L149" s="928"/>
      <c r="M149" s="928"/>
      <c r="N149" s="960"/>
      <c r="O149" s="960"/>
      <c r="P149" s="960"/>
      <c r="Q149" s="960"/>
      <c r="R149" s="960"/>
      <c r="S149" s="960"/>
      <c r="T149" s="960"/>
      <c r="U149" s="960"/>
      <c r="V149" s="960"/>
      <c r="W149" s="960"/>
      <c r="X149" s="960"/>
      <c r="Y149" s="960"/>
      <c r="Z149" s="960"/>
      <c r="AA149" s="960"/>
      <c r="AB149" s="928"/>
      <c r="AC149" s="928"/>
      <c r="AD149" s="928"/>
      <c r="AE149" s="928"/>
      <c r="AF149" s="928"/>
      <c r="AG149" s="928"/>
      <c r="AH149" s="928"/>
      <c r="AI149" s="928"/>
      <c r="AJ149" s="928"/>
      <c r="AK149" s="928"/>
      <c r="AL149" s="928"/>
      <c r="AM149" s="928"/>
      <c r="AN149" s="928"/>
      <c r="AO149" s="928"/>
      <c r="AP149" s="928"/>
      <c r="AQ149" s="928"/>
      <c r="AR149" s="928"/>
      <c r="AS149" s="928"/>
    </row>
    <row r="150" spans="11:45">
      <c r="K150" s="957"/>
      <c r="L150" s="928"/>
      <c r="M150" s="928"/>
      <c r="N150" s="960"/>
      <c r="O150" s="960"/>
      <c r="P150" s="960"/>
      <c r="Q150" s="960"/>
      <c r="R150" s="960"/>
      <c r="S150" s="960"/>
      <c r="T150" s="960"/>
      <c r="U150" s="960"/>
      <c r="V150" s="960"/>
      <c r="W150" s="960"/>
      <c r="X150" s="960"/>
      <c r="Y150" s="960"/>
      <c r="Z150" s="960"/>
      <c r="AA150" s="960"/>
      <c r="AB150" s="928"/>
      <c r="AC150" s="928"/>
      <c r="AD150" s="928"/>
      <c r="AE150" s="928"/>
      <c r="AF150" s="928"/>
      <c r="AG150" s="928"/>
      <c r="AH150" s="928"/>
      <c r="AI150" s="928"/>
      <c r="AJ150" s="928"/>
      <c r="AK150" s="928"/>
      <c r="AL150" s="928"/>
      <c r="AM150" s="928"/>
      <c r="AN150" s="928"/>
      <c r="AO150" s="928"/>
      <c r="AP150" s="928"/>
      <c r="AQ150" s="928"/>
      <c r="AR150" s="928"/>
      <c r="AS150" s="928"/>
    </row>
    <row r="151" spans="11:45">
      <c r="K151" s="957"/>
      <c r="L151" s="928"/>
      <c r="M151" s="928"/>
      <c r="N151" s="960"/>
      <c r="O151" s="960"/>
      <c r="P151" s="960"/>
      <c r="Q151" s="960"/>
      <c r="R151" s="960"/>
      <c r="S151" s="960"/>
      <c r="T151" s="960"/>
      <c r="U151" s="960"/>
      <c r="V151" s="960"/>
      <c r="W151" s="960"/>
      <c r="X151" s="960"/>
      <c r="Y151" s="960"/>
      <c r="Z151" s="960"/>
      <c r="AA151" s="960"/>
      <c r="AB151" s="928"/>
      <c r="AC151" s="928"/>
      <c r="AD151" s="928"/>
      <c r="AE151" s="928"/>
      <c r="AF151" s="928"/>
      <c r="AG151" s="928"/>
      <c r="AH151" s="928"/>
      <c r="AI151" s="928"/>
      <c r="AJ151" s="928"/>
      <c r="AK151" s="928"/>
      <c r="AL151" s="928"/>
      <c r="AM151" s="928"/>
      <c r="AN151" s="928"/>
      <c r="AO151" s="928"/>
      <c r="AP151" s="928"/>
      <c r="AQ151" s="928"/>
      <c r="AR151" s="928"/>
      <c r="AS151" s="928"/>
    </row>
    <row r="152" spans="11:45">
      <c r="K152" s="957"/>
      <c r="L152" s="928"/>
      <c r="M152" s="928"/>
      <c r="N152" s="960"/>
      <c r="O152" s="960"/>
      <c r="P152" s="960"/>
      <c r="Q152" s="960"/>
      <c r="R152" s="960"/>
      <c r="S152" s="960"/>
      <c r="T152" s="960"/>
      <c r="U152" s="960"/>
      <c r="V152" s="960"/>
      <c r="W152" s="960"/>
      <c r="X152" s="960"/>
      <c r="Y152" s="960"/>
      <c r="Z152" s="960"/>
      <c r="AA152" s="960"/>
      <c r="AB152" s="928"/>
      <c r="AC152" s="928"/>
      <c r="AD152" s="928"/>
      <c r="AE152" s="928"/>
      <c r="AF152" s="928"/>
      <c r="AG152" s="928"/>
      <c r="AH152" s="928"/>
      <c r="AI152" s="928"/>
      <c r="AJ152" s="928"/>
      <c r="AK152" s="928"/>
      <c r="AL152" s="928"/>
      <c r="AM152" s="928"/>
      <c r="AN152" s="928"/>
      <c r="AO152" s="928"/>
      <c r="AP152" s="928"/>
      <c r="AQ152" s="928"/>
      <c r="AR152" s="928"/>
      <c r="AS152" s="928"/>
    </row>
    <row r="153" spans="11:45">
      <c r="K153" s="957"/>
      <c r="L153" s="928"/>
      <c r="M153" s="928"/>
      <c r="N153" s="960"/>
      <c r="O153" s="960"/>
      <c r="P153" s="960"/>
      <c r="Q153" s="960"/>
      <c r="R153" s="960"/>
      <c r="S153" s="960"/>
      <c r="T153" s="960"/>
      <c r="U153" s="960"/>
      <c r="V153" s="960"/>
      <c r="W153" s="960"/>
      <c r="X153" s="960"/>
      <c r="Y153" s="960"/>
      <c r="Z153" s="960"/>
      <c r="AA153" s="960"/>
      <c r="AB153" s="928"/>
      <c r="AC153" s="928"/>
      <c r="AD153" s="928"/>
      <c r="AE153" s="928"/>
      <c r="AF153" s="928"/>
      <c r="AG153" s="928"/>
      <c r="AH153" s="928"/>
      <c r="AI153" s="928"/>
      <c r="AJ153" s="928"/>
      <c r="AK153" s="928"/>
      <c r="AL153" s="928"/>
      <c r="AM153" s="928"/>
      <c r="AN153" s="928"/>
      <c r="AO153" s="928"/>
      <c r="AP153" s="928"/>
      <c r="AQ153" s="928"/>
      <c r="AR153" s="928"/>
      <c r="AS153" s="928"/>
    </row>
    <row r="154" spans="11:45">
      <c r="K154" s="957"/>
      <c r="L154" s="928"/>
      <c r="M154" s="928"/>
      <c r="N154" s="960"/>
      <c r="O154" s="960"/>
      <c r="P154" s="960"/>
      <c r="Q154" s="960"/>
      <c r="R154" s="960"/>
      <c r="S154" s="960"/>
      <c r="T154" s="960"/>
      <c r="U154" s="960"/>
      <c r="V154" s="960"/>
      <c r="W154" s="960"/>
      <c r="X154" s="960"/>
      <c r="Y154" s="960"/>
      <c r="Z154" s="960"/>
      <c r="AA154" s="960"/>
      <c r="AB154" s="928"/>
      <c r="AC154" s="928"/>
      <c r="AD154" s="928"/>
      <c r="AE154" s="928"/>
      <c r="AF154" s="928"/>
      <c r="AG154" s="928"/>
      <c r="AH154" s="928"/>
      <c r="AI154" s="928"/>
      <c r="AJ154" s="928"/>
      <c r="AK154" s="928"/>
      <c r="AL154" s="928"/>
      <c r="AM154" s="928"/>
      <c r="AN154" s="928"/>
      <c r="AO154" s="928"/>
      <c r="AP154" s="928"/>
      <c r="AQ154" s="928"/>
      <c r="AR154" s="928"/>
      <c r="AS154" s="928"/>
    </row>
    <row r="155" spans="11:45">
      <c r="K155" s="957"/>
      <c r="L155" s="928"/>
      <c r="M155" s="928"/>
      <c r="N155" s="960"/>
      <c r="O155" s="960"/>
      <c r="P155" s="960"/>
      <c r="Q155" s="960"/>
      <c r="R155" s="960"/>
      <c r="S155" s="960"/>
      <c r="T155" s="960"/>
      <c r="U155" s="960"/>
      <c r="V155" s="960"/>
      <c r="W155" s="960"/>
      <c r="X155" s="960"/>
      <c r="Y155" s="960"/>
      <c r="Z155" s="960"/>
      <c r="AA155" s="960"/>
      <c r="AB155" s="928"/>
      <c r="AC155" s="928"/>
      <c r="AD155" s="928"/>
      <c r="AE155" s="928"/>
      <c r="AF155" s="928"/>
      <c r="AG155" s="928"/>
      <c r="AH155" s="928"/>
      <c r="AI155" s="928"/>
      <c r="AJ155" s="928"/>
      <c r="AK155" s="928"/>
      <c r="AL155" s="928"/>
      <c r="AM155" s="928"/>
      <c r="AN155" s="928"/>
      <c r="AO155" s="928"/>
      <c r="AP155" s="928"/>
      <c r="AQ155" s="928"/>
      <c r="AR155" s="928"/>
      <c r="AS155" s="928"/>
    </row>
    <row r="156" spans="11:45">
      <c r="K156" s="957"/>
      <c r="L156" s="928"/>
      <c r="M156" s="928"/>
      <c r="N156" s="960"/>
      <c r="O156" s="960"/>
      <c r="P156" s="960"/>
      <c r="Q156" s="960"/>
      <c r="R156" s="960"/>
      <c r="S156" s="960"/>
      <c r="T156" s="960"/>
      <c r="U156" s="960"/>
      <c r="V156" s="960"/>
      <c r="W156" s="960"/>
      <c r="X156" s="960"/>
      <c r="Y156" s="960"/>
      <c r="Z156" s="960"/>
      <c r="AA156" s="960"/>
      <c r="AB156" s="928"/>
      <c r="AC156" s="928"/>
      <c r="AD156" s="928"/>
      <c r="AE156" s="928"/>
      <c r="AF156" s="928"/>
      <c r="AG156" s="928"/>
      <c r="AH156" s="928"/>
      <c r="AI156" s="928"/>
      <c r="AJ156" s="928"/>
      <c r="AK156" s="928"/>
      <c r="AL156" s="928"/>
      <c r="AM156" s="928"/>
      <c r="AN156" s="928"/>
      <c r="AO156" s="928"/>
      <c r="AP156" s="928"/>
      <c r="AQ156" s="928"/>
      <c r="AR156" s="928"/>
      <c r="AS156" s="928"/>
    </row>
    <row r="157" spans="11:45">
      <c r="K157" s="957"/>
      <c r="L157" s="928"/>
      <c r="M157" s="928"/>
      <c r="N157" s="960"/>
      <c r="O157" s="960"/>
      <c r="P157" s="960"/>
      <c r="Q157" s="960"/>
      <c r="R157" s="960"/>
      <c r="S157" s="960"/>
      <c r="T157" s="960"/>
      <c r="U157" s="960"/>
      <c r="V157" s="960"/>
      <c r="W157" s="960"/>
      <c r="X157" s="960"/>
      <c r="Y157" s="960"/>
      <c r="Z157" s="960"/>
      <c r="AA157" s="960"/>
      <c r="AB157" s="928"/>
      <c r="AC157" s="928"/>
      <c r="AD157" s="928"/>
      <c r="AE157" s="928"/>
      <c r="AF157" s="928"/>
      <c r="AG157" s="928"/>
      <c r="AH157" s="928"/>
      <c r="AI157" s="928"/>
      <c r="AJ157" s="928"/>
      <c r="AK157" s="928"/>
      <c r="AL157" s="928"/>
      <c r="AM157" s="928"/>
      <c r="AN157" s="928"/>
      <c r="AO157" s="928"/>
      <c r="AP157" s="928"/>
      <c r="AQ157" s="928"/>
      <c r="AR157" s="928"/>
      <c r="AS157" s="928"/>
    </row>
    <row r="158" spans="11:45">
      <c r="K158" s="957"/>
      <c r="L158" s="928"/>
      <c r="M158" s="928"/>
      <c r="N158" s="960"/>
      <c r="O158" s="960"/>
      <c r="P158" s="960"/>
      <c r="Q158" s="960"/>
      <c r="R158" s="960"/>
      <c r="S158" s="960"/>
      <c r="T158" s="960"/>
      <c r="U158" s="960"/>
      <c r="V158" s="960"/>
      <c r="W158" s="960"/>
      <c r="X158" s="960"/>
      <c r="Y158" s="960"/>
      <c r="Z158" s="960"/>
      <c r="AA158" s="960"/>
      <c r="AB158" s="928"/>
      <c r="AC158" s="928"/>
      <c r="AD158" s="928"/>
      <c r="AE158" s="928"/>
      <c r="AF158" s="928"/>
      <c r="AG158" s="928"/>
      <c r="AH158" s="928"/>
      <c r="AI158" s="928"/>
      <c r="AJ158" s="928"/>
      <c r="AK158" s="928"/>
      <c r="AL158" s="928"/>
      <c r="AM158" s="928"/>
      <c r="AN158" s="928"/>
      <c r="AO158" s="928"/>
      <c r="AP158" s="928"/>
      <c r="AQ158" s="928"/>
      <c r="AR158" s="928"/>
      <c r="AS158" s="928"/>
    </row>
    <row r="159" spans="11:45">
      <c r="K159" s="957"/>
      <c r="L159" s="928"/>
      <c r="M159" s="928"/>
      <c r="N159" s="960"/>
      <c r="O159" s="960"/>
      <c r="P159" s="960"/>
      <c r="Q159" s="960"/>
      <c r="R159" s="960"/>
      <c r="S159" s="960"/>
      <c r="T159" s="960"/>
      <c r="U159" s="960"/>
      <c r="V159" s="960"/>
      <c r="W159" s="960"/>
      <c r="X159" s="960"/>
      <c r="Y159" s="960"/>
      <c r="Z159" s="960"/>
      <c r="AA159" s="960"/>
      <c r="AB159" s="928"/>
      <c r="AC159" s="928"/>
      <c r="AD159" s="928"/>
      <c r="AE159" s="928"/>
      <c r="AF159" s="928"/>
      <c r="AG159" s="928"/>
      <c r="AH159" s="928"/>
      <c r="AI159" s="928"/>
      <c r="AJ159" s="928"/>
      <c r="AK159" s="928"/>
      <c r="AL159" s="928"/>
      <c r="AM159" s="928"/>
      <c r="AN159" s="928"/>
      <c r="AO159" s="928"/>
      <c r="AP159" s="928"/>
      <c r="AQ159" s="928"/>
      <c r="AR159" s="928"/>
      <c r="AS159" s="928"/>
    </row>
    <row r="160" spans="11:45">
      <c r="K160" s="957"/>
      <c r="L160" s="928"/>
      <c r="M160" s="928"/>
      <c r="N160" s="960"/>
      <c r="O160" s="960"/>
      <c r="P160" s="960"/>
      <c r="Q160" s="960"/>
      <c r="R160" s="960"/>
      <c r="S160" s="960"/>
      <c r="T160" s="960"/>
      <c r="U160" s="960"/>
      <c r="V160" s="960"/>
      <c r="W160" s="960"/>
      <c r="X160" s="960"/>
      <c r="Y160" s="960"/>
      <c r="Z160" s="960"/>
      <c r="AA160" s="960"/>
      <c r="AB160" s="928"/>
      <c r="AC160" s="928"/>
      <c r="AD160" s="928"/>
      <c r="AE160" s="928"/>
      <c r="AF160" s="928"/>
      <c r="AG160" s="928"/>
      <c r="AH160" s="928"/>
      <c r="AI160" s="928"/>
      <c r="AJ160" s="928"/>
      <c r="AK160" s="928"/>
      <c r="AL160" s="928"/>
      <c r="AM160" s="928"/>
      <c r="AN160" s="928"/>
      <c r="AO160" s="928"/>
      <c r="AP160" s="928"/>
      <c r="AQ160" s="928"/>
      <c r="AR160" s="928"/>
      <c r="AS160" s="928"/>
    </row>
    <row r="161" spans="11:45">
      <c r="K161" s="957"/>
      <c r="L161" s="928"/>
      <c r="M161" s="928"/>
      <c r="N161" s="960"/>
      <c r="O161" s="960"/>
      <c r="P161" s="960"/>
      <c r="Q161" s="960"/>
      <c r="R161" s="960"/>
      <c r="S161" s="960"/>
      <c r="T161" s="960"/>
      <c r="U161" s="960"/>
      <c r="V161" s="960"/>
      <c r="W161" s="960"/>
      <c r="X161" s="960"/>
      <c r="Y161" s="960"/>
      <c r="Z161" s="960"/>
      <c r="AA161" s="960"/>
      <c r="AB161" s="928"/>
      <c r="AC161" s="928"/>
      <c r="AD161" s="928"/>
      <c r="AE161" s="928"/>
      <c r="AF161" s="928"/>
      <c r="AG161" s="928"/>
      <c r="AH161" s="928"/>
      <c r="AI161" s="928"/>
      <c r="AJ161" s="928"/>
      <c r="AK161" s="928"/>
      <c r="AL161" s="928"/>
      <c r="AM161" s="928"/>
      <c r="AN161" s="928"/>
      <c r="AO161" s="928"/>
      <c r="AP161" s="928"/>
      <c r="AQ161" s="928"/>
      <c r="AR161" s="928"/>
      <c r="AS161" s="928"/>
    </row>
    <row r="162" spans="11:45">
      <c r="K162" s="957"/>
      <c r="L162" s="928"/>
      <c r="M162" s="928"/>
      <c r="N162" s="960"/>
      <c r="O162" s="960"/>
      <c r="P162" s="960"/>
      <c r="Q162" s="960"/>
      <c r="R162" s="960"/>
      <c r="S162" s="960"/>
      <c r="T162" s="960"/>
      <c r="U162" s="960"/>
      <c r="V162" s="960"/>
      <c r="W162" s="960"/>
      <c r="X162" s="960"/>
      <c r="Y162" s="960"/>
      <c r="Z162" s="960"/>
      <c r="AA162" s="960"/>
      <c r="AB162" s="928"/>
      <c r="AC162" s="928"/>
      <c r="AD162" s="928"/>
      <c r="AE162" s="928"/>
      <c r="AF162" s="928"/>
      <c r="AG162" s="928"/>
      <c r="AH162" s="928"/>
      <c r="AI162" s="928"/>
      <c r="AJ162" s="928"/>
      <c r="AK162" s="928"/>
      <c r="AL162" s="928"/>
      <c r="AM162" s="928"/>
      <c r="AN162" s="928"/>
      <c r="AO162" s="928"/>
      <c r="AP162" s="928"/>
      <c r="AQ162" s="928"/>
      <c r="AR162" s="928"/>
      <c r="AS162" s="928"/>
    </row>
    <row r="163" spans="11:45">
      <c r="K163" s="957"/>
      <c r="L163" s="928"/>
      <c r="M163" s="928"/>
      <c r="N163" s="960"/>
      <c r="O163" s="960"/>
      <c r="P163" s="960"/>
      <c r="Q163" s="960"/>
      <c r="R163" s="960"/>
      <c r="S163" s="960"/>
      <c r="T163" s="960"/>
      <c r="U163" s="960"/>
      <c r="V163" s="960"/>
      <c r="W163" s="960"/>
      <c r="X163" s="960"/>
      <c r="Y163" s="960"/>
      <c r="Z163" s="960"/>
      <c r="AA163" s="960"/>
      <c r="AB163" s="928"/>
      <c r="AC163" s="928"/>
      <c r="AD163" s="928"/>
      <c r="AE163" s="928"/>
      <c r="AF163" s="928"/>
      <c r="AG163" s="928"/>
      <c r="AH163" s="928"/>
      <c r="AI163" s="928"/>
      <c r="AJ163" s="928"/>
      <c r="AK163" s="928"/>
      <c r="AL163" s="928"/>
      <c r="AM163" s="928"/>
      <c r="AN163" s="928"/>
      <c r="AO163" s="928"/>
      <c r="AP163" s="928"/>
      <c r="AQ163" s="928"/>
      <c r="AR163" s="928"/>
      <c r="AS163" s="928"/>
    </row>
    <row r="164" spans="11:45">
      <c r="K164" s="957"/>
      <c r="L164" s="928"/>
      <c r="M164" s="928"/>
      <c r="N164" s="960"/>
      <c r="O164" s="960"/>
      <c r="P164" s="960"/>
      <c r="Q164" s="960"/>
      <c r="R164" s="960"/>
      <c r="S164" s="960"/>
      <c r="T164" s="960"/>
      <c r="U164" s="960"/>
      <c r="V164" s="960"/>
      <c r="W164" s="960"/>
      <c r="X164" s="960"/>
      <c r="Y164" s="960"/>
      <c r="Z164" s="960"/>
      <c r="AA164" s="960"/>
      <c r="AB164" s="928"/>
      <c r="AC164" s="928"/>
      <c r="AD164" s="928"/>
      <c r="AE164" s="928"/>
      <c r="AF164" s="928"/>
      <c r="AG164" s="928"/>
      <c r="AH164" s="928"/>
      <c r="AI164" s="928"/>
      <c r="AJ164" s="928"/>
      <c r="AK164" s="928"/>
      <c r="AL164" s="928"/>
      <c r="AM164" s="928"/>
      <c r="AN164" s="928"/>
      <c r="AO164" s="928"/>
      <c r="AP164" s="928"/>
      <c r="AQ164" s="928"/>
      <c r="AR164" s="928"/>
      <c r="AS164" s="928"/>
    </row>
    <row r="165" spans="11:45">
      <c r="K165" s="957"/>
      <c r="L165" s="928"/>
      <c r="M165" s="928"/>
      <c r="N165" s="960"/>
      <c r="O165" s="960"/>
      <c r="P165" s="960"/>
      <c r="Q165" s="960"/>
      <c r="R165" s="960"/>
      <c r="S165" s="960"/>
      <c r="T165" s="960"/>
      <c r="U165" s="960"/>
      <c r="V165" s="960"/>
      <c r="W165" s="960"/>
      <c r="X165" s="960"/>
      <c r="Y165" s="960"/>
      <c r="Z165" s="960"/>
      <c r="AA165" s="960"/>
      <c r="AB165" s="928"/>
      <c r="AC165" s="928"/>
      <c r="AD165" s="928"/>
      <c r="AE165" s="928"/>
      <c r="AF165" s="928"/>
      <c r="AG165" s="928"/>
      <c r="AH165" s="928"/>
      <c r="AI165" s="928"/>
      <c r="AJ165" s="928"/>
      <c r="AK165" s="928"/>
      <c r="AL165" s="928"/>
      <c r="AM165" s="928"/>
      <c r="AN165" s="928"/>
      <c r="AO165" s="928"/>
      <c r="AP165" s="928"/>
      <c r="AQ165" s="928"/>
      <c r="AR165" s="928"/>
      <c r="AS165" s="928"/>
    </row>
    <row r="166" spans="11:45">
      <c r="K166" s="957"/>
      <c r="L166" s="928"/>
      <c r="M166" s="928"/>
      <c r="N166" s="960"/>
      <c r="O166" s="960"/>
      <c r="P166" s="960"/>
      <c r="Q166" s="960"/>
      <c r="R166" s="960"/>
      <c r="S166" s="960"/>
      <c r="T166" s="960"/>
      <c r="U166" s="960"/>
      <c r="V166" s="960"/>
      <c r="W166" s="960"/>
      <c r="X166" s="960"/>
      <c r="Y166" s="960"/>
      <c r="Z166" s="960"/>
      <c r="AA166" s="960"/>
      <c r="AB166" s="928"/>
      <c r="AC166" s="928"/>
      <c r="AD166" s="928"/>
      <c r="AE166" s="928"/>
      <c r="AF166" s="928"/>
      <c r="AG166" s="928"/>
      <c r="AH166" s="928"/>
      <c r="AI166" s="928"/>
      <c r="AJ166" s="928"/>
      <c r="AK166" s="928"/>
      <c r="AL166" s="928"/>
      <c r="AM166" s="928"/>
      <c r="AN166" s="928"/>
      <c r="AO166" s="928"/>
      <c r="AP166" s="928"/>
      <c r="AQ166" s="928"/>
      <c r="AR166" s="928"/>
      <c r="AS166" s="928"/>
    </row>
    <row r="167" spans="11:45">
      <c r="K167" s="957"/>
      <c r="L167" s="928"/>
      <c r="M167" s="928"/>
      <c r="N167" s="960"/>
      <c r="O167" s="960"/>
      <c r="P167" s="960"/>
      <c r="Q167" s="960"/>
      <c r="R167" s="960"/>
      <c r="S167" s="960"/>
      <c r="T167" s="960"/>
      <c r="U167" s="960"/>
      <c r="V167" s="960"/>
      <c r="W167" s="960"/>
      <c r="X167" s="960"/>
      <c r="Y167" s="960"/>
      <c r="Z167" s="960"/>
      <c r="AA167" s="960"/>
      <c r="AB167" s="928"/>
      <c r="AC167" s="928"/>
      <c r="AD167" s="928"/>
      <c r="AE167" s="928"/>
      <c r="AF167" s="928"/>
      <c r="AG167" s="928"/>
      <c r="AH167" s="928"/>
      <c r="AI167" s="928"/>
      <c r="AJ167" s="928"/>
      <c r="AK167" s="928"/>
      <c r="AL167" s="928"/>
      <c r="AM167" s="928"/>
      <c r="AN167" s="928"/>
      <c r="AO167" s="928"/>
      <c r="AP167" s="928"/>
      <c r="AQ167" s="928"/>
      <c r="AR167" s="928"/>
      <c r="AS167" s="928"/>
    </row>
    <row r="168" spans="11:45">
      <c r="K168" s="957"/>
      <c r="L168" s="928"/>
      <c r="M168" s="928"/>
      <c r="N168" s="960"/>
      <c r="O168" s="960"/>
      <c r="P168" s="960"/>
      <c r="Q168" s="960"/>
      <c r="R168" s="960"/>
      <c r="S168" s="960"/>
      <c r="T168" s="960"/>
      <c r="U168" s="960"/>
      <c r="V168" s="960"/>
      <c r="W168" s="960"/>
      <c r="X168" s="960"/>
      <c r="Y168" s="960"/>
      <c r="Z168" s="960"/>
      <c r="AA168" s="960"/>
      <c r="AB168" s="928"/>
      <c r="AC168" s="928"/>
      <c r="AD168" s="928"/>
      <c r="AE168" s="928"/>
      <c r="AF168" s="928"/>
      <c r="AG168" s="928"/>
      <c r="AH168" s="928"/>
      <c r="AI168" s="928"/>
      <c r="AJ168" s="928"/>
      <c r="AK168" s="928"/>
      <c r="AL168" s="928"/>
      <c r="AM168" s="928"/>
      <c r="AN168" s="928"/>
      <c r="AO168" s="928"/>
      <c r="AP168" s="928"/>
      <c r="AQ168" s="928"/>
      <c r="AR168" s="928"/>
      <c r="AS168" s="928"/>
    </row>
    <row r="169" spans="11:45">
      <c r="K169" s="957"/>
      <c r="L169" s="928"/>
      <c r="M169" s="928"/>
      <c r="N169" s="960"/>
      <c r="O169" s="960"/>
      <c r="P169" s="960"/>
      <c r="Q169" s="960"/>
      <c r="R169" s="960"/>
      <c r="S169" s="960"/>
      <c r="T169" s="960"/>
      <c r="U169" s="960"/>
      <c r="V169" s="960"/>
      <c r="W169" s="960"/>
      <c r="X169" s="960"/>
      <c r="Y169" s="960"/>
      <c r="Z169" s="960"/>
      <c r="AA169" s="960"/>
      <c r="AB169" s="928"/>
      <c r="AC169" s="928"/>
      <c r="AD169" s="928"/>
      <c r="AE169" s="928"/>
      <c r="AF169" s="928"/>
      <c r="AG169" s="928"/>
      <c r="AH169" s="928"/>
      <c r="AI169" s="928"/>
      <c r="AJ169" s="928"/>
      <c r="AK169" s="928"/>
      <c r="AL169" s="928"/>
      <c r="AM169" s="928"/>
      <c r="AN169" s="928"/>
      <c r="AO169" s="928"/>
      <c r="AP169" s="928"/>
      <c r="AQ169" s="928"/>
      <c r="AR169" s="928"/>
      <c r="AS169" s="928"/>
    </row>
    <row r="170" spans="11:45">
      <c r="K170" s="957"/>
      <c r="L170" s="928"/>
      <c r="M170" s="928"/>
      <c r="N170" s="960"/>
      <c r="O170" s="960"/>
      <c r="P170" s="960"/>
      <c r="Q170" s="960"/>
      <c r="R170" s="960"/>
      <c r="S170" s="960"/>
      <c r="T170" s="960"/>
      <c r="U170" s="960"/>
      <c r="V170" s="960"/>
      <c r="W170" s="960"/>
      <c r="X170" s="960"/>
      <c r="Y170" s="960"/>
      <c r="Z170" s="960"/>
      <c r="AA170" s="960"/>
      <c r="AB170" s="928"/>
      <c r="AC170" s="928"/>
      <c r="AD170" s="928"/>
      <c r="AE170" s="928"/>
      <c r="AF170" s="928"/>
      <c r="AG170" s="928"/>
      <c r="AH170" s="928"/>
      <c r="AI170" s="928"/>
      <c r="AJ170" s="928"/>
      <c r="AK170" s="928"/>
      <c r="AL170" s="928"/>
      <c r="AM170" s="928"/>
      <c r="AN170" s="928"/>
      <c r="AO170" s="928"/>
      <c r="AP170" s="928"/>
      <c r="AQ170" s="928"/>
      <c r="AR170" s="928"/>
      <c r="AS170" s="928"/>
    </row>
    <row r="171" spans="11:45">
      <c r="K171" s="957"/>
      <c r="L171" s="928"/>
      <c r="M171" s="928"/>
      <c r="N171" s="960"/>
      <c r="O171" s="960"/>
      <c r="P171" s="960"/>
      <c r="Q171" s="960"/>
      <c r="R171" s="960"/>
      <c r="S171" s="960"/>
      <c r="T171" s="960"/>
      <c r="U171" s="960"/>
      <c r="V171" s="960"/>
      <c r="W171" s="960"/>
      <c r="X171" s="960"/>
      <c r="Y171" s="960"/>
      <c r="Z171" s="960"/>
      <c r="AA171" s="960"/>
      <c r="AB171" s="928"/>
      <c r="AC171" s="928"/>
      <c r="AD171" s="928"/>
      <c r="AE171" s="928"/>
      <c r="AF171" s="928"/>
      <c r="AG171" s="928"/>
      <c r="AH171" s="928"/>
      <c r="AI171" s="928"/>
      <c r="AJ171" s="928"/>
      <c r="AK171" s="928"/>
      <c r="AL171" s="928"/>
      <c r="AM171" s="928"/>
      <c r="AN171" s="928"/>
      <c r="AO171" s="928"/>
      <c r="AP171" s="928"/>
      <c r="AQ171" s="928"/>
      <c r="AR171" s="928"/>
      <c r="AS171" s="928"/>
    </row>
    <row r="172" spans="11:45">
      <c r="K172" s="957"/>
      <c r="L172" s="928"/>
      <c r="M172" s="928"/>
      <c r="N172" s="960"/>
      <c r="O172" s="960"/>
      <c r="P172" s="960"/>
      <c r="Q172" s="960"/>
      <c r="R172" s="960"/>
      <c r="S172" s="960"/>
      <c r="T172" s="960"/>
      <c r="U172" s="960"/>
      <c r="V172" s="960"/>
      <c r="W172" s="960"/>
      <c r="X172" s="960"/>
      <c r="Y172" s="960"/>
      <c r="Z172" s="960"/>
      <c r="AA172" s="960"/>
      <c r="AB172" s="928"/>
      <c r="AC172" s="928"/>
      <c r="AD172" s="928"/>
      <c r="AE172" s="928"/>
      <c r="AF172" s="928"/>
      <c r="AG172" s="928"/>
      <c r="AH172" s="928"/>
      <c r="AI172" s="928"/>
      <c r="AJ172" s="928"/>
      <c r="AK172" s="928"/>
      <c r="AL172" s="928"/>
      <c r="AM172" s="928"/>
      <c r="AN172" s="928"/>
      <c r="AO172" s="928"/>
      <c r="AP172" s="928"/>
      <c r="AQ172" s="928"/>
      <c r="AR172" s="928"/>
      <c r="AS172" s="928"/>
    </row>
    <row r="173" spans="11:45">
      <c r="K173" s="957"/>
      <c r="L173" s="928"/>
      <c r="M173" s="928"/>
      <c r="N173" s="960"/>
      <c r="O173" s="960"/>
      <c r="P173" s="960"/>
      <c r="Q173" s="960"/>
      <c r="R173" s="960"/>
      <c r="S173" s="960"/>
      <c r="T173" s="960"/>
      <c r="U173" s="960"/>
      <c r="V173" s="960"/>
      <c r="W173" s="960"/>
      <c r="X173" s="960"/>
      <c r="Y173" s="960"/>
      <c r="Z173" s="960"/>
      <c r="AA173" s="960"/>
      <c r="AB173" s="928"/>
      <c r="AC173" s="928"/>
      <c r="AD173" s="928"/>
      <c r="AE173" s="928"/>
      <c r="AF173" s="928"/>
      <c r="AG173" s="928"/>
      <c r="AH173" s="928"/>
      <c r="AI173" s="928"/>
      <c r="AJ173" s="928"/>
      <c r="AK173" s="928"/>
      <c r="AL173" s="928"/>
      <c r="AM173" s="928"/>
      <c r="AN173" s="928"/>
      <c r="AO173" s="928"/>
      <c r="AP173" s="928"/>
      <c r="AQ173" s="928"/>
      <c r="AR173" s="928"/>
      <c r="AS173" s="928"/>
    </row>
    <row r="174" spans="11:45">
      <c r="K174" s="957"/>
      <c r="L174" s="928"/>
      <c r="M174" s="928"/>
      <c r="N174" s="960"/>
      <c r="O174" s="960"/>
      <c r="P174" s="960"/>
      <c r="Q174" s="960"/>
      <c r="R174" s="960"/>
      <c r="S174" s="960"/>
      <c r="T174" s="960"/>
      <c r="U174" s="960"/>
      <c r="V174" s="960"/>
      <c r="W174" s="960"/>
      <c r="X174" s="960"/>
      <c r="Y174" s="960"/>
      <c r="Z174" s="960"/>
      <c r="AA174" s="960"/>
      <c r="AB174" s="928"/>
      <c r="AC174" s="928"/>
      <c r="AD174" s="928"/>
      <c r="AE174" s="928"/>
      <c r="AF174" s="928"/>
      <c r="AG174" s="928"/>
      <c r="AH174" s="928"/>
      <c r="AI174" s="928"/>
      <c r="AJ174" s="928"/>
      <c r="AK174" s="928"/>
      <c r="AL174" s="928"/>
      <c r="AM174" s="928"/>
      <c r="AN174" s="928"/>
      <c r="AO174" s="928"/>
      <c r="AP174" s="928"/>
      <c r="AQ174" s="928"/>
      <c r="AR174" s="928"/>
      <c r="AS174" s="928"/>
    </row>
    <row r="175" spans="11:45">
      <c r="K175" s="957"/>
      <c r="L175" s="928"/>
      <c r="M175" s="928"/>
      <c r="N175" s="960"/>
      <c r="O175" s="960"/>
      <c r="P175" s="960"/>
      <c r="Q175" s="960"/>
      <c r="R175" s="960"/>
      <c r="S175" s="960"/>
      <c r="T175" s="960"/>
      <c r="U175" s="960"/>
      <c r="V175" s="960"/>
      <c r="W175" s="960"/>
      <c r="X175" s="960"/>
      <c r="Y175" s="960"/>
      <c r="Z175" s="960"/>
      <c r="AA175" s="960"/>
      <c r="AB175" s="928"/>
      <c r="AC175" s="928"/>
      <c r="AD175" s="928"/>
      <c r="AE175" s="928"/>
      <c r="AF175" s="928"/>
      <c r="AG175" s="928"/>
      <c r="AH175" s="928"/>
      <c r="AI175" s="928"/>
      <c r="AJ175" s="928"/>
      <c r="AK175" s="928"/>
      <c r="AL175" s="928"/>
      <c r="AM175" s="928"/>
      <c r="AN175" s="928"/>
      <c r="AO175" s="928"/>
      <c r="AP175" s="928"/>
      <c r="AQ175" s="928"/>
      <c r="AR175" s="928"/>
      <c r="AS175" s="928"/>
    </row>
    <row r="176" spans="11:45">
      <c r="K176" s="957"/>
      <c r="L176" s="928"/>
      <c r="M176" s="928"/>
      <c r="N176" s="960"/>
      <c r="O176" s="960"/>
      <c r="P176" s="960"/>
      <c r="Q176" s="960"/>
      <c r="R176" s="960"/>
      <c r="S176" s="960"/>
      <c r="T176" s="960"/>
      <c r="U176" s="960"/>
      <c r="V176" s="960"/>
      <c r="W176" s="960"/>
      <c r="X176" s="960"/>
      <c r="Y176" s="960"/>
      <c r="Z176" s="960"/>
      <c r="AA176" s="960"/>
      <c r="AB176" s="928"/>
      <c r="AC176" s="928"/>
      <c r="AD176" s="928"/>
      <c r="AE176" s="928"/>
      <c r="AF176" s="928"/>
      <c r="AG176" s="928"/>
      <c r="AH176" s="928"/>
      <c r="AI176" s="928"/>
      <c r="AJ176" s="928"/>
      <c r="AK176" s="928"/>
      <c r="AL176" s="928"/>
      <c r="AM176" s="928"/>
      <c r="AN176" s="928"/>
      <c r="AO176" s="928"/>
      <c r="AP176" s="928"/>
      <c r="AQ176" s="928"/>
      <c r="AR176" s="928"/>
      <c r="AS176" s="928"/>
    </row>
    <row r="177" spans="11:45">
      <c r="K177" s="957"/>
      <c r="L177" s="928"/>
      <c r="M177" s="928"/>
      <c r="N177" s="960"/>
      <c r="O177" s="960"/>
      <c r="P177" s="960"/>
      <c r="Q177" s="960"/>
      <c r="R177" s="960"/>
      <c r="S177" s="960"/>
      <c r="T177" s="960"/>
      <c r="U177" s="960"/>
      <c r="V177" s="960"/>
      <c r="W177" s="960"/>
      <c r="X177" s="960"/>
      <c r="Y177" s="960"/>
      <c r="Z177" s="960"/>
      <c r="AA177" s="960"/>
      <c r="AB177" s="928"/>
      <c r="AC177" s="928"/>
      <c r="AD177" s="928"/>
      <c r="AE177" s="928"/>
      <c r="AF177" s="928"/>
      <c r="AG177" s="928"/>
      <c r="AH177" s="928"/>
      <c r="AI177" s="928"/>
      <c r="AJ177" s="928"/>
      <c r="AK177" s="928"/>
      <c r="AL177" s="928"/>
      <c r="AM177" s="928"/>
      <c r="AN177" s="928"/>
      <c r="AO177" s="928"/>
      <c r="AP177" s="928"/>
      <c r="AQ177" s="928"/>
      <c r="AR177" s="928"/>
      <c r="AS177" s="928"/>
    </row>
    <row r="178" spans="11:45">
      <c r="K178" s="957"/>
      <c r="L178" s="928"/>
      <c r="M178" s="928"/>
      <c r="N178" s="960"/>
      <c r="O178" s="960"/>
      <c r="P178" s="960"/>
      <c r="Q178" s="960"/>
      <c r="R178" s="960"/>
      <c r="S178" s="960"/>
      <c r="T178" s="960"/>
      <c r="U178" s="960"/>
      <c r="V178" s="960"/>
      <c r="W178" s="960"/>
      <c r="X178" s="960"/>
      <c r="Y178" s="960"/>
      <c r="Z178" s="960"/>
      <c r="AA178" s="960"/>
      <c r="AB178" s="928"/>
      <c r="AC178" s="928"/>
      <c r="AD178" s="928"/>
      <c r="AE178" s="928"/>
      <c r="AF178" s="928"/>
      <c r="AG178" s="928"/>
      <c r="AH178" s="928"/>
      <c r="AI178" s="928"/>
      <c r="AJ178" s="928"/>
      <c r="AK178" s="928"/>
      <c r="AL178" s="928"/>
      <c r="AM178" s="928"/>
      <c r="AN178" s="928"/>
      <c r="AO178" s="928"/>
      <c r="AP178" s="928"/>
      <c r="AQ178" s="928"/>
      <c r="AR178" s="928"/>
      <c r="AS178" s="928"/>
    </row>
    <row r="179" spans="11:45">
      <c r="K179" s="957"/>
      <c r="L179" s="928"/>
      <c r="M179" s="928"/>
      <c r="N179" s="960"/>
      <c r="O179" s="960"/>
      <c r="P179" s="960"/>
      <c r="Q179" s="960"/>
      <c r="R179" s="960"/>
      <c r="S179" s="960"/>
      <c r="T179" s="960"/>
      <c r="U179" s="960"/>
      <c r="V179" s="960"/>
      <c r="W179" s="960"/>
      <c r="X179" s="960"/>
      <c r="Y179" s="960"/>
      <c r="Z179" s="960"/>
      <c r="AA179" s="960"/>
      <c r="AB179" s="928"/>
      <c r="AC179" s="928"/>
      <c r="AD179" s="928"/>
      <c r="AE179" s="928"/>
      <c r="AF179" s="928"/>
      <c r="AG179" s="928"/>
      <c r="AH179" s="928"/>
      <c r="AI179" s="928"/>
      <c r="AJ179" s="928"/>
      <c r="AK179" s="928"/>
      <c r="AL179" s="928"/>
      <c r="AM179" s="928"/>
      <c r="AN179" s="928"/>
      <c r="AO179" s="928"/>
      <c r="AP179" s="928"/>
      <c r="AQ179" s="928"/>
      <c r="AR179" s="928"/>
      <c r="AS179" s="928"/>
    </row>
    <row r="180" spans="11:45">
      <c r="K180" s="957"/>
      <c r="L180" s="928"/>
      <c r="M180" s="928"/>
      <c r="N180" s="960"/>
      <c r="O180" s="960"/>
      <c r="P180" s="960"/>
      <c r="Q180" s="960"/>
      <c r="R180" s="960"/>
      <c r="S180" s="960"/>
      <c r="T180" s="960"/>
      <c r="U180" s="960"/>
      <c r="V180" s="960"/>
      <c r="W180" s="960"/>
      <c r="X180" s="960"/>
      <c r="Y180" s="960"/>
      <c r="Z180" s="960"/>
      <c r="AA180" s="960"/>
      <c r="AB180" s="928"/>
      <c r="AC180" s="928"/>
      <c r="AD180" s="928"/>
      <c r="AE180" s="928"/>
      <c r="AF180" s="928"/>
      <c r="AG180" s="928"/>
      <c r="AH180" s="928"/>
      <c r="AI180" s="928"/>
      <c r="AJ180" s="928"/>
      <c r="AK180" s="928"/>
      <c r="AL180" s="928"/>
      <c r="AM180" s="928"/>
      <c r="AN180" s="928"/>
      <c r="AO180" s="928"/>
      <c r="AP180" s="928"/>
      <c r="AQ180" s="928"/>
      <c r="AR180" s="928"/>
      <c r="AS180" s="928"/>
    </row>
    <row r="181" spans="11:45">
      <c r="K181" s="957"/>
      <c r="L181" s="928"/>
      <c r="M181" s="928"/>
      <c r="N181" s="960"/>
      <c r="O181" s="960"/>
      <c r="P181" s="960"/>
      <c r="Q181" s="960"/>
      <c r="R181" s="960"/>
      <c r="S181" s="960"/>
      <c r="T181" s="960"/>
      <c r="U181" s="960"/>
      <c r="V181" s="960"/>
      <c r="W181" s="960"/>
      <c r="X181" s="960"/>
      <c r="Y181" s="960"/>
      <c r="Z181" s="960"/>
      <c r="AA181" s="960"/>
      <c r="AB181" s="928"/>
      <c r="AC181" s="928"/>
      <c r="AD181" s="928"/>
      <c r="AE181" s="928"/>
      <c r="AF181" s="928"/>
      <c r="AG181" s="928"/>
      <c r="AH181" s="928"/>
      <c r="AI181" s="928"/>
      <c r="AJ181" s="928"/>
      <c r="AK181" s="928"/>
      <c r="AL181" s="928"/>
      <c r="AM181" s="928"/>
      <c r="AN181" s="928"/>
      <c r="AO181" s="928"/>
      <c r="AP181" s="928"/>
      <c r="AQ181" s="928"/>
      <c r="AR181" s="928"/>
      <c r="AS181" s="928"/>
    </row>
    <row r="182" spans="11:45">
      <c r="K182" s="957"/>
      <c r="L182" s="928"/>
      <c r="M182" s="928"/>
      <c r="N182" s="960"/>
      <c r="O182" s="960"/>
      <c r="P182" s="960"/>
      <c r="Q182" s="960"/>
      <c r="R182" s="960"/>
      <c r="S182" s="960"/>
      <c r="T182" s="960"/>
      <c r="U182" s="960"/>
      <c r="V182" s="960"/>
      <c r="W182" s="960"/>
      <c r="X182" s="960"/>
      <c r="Y182" s="960"/>
      <c r="Z182" s="960"/>
      <c r="AA182" s="960"/>
      <c r="AB182" s="928"/>
      <c r="AC182" s="928"/>
      <c r="AD182" s="928"/>
      <c r="AE182" s="928"/>
      <c r="AF182" s="928"/>
      <c r="AG182" s="928"/>
      <c r="AH182" s="928"/>
      <c r="AI182" s="928"/>
      <c r="AJ182" s="928"/>
      <c r="AK182" s="928"/>
      <c r="AL182" s="928"/>
      <c r="AM182" s="928"/>
      <c r="AN182" s="928"/>
      <c r="AO182" s="928"/>
      <c r="AP182" s="928"/>
      <c r="AQ182" s="928"/>
      <c r="AR182" s="928"/>
      <c r="AS182" s="928"/>
    </row>
    <row r="183" spans="11:45">
      <c r="K183" s="957"/>
      <c r="L183" s="928"/>
      <c r="M183" s="928"/>
      <c r="N183" s="960"/>
      <c r="O183" s="960"/>
      <c r="P183" s="960"/>
      <c r="Q183" s="960"/>
      <c r="R183" s="960"/>
      <c r="S183" s="960"/>
      <c r="T183" s="960"/>
      <c r="U183" s="960"/>
      <c r="V183" s="960"/>
      <c r="W183" s="960"/>
      <c r="X183" s="960"/>
      <c r="Y183" s="960"/>
      <c r="Z183" s="960"/>
      <c r="AA183" s="960"/>
      <c r="AB183" s="928"/>
      <c r="AC183" s="928"/>
      <c r="AD183" s="928"/>
      <c r="AE183" s="928"/>
      <c r="AF183" s="928"/>
      <c r="AG183" s="928"/>
      <c r="AH183" s="928"/>
      <c r="AI183" s="928"/>
      <c r="AJ183" s="928"/>
      <c r="AK183" s="928"/>
      <c r="AL183" s="928"/>
      <c r="AM183" s="928"/>
      <c r="AN183" s="928"/>
      <c r="AO183" s="928"/>
      <c r="AP183" s="928"/>
      <c r="AQ183" s="928"/>
      <c r="AR183" s="928"/>
      <c r="AS183" s="928"/>
    </row>
    <row r="184" spans="11:45">
      <c r="K184" s="957"/>
      <c r="L184" s="928"/>
      <c r="M184" s="928"/>
      <c r="N184" s="960"/>
      <c r="O184" s="960"/>
      <c r="P184" s="960"/>
      <c r="Q184" s="960"/>
      <c r="R184" s="960"/>
      <c r="S184" s="960"/>
      <c r="T184" s="960"/>
      <c r="U184" s="960"/>
      <c r="V184" s="960"/>
      <c r="W184" s="960"/>
      <c r="X184" s="960"/>
      <c r="Y184" s="960"/>
      <c r="Z184" s="960"/>
      <c r="AA184" s="960"/>
      <c r="AB184" s="928"/>
      <c r="AC184" s="928"/>
      <c r="AD184" s="928"/>
      <c r="AE184" s="928"/>
      <c r="AF184" s="928"/>
      <c r="AG184" s="928"/>
      <c r="AH184" s="928"/>
      <c r="AI184" s="928"/>
      <c r="AJ184" s="928"/>
      <c r="AK184" s="928"/>
      <c r="AL184" s="928"/>
      <c r="AM184" s="928"/>
      <c r="AN184" s="928"/>
      <c r="AO184" s="928"/>
      <c r="AP184" s="928"/>
      <c r="AQ184" s="928"/>
      <c r="AR184" s="928"/>
      <c r="AS184" s="928"/>
    </row>
    <row r="185" spans="11:45">
      <c r="K185" s="957"/>
      <c r="L185" s="928"/>
      <c r="M185" s="928"/>
      <c r="N185" s="960"/>
      <c r="O185" s="960"/>
      <c r="P185" s="960"/>
      <c r="Q185" s="960"/>
      <c r="R185" s="960"/>
      <c r="S185" s="960"/>
      <c r="T185" s="960"/>
      <c r="U185" s="960"/>
      <c r="V185" s="960"/>
      <c r="W185" s="960"/>
      <c r="X185" s="960"/>
      <c r="Y185" s="960"/>
      <c r="Z185" s="960"/>
      <c r="AA185" s="960"/>
      <c r="AB185" s="928"/>
      <c r="AC185" s="928"/>
      <c r="AD185" s="928"/>
      <c r="AE185" s="928"/>
      <c r="AF185" s="928"/>
      <c r="AG185" s="928"/>
      <c r="AH185" s="928"/>
      <c r="AI185" s="928"/>
      <c r="AJ185" s="928"/>
      <c r="AK185" s="928"/>
      <c r="AL185" s="928"/>
      <c r="AM185" s="928"/>
      <c r="AN185" s="928"/>
      <c r="AO185" s="928"/>
      <c r="AP185" s="928"/>
      <c r="AQ185" s="928"/>
      <c r="AR185" s="928"/>
      <c r="AS185" s="928"/>
    </row>
    <row r="186" spans="11:45">
      <c r="K186" s="957"/>
      <c r="L186" s="928"/>
      <c r="M186" s="928"/>
      <c r="N186" s="960"/>
      <c r="O186" s="960"/>
      <c r="P186" s="960"/>
      <c r="Q186" s="960"/>
      <c r="R186" s="960"/>
      <c r="S186" s="960"/>
      <c r="T186" s="960"/>
      <c r="U186" s="960"/>
      <c r="V186" s="960"/>
      <c r="W186" s="960"/>
      <c r="X186" s="960"/>
      <c r="Y186" s="960"/>
      <c r="Z186" s="960"/>
      <c r="AA186" s="960"/>
      <c r="AB186" s="928"/>
      <c r="AC186" s="928"/>
      <c r="AD186" s="928"/>
      <c r="AE186" s="928"/>
      <c r="AF186" s="928"/>
      <c r="AG186" s="928"/>
      <c r="AH186" s="928"/>
      <c r="AI186" s="928"/>
      <c r="AJ186" s="928"/>
      <c r="AK186" s="928"/>
      <c r="AL186" s="928"/>
      <c r="AM186" s="928"/>
      <c r="AN186" s="928"/>
      <c r="AO186" s="928"/>
      <c r="AP186" s="928"/>
      <c r="AQ186" s="928"/>
      <c r="AR186" s="928"/>
      <c r="AS186" s="928"/>
    </row>
    <row r="187" spans="11:45">
      <c r="K187" s="957"/>
      <c r="L187" s="928"/>
      <c r="M187" s="928"/>
      <c r="N187" s="960"/>
      <c r="O187" s="960"/>
      <c r="P187" s="960"/>
      <c r="Q187" s="960"/>
      <c r="R187" s="960"/>
      <c r="S187" s="960"/>
      <c r="T187" s="960"/>
      <c r="U187" s="960"/>
      <c r="V187" s="960"/>
      <c r="W187" s="960"/>
      <c r="X187" s="960"/>
      <c r="Y187" s="960"/>
      <c r="Z187" s="960"/>
      <c r="AA187" s="960"/>
      <c r="AB187" s="928"/>
      <c r="AC187" s="928"/>
      <c r="AD187" s="928"/>
      <c r="AE187" s="928"/>
      <c r="AF187" s="928"/>
      <c r="AG187" s="928"/>
      <c r="AH187" s="928"/>
      <c r="AI187" s="928"/>
      <c r="AJ187" s="928"/>
      <c r="AK187" s="928"/>
      <c r="AL187" s="928"/>
      <c r="AM187" s="928"/>
      <c r="AN187" s="928"/>
      <c r="AO187" s="928"/>
      <c r="AP187" s="928"/>
      <c r="AQ187" s="928"/>
      <c r="AR187" s="928"/>
      <c r="AS187" s="928"/>
    </row>
    <row r="188" spans="11:45">
      <c r="K188" s="957"/>
      <c r="L188" s="928"/>
      <c r="M188" s="928"/>
      <c r="N188" s="960"/>
      <c r="O188" s="960"/>
      <c r="P188" s="960"/>
      <c r="Q188" s="960"/>
      <c r="R188" s="960"/>
      <c r="S188" s="960"/>
      <c r="T188" s="960"/>
      <c r="U188" s="960"/>
      <c r="V188" s="960"/>
      <c r="W188" s="960"/>
      <c r="X188" s="960"/>
      <c r="Y188" s="960"/>
      <c r="Z188" s="960"/>
      <c r="AA188" s="960"/>
      <c r="AB188" s="928"/>
      <c r="AC188" s="928"/>
      <c r="AD188" s="928"/>
      <c r="AE188" s="928"/>
      <c r="AF188" s="928"/>
      <c r="AG188" s="928"/>
      <c r="AH188" s="928"/>
      <c r="AI188" s="928"/>
      <c r="AJ188" s="928"/>
      <c r="AK188" s="928"/>
      <c r="AL188" s="928"/>
      <c r="AM188" s="928"/>
      <c r="AN188" s="928"/>
      <c r="AO188" s="928"/>
      <c r="AP188" s="928"/>
      <c r="AQ188" s="928"/>
      <c r="AR188" s="928"/>
      <c r="AS188" s="928"/>
    </row>
    <row r="189" spans="11:45">
      <c r="K189" s="957"/>
      <c r="L189" s="928"/>
      <c r="M189" s="928"/>
      <c r="N189" s="960"/>
      <c r="O189" s="960"/>
      <c r="P189" s="960"/>
      <c r="Q189" s="960"/>
      <c r="R189" s="960"/>
      <c r="S189" s="960"/>
      <c r="T189" s="960"/>
      <c r="U189" s="960"/>
      <c r="V189" s="960"/>
      <c r="W189" s="960"/>
      <c r="X189" s="960"/>
      <c r="Y189" s="960"/>
      <c r="Z189" s="960"/>
      <c r="AA189" s="960"/>
      <c r="AB189" s="928"/>
      <c r="AC189" s="928"/>
      <c r="AD189" s="928"/>
      <c r="AE189" s="928"/>
      <c r="AF189" s="928"/>
      <c r="AG189" s="928"/>
      <c r="AH189" s="928"/>
      <c r="AI189" s="928"/>
      <c r="AJ189" s="928"/>
      <c r="AK189" s="928"/>
      <c r="AL189" s="928"/>
      <c r="AM189" s="928"/>
      <c r="AN189" s="928"/>
      <c r="AO189" s="928"/>
      <c r="AP189" s="928"/>
      <c r="AQ189" s="928"/>
      <c r="AR189" s="928"/>
      <c r="AS189" s="928"/>
    </row>
    <row r="190" spans="11:45">
      <c r="K190" s="957"/>
      <c r="L190" s="928"/>
      <c r="M190" s="928"/>
      <c r="N190" s="960"/>
      <c r="O190" s="960"/>
      <c r="P190" s="960"/>
      <c r="Q190" s="960"/>
      <c r="R190" s="960"/>
      <c r="S190" s="960"/>
      <c r="T190" s="960"/>
      <c r="U190" s="960"/>
      <c r="V190" s="960"/>
      <c r="W190" s="960"/>
      <c r="X190" s="960"/>
      <c r="Y190" s="960"/>
      <c r="Z190" s="960"/>
      <c r="AA190" s="960"/>
      <c r="AB190" s="928"/>
      <c r="AC190" s="928"/>
      <c r="AD190" s="928"/>
      <c r="AE190" s="928"/>
      <c r="AF190" s="928"/>
      <c r="AG190" s="928"/>
      <c r="AH190" s="928"/>
      <c r="AI190" s="928"/>
      <c r="AJ190" s="928"/>
      <c r="AK190" s="928"/>
      <c r="AL190" s="928"/>
      <c r="AM190" s="928"/>
      <c r="AN190" s="928"/>
      <c r="AO190" s="928"/>
      <c r="AP190" s="928"/>
      <c r="AQ190" s="928"/>
      <c r="AR190" s="928"/>
      <c r="AS190" s="928"/>
    </row>
    <row r="191" spans="11:45">
      <c r="K191" s="957"/>
      <c r="L191" s="928"/>
      <c r="M191" s="928"/>
      <c r="N191" s="960"/>
      <c r="O191" s="960"/>
      <c r="P191" s="960"/>
      <c r="Q191" s="960"/>
      <c r="R191" s="960"/>
      <c r="S191" s="960"/>
      <c r="T191" s="960"/>
      <c r="U191" s="960"/>
      <c r="V191" s="960"/>
      <c r="W191" s="960"/>
      <c r="X191" s="960"/>
      <c r="Y191" s="960"/>
      <c r="Z191" s="960"/>
      <c r="AA191" s="960"/>
      <c r="AB191" s="928"/>
      <c r="AC191" s="928"/>
      <c r="AD191" s="928"/>
      <c r="AE191" s="928"/>
      <c r="AF191" s="928"/>
      <c r="AG191" s="928"/>
      <c r="AH191" s="928"/>
      <c r="AI191" s="928"/>
      <c r="AJ191" s="928"/>
      <c r="AK191" s="928"/>
      <c r="AL191" s="928"/>
      <c r="AM191" s="928"/>
      <c r="AN191" s="928"/>
      <c r="AO191" s="928"/>
      <c r="AP191" s="928"/>
      <c r="AQ191" s="928"/>
      <c r="AR191" s="928"/>
      <c r="AS191" s="928"/>
    </row>
    <row r="192" spans="11:45">
      <c r="K192" s="957"/>
      <c r="L192" s="928"/>
      <c r="M192" s="928"/>
      <c r="N192" s="960"/>
      <c r="O192" s="960"/>
      <c r="P192" s="960"/>
      <c r="Q192" s="960"/>
      <c r="R192" s="960"/>
      <c r="S192" s="960"/>
      <c r="T192" s="960"/>
      <c r="U192" s="960"/>
      <c r="V192" s="960"/>
      <c r="W192" s="960"/>
      <c r="X192" s="960"/>
      <c r="Y192" s="960"/>
      <c r="Z192" s="960"/>
      <c r="AA192" s="960"/>
      <c r="AB192" s="928"/>
      <c r="AC192" s="928"/>
      <c r="AD192" s="928"/>
      <c r="AE192" s="928"/>
      <c r="AF192" s="928"/>
      <c r="AG192" s="928"/>
      <c r="AH192" s="928"/>
      <c r="AI192" s="928"/>
      <c r="AJ192" s="928"/>
      <c r="AK192" s="928"/>
      <c r="AL192" s="928"/>
      <c r="AM192" s="928"/>
      <c r="AN192" s="928"/>
      <c r="AO192" s="928"/>
      <c r="AP192" s="928"/>
      <c r="AQ192" s="928"/>
      <c r="AR192" s="928"/>
      <c r="AS192" s="928"/>
    </row>
    <row r="193" spans="11:45">
      <c r="K193" s="957"/>
      <c r="L193" s="928"/>
      <c r="M193" s="928"/>
      <c r="N193" s="960"/>
      <c r="O193" s="960"/>
      <c r="P193" s="960"/>
      <c r="Q193" s="960"/>
      <c r="R193" s="960"/>
      <c r="S193" s="960"/>
      <c r="T193" s="960"/>
      <c r="U193" s="960"/>
      <c r="V193" s="960"/>
      <c r="W193" s="960"/>
      <c r="X193" s="960"/>
      <c r="Y193" s="960"/>
      <c r="Z193" s="960"/>
      <c r="AA193" s="960"/>
      <c r="AB193" s="928"/>
      <c r="AC193" s="928"/>
      <c r="AD193" s="928"/>
      <c r="AE193" s="928"/>
      <c r="AF193" s="928"/>
      <c r="AG193" s="928"/>
      <c r="AH193" s="928"/>
      <c r="AI193" s="928"/>
      <c r="AJ193" s="928"/>
      <c r="AK193" s="928"/>
      <c r="AL193" s="928"/>
      <c r="AM193" s="928"/>
      <c r="AN193" s="928"/>
      <c r="AO193" s="928"/>
      <c r="AP193" s="928"/>
      <c r="AQ193" s="928"/>
      <c r="AR193" s="928"/>
      <c r="AS193" s="928"/>
    </row>
    <row r="194" spans="11:45">
      <c r="K194" s="957"/>
      <c r="L194" s="928"/>
      <c r="M194" s="928"/>
      <c r="N194" s="960"/>
      <c r="O194" s="960"/>
      <c r="P194" s="960"/>
      <c r="Q194" s="960"/>
      <c r="R194" s="960"/>
      <c r="S194" s="960"/>
      <c r="T194" s="960"/>
      <c r="U194" s="960"/>
      <c r="V194" s="960"/>
      <c r="W194" s="960"/>
      <c r="X194" s="960"/>
      <c r="Y194" s="960"/>
      <c r="Z194" s="960"/>
      <c r="AA194" s="960"/>
      <c r="AB194" s="928"/>
      <c r="AC194" s="928"/>
      <c r="AD194" s="928"/>
      <c r="AE194" s="928"/>
      <c r="AF194" s="928"/>
      <c r="AG194" s="928"/>
      <c r="AH194" s="928"/>
      <c r="AI194" s="928"/>
      <c r="AJ194" s="928"/>
      <c r="AK194" s="928"/>
      <c r="AL194" s="928"/>
      <c r="AM194" s="928"/>
      <c r="AN194" s="928"/>
      <c r="AO194" s="928"/>
      <c r="AP194" s="928"/>
      <c r="AQ194" s="928"/>
      <c r="AR194" s="928"/>
      <c r="AS194" s="928"/>
    </row>
    <row r="195" spans="11:45">
      <c r="K195" s="957"/>
      <c r="L195" s="928"/>
      <c r="M195" s="928"/>
      <c r="N195" s="960"/>
      <c r="O195" s="960"/>
      <c r="P195" s="960"/>
      <c r="Q195" s="960"/>
      <c r="R195" s="960"/>
      <c r="S195" s="960"/>
      <c r="T195" s="960"/>
      <c r="U195" s="960"/>
      <c r="V195" s="960"/>
      <c r="W195" s="960"/>
      <c r="X195" s="960"/>
      <c r="Y195" s="960"/>
      <c r="Z195" s="960"/>
      <c r="AA195" s="960"/>
      <c r="AB195" s="928"/>
      <c r="AC195" s="928"/>
      <c r="AD195" s="928"/>
      <c r="AE195" s="928"/>
      <c r="AF195" s="928"/>
      <c r="AG195" s="928"/>
      <c r="AH195" s="928"/>
      <c r="AI195" s="928"/>
      <c r="AJ195" s="928"/>
      <c r="AK195" s="928"/>
      <c r="AL195" s="928"/>
      <c r="AM195" s="928"/>
      <c r="AN195" s="928"/>
      <c r="AO195" s="928"/>
      <c r="AP195" s="928"/>
      <c r="AQ195" s="928"/>
      <c r="AR195" s="928"/>
      <c r="AS195" s="928"/>
    </row>
    <row r="196" spans="11:45">
      <c r="K196" s="957"/>
      <c r="L196" s="928"/>
      <c r="M196" s="928"/>
      <c r="N196" s="960"/>
      <c r="O196" s="960"/>
      <c r="P196" s="960"/>
      <c r="Q196" s="960"/>
      <c r="R196" s="960"/>
      <c r="S196" s="960"/>
      <c r="T196" s="960"/>
      <c r="U196" s="960"/>
      <c r="V196" s="960"/>
      <c r="W196" s="960"/>
      <c r="X196" s="960"/>
      <c r="Y196" s="960"/>
      <c r="Z196" s="960"/>
      <c r="AA196" s="960"/>
      <c r="AB196" s="928"/>
      <c r="AC196" s="928"/>
      <c r="AD196" s="928"/>
      <c r="AE196" s="928"/>
      <c r="AF196" s="928"/>
      <c r="AG196" s="928"/>
      <c r="AH196" s="928"/>
      <c r="AI196" s="928"/>
      <c r="AJ196" s="928"/>
      <c r="AK196" s="928"/>
      <c r="AL196" s="928"/>
      <c r="AM196" s="928"/>
      <c r="AN196" s="928"/>
      <c r="AO196" s="928"/>
      <c r="AP196" s="928"/>
      <c r="AQ196" s="928"/>
      <c r="AR196" s="928"/>
      <c r="AS196" s="928"/>
    </row>
    <row r="197" spans="11:45">
      <c r="K197" s="957"/>
      <c r="L197" s="928"/>
      <c r="M197" s="928"/>
      <c r="N197" s="960"/>
      <c r="O197" s="960"/>
      <c r="P197" s="960"/>
      <c r="Q197" s="960"/>
      <c r="R197" s="960"/>
      <c r="S197" s="960"/>
      <c r="T197" s="960"/>
      <c r="U197" s="960"/>
      <c r="V197" s="960"/>
      <c r="W197" s="960"/>
      <c r="X197" s="960"/>
      <c r="Y197" s="960"/>
      <c r="Z197" s="960"/>
      <c r="AA197" s="960"/>
      <c r="AB197" s="928"/>
      <c r="AC197" s="928"/>
      <c r="AD197" s="928"/>
      <c r="AE197" s="928"/>
      <c r="AF197" s="928"/>
      <c r="AG197" s="928"/>
      <c r="AH197" s="928"/>
      <c r="AI197" s="928"/>
      <c r="AJ197" s="928"/>
      <c r="AK197" s="928"/>
      <c r="AL197" s="928"/>
      <c r="AM197" s="928"/>
      <c r="AN197" s="928"/>
      <c r="AO197" s="928"/>
      <c r="AP197" s="928"/>
      <c r="AQ197" s="928"/>
      <c r="AR197" s="928"/>
      <c r="AS197" s="928"/>
    </row>
    <row r="198" spans="11:45">
      <c r="K198" s="957"/>
      <c r="L198" s="928"/>
      <c r="M198" s="928"/>
      <c r="N198" s="960"/>
      <c r="O198" s="960"/>
      <c r="P198" s="960"/>
      <c r="Q198" s="960"/>
      <c r="R198" s="960"/>
      <c r="S198" s="960"/>
      <c r="T198" s="960"/>
      <c r="U198" s="960"/>
      <c r="V198" s="960"/>
      <c r="W198" s="960"/>
      <c r="X198" s="960"/>
      <c r="Y198" s="960"/>
      <c r="Z198" s="960"/>
      <c r="AA198" s="960"/>
      <c r="AB198" s="928"/>
      <c r="AC198" s="928"/>
      <c r="AD198" s="928"/>
      <c r="AE198" s="928"/>
      <c r="AF198" s="928"/>
      <c r="AG198" s="928"/>
      <c r="AH198" s="928"/>
      <c r="AI198" s="928"/>
      <c r="AJ198" s="928"/>
      <c r="AK198" s="928"/>
      <c r="AL198" s="928"/>
      <c r="AM198" s="928"/>
      <c r="AN198" s="928"/>
      <c r="AO198" s="928"/>
      <c r="AP198" s="928"/>
      <c r="AQ198" s="928"/>
      <c r="AR198" s="928"/>
      <c r="AS198" s="928"/>
    </row>
    <row r="199" spans="11:45">
      <c r="K199" s="957"/>
      <c r="L199" s="928"/>
      <c r="M199" s="928"/>
      <c r="N199" s="960"/>
      <c r="O199" s="960"/>
      <c r="P199" s="960"/>
      <c r="Q199" s="960"/>
      <c r="R199" s="960"/>
      <c r="S199" s="960"/>
      <c r="T199" s="960"/>
      <c r="U199" s="960"/>
      <c r="V199" s="960"/>
      <c r="W199" s="960"/>
      <c r="X199" s="960"/>
      <c r="Y199" s="960"/>
      <c r="Z199" s="960"/>
      <c r="AA199" s="960"/>
      <c r="AB199" s="928"/>
      <c r="AC199" s="928"/>
      <c r="AD199" s="928"/>
      <c r="AE199" s="928"/>
      <c r="AF199" s="928"/>
      <c r="AG199" s="928"/>
      <c r="AH199" s="928"/>
      <c r="AI199" s="928"/>
      <c r="AJ199" s="928"/>
      <c r="AK199" s="928"/>
      <c r="AL199" s="928"/>
      <c r="AM199" s="928"/>
      <c r="AN199" s="928"/>
      <c r="AO199" s="928"/>
      <c r="AP199" s="928"/>
      <c r="AQ199" s="928"/>
      <c r="AR199" s="928"/>
      <c r="AS199" s="928"/>
    </row>
    <row r="200" spans="11:45">
      <c r="K200" s="957"/>
      <c r="L200" s="928"/>
      <c r="M200" s="928"/>
      <c r="N200" s="960"/>
      <c r="O200" s="960"/>
      <c r="P200" s="960"/>
      <c r="Q200" s="960"/>
      <c r="R200" s="960"/>
      <c r="S200" s="960"/>
      <c r="T200" s="960"/>
      <c r="U200" s="960"/>
      <c r="V200" s="960"/>
      <c r="W200" s="960"/>
      <c r="X200" s="960"/>
      <c r="Y200" s="960"/>
      <c r="Z200" s="960"/>
      <c r="AA200" s="960"/>
      <c r="AB200" s="928"/>
      <c r="AC200" s="928"/>
      <c r="AD200" s="928"/>
      <c r="AE200" s="928"/>
      <c r="AF200" s="928"/>
      <c r="AG200" s="928"/>
      <c r="AH200" s="928"/>
      <c r="AI200" s="928"/>
      <c r="AJ200" s="928"/>
      <c r="AK200" s="928"/>
      <c r="AL200" s="928"/>
      <c r="AM200" s="928"/>
      <c r="AN200" s="928"/>
      <c r="AO200" s="928"/>
      <c r="AP200" s="928"/>
      <c r="AQ200" s="928"/>
      <c r="AR200" s="928"/>
      <c r="AS200" s="928"/>
    </row>
    <row r="201" spans="11:45">
      <c r="K201" s="957"/>
      <c r="L201" s="928"/>
      <c r="M201" s="928"/>
      <c r="N201" s="960"/>
      <c r="O201" s="960"/>
      <c r="P201" s="960"/>
      <c r="Q201" s="960"/>
      <c r="R201" s="960"/>
      <c r="S201" s="960"/>
      <c r="T201" s="960"/>
      <c r="U201" s="960"/>
      <c r="V201" s="960"/>
      <c r="W201" s="960"/>
      <c r="X201" s="960"/>
      <c r="Y201" s="960"/>
      <c r="Z201" s="960"/>
      <c r="AA201" s="960"/>
      <c r="AB201" s="928"/>
      <c r="AC201" s="928"/>
      <c r="AD201" s="928"/>
      <c r="AE201" s="928"/>
      <c r="AF201" s="928"/>
      <c r="AG201" s="928"/>
      <c r="AH201" s="928"/>
      <c r="AI201" s="928"/>
      <c r="AJ201" s="928"/>
      <c r="AK201" s="928"/>
      <c r="AL201" s="928"/>
      <c r="AM201" s="928"/>
      <c r="AN201" s="928"/>
      <c r="AO201" s="928"/>
      <c r="AP201" s="928"/>
      <c r="AQ201" s="928"/>
      <c r="AR201" s="928"/>
      <c r="AS201" s="928"/>
    </row>
    <row r="202" spans="11:45">
      <c r="K202" s="957"/>
      <c r="L202" s="928"/>
      <c r="M202" s="928"/>
      <c r="N202" s="960"/>
      <c r="O202" s="960"/>
      <c r="P202" s="960"/>
      <c r="Q202" s="960"/>
      <c r="R202" s="960"/>
      <c r="S202" s="960"/>
      <c r="T202" s="960"/>
      <c r="U202" s="960"/>
      <c r="V202" s="960"/>
      <c r="W202" s="960"/>
      <c r="X202" s="960"/>
      <c r="Y202" s="960"/>
      <c r="Z202" s="960"/>
      <c r="AA202" s="960"/>
      <c r="AB202" s="928"/>
      <c r="AC202" s="928"/>
      <c r="AD202" s="928"/>
      <c r="AE202" s="928"/>
      <c r="AF202" s="928"/>
      <c r="AG202" s="928"/>
      <c r="AH202" s="928"/>
      <c r="AI202" s="928"/>
      <c r="AJ202" s="928"/>
      <c r="AK202" s="928"/>
      <c r="AL202" s="928"/>
      <c r="AM202" s="928"/>
      <c r="AN202" s="928"/>
      <c r="AO202" s="928"/>
      <c r="AP202" s="928"/>
      <c r="AQ202" s="928"/>
      <c r="AR202" s="928"/>
      <c r="AS202" s="928"/>
    </row>
    <row r="203" spans="11:45">
      <c r="K203" s="957"/>
      <c r="L203" s="928"/>
      <c r="M203" s="928"/>
      <c r="N203" s="960"/>
      <c r="O203" s="960"/>
      <c r="P203" s="960"/>
      <c r="Q203" s="960"/>
      <c r="R203" s="960"/>
      <c r="S203" s="960"/>
      <c r="T203" s="960"/>
      <c r="U203" s="960"/>
      <c r="V203" s="960"/>
      <c r="W203" s="960"/>
      <c r="X203" s="960"/>
      <c r="Y203" s="960"/>
      <c r="Z203" s="960"/>
      <c r="AA203" s="960"/>
      <c r="AB203" s="928"/>
      <c r="AC203" s="928"/>
      <c r="AD203" s="928"/>
      <c r="AE203" s="928"/>
      <c r="AF203" s="928"/>
      <c r="AG203" s="928"/>
      <c r="AH203" s="928"/>
      <c r="AI203" s="928"/>
      <c r="AJ203" s="928"/>
      <c r="AK203" s="928"/>
      <c r="AL203" s="928"/>
      <c r="AM203" s="928"/>
      <c r="AN203" s="928"/>
      <c r="AO203" s="928"/>
      <c r="AP203" s="928"/>
      <c r="AQ203" s="928"/>
      <c r="AR203" s="928"/>
      <c r="AS203" s="928"/>
    </row>
    <row r="204" spans="11:45">
      <c r="K204" s="957"/>
      <c r="L204" s="928"/>
      <c r="M204" s="928"/>
      <c r="N204" s="960"/>
      <c r="O204" s="960"/>
      <c r="P204" s="960"/>
      <c r="Q204" s="960"/>
      <c r="R204" s="960"/>
      <c r="S204" s="960"/>
      <c r="T204" s="960"/>
      <c r="U204" s="960"/>
      <c r="V204" s="960"/>
      <c r="W204" s="960"/>
      <c r="X204" s="960"/>
      <c r="Y204" s="960"/>
      <c r="Z204" s="960"/>
      <c r="AA204" s="960"/>
      <c r="AB204" s="928"/>
      <c r="AC204" s="928"/>
      <c r="AD204" s="928"/>
      <c r="AE204" s="928"/>
      <c r="AF204" s="928"/>
      <c r="AG204" s="928"/>
      <c r="AH204" s="928"/>
      <c r="AI204" s="928"/>
      <c r="AJ204" s="928"/>
      <c r="AK204" s="928"/>
      <c r="AL204" s="928"/>
      <c r="AM204" s="928"/>
      <c r="AN204" s="928"/>
      <c r="AO204" s="928"/>
      <c r="AP204" s="928"/>
      <c r="AQ204" s="928"/>
      <c r="AR204" s="928"/>
      <c r="AS204" s="928"/>
    </row>
    <row r="205" spans="11:45">
      <c r="K205" s="957"/>
      <c r="L205" s="928"/>
      <c r="M205" s="928"/>
      <c r="N205" s="960"/>
      <c r="O205" s="960"/>
      <c r="P205" s="960"/>
      <c r="Q205" s="960"/>
      <c r="R205" s="960"/>
      <c r="S205" s="960"/>
      <c r="T205" s="960"/>
      <c r="U205" s="960"/>
      <c r="V205" s="960"/>
      <c r="W205" s="960"/>
      <c r="X205" s="960"/>
      <c r="Y205" s="960"/>
      <c r="Z205" s="960"/>
      <c r="AA205" s="960"/>
      <c r="AB205" s="928"/>
      <c r="AC205" s="928"/>
      <c r="AD205" s="928"/>
      <c r="AE205" s="928"/>
      <c r="AF205" s="928"/>
      <c r="AG205" s="928"/>
      <c r="AH205" s="928"/>
      <c r="AI205" s="928"/>
      <c r="AJ205" s="928"/>
      <c r="AK205" s="928"/>
      <c r="AL205" s="928"/>
      <c r="AM205" s="928"/>
      <c r="AN205" s="928"/>
      <c r="AO205" s="928"/>
      <c r="AP205" s="928"/>
      <c r="AQ205" s="928"/>
      <c r="AR205" s="928"/>
      <c r="AS205" s="928"/>
    </row>
    <row r="206" spans="11:45">
      <c r="K206" s="957"/>
      <c r="L206" s="928"/>
      <c r="M206" s="928"/>
      <c r="N206" s="960"/>
      <c r="O206" s="960"/>
      <c r="P206" s="960"/>
      <c r="Q206" s="960"/>
      <c r="R206" s="960"/>
      <c r="S206" s="960"/>
      <c r="T206" s="960"/>
      <c r="U206" s="960"/>
      <c r="V206" s="960"/>
      <c r="W206" s="960"/>
      <c r="X206" s="960"/>
      <c r="Y206" s="960"/>
      <c r="Z206" s="960"/>
      <c r="AA206" s="960"/>
      <c r="AB206" s="928"/>
      <c r="AC206" s="928"/>
      <c r="AD206" s="928"/>
      <c r="AE206" s="928"/>
      <c r="AF206" s="928"/>
      <c r="AG206" s="928"/>
      <c r="AH206" s="928"/>
      <c r="AI206" s="928"/>
      <c r="AJ206" s="928"/>
      <c r="AK206" s="928"/>
      <c r="AL206" s="928"/>
      <c r="AM206" s="928"/>
      <c r="AN206" s="928"/>
      <c r="AO206" s="928"/>
      <c r="AP206" s="928"/>
      <c r="AQ206" s="928"/>
      <c r="AR206" s="928"/>
      <c r="AS206" s="928"/>
    </row>
    <row r="207" spans="11:45">
      <c r="K207" s="957"/>
      <c r="L207" s="928"/>
      <c r="M207" s="928"/>
      <c r="N207" s="960"/>
      <c r="O207" s="960"/>
      <c r="P207" s="960"/>
      <c r="Q207" s="960"/>
      <c r="R207" s="960"/>
      <c r="S207" s="960"/>
      <c r="T207" s="960"/>
      <c r="U207" s="960"/>
      <c r="V207" s="960"/>
      <c r="W207" s="960"/>
      <c r="X207" s="960"/>
      <c r="Y207" s="960"/>
      <c r="Z207" s="960"/>
      <c r="AA207" s="960"/>
      <c r="AB207" s="928"/>
      <c r="AC207" s="928"/>
      <c r="AD207" s="928"/>
      <c r="AE207" s="928"/>
      <c r="AF207" s="928"/>
      <c r="AG207" s="928"/>
      <c r="AH207" s="928"/>
      <c r="AI207" s="928"/>
      <c r="AJ207" s="928"/>
      <c r="AK207" s="928"/>
      <c r="AL207" s="928"/>
      <c r="AM207" s="928"/>
      <c r="AN207" s="928"/>
      <c r="AO207" s="928"/>
      <c r="AP207" s="928"/>
      <c r="AQ207" s="928"/>
      <c r="AR207" s="928"/>
      <c r="AS207" s="928"/>
    </row>
    <row r="208" spans="11:45">
      <c r="K208" s="957"/>
      <c r="L208" s="928"/>
      <c r="M208" s="928"/>
      <c r="N208" s="960"/>
      <c r="O208" s="960"/>
      <c r="P208" s="960"/>
      <c r="Q208" s="960"/>
      <c r="R208" s="960"/>
      <c r="S208" s="960"/>
      <c r="T208" s="960"/>
      <c r="U208" s="960"/>
      <c r="V208" s="960"/>
      <c r="W208" s="960"/>
      <c r="X208" s="960"/>
      <c r="Y208" s="960"/>
      <c r="Z208" s="960"/>
      <c r="AA208" s="960"/>
      <c r="AB208" s="928"/>
      <c r="AC208" s="928"/>
      <c r="AD208" s="928"/>
      <c r="AE208" s="928"/>
      <c r="AF208" s="928"/>
      <c r="AG208" s="928"/>
      <c r="AH208" s="928"/>
      <c r="AI208" s="928"/>
      <c r="AJ208" s="928"/>
      <c r="AK208" s="928"/>
      <c r="AL208" s="928"/>
      <c r="AM208" s="928"/>
      <c r="AN208" s="928"/>
      <c r="AO208" s="928"/>
      <c r="AP208" s="928"/>
      <c r="AQ208" s="928"/>
      <c r="AR208" s="928"/>
      <c r="AS208" s="928"/>
    </row>
    <row r="209" spans="11:45">
      <c r="K209" s="957"/>
      <c r="L209" s="928"/>
      <c r="M209" s="928"/>
      <c r="N209" s="960"/>
      <c r="O209" s="960"/>
      <c r="P209" s="960"/>
      <c r="Q209" s="960"/>
      <c r="R209" s="960"/>
      <c r="S209" s="960"/>
      <c r="T209" s="960"/>
      <c r="U209" s="960"/>
      <c r="V209" s="960"/>
      <c r="W209" s="960"/>
      <c r="X209" s="960"/>
      <c r="Y209" s="960"/>
      <c r="Z209" s="960"/>
      <c r="AA209" s="960"/>
      <c r="AB209" s="928"/>
      <c r="AC209" s="928"/>
      <c r="AD209" s="928"/>
      <c r="AE209" s="928"/>
      <c r="AF209" s="928"/>
      <c r="AG209" s="928"/>
      <c r="AH209" s="928"/>
      <c r="AI209" s="928"/>
      <c r="AJ209" s="928"/>
      <c r="AK209" s="928"/>
      <c r="AL209" s="928"/>
      <c r="AM209" s="928"/>
      <c r="AN209" s="928"/>
      <c r="AO209" s="928"/>
      <c r="AP209" s="928"/>
      <c r="AQ209" s="928"/>
      <c r="AR209" s="928"/>
      <c r="AS209" s="928"/>
    </row>
    <row r="210" spans="11:45">
      <c r="K210" s="957"/>
      <c r="L210" s="928"/>
      <c r="M210" s="928"/>
      <c r="N210" s="960"/>
      <c r="O210" s="960"/>
      <c r="P210" s="960"/>
      <c r="Q210" s="960"/>
      <c r="R210" s="960"/>
      <c r="S210" s="960"/>
      <c r="T210" s="960"/>
      <c r="U210" s="960"/>
      <c r="V210" s="960"/>
      <c r="W210" s="960"/>
      <c r="X210" s="960"/>
      <c r="Y210" s="960"/>
      <c r="Z210" s="960"/>
      <c r="AA210" s="960"/>
      <c r="AB210" s="928"/>
      <c r="AC210" s="928"/>
      <c r="AD210" s="928"/>
      <c r="AE210" s="928"/>
      <c r="AF210" s="928"/>
      <c r="AG210" s="928"/>
      <c r="AH210" s="928"/>
      <c r="AI210" s="928"/>
      <c r="AJ210" s="928"/>
      <c r="AK210" s="928"/>
      <c r="AL210" s="928"/>
      <c r="AM210" s="928"/>
      <c r="AN210" s="928"/>
      <c r="AO210" s="928"/>
      <c r="AP210" s="928"/>
      <c r="AQ210" s="928"/>
      <c r="AR210" s="928"/>
      <c r="AS210" s="928"/>
    </row>
    <row r="211" spans="11:45">
      <c r="K211" s="957"/>
      <c r="L211" s="928"/>
      <c r="M211" s="928"/>
      <c r="N211" s="960"/>
      <c r="O211" s="960"/>
      <c r="P211" s="960"/>
      <c r="Q211" s="960"/>
      <c r="R211" s="960"/>
      <c r="S211" s="960"/>
      <c r="T211" s="960"/>
      <c r="U211" s="960"/>
      <c r="V211" s="960"/>
      <c r="W211" s="960"/>
      <c r="X211" s="960"/>
      <c r="Y211" s="960"/>
      <c r="Z211" s="960"/>
      <c r="AA211" s="960"/>
      <c r="AB211" s="928"/>
      <c r="AC211" s="928"/>
      <c r="AD211" s="928"/>
      <c r="AE211" s="928"/>
      <c r="AF211" s="928"/>
      <c r="AG211" s="928"/>
      <c r="AH211" s="928"/>
      <c r="AI211" s="928"/>
      <c r="AJ211" s="928"/>
      <c r="AK211" s="928"/>
      <c r="AL211" s="928"/>
      <c r="AM211" s="928"/>
      <c r="AN211" s="928"/>
      <c r="AO211" s="928"/>
      <c r="AP211" s="928"/>
      <c r="AQ211" s="928"/>
      <c r="AR211" s="928"/>
      <c r="AS211" s="928"/>
    </row>
    <row r="212" spans="11:45">
      <c r="K212" s="957"/>
      <c r="L212" s="928"/>
      <c r="M212" s="928"/>
      <c r="N212" s="960"/>
      <c r="O212" s="960"/>
      <c r="P212" s="960"/>
      <c r="Q212" s="960"/>
      <c r="R212" s="960"/>
      <c r="S212" s="960"/>
      <c r="T212" s="960"/>
      <c r="U212" s="960"/>
      <c r="V212" s="960"/>
      <c r="W212" s="960"/>
      <c r="X212" s="960"/>
      <c r="Y212" s="960"/>
      <c r="Z212" s="960"/>
      <c r="AA212" s="960"/>
      <c r="AB212" s="928"/>
      <c r="AC212" s="928"/>
      <c r="AD212" s="928"/>
      <c r="AE212" s="928"/>
      <c r="AF212" s="928"/>
      <c r="AG212" s="928"/>
      <c r="AH212" s="928"/>
      <c r="AI212" s="928"/>
      <c r="AJ212" s="928"/>
      <c r="AK212" s="928"/>
      <c r="AL212" s="928"/>
      <c r="AM212" s="928"/>
      <c r="AN212" s="928"/>
      <c r="AO212" s="928"/>
      <c r="AP212" s="928"/>
      <c r="AQ212" s="928"/>
      <c r="AR212" s="928"/>
      <c r="AS212" s="928"/>
    </row>
    <row r="213" spans="11:45">
      <c r="K213" s="957"/>
      <c r="L213" s="928"/>
      <c r="M213" s="928"/>
      <c r="N213" s="960"/>
      <c r="O213" s="960"/>
      <c r="P213" s="960"/>
      <c r="Q213" s="960"/>
      <c r="R213" s="960"/>
      <c r="S213" s="960"/>
      <c r="T213" s="960"/>
      <c r="U213" s="960"/>
      <c r="V213" s="960"/>
      <c r="W213" s="960"/>
      <c r="X213" s="960"/>
      <c r="Y213" s="960"/>
      <c r="Z213" s="960"/>
      <c r="AA213" s="960"/>
      <c r="AB213" s="928"/>
      <c r="AC213" s="928"/>
      <c r="AD213" s="928"/>
      <c r="AE213" s="928"/>
      <c r="AF213" s="928"/>
      <c r="AG213" s="928"/>
      <c r="AH213" s="928"/>
      <c r="AI213" s="928"/>
      <c r="AJ213" s="928"/>
      <c r="AK213" s="928"/>
      <c r="AL213" s="928"/>
      <c r="AM213" s="928"/>
      <c r="AN213" s="928"/>
      <c r="AO213" s="928"/>
      <c r="AP213" s="928"/>
      <c r="AQ213" s="928"/>
      <c r="AR213" s="928"/>
      <c r="AS213" s="928"/>
    </row>
    <row r="214" spans="11:45">
      <c r="K214" s="957"/>
      <c r="L214" s="928"/>
      <c r="M214" s="928"/>
      <c r="N214" s="960"/>
      <c r="O214" s="960"/>
      <c r="P214" s="960"/>
      <c r="Q214" s="960"/>
      <c r="R214" s="960"/>
      <c r="S214" s="960"/>
      <c r="T214" s="960"/>
      <c r="U214" s="960"/>
      <c r="V214" s="960"/>
      <c r="W214" s="960"/>
      <c r="X214" s="960"/>
      <c r="Y214" s="960"/>
      <c r="Z214" s="960"/>
      <c r="AA214" s="960"/>
      <c r="AB214" s="928"/>
      <c r="AC214" s="928"/>
      <c r="AD214" s="928"/>
      <c r="AE214" s="928"/>
      <c r="AF214" s="928"/>
      <c r="AG214" s="928"/>
      <c r="AH214" s="928"/>
      <c r="AI214" s="928"/>
      <c r="AJ214" s="928"/>
      <c r="AK214" s="928"/>
      <c r="AL214" s="928"/>
      <c r="AM214" s="928"/>
      <c r="AN214" s="928"/>
      <c r="AO214" s="928"/>
      <c r="AP214" s="928"/>
      <c r="AQ214" s="928"/>
      <c r="AR214" s="928"/>
      <c r="AS214" s="928"/>
    </row>
    <row r="215" spans="11:45">
      <c r="K215" s="957"/>
      <c r="L215" s="928"/>
      <c r="M215" s="928"/>
      <c r="N215" s="960"/>
      <c r="O215" s="960"/>
      <c r="P215" s="960"/>
      <c r="Q215" s="960"/>
      <c r="R215" s="960"/>
      <c r="S215" s="960"/>
      <c r="T215" s="960"/>
      <c r="U215" s="960"/>
      <c r="V215" s="960"/>
      <c r="W215" s="960"/>
      <c r="X215" s="960"/>
      <c r="Y215" s="960"/>
      <c r="Z215" s="960"/>
      <c r="AA215" s="960"/>
      <c r="AB215" s="928"/>
      <c r="AC215" s="928"/>
      <c r="AD215" s="928"/>
      <c r="AE215" s="928"/>
      <c r="AF215" s="928"/>
      <c r="AG215" s="928"/>
      <c r="AH215" s="928"/>
      <c r="AI215" s="928"/>
      <c r="AJ215" s="928"/>
      <c r="AK215" s="928"/>
      <c r="AL215" s="928"/>
      <c r="AM215" s="928"/>
      <c r="AN215" s="928"/>
      <c r="AO215" s="928"/>
      <c r="AP215" s="928"/>
      <c r="AQ215" s="928"/>
      <c r="AR215" s="928"/>
      <c r="AS215" s="928"/>
    </row>
    <row r="216" spans="11:45">
      <c r="K216" s="957"/>
      <c r="L216" s="928"/>
      <c r="M216" s="928"/>
      <c r="N216" s="960"/>
      <c r="O216" s="960"/>
      <c r="P216" s="960"/>
      <c r="Q216" s="960"/>
      <c r="R216" s="960"/>
      <c r="S216" s="960"/>
      <c r="T216" s="960"/>
      <c r="U216" s="960"/>
      <c r="V216" s="960"/>
      <c r="W216" s="960"/>
      <c r="X216" s="960"/>
      <c r="Y216" s="960"/>
      <c r="Z216" s="960"/>
      <c r="AA216" s="960"/>
      <c r="AB216" s="928"/>
      <c r="AC216" s="928"/>
      <c r="AD216" s="928"/>
      <c r="AE216" s="928"/>
      <c r="AF216" s="928"/>
      <c r="AG216" s="928"/>
      <c r="AH216" s="928"/>
      <c r="AI216" s="928"/>
      <c r="AJ216" s="928"/>
      <c r="AK216" s="928"/>
      <c r="AL216" s="928"/>
      <c r="AM216" s="928"/>
      <c r="AN216" s="928"/>
      <c r="AO216" s="928"/>
      <c r="AP216" s="928"/>
      <c r="AQ216" s="928"/>
      <c r="AR216" s="928"/>
      <c r="AS216" s="928"/>
    </row>
    <row r="217" spans="11:45">
      <c r="K217" s="957"/>
      <c r="L217" s="928"/>
      <c r="M217" s="928"/>
      <c r="N217" s="960"/>
      <c r="O217" s="960"/>
      <c r="P217" s="960"/>
      <c r="Q217" s="960"/>
      <c r="R217" s="960"/>
      <c r="S217" s="960"/>
      <c r="T217" s="960"/>
      <c r="U217" s="960"/>
      <c r="V217" s="960"/>
      <c r="W217" s="960"/>
      <c r="X217" s="960"/>
      <c r="Y217" s="960"/>
      <c r="Z217" s="960"/>
      <c r="AA217" s="960"/>
      <c r="AB217" s="928"/>
      <c r="AC217" s="928"/>
      <c r="AD217" s="928"/>
      <c r="AE217" s="928"/>
      <c r="AF217" s="928"/>
      <c r="AG217" s="928"/>
      <c r="AH217" s="928"/>
      <c r="AI217" s="928"/>
      <c r="AJ217" s="928"/>
      <c r="AK217" s="928"/>
      <c r="AL217" s="928"/>
      <c r="AM217" s="928"/>
      <c r="AN217" s="928"/>
      <c r="AO217" s="928"/>
      <c r="AP217" s="928"/>
      <c r="AQ217" s="928"/>
      <c r="AR217" s="928"/>
      <c r="AS217" s="928"/>
    </row>
    <row r="218" spans="11:45">
      <c r="K218" s="957"/>
      <c r="L218" s="928"/>
      <c r="M218" s="928"/>
      <c r="N218" s="960"/>
      <c r="O218" s="960"/>
      <c r="P218" s="960"/>
      <c r="Q218" s="960"/>
      <c r="R218" s="960"/>
      <c r="S218" s="960"/>
      <c r="T218" s="960"/>
      <c r="U218" s="960"/>
      <c r="V218" s="960"/>
      <c r="W218" s="960"/>
      <c r="X218" s="960"/>
      <c r="Y218" s="960"/>
      <c r="Z218" s="960"/>
      <c r="AA218" s="960"/>
      <c r="AB218" s="928"/>
      <c r="AC218" s="928"/>
      <c r="AD218" s="928"/>
      <c r="AE218" s="928"/>
      <c r="AF218" s="928"/>
      <c r="AG218" s="928"/>
      <c r="AH218" s="928"/>
      <c r="AI218" s="928"/>
      <c r="AJ218" s="928"/>
      <c r="AK218" s="928"/>
      <c r="AL218" s="928"/>
      <c r="AM218" s="928"/>
      <c r="AN218" s="928"/>
      <c r="AO218" s="928"/>
      <c r="AP218" s="928"/>
      <c r="AQ218" s="928"/>
      <c r="AR218" s="928"/>
      <c r="AS218" s="928"/>
    </row>
    <row r="219" spans="11:45">
      <c r="K219" s="957"/>
      <c r="L219" s="928"/>
      <c r="M219" s="928"/>
      <c r="N219" s="960"/>
      <c r="O219" s="960"/>
      <c r="P219" s="960"/>
      <c r="Q219" s="960"/>
      <c r="R219" s="960"/>
      <c r="S219" s="960"/>
      <c r="T219" s="960"/>
      <c r="U219" s="960"/>
      <c r="V219" s="960"/>
      <c r="W219" s="960"/>
      <c r="X219" s="960"/>
      <c r="Y219" s="960"/>
      <c r="Z219" s="960"/>
      <c r="AA219" s="960"/>
      <c r="AB219" s="928"/>
      <c r="AC219" s="928"/>
      <c r="AD219" s="928"/>
      <c r="AE219" s="928"/>
      <c r="AF219" s="928"/>
      <c r="AG219" s="928"/>
      <c r="AH219" s="928"/>
      <c r="AI219" s="928"/>
      <c r="AJ219" s="928"/>
      <c r="AK219" s="928"/>
      <c r="AL219" s="928"/>
      <c r="AM219" s="928"/>
      <c r="AN219" s="928"/>
      <c r="AO219" s="928"/>
      <c r="AP219" s="928"/>
      <c r="AQ219" s="928"/>
      <c r="AR219" s="928"/>
      <c r="AS219" s="928"/>
    </row>
    <row r="220" spans="11:45">
      <c r="K220" s="957"/>
      <c r="L220" s="928"/>
      <c r="M220" s="928"/>
      <c r="N220" s="960"/>
      <c r="O220" s="960"/>
      <c r="P220" s="960"/>
      <c r="Q220" s="960"/>
      <c r="R220" s="960"/>
      <c r="S220" s="960"/>
      <c r="T220" s="960"/>
      <c r="U220" s="960"/>
      <c r="V220" s="960"/>
      <c r="W220" s="960"/>
      <c r="X220" s="960"/>
      <c r="Y220" s="960"/>
      <c r="Z220" s="960"/>
      <c r="AA220" s="960"/>
      <c r="AB220" s="928"/>
      <c r="AC220" s="928"/>
      <c r="AD220" s="928"/>
      <c r="AE220" s="928"/>
      <c r="AF220" s="928"/>
      <c r="AG220" s="928"/>
      <c r="AH220" s="928"/>
      <c r="AI220" s="928"/>
      <c r="AJ220" s="928"/>
      <c r="AK220" s="928"/>
      <c r="AL220" s="928"/>
      <c r="AM220" s="928"/>
      <c r="AN220" s="928"/>
      <c r="AO220" s="928"/>
      <c r="AP220" s="928"/>
      <c r="AQ220" s="928"/>
      <c r="AR220" s="928"/>
      <c r="AS220" s="928"/>
    </row>
    <row r="221" spans="11:45">
      <c r="K221" s="957"/>
      <c r="L221" s="928"/>
      <c r="M221" s="928"/>
      <c r="N221" s="960"/>
      <c r="O221" s="960"/>
      <c r="P221" s="960"/>
      <c r="Q221" s="960"/>
      <c r="R221" s="960"/>
      <c r="S221" s="960"/>
      <c r="T221" s="960"/>
      <c r="U221" s="960"/>
      <c r="V221" s="960"/>
      <c r="W221" s="960"/>
      <c r="X221" s="960"/>
      <c r="Y221" s="960"/>
      <c r="Z221" s="960"/>
      <c r="AA221" s="960"/>
      <c r="AB221" s="928"/>
      <c r="AC221" s="928"/>
      <c r="AD221" s="928"/>
      <c r="AE221" s="928"/>
      <c r="AF221" s="928"/>
      <c r="AG221" s="928"/>
      <c r="AH221" s="928"/>
      <c r="AI221" s="928"/>
      <c r="AJ221" s="928"/>
      <c r="AK221" s="928"/>
      <c r="AL221" s="928"/>
      <c r="AM221" s="928"/>
      <c r="AN221" s="928"/>
      <c r="AO221" s="928"/>
      <c r="AP221" s="928"/>
      <c r="AQ221" s="928"/>
      <c r="AR221" s="928"/>
      <c r="AS221" s="928"/>
    </row>
    <row r="222" spans="11:45">
      <c r="K222" s="957"/>
      <c r="L222" s="928"/>
      <c r="M222" s="928"/>
      <c r="N222" s="960"/>
      <c r="O222" s="960"/>
      <c r="P222" s="960"/>
      <c r="Q222" s="960"/>
      <c r="R222" s="960"/>
      <c r="S222" s="960"/>
      <c r="T222" s="960"/>
      <c r="U222" s="960"/>
      <c r="V222" s="960"/>
      <c r="W222" s="960"/>
      <c r="X222" s="960"/>
      <c r="Y222" s="960"/>
      <c r="Z222" s="960"/>
      <c r="AA222" s="960"/>
      <c r="AB222" s="928"/>
      <c r="AC222" s="928"/>
      <c r="AD222" s="928"/>
      <c r="AE222" s="928"/>
      <c r="AF222" s="928"/>
      <c r="AG222" s="928"/>
      <c r="AH222" s="928"/>
      <c r="AI222" s="928"/>
      <c r="AJ222" s="928"/>
      <c r="AK222" s="928"/>
      <c r="AL222" s="928"/>
      <c r="AM222" s="928"/>
      <c r="AN222" s="928"/>
      <c r="AO222" s="928"/>
      <c r="AP222" s="928"/>
      <c r="AQ222" s="928"/>
      <c r="AR222" s="928"/>
      <c r="AS222" s="928"/>
    </row>
    <row r="223" spans="11:45">
      <c r="K223" s="957"/>
      <c r="L223" s="928"/>
      <c r="M223" s="928"/>
      <c r="N223" s="960"/>
      <c r="O223" s="960"/>
      <c r="P223" s="960"/>
      <c r="Q223" s="960"/>
      <c r="R223" s="960"/>
      <c r="S223" s="960"/>
      <c r="T223" s="960"/>
      <c r="U223" s="960"/>
      <c r="V223" s="960"/>
      <c r="W223" s="960"/>
      <c r="X223" s="960"/>
      <c r="Y223" s="960"/>
      <c r="Z223" s="960"/>
      <c r="AA223" s="960"/>
      <c r="AB223" s="928"/>
      <c r="AC223" s="928"/>
      <c r="AD223" s="928"/>
      <c r="AE223" s="928"/>
      <c r="AF223" s="928"/>
      <c r="AG223" s="928"/>
      <c r="AH223" s="928"/>
      <c r="AI223" s="928"/>
      <c r="AJ223" s="928"/>
      <c r="AK223" s="928"/>
      <c r="AL223" s="928"/>
      <c r="AM223" s="928"/>
      <c r="AN223" s="928"/>
      <c r="AO223" s="928"/>
      <c r="AP223" s="928"/>
      <c r="AQ223" s="928"/>
      <c r="AR223" s="928"/>
      <c r="AS223" s="928"/>
    </row>
    <row r="224" spans="11:45">
      <c r="K224" s="957"/>
      <c r="L224" s="928"/>
      <c r="M224" s="928"/>
      <c r="N224" s="960"/>
      <c r="O224" s="960"/>
      <c r="P224" s="960"/>
      <c r="Q224" s="960"/>
      <c r="R224" s="960"/>
      <c r="S224" s="960"/>
      <c r="T224" s="960"/>
      <c r="U224" s="960"/>
      <c r="V224" s="960"/>
      <c r="W224" s="960"/>
      <c r="X224" s="960"/>
      <c r="Y224" s="960"/>
      <c r="Z224" s="960"/>
      <c r="AA224" s="960"/>
      <c r="AB224" s="928"/>
      <c r="AC224" s="928"/>
      <c r="AD224" s="928"/>
      <c r="AE224" s="928"/>
      <c r="AF224" s="928"/>
      <c r="AG224" s="928"/>
      <c r="AH224" s="928"/>
      <c r="AI224" s="928"/>
      <c r="AJ224" s="928"/>
      <c r="AK224" s="928"/>
      <c r="AL224" s="928"/>
      <c r="AM224" s="928"/>
      <c r="AN224" s="928"/>
      <c r="AO224" s="928"/>
      <c r="AP224" s="928"/>
      <c r="AQ224" s="928"/>
      <c r="AR224" s="928"/>
      <c r="AS224" s="928"/>
    </row>
    <row r="225" spans="11:45">
      <c r="K225" s="957"/>
      <c r="L225" s="928"/>
      <c r="M225" s="928"/>
      <c r="N225" s="960"/>
      <c r="O225" s="960"/>
      <c r="P225" s="960"/>
      <c r="Q225" s="960"/>
      <c r="R225" s="960"/>
      <c r="S225" s="960"/>
      <c r="T225" s="960"/>
      <c r="U225" s="960"/>
      <c r="V225" s="960"/>
      <c r="W225" s="960"/>
      <c r="X225" s="960"/>
      <c r="Y225" s="960"/>
      <c r="Z225" s="960"/>
      <c r="AA225" s="960"/>
      <c r="AB225" s="928"/>
      <c r="AC225" s="928"/>
      <c r="AD225" s="928"/>
      <c r="AE225" s="928"/>
      <c r="AF225" s="928"/>
      <c r="AG225" s="928"/>
      <c r="AH225" s="928"/>
      <c r="AI225" s="928"/>
      <c r="AJ225" s="928"/>
      <c r="AK225" s="928"/>
      <c r="AL225" s="928"/>
      <c r="AM225" s="928"/>
      <c r="AN225" s="928"/>
      <c r="AO225" s="928"/>
      <c r="AP225" s="928"/>
      <c r="AQ225" s="928"/>
      <c r="AR225" s="928"/>
      <c r="AS225" s="928"/>
    </row>
    <row r="226" spans="11:45">
      <c r="K226" s="957"/>
      <c r="L226" s="928"/>
      <c r="M226" s="928"/>
      <c r="N226" s="960"/>
      <c r="O226" s="960"/>
      <c r="P226" s="960"/>
      <c r="Q226" s="960"/>
      <c r="R226" s="960"/>
      <c r="S226" s="960"/>
      <c r="T226" s="960"/>
      <c r="U226" s="960"/>
      <c r="V226" s="960"/>
      <c r="W226" s="960"/>
      <c r="X226" s="960"/>
      <c r="Y226" s="960"/>
      <c r="Z226" s="960"/>
      <c r="AA226" s="960"/>
      <c r="AB226" s="928"/>
      <c r="AC226" s="928"/>
      <c r="AD226" s="928"/>
      <c r="AE226" s="928"/>
      <c r="AF226" s="928"/>
      <c r="AG226" s="928"/>
      <c r="AH226" s="928"/>
      <c r="AI226" s="928"/>
      <c r="AJ226" s="928"/>
      <c r="AK226" s="928"/>
      <c r="AL226" s="928"/>
      <c r="AM226" s="928"/>
      <c r="AN226" s="928"/>
      <c r="AO226" s="928"/>
      <c r="AP226" s="928"/>
      <c r="AQ226" s="928"/>
      <c r="AR226" s="928"/>
      <c r="AS226" s="928"/>
    </row>
    <row r="227" spans="11:45">
      <c r="K227" s="957"/>
      <c r="L227" s="928"/>
      <c r="M227" s="928"/>
      <c r="N227" s="960"/>
      <c r="O227" s="960"/>
      <c r="P227" s="960"/>
      <c r="Q227" s="960"/>
      <c r="R227" s="960"/>
      <c r="S227" s="960"/>
      <c r="T227" s="960"/>
      <c r="U227" s="960"/>
      <c r="V227" s="960"/>
      <c r="W227" s="960"/>
      <c r="X227" s="960"/>
      <c r="Y227" s="960"/>
      <c r="Z227" s="960"/>
      <c r="AA227" s="960"/>
      <c r="AB227" s="928"/>
      <c r="AC227" s="928"/>
      <c r="AD227" s="928"/>
      <c r="AE227" s="928"/>
      <c r="AF227" s="928"/>
      <c r="AG227" s="928"/>
      <c r="AH227" s="928"/>
      <c r="AI227" s="928"/>
      <c r="AJ227" s="928"/>
      <c r="AK227" s="928"/>
      <c r="AL227" s="928"/>
      <c r="AM227" s="928"/>
      <c r="AN227" s="928"/>
      <c r="AO227" s="928"/>
      <c r="AP227" s="928"/>
      <c r="AQ227" s="928"/>
      <c r="AR227" s="928"/>
      <c r="AS227" s="928"/>
    </row>
    <row r="228" spans="11:45">
      <c r="K228" s="957"/>
      <c r="L228" s="928"/>
      <c r="M228" s="928"/>
      <c r="N228" s="960"/>
      <c r="O228" s="960"/>
      <c r="P228" s="960"/>
      <c r="Q228" s="960"/>
      <c r="R228" s="960"/>
      <c r="S228" s="960"/>
      <c r="T228" s="960"/>
      <c r="U228" s="960"/>
      <c r="V228" s="960"/>
      <c r="W228" s="960"/>
      <c r="X228" s="960"/>
      <c r="Y228" s="960"/>
      <c r="Z228" s="960"/>
      <c r="AA228" s="960"/>
      <c r="AB228" s="928"/>
      <c r="AC228" s="928"/>
      <c r="AD228" s="928"/>
      <c r="AE228" s="928"/>
      <c r="AF228" s="928"/>
      <c r="AG228" s="928"/>
      <c r="AH228" s="928"/>
      <c r="AI228" s="928"/>
      <c r="AJ228" s="928"/>
      <c r="AK228" s="928"/>
      <c r="AL228" s="928"/>
      <c r="AM228" s="928"/>
      <c r="AN228" s="928"/>
      <c r="AO228" s="928"/>
      <c r="AP228" s="928"/>
      <c r="AQ228" s="928"/>
      <c r="AR228" s="928"/>
      <c r="AS228" s="928"/>
    </row>
    <row r="229" spans="11:45">
      <c r="K229" s="957"/>
      <c r="L229" s="928"/>
      <c r="M229" s="928"/>
      <c r="N229" s="960"/>
      <c r="O229" s="960"/>
      <c r="P229" s="960"/>
      <c r="Q229" s="960"/>
      <c r="R229" s="960"/>
      <c r="S229" s="960"/>
      <c r="T229" s="960"/>
      <c r="U229" s="960"/>
      <c r="V229" s="960"/>
      <c r="W229" s="960"/>
      <c r="X229" s="960"/>
      <c r="Y229" s="960"/>
      <c r="Z229" s="960"/>
      <c r="AA229" s="960"/>
      <c r="AB229" s="928"/>
      <c r="AC229" s="928"/>
      <c r="AD229" s="928"/>
      <c r="AE229" s="928"/>
      <c r="AF229" s="928"/>
      <c r="AG229" s="928"/>
      <c r="AH229" s="928"/>
      <c r="AI229" s="928"/>
      <c r="AJ229" s="928"/>
      <c r="AK229" s="928"/>
      <c r="AL229" s="928"/>
      <c r="AM229" s="928"/>
      <c r="AN229" s="928"/>
      <c r="AO229" s="928"/>
      <c r="AP229" s="928"/>
      <c r="AQ229" s="928"/>
      <c r="AR229" s="928"/>
      <c r="AS229" s="928"/>
    </row>
    <row r="230" spans="11:45">
      <c r="K230" s="957"/>
      <c r="L230" s="928"/>
      <c r="M230" s="928"/>
      <c r="N230" s="960"/>
      <c r="O230" s="960"/>
      <c r="P230" s="960"/>
      <c r="Q230" s="960"/>
      <c r="R230" s="960"/>
      <c r="S230" s="960"/>
      <c r="T230" s="960"/>
      <c r="U230" s="960"/>
      <c r="V230" s="960"/>
      <c r="W230" s="960"/>
      <c r="X230" s="960"/>
      <c r="Y230" s="960"/>
      <c r="Z230" s="960"/>
      <c r="AA230" s="960"/>
      <c r="AB230" s="928"/>
      <c r="AC230" s="928"/>
      <c r="AD230" s="928"/>
      <c r="AE230" s="928"/>
      <c r="AF230" s="928"/>
      <c r="AG230" s="928"/>
      <c r="AH230" s="928"/>
      <c r="AI230" s="928"/>
      <c r="AJ230" s="928"/>
      <c r="AK230" s="928"/>
      <c r="AL230" s="928"/>
      <c r="AM230" s="928"/>
      <c r="AN230" s="928"/>
      <c r="AO230" s="928"/>
      <c r="AP230" s="928"/>
      <c r="AQ230" s="928"/>
      <c r="AR230" s="928"/>
      <c r="AS230" s="928"/>
    </row>
    <row r="231" spans="11:45">
      <c r="K231" s="957"/>
      <c r="L231" s="928"/>
      <c r="M231" s="928"/>
      <c r="N231" s="960"/>
      <c r="O231" s="960"/>
      <c r="P231" s="960"/>
      <c r="Q231" s="960"/>
      <c r="R231" s="960"/>
      <c r="S231" s="960"/>
      <c r="T231" s="960"/>
      <c r="U231" s="960"/>
      <c r="V231" s="960"/>
      <c r="W231" s="960"/>
      <c r="X231" s="960"/>
      <c r="Y231" s="960"/>
      <c r="Z231" s="960"/>
      <c r="AA231" s="960"/>
      <c r="AB231" s="928"/>
      <c r="AC231" s="928"/>
      <c r="AD231" s="928"/>
      <c r="AE231" s="928"/>
      <c r="AF231" s="928"/>
      <c r="AG231" s="928"/>
      <c r="AH231" s="928"/>
      <c r="AI231" s="928"/>
      <c r="AJ231" s="928"/>
      <c r="AK231" s="928"/>
      <c r="AL231" s="928"/>
      <c r="AM231" s="928"/>
      <c r="AN231" s="928"/>
      <c r="AO231" s="928"/>
      <c r="AP231" s="928"/>
      <c r="AQ231" s="928"/>
      <c r="AR231" s="928"/>
      <c r="AS231" s="928"/>
    </row>
    <row r="232" spans="11:45">
      <c r="K232" s="957"/>
      <c r="L232" s="928"/>
      <c r="M232" s="928"/>
      <c r="N232" s="960"/>
      <c r="O232" s="960"/>
      <c r="P232" s="960"/>
      <c r="Q232" s="960"/>
      <c r="R232" s="960"/>
      <c r="S232" s="960"/>
      <c r="T232" s="960"/>
      <c r="U232" s="960"/>
      <c r="V232" s="960"/>
      <c r="W232" s="960"/>
      <c r="X232" s="960"/>
      <c r="Y232" s="960"/>
      <c r="Z232" s="960"/>
      <c r="AA232" s="960"/>
      <c r="AB232" s="928"/>
      <c r="AC232" s="928"/>
      <c r="AD232" s="928"/>
      <c r="AE232" s="928"/>
      <c r="AF232" s="928"/>
      <c r="AG232" s="928"/>
      <c r="AH232" s="928"/>
      <c r="AI232" s="928"/>
      <c r="AJ232" s="928"/>
      <c r="AK232" s="928"/>
      <c r="AL232" s="928"/>
      <c r="AM232" s="928"/>
      <c r="AN232" s="928"/>
      <c r="AO232" s="928"/>
      <c r="AP232" s="928"/>
      <c r="AQ232" s="928"/>
      <c r="AR232" s="928"/>
      <c r="AS232" s="928"/>
    </row>
    <row r="233" spans="11:45">
      <c r="K233" s="957"/>
      <c r="L233" s="928"/>
      <c r="M233" s="928"/>
      <c r="N233" s="960"/>
      <c r="O233" s="960"/>
      <c r="P233" s="960"/>
      <c r="Q233" s="960"/>
      <c r="R233" s="960"/>
      <c r="S233" s="960"/>
      <c r="T233" s="960"/>
      <c r="U233" s="960"/>
      <c r="V233" s="960"/>
      <c r="W233" s="960"/>
      <c r="X233" s="960"/>
      <c r="Y233" s="960"/>
      <c r="Z233" s="960"/>
      <c r="AA233" s="960"/>
      <c r="AB233" s="928"/>
      <c r="AC233" s="928"/>
      <c r="AD233" s="928"/>
      <c r="AE233" s="928"/>
      <c r="AF233" s="928"/>
      <c r="AG233" s="928"/>
      <c r="AH233" s="928"/>
      <c r="AI233" s="928"/>
      <c r="AJ233" s="928"/>
      <c r="AK233" s="928"/>
      <c r="AL233" s="928"/>
      <c r="AM233" s="928"/>
      <c r="AN233" s="928"/>
      <c r="AO233" s="928"/>
      <c r="AP233" s="928"/>
      <c r="AQ233" s="928"/>
      <c r="AR233" s="928"/>
      <c r="AS233" s="928"/>
    </row>
    <row r="234" spans="11:45">
      <c r="K234" s="957"/>
      <c r="L234" s="928"/>
      <c r="M234" s="928"/>
      <c r="N234" s="960"/>
      <c r="O234" s="960"/>
      <c r="P234" s="960"/>
      <c r="Q234" s="960"/>
      <c r="R234" s="960"/>
      <c r="S234" s="960"/>
      <c r="T234" s="960"/>
      <c r="U234" s="960"/>
      <c r="V234" s="960"/>
      <c r="W234" s="960"/>
      <c r="X234" s="960"/>
      <c r="Y234" s="960"/>
      <c r="Z234" s="960"/>
      <c r="AA234" s="960"/>
      <c r="AB234" s="928"/>
      <c r="AC234" s="928"/>
      <c r="AD234" s="928"/>
      <c r="AE234" s="928"/>
      <c r="AF234" s="928"/>
      <c r="AG234" s="928"/>
      <c r="AH234" s="928"/>
      <c r="AI234" s="928"/>
      <c r="AJ234" s="928"/>
      <c r="AK234" s="928"/>
      <c r="AL234" s="928"/>
      <c r="AM234" s="928"/>
      <c r="AN234" s="928"/>
      <c r="AO234" s="928"/>
      <c r="AP234" s="928"/>
      <c r="AQ234" s="928"/>
      <c r="AR234" s="928"/>
      <c r="AS234" s="928"/>
    </row>
    <row r="235" spans="11:45">
      <c r="K235" s="957"/>
      <c r="L235" s="928"/>
      <c r="M235" s="928"/>
      <c r="N235" s="960"/>
      <c r="O235" s="960"/>
      <c r="P235" s="960"/>
      <c r="Q235" s="960"/>
      <c r="R235" s="960"/>
      <c r="S235" s="960"/>
      <c r="T235" s="960"/>
      <c r="U235" s="960"/>
      <c r="V235" s="960"/>
      <c r="W235" s="960"/>
      <c r="X235" s="960"/>
      <c r="Y235" s="960"/>
      <c r="Z235" s="960"/>
      <c r="AA235" s="960"/>
      <c r="AB235" s="928"/>
      <c r="AC235" s="928"/>
      <c r="AD235" s="928"/>
      <c r="AE235" s="928"/>
      <c r="AF235" s="928"/>
      <c r="AG235" s="928"/>
      <c r="AH235" s="928"/>
      <c r="AI235" s="928"/>
      <c r="AJ235" s="928"/>
      <c r="AK235" s="928"/>
      <c r="AL235" s="928"/>
      <c r="AM235" s="928"/>
      <c r="AN235" s="928"/>
      <c r="AO235" s="928"/>
      <c r="AP235" s="928"/>
      <c r="AQ235" s="928"/>
      <c r="AR235" s="928"/>
      <c r="AS235" s="928"/>
    </row>
    <row r="236" spans="11:45">
      <c r="K236" s="957"/>
      <c r="L236" s="928"/>
      <c r="M236" s="928"/>
      <c r="N236" s="960"/>
      <c r="O236" s="960"/>
      <c r="P236" s="960"/>
      <c r="Q236" s="960"/>
      <c r="R236" s="960"/>
      <c r="S236" s="960"/>
      <c r="T236" s="960"/>
      <c r="U236" s="960"/>
      <c r="V236" s="960"/>
      <c r="W236" s="960"/>
      <c r="X236" s="960"/>
      <c r="Y236" s="960"/>
      <c r="Z236" s="960"/>
      <c r="AA236" s="960"/>
      <c r="AB236" s="928"/>
      <c r="AC236" s="928"/>
      <c r="AD236" s="928"/>
      <c r="AE236" s="928"/>
      <c r="AF236" s="928"/>
      <c r="AG236" s="928"/>
      <c r="AH236" s="928"/>
      <c r="AI236" s="928"/>
      <c r="AJ236" s="928"/>
      <c r="AK236" s="928"/>
      <c r="AL236" s="928"/>
      <c r="AM236" s="928"/>
      <c r="AN236" s="928"/>
      <c r="AO236" s="928"/>
      <c r="AP236" s="928"/>
      <c r="AQ236" s="928"/>
      <c r="AR236" s="928"/>
      <c r="AS236" s="928"/>
    </row>
    <row r="237" spans="11:45">
      <c r="K237" s="957"/>
      <c r="L237" s="928"/>
      <c r="M237" s="928"/>
      <c r="N237" s="960"/>
      <c r="O237" s="960"/>
      <c r="P237" s="960"/>
      <c r="Q237" s="960"/>
      <c r="R237" s="960"/>
      <c r="S237" s="960"/>
      <c r="T237" s="960"/>
      <c r="U237" s="960"/>
      <c r="V237" s="960"/>
      <c r="W237" s="960"/>
      <c r="X237" s="960"/>
      <c r="Y237" s="960"/>
      <c r="Z237" s="960"/>
      <c r="AA237" s="960"/>
      <c r="AB237" s="928"/>
      <c r="AC237" s="928"/>
      <c r="AD237" s="928"/>
      <c r="AE237" s="928"/>
      <c r="AF237" s="928"/>
      <c r="AG237" s="928"/>
      <c r="AH237" s="928"/>
      <c r="AI237" s="928"/>
      <c r="AJ237" s="928"/>
      <c r="AK237" s="928"/>
      <c r="AL237" s="928"/>
      <c r="AM237" s="928"/>
      <c r="AN237" s="928"/>
      <c r="AO237" s="928"/>
      <c r="AP237" s="928"/>
      <c r="AQ237" s="928"/>
      <c r="AR237" s="928"/>
      <c r="AS237" s="928"/>
    </row>
    <row r="238" spans="11:45">
      <c r="K238" s="957"/>
      <c r="L238" s="928"/>
      <c r="M238" s="928"/>
      <c r="N238" s="960"/>
      <c r="O238" s="960"/>
      <c r="P238" s="960"/>
      <c r="Q238" s="960"/>
      <c r="R238" s="960"/>
      <c r="S238" s="960"/>
      <c r="T238" s="960"/>
      <c r="U238" s="960"/>
      <c r="V238" s="960"/>
      <c r="W238" s="960"/>
      <c r="X238" s="960"/>
      <c r="Y238" s="960"/>
      <c r="Z238" s="960"/>
      <c r="AA238" s="960"/>
      <c r="AB238" s="928"/>
      <c r="AC238" s="928"/>
      <c r="AD238" s="928"/>
      <c r="AE238" s="928"/>
      <c r="AF238" s="928"/>
      <c r="AG238" s="928"/>
      <c r="AH238" s="928"/>
      <c r="AI238" s="928"/>
      <c r="AJ238" s="928"/>
      <c r="AK238" s="928"/>
      <c r="AL238" s="928"/>
      <c r="AM238" s="928"/>
      <c r="AN238" s="928"/>
      <c r="AO238" s="928"/>
      <c r="AP238" s="928"/>
      <c r="AQ238" s="928"/>
      <c r="AR238" s="928"/>
      <c r="AS238" s="928"/>
    </row>
    <row r="239" spans="11:45">
      <c r="K239" s="957"/>
      <c r="L239" s="928"/>
      <c r="M239" s="928"/>
      <c r="N239" s="960"/>
      <c r="O239" s="960"/>
      <c r="P239" s="960"/>
      <c r="Q239" s="960"/>
      <c r="R239" s="960"/>
      <c r="S239" s="960"/>
      <c r="T239" s="960"/>
      <c r="U239" s="960"/>
      <c r="V239" s="960"/>
      <c r="W239" s="960"/>
      <c r="X239" s="960"/>
      <c r="Y239" s="960"/>
      <c r="Z239" s="960"/>
      <c r="AA239" s="960"/>
      <c r="AB239" s="928"/>
      <c r="AC239" s="928"/>
      <c r="AD239" s="928"/>
      <c r="AE239" s="928"/>
      <c r="AF239" s="928"/>
      <c r="AG239" s="928"/>
      <c r="AH239" s="928"/>
      <c r="AI239" s="928"/>
      <c r="AJ239" s="928"/>
      <c r="AK239" s="928"/>
      <c r="AL239" s="928"/>
      <c r="AM239" s="928"/>
      <c r="AN239" s="928"/>
      <c r="AO239" s="928"/>
      <c r="AP239" s="928"/>
      <c r="AQ239" s="928"/>
      <c r="AR239" s="928"/>
      <c r="AS239" s="928"/>
    </row>
    <row r="240" spans="11:45">
      <c r="K240" s="957"/>
      <c r="L240" s="928"/>
      <c r="M240" s="928"/>
      <c r="N240" s="960"/>
      <c r="O240" s="960"/>
      <c r="P240" s="960"/>
      <c r="Q240" s="960"/>
      <c r="R240" s="960"/>
      <c r="S240" s="960"/>
      <c r="T240" s="960"/>
      <c r="U240" s="960"/>
      <c r="V240" s="960"/>
      <c r="W240" s="960"/>
      <c r="X240" s="960"/>
      <c r="Y240" s="960"/>
      <c r="Z240" s="960"/>
      <c r="AA240" s="960"/>
      <c r="AB240" s="928"/>
      <c r="AC240" s="928"/>
      <c r="AD240" s="928"/>
      <c r="AE240" s="928"/>
      <c r="AF240" s="928"/>
      <c r="AG240" s="928"/>
      <c r="AH240" s="928"/>
      <c r="AI240" s="928"/>
      <c r="AJ240" s="928"/>
      <c r="AK240" s="928"/>
      <c r="AL240" s="928"/>
      <c r="AM240" s="928"/>
      <c r="AN240" s="928"/>
      <c r="AO240" s="928"/>
      <c r="AP240" s="928"/>
      <c r="AQ240" s="928"/>
      <c r="AR240" s="928"/>
      <c r="AS240" s="928"/>
    </row>
    <row r="241" spans="11:45">
      <c r="K241" s="957"/>
      <c r="L241" s="928"/>
      <c r="M241" s="928"/>
      <c r="N241" s="960"/>
      <c r="O241" s="960"/>
      <c r="P241" s="960"/>
      <c r="Q241" s="960"/>
      <c r="R241" s="960"/>
      <c r="S241" s="960"/>
      <c r="T241" s="960"/>
      <c r="U241" s="960"/>
      <c r="V241" s="960"/>
      <c r="W241" s="960"/>
      <c r="X241" s="960"/>
      <c r="Y241" s="960"/>
      <c r="Z241" s="960"/>
      <c r="AA241" s="960"/>
      <c r="AB241" s="928"/>
      <c r="AC241" s="928"/>
      <c r="AD241" s="928"/>
      <c r="AE241" s="928"/>
      <c r="AF241" s="928"/>
      <c r="AG241" s="928"/>
      <c r="AH241" s="928"/>
      <c r="AI241" s="928"/>
      <c r="AJ241" s="928"/>
      <c r="AK241" s="928"/>
      <c r="AL241" s="928"/>
      <c r="AM241" s="928"/>
      <c r="AN241" s="928"/>
      <c r="AO241" s="928"/>
      <c r="AP241" s="928"/>
      <c r="AQ241" s="928"/>
      <c r="AR241" s="928"/>
      <c r="AS241" s="928"/>
    </row>
    <row r="242" spans="11:45">
      <c r="K242" s="957"/>
      <c r="L242" s="928"/>
      <c r="M242" s="928"/>
      <c r="N242" s="960"/>
      <c r="O242" s="960"/>
      <c r="P242" s="960"/>
      <c r="Q242" s="960"/>
      <c r="R242" s="960"/>
      <c r="S242" s="960"/>
      <c r="T242" s="960"/>
      <c r="U242" s="960"/>
      <c r="V242" s="960"/>
      <c r="W242" s="960"/>
      <c r="X242" s="960"/>
      <c r="Y242" s="960"/>
      <c r="Z242" s="960"/>
      <c r="AA242" s="960"/>
      <c r="AB242" s="928"/>
      <c r="AC242" s="928"/>
      <c r="AD242" s="928"/>
      <c r="AE242" s="928"/>
      <c r="AF242" s="928"/>
      <c r="AG242" s="928"/>
      <c r="AH242" s="928"/>
      <c r="AI242" s="928"/>
      <c r="AJ242" s="928"/>
      <c r="AK242" s="928"/>
      <c r="AL242" s="928"/>
      <c r="AM242" s="928"/>
      <c r="AN242" s="928"/>
      <c r="AO242" s="928"/>
      <c r="AP242" s="928"/>
      <c r="AQ242" s="928"/>
      <c r="AR242" s="928"/>
      <c r="AS242" s="928"/>
    </row>
    <row r="243" spans="11:45">
      <c r="K243" s="957"/>
      <c r="L243" s="928"/>
      <c r="M243" s="928"/>
      <c r="N243" s="960"/>
      <c r="O243" s="960"/>
      <c r="P243" s="960"/>
      <c r="Q243" s="960"/>
      <c r="R243" s="960"/>
      <c r="S243" s="960"/>
      <c r="T243" s="960"/>
      <c r="U243" s="960"/>
      <c r="V243" s="960"/>
      <c r="W243" s="960"/>
      <c r="X243" s="960"/>
      <c r="Y243" s="960"/>
      <c r="Z243" s="960"/>
      <c r="AA243" s="960"/>
      <c r="AB243" s="928"/>
      <c r="AC243" s="928"/>
      <c r="AD243" s="928"/>
      <c r="AE243" s="928"/>
      <c r="AF243" s="928"/>
      <c r="AG243" s="928"/>
      <c r="AH243" s="928"/>
      <c r="AI243" s="928"/>
      <c r="AJ243" s="928"/>
      <c r="AK243" s="928"/>
      <c r="AL243" s="928"/>
      <c r="AM243" s="928"/>
      <c r="AN243" s="928"/>
      <c r="AO243" s="928"/>
      <c r="AP243" s="928"/>
      <c r="AQ243" s="928"/>
      <c r="AR243" s="928"/>
      <c r="AS243" s="928"/>
    </row>
    <row r="244" spans="11:45">
      <c r="K244" s="957"/>
      <c r="L244" s="928"/>
      <c r="M244" s="928"/>
      <c r="N244" s="960"/>
      <c r="O244" s="960"/>
      <c r="P244" s="960"/>
      <c r="Q244" s="960"/>
      <c r="R244" s="960"/>
      <c r="S244" s="960"/>
      <c r="T244" s="960"/>
      <c r="U244" s="960"/>
      <c r="V244" s="960"/>
      <c r="W244" s="960"/>
      <c r="X244" s="960"/>
      <c r="Y244" s="960"/>
      <c r="Z244" s="960"/>
      <c r="AA244" s="960"/>
      <c r="AB244" s="928"/>
      <c r="AC244" s="928"/>
      <c r="AD244" s="928"/>
      <c r="AE244" s="928"/>
      <c r="AF244" s="928"/>
      <c r="AG244" s="928"/>
      <c r="AH244" s="928"/>
      <c r="AI244" s="928"/>
      <c r="AJ244" s="928"/>
      <c r="AK244" s="928"/>
      <c r="AL244" s="928"/>
      <c r="AM244" s="928"/>
      <c r="AN244" s="928"/>
      <c r="AO244" s="928"/>
      <c r="AP244" s="928"/>
      <c r="AQ244" s="928"/>
      <c r="AR244" s="928"/>
      <c r="AS244" s="928"/>
    </row>
    <row r="245" spans="11:45">
      <c r="K245" s="957"/>
      <c r="L245" s="928"/>
      <c r="M245" s="928"/>
      <c r="N245" s="960"/>
      <c r="O245" s="960"/>
      <c r="P245" s="960"/>
      <c r="Q245" s="960"/>
      <c r="R245" s="960"/>
      <c r="S245" s="960"/>
      <c r="T245" s="960"/>
      <c r="U245" s="960"/>
      <c r="V245" s="960"/>
      <c r="W245" s="960"/>
      <c r="X245" s="960"/>
      <c r="Y245" s="960"/>
      <c r="Z245" s="960"/>
      <c r="AA245" s="960"/>
      <c r="AB245" s="928"/>
      <c r="AC245" s="928"/>
      <c r="AD245" s="928"/>
      <c r="AE245" s="928"/>
      <c r="AF245" s="928"/>
      <c r="AG245" s="928"/>
      <c r="AH245" s="928"/>
      <c r="AI245" s="928"/>
      <c r="AJ245" s="928"/>
      <c r="AK245" s="928"/>
      <c r="AL245" s="928"/>
      <c r="AM245" s="928"/>
      <c r="AN245" s="928"/>
      <c r="AO245" s="928"/>
      <c r="AP245" s="928"/>
      <c r="AQ245" s="928"/>
      <c r="AR245" s="928"/>
      <c r="AS245" s="928"/>
    </row>
    <row r="246" spans="11:45">
      <c r="K246" s="957"/>
      <c r="L246" s="928"/>
      <c r="M246" s="928"/>
      <c r="N246" s="960"/>
      <c r="O246" s="960"/>
      <c r="P246" s="960"/>
      <c r="Q246" s="960"/>
      <c r="R246" s="960"/>
      <c r="S246" s="960"/>
      <c r="T246" s="960"/>
      <c r="U246" s="960"/>
      <c r="V246" s="960"/>
      <c r="W246" s="960"/>
      <c r="X246" s="960"/>
      <c r="Y246" s="960"/>
      <c r="Z246" s="960"/>
      <c r="AA246" s="960"/>
      <c r="AB246" s="928"/>
      <c r="AC246" s="928"/>
      <c r="AD246" s="928"/>
      <c r="AE246" s="928"/>
      <c r="AF246" s="928"/>
      <c r="AG246" s="928"/>
      <c r="AH246" s="928"/>
      <c r="AI246" s="928"/>
      <c r="AJ246" s="928"/>
      <c r="AK246" s="928"/>
      <c r="AL246" s="928"/>
      <c r="AM246" s="928"/>
      <c r="AN246" s="928"/>
      <c r="AO246" s="928"/>
      <c r="AP246" s="928"/>
      <c r="AQ246" s="928"/>
      <c r="AR246" s="928"/>
      <c r="AS246" s="928"/>
    </row>
    <row r="247" spans="11:45">
      <c r="K247" s="957"/>
      <c r="L247" s="928"/>
      <c r="M247" s="928"/>
      <c r="N247" s="960"/>
      <c r="O247" s="960"/>
      <c r="P247" s="960"/>
      <c r="Q247" s="960"/>
      <c r="R247" s="960"/>
      <c r="S247" s="960"/>
      <c r="T247" s="960"/>
      <c r="U247" s="960"/>
      <c r="V247" s="960"/>
      <c r="W247" s="960"/>
      <c r="X247" s="960"/>
      <c r="Y247" s="960"/>
      <c r="Z247" s="960"/>
      <c r="AA247" s="960"/>
      <c r="AB247" s="928"/>
      <c r="AC247" s="928"/>
      <c r="AD247" s="928"/>
      <c r="AE247" s="928"/>
      <c r="AF247" s="928"/>
      <c r="AG247" s="928"/>
      <c r="AH247" s="928"/>
      <c r="AI247" s="928"/>
      <c r="AJ247" s="928"/>
      <c r="AK247" s="928"/>
      <c r="AL247" s="928"/>
      <c r="AM247" s="928"/>
      <c r="AN247" s="928"/>
      <c r="AO247" s="928"/>
      <c r="AP247" s="928"/>
      <c r="AQ247" s="928"/>
      <c r="AR247" s="928"/>
      <c r="AS247" s="928"/>
    </row>
    <row r="248" spans="11:45">
      <c r="K248" s="957"/>
      <c r="L248" s="928"/>
      <c r="M248" s="928"/>
      <c r="N248" s="960"/>
      <c r="O248" s="960"/>
      <c r="P248" s="960"/>
      <c r="Q248" s="960"/>
      <c r="R248" s="960"/>
      <c r="S248" s="960"/>
      <c r="T248" s="960"/>
      <c r="U248" s="960"/>
      <c r="V248" s="960"/>
      <c r="W248" s="960"/>
      <c r="X248" s="960"/>
      <c r="Y248" s="960"/>
      <c r="Z248" s="960"/>
      <c r="AA248" s="960"/>
      <c r="AB248" s="928"/>
      <c r="AC248" s="928"/>
      <c r="AD248" s="928"/>
      <c r="AE248" s="928"/>
      <c r="AF248" s="928"/>
      <c r="AG248" s="928"/>
      <c r="AH248" s="928"/>
      <c r="AI248" s="928"/>
      <c r="AJ248" s="928"/>
      <c r="AK248" s="928"/>
      <c r="AL248" s="928"/>
      <c r="AM248" s="928"/>
      <c r="AN248" s="928"/>
      <c r="AO248" s="928"/>
      <c r="AP248" s="928"/>
      <c r="AQ248" s="928"/>
      <c r="AR248" s="928"/>
      <c r="AS248" s="928"/>
    </row>
    <row r="249" spans="11:45">
      <c r="K249" s="957"/>
      <c r="L249" s="928"/>
      <c r="M249" s="928"/>
      <c r="N249" s="960"/>
      <c r="O249" s="960"/>
      <c r="P249" s="960"/>
      <c r="Q249" s="960"/>
      <c r="R249" s="960"/>
      <c r="S249" s="960"/>
      <c r="T249" s="960"/>
      <c r="U249" s="960"/>
      <c r="V249" s="960"/>
      <c r="W249" s="960"/>
      <c r="X249" s="960"/>
      <c r="Y249" s="960"/>
      <c r="Z249" s="960"/>
      <c r="AA249" s="960"/>
      <c r="AB249" s="928"/>
      <c r="AC249" s="928"/>
      <c r="AD249" s="928"/>
      <c r="AE249" s="928"/>
      <c r="AF249" s="928"/>
      <c r="AG249" s="928"/>
      <c r="AH249" s="928"/>
      <c r="AI249" s="928"/>
      <c r="AJ249" s="928"/>
      <c r="AK249" s="928"/>
      <c r="AL249" s="928"/>
      <c r="AM249" s="928"/>
      <c r="AN249" s="928"/>
      <c r="AO249" s="928"/>
      <c r="AP249" s="928"/>
      <c r="AQ249" s="928"/>
      <c r="AR249" s="928"/>
      <c r="AS249" s="928"/>
    </row>
    <row r="250" spans="11:45">
      <c r="K250" s="957"/>
      <c r="L250" s="928"/>
      <c r="M250" s="928"/>
      <c r="N250" s="960"/>
      <c r="O250" s="960"/>
      <c r="P250" s="960"/>
      <c r="Q250" s="960"/>
      <c r="R250" s="960"/>
      <c r="S250" s="960"/>
      <c r="T250" s="960"/>
      <c r="U250" s="960"/>
      <c r="V250" s="960"/>
      <c r="W250" s="960"/>
      <c r="X250" s="960"/>
      <c r="Y250" s="960"/>
      <c r="Z250" s="960"/>
      <c r="AA250" s="960"/>
      <c r="AB250" s="928"/>
      <c r="AC250" s="928"/>
      <c r="AD250" s="928"/>
      <c r="AE250" s="928"/>
      <c r="AF250" s="928"/>
      <c r="AG250" s="928"/>
      <c r="AH250" s="928"/>
      <c r="AI250" s="928"/>
      <c r="AJ250" s="928"/>
      <c r="AK250" s="928"/>
      <c r="AL250" s="928"/>
      <c r="AM250" s="928"/>
      <c r="AN250" s="928"/>
      <c r="AO250" s="928"/>
      <c r="AP250" s="928"/>
      <c r="AQ250" s="928"/>
      <c r="AR250" s="928"/>
      <c r="AS250" s="928"/>
    </row>
    <row r="251" spans="11:45">
      <c r="K251" s="957"/>
      <c r="L251" s="928"/>
      <c r="M251" s="928"/>
      <c r="N251" s="960"/>
      <c r="O251" s="960"/>
      <c r="P251" s="960"/>
      <c r="Q251" s="960"/>
      <c r="R251" s="960"/>
      <c r="S251" s="960"/>
      <c r="T251" s="960"/>
      <c r="U251" s="960"/>
      <c r="V251" s="960"/>
      <c r="W251" s="960"/>
      <c r="X251" s="960"/>
      <c r="Y251" s="960"/>
      <c r="Z251" s="960"/>
      <c r="AA251" s="960"/>
      <c r="AB251" s="928"/>
      <c r="AC251" s="928"/>
      <c r="AD251" s="928"/>
      <c r="AE251" s="928"/>
      <c r="AF251" s="928"/>
      <c r="AG251" s="928"/>
      <c r="AH251" s="928"/>
      <c r="AI251" s="928"/>
      <c r="AJ251" s="928"/>
      <c r="AK251" s="928"/>
      <c r="AL251" s="928"/>
      <c r="AM251" s="928"/>
      <c r="AN251" s="928"/>
      <c r="AO251" s="928"/>
      <c r="AP251" s="928"/>
      <c r="AQ251" s="928"/>
      <c r="AR251" s="928"/>
      <c r="AS251" s="928"/>
    </row>
    <row r="252" spans="11:45">
      <c r="K252" s="957"/>
      <c r="L252" s="928"/>
      <c r="M252" s="928"/>
      <c r="N252" s="960"/>
      <c r="O252" s="960"/>
      <c r="P252" s="960"/>
      <c r="Q252" s="960"/>
      <c r="R252" s="960"/>
      <c r="S252" s="960"/>
      <c r="T252" s="960"/>
      <c r="U252" s="960"/>
      <c r="V252" s="960"/>
      <c r="W252" s="960"/>
      <c r="X252" s="960"/>
      <c r="Y252" s="960"/>
      <c r="Z252" s="960"/>
      <c r="AA252" s="960"/>
      <c r="AB252" s="928"/>
      <c r="AC252" s="928"/>
      <c r="AD252" s="928"/>
      <c r="AE252" s="928"/>
      <c r="AF252" s="928"/>
      <c r="AG252" s="928"/>
      <c r="AH252" s="928"/>
      <c r="AI252" s="928"/>
      <c r="AJ252" s="928"/>
      <c r="AK252" s="928"/>
      <c r="AL252" s="928"/>
      <c r="AM252" s="928"/>
      <c r="AN252" s="928"/>
      <c r="AO252" s="928"/>
      <c r="AP252" s="928"/>
      <c r="AQ252" s="928"/>
      <c r="AR252" s="928"/>
      <c r="AS252" s="928"/>
    </row>
    <row r="253" spans="11:45">
      <c r="K253" s="957"/>
      <c r="L253" s="928"/>
      <c r="M253" s="928"/>
      <c r="N253" s="960"/>
      <c r="O253" s="960"/>
      <c r="P253" s="960"/>
      <c r="Q253" s="960"/>
      <c r="R253" s="960"/>
      <c r="S253" s="960"/>
      <c r="T253" s="960"/>
      <c r="U253" s="960"/>
      <c r="V253" s="960"/>
      <c r="W253" s="960"/>
      <c r="X253" s="960"/>
      <c r="Y253" s="960"/>
      <c r="Z253" s="960"/>
      <c r="AA253" s="960"/>
      <c r="AB253" s="928"/>
      <c r="AC253" s="928"/>
      <c r="AD253" s="928"/>
      <c r="AE253" s="928"/>
      <c r="AF253" s="928"/>
      <c r="AG253" s="928"/>
      <c r="AH253" s="928"/>
      <c r="AI253" s="928"/>
      <c r="AJ253" s="928"/>
      <c r="AK253" s="928"/>
      <c r="AL253" s="928"/>
      <c r="AM253" s="928"/>
      <c r="AN253" s="928"/>
      <c r="AO253" s="928"/>
      <c r="AP253" s="928"/>
      <c r="AQ253" s="928"/>
      <c r="AR253" s="928"/>
      <c r="AS253" s="928"/>
    </row>
    <row r="254" spans="11:45">
      <c r="K254" s="957"/>
      <c r="L254" s="928"/>
      <c r="M254" s="928"/>
      <c r="N254" s="960"/>
      <c r="O254" s="960"/>
      <c r="P254" s="960"/>
      <c r="Q254" s="960"/>
      <c r="R254" s="960"/>
      <c r="S254" s="960"/>
      <c r="T254" s="960"/>
      <c r="U254" s="960"/>
      <c r="V254" s="960"/>
      <c r="W254" s="960"/>
      <c r="X254" s="960"/>
      <c r="Y254" s="960"/>
      <c r="Z254" s="960"/>
      <c r="AA254" s="960"/>
      <c r="AB254" s="928"/>
      <c r="AC254" s="928"/>
      <c r="AD254" s="928"/>
      <c r="AE254" s="928"/>
      <c r="AF254" s="928"/>
      <c r="AG254" s="928"/>
      <c r="AH254" s="928"/>
      <c r="AI254" s="928"/>
      <c r="AJ254" s="928"/>
      <c r="AK254" s="928"/>
      <c r="AL254" s="928"/>
      <c r="AM254" s="928"/>
      <c r="AN254" s="928"/>
      <c r="AO254" s="928"/>
      <c r="AP254" s="928"/>
      <c r="AQ254" s="928"/>
      <c r="AR254" s="928"/>
      <c r="AS254" s="928"/>
    </row>
    <row r="255" spans="11:45">
      <c r="K255" s="957"/>
      <c r="L255" s="928"/>
      <c r="M255" s="928"/>
      <c r="N255" s="960"/>
      <c r="O255" s="960"/>
      <c r="P255" s="960"/>
      <c r="Q255" s="960"/>
      <c r="R255" s="960"/>
      <c r="S255" s="960"/>
      <c r="T255" s="960"/>
      <c r="U255" s="960"/>
      <c r="V255" s="960"/>
      <c r="W255" s="960"/>
      <c r="X255" s="960"/>
      <c r="Y255" s="960"/>
      <c r="Z255" s="960"/>
      <c r="AA255" s="960"/>
      <c r="AB255" s="928"/>
      <c r="AC255" s="928"/>
      <c r="AD255" s="928"/>
      <c r="AE255" s="928"/>
      <c r="AF255" s="928"/>
      <c r="AG255" s="928"/>
      <c r="AH255" s="928"/>
      <c r="AI255" s="928"/>
      <c r="AJ255" s="928"/>
      <c r="AK255" s="928"/>
      <c r="AL255" s="928"/>
      <c r="AM255" s="928"/>
      <c r="AN255" s="928"/>
      <c r="AO255" s="928"/>
      <c r="AP255" s="928"/>
      <c r="AQ255" s="928"/>
      <c r="AR255" s="928"/>
      <c r="AS255" s="928"/>
    </row>
    <row r="256" spans="11:45">
      <c r="K256" s="957"/>
      <c r="L256" s="928"/>
      <c r="M256" s="928"/>
      <c r="N256" s="960"/>
      <c r="O256" s="960"/>
      <c r="P256" s="960"/>
      <c r="Q256" s="960"/>
      <c r="R256" s="960"/>
      <c r="S256" s="960"/>
      <c r="T256" s="960"/>
      <c r="U256" s="960"/>
      <c r="V256" s="960"/>
      <c r="W256" s="960"/>
      <c r="X256" s="960"/>
      <c r="Y256" s="960"/>
      <c r="Z256" s="960"/>
      <c r="AA256" s="960"/>
      <c r="AB256" s="928"/>
      <c r="AC256" s="928"/>
      <c r="AD256" s="928"/>
      <c r="AE256" s="928"/>
      <c r="AF256" s="928"/>
      <c r="AG256" s="928"/>
      <c r="AH256" s="928"/>
      <c r="AI256" s="928"/>
      <c r="AJ256" s="928"/>
      <c r="AK256" s="928"/>
      <c r="AL256" s="928"/>
      <c r="AM256" s="928"/>
      <c r="AN256" s="928"/>
      <c r="AO256" s="928"/>
      <c r="AP256" s="928"/>
      <c r="AQ256" s="928"/>
      <c r="AR256" s="928"/>
      <c r="AS256" s="928"/>
    </row>
    <row r="257" spans="11:45">
      <c r="K257" s="957"/>
      <c r="L257" s="928"/>
      <c r="M257" s="928"/>
      <c r="N257" s="960"/>
      <c r="O257" s="960"/>
      <c r="P257" s="960"/>
      <c r="Q257" s="960"/>
      <c r="R257" s="960"/>
      <c r="S257" s="960"/>
      <c r="T257" s="960"/>
      <c r="U257" s="960"/>
      <c r="V257" s="960"/>
      <c r="W257" s="960"/>
      <c r="X257" s="960"/>
      <c r="Y257" s="960"/>
      <c r="Z257" s="960"/>
      <c r="AA257" s="960"/>
      <c r="AB257" s="928"/>
      <c r="AC257" s="928"/>
      <c r="AD257" s="928"/>
      <c r="AE257" s="928"/>
      <c r="AF257" s="928"/>
      <c r="AG257" s="928"/>
      <c r="AH257" s="928"/>
      <c r="AI257" s="928"/>
      <c r="AJ257" s="928"/>
      <c r="AK257" s="928"/>
      <c r="AL257" s="928"/>
      <c r="AM257" s="928"/>
      <c r="AN257" s="928"/>
      <c r="AO257" s="928"/>
      <c r="AP257" s="928"/>
      <c r="AQ257" s="928"/>
      <c r="AR257" s="928"/>
      <c r="AS257" s="928"/>
    </row>
    <row r="258" spans="11:45">
      <c r="K258" s="957"/>
      <c r="L258" s="928"/>
      <c r="M258" s="928"/>
      <c r="N258" s="960"/>
      <c r="O258" s="960"/>
      <c r="P258" s="960"/>
      <c r="Q258" s="960"/>
      <c r="R258" s="960"/>
      <c r="S258" s="960"/>
      <c r="T258" s="960"/>
      <c r="U258" s="960"/>
      <c r="V258" s="960"/>
      <c r="W258" s="960"/>
      <c r="X258" s="960"/>
      <c r="Y258" s="960"/>
      <c r="Z258" s="960"/>
      <c r="AA258" s="960"/>
      <c r="AB258" s="928"/>
      <c r="AC258" s="928"/>
      <c r="AD258" s="928"/>
      <c r="AE258" s="928"/>
      <c r="AF258" s="928"/>
      <c r="AG258" s="928"/>
      <c r="AH258" s="928"/>
      <c r="AI258" s="928"/>
      <c r="AJ258" s="928"/>
      <c r="AK258" s="928"/>
      <c r="AL258" s="928"/>
      <c r="AM258" s="928"/>
      <c r="AN258" s="928"/>
      <c r="AO258" s="928"/>
      <c r="AP258" s="928"/>
      <c r="AQ258" s="928"/>
      <c r="AR258" s="928"/>
      <c r="AS258" s="928"/>
    </row>
    <row r="259" spans="11:45">
      <c r="K259" s="957"/>
      <c r="L259" s="928"/>
      <c r="M259" s="928"/>
      <c r="N259" s="960"/>
      <c r="O259" s="960"/>
      <c r="P259" s="960"/>
      <c r="Q259" s="960"/>
      <c r="R259" s="960"/>
      <c r="S259" s="960"/>
      <c r="T259" s="960"/>
      <c r="U259" s="960"/>
      <c r="V259" s="960"/>
      <c r="W259" s="960"/>
      <c r="X259" s="960"/>
      <c r="Y259" s="960"/>
      <c r="Z259" s="960"/>
      <c r="AA259" s="960"/>
      <c r="AB259" s="928"/>
      <c r="AC259" s="928"/>
      <c r="AD259" s="928"/>
      <c r="AE259" s="928"/>
      <c r="AF259" s="928"/>
      <c r="AG259" s="928"/>
      <c r="AH259" s="928"/>
      <c r="AI259" s="928"/>
      <c r="AJ259" s="928"/>
      <c r="AK259" s="928"/>
      <c r="AL259" s="928"/>
      <c r="AM259" s="928"/>
      <c r="AN259" s="928"/>
      <c r="AO259" s="928"/>
      <c r="AP259" s="928"/>
      <c r="AQ259" s="928"/>
      <c r="AR259" s="928"/>
      <c r="AS259" s="928"/>
    </row>
    <row r="260" spans="11:45">
      <c r="K260" s="957"/>
      <c r="L260" s="928"/>
      <c r="M260" s="928"/>
      <c r="N260" s="960"/>
      <c r="O260" s="960"/>
      <c r="P260" s="960"/>
      <c r="Q260" s="960"/>
      <c r="R260" s="960"/>
      <c r="S260" s="960"/>
      <c r="T260" s="960"/>
      <c r="U260" s="960"/>
      <c r="V260" s="960"/>
      <c r="W260" s="960"/>
      <c r="X260" s="960"/>
      <c r="Y260" s="960"/>
      <c r="Z260" s="960"/>
      <c r="AA260" s="960"/>
      <c r="AB260" s="928"/>
      <c r="AC260" s="928"/>
      <c r="AD260" s="928"/>
      <c r="AE260" s="928"/>
      <c r="AF260" s="928"/>
      <c r="AG260" s="928"/>
      <c r="AH260" s="928"/>
      <c r="AI260" s="928"/>
      <c r="AJ260" s="928"/>
      <c r="AK260" s="928"/>
      <c r="AL260" s="928"/>
      <c r="AM260" s="928"/>
      <c r="AN260" s="928"/>
      <c r="AO260" s="928"/>
      <c r="AP260" s="928"/>
      <c r="AQ260" s="928"/>
      <c r="AR260" s="928"/>
      <c r="AS260" s="928"/>
    </row>
    <row r="261" spans="11:45">
      <c r="K261" s="957"/>
      <c r="L261" s="928"/>
      <c r="M261" s="928"/>
      <c r="N261" s="960"/>
      <c r="O261" s="960"/>
      <c r="P261" s="960"/>
      <c r="Q261" s="960"/>
      <c r="R261" s="960"/>
      <c r="S261" s="960"/>
      <c r="T261" s="960"/>
      <c r="U261" s="960"/>
      <c r="V261" s="960"/>
      <c r="W261" s="960"/>
      <c r="X261" s="960"/>
      <c r="Y261" s="960"/>
      <c r="Z261" s="960"/>
      <c r="AA261" s="960"/>
      <c r="AB261" s="928"/>
      <c r="AC261" s="928"/>
      <c r="AD261" s="928"/>
      <c r="AE261" s="928"/>
      <c r="AF261" s="928"/>
      <c r="AG261" s="928"/>
      <c r="AH261" s="928"/>
      <c r="AI261" s="928"/>
      <c r="AJ261" s="928"/>
      <c r="AK261" s="928"/>
      <c r="AL261" s="928"/>
      <c r="AM261" s="928"/>
      <c r="AN261" s="928"/>
      <c r="AO261" s="928"/>
      <c r="AP261" s="928"/>
      <c r="AQ261" s="928"/>
      <c r="AR261" s="928"/>
      <c r="AS261" s="928"/>
    </row>
    <row r="262" spans="11:45">
      <c r="K262" s="957"/>
      <c r="L262" s="928"/>
      <c r="M262" s="928"/>
      <c r="N262" s="960"/>
      <c r="O262" s="960"/>
      <c r="P262" s="960"/>
      <c r="Q262" s="960"/>
      <c r="R262" s="960"/>
      <c r="S262" s="960"/>
      <c r="T262" s="960"/>
      <c r="U262" s="960"/>
      <c r="V262" s="960"/>
      <c r="W262" s="960"/>
      <c r="X262" s="960"/>
      <c r="Y262" s="960"/>
      <c r="Z262" s="960"/>
      <c r="AA262" s="960"/>
      <c r="AB262" s="928"/>
      <c r="AC262" s="928"/>
      <c r="AD262" s="928"/>
      <c r="AE262" s="928"/>
      <c r="AF262" s="928"/>
      <c r="AG262" s="928"/>
      <c r="AH262" s="928"/>
      <c r="AI262" s="928"/>
      <c r="AJ262" s="928"/>
      <c r="AK262" s="928"/>
      <c r="AL262" s="928"/>
      <c r="AM262" s="928"/>
      <c r="AN262" s="928"/>
      <c r="AO262" s="928"/>
      <c r="AP262" s="928"/>
      <c r="AQ262" s="928"/>
      <c r="AR262" s="928"/>
      <c r="AS262" s="928"/>
    </row>
    <row r="263" spans="11:45">
      <c r="K263" s="957"/>
      <c r="L263" s="928"/>
      <c r="M263" s="928"/>
      <c r="N263" s="960"/>
      <c r="O263" s="960"/>
      <c r="P263" s="960"/>
      <c r="Q263" s="960"/>
      <c r="R263" s="960"/>
      <c r="S263" s="960"/>
      <c r="T263" s="960"/>
      <c r="U263" s="960"/>
      <c r="V263" s="960"/>
      <c r="W263" s="960"/>
      <c r="X263" s="960"/>
      <c r="Y263" s="960"/>
      <c r="Z263" s="960"/>
      <c r="AA263" s="960"/>
      <c r="AB263" s="928"/>
      <c r="AC263" s="928"/>
      <c r="AD263" s="928"/>
      <c r="AE263" s="928"/>
      <c r="AF263" s="928"/>
      <c r="AG263" s="928"/>
      <c r="AH263" s="928"/>
      <c r="AI263" s="928"/>
      <c r="AJ263" s="928"/>
      <c r="AK263" s="928"/>
      <c r="AL263" s="928"/>
      <c r="AM263" s="928"/>
      <c r="AN263" s="928"/>
      <c r="AO263" s="928"/>
      <c r="AP263" s="928"/>
      <c r="AQ263" s="928"/>
      <c r="AR263" s="928"/>
      <c r="AS263" s="928"/>
    </row>
    <row r="264" spans="11:45">
      <c r="K264" s="957"/>
      <c r="L264" s="928"/>
      <c r="M264" s="928"/>
      <c r="N264" s="960"/>
      <c r="O264" s="960"/>
      <c r="P264" s="960"/>
      <c r="Q264" s="960"/>
      <c r="R264" s="960"/>
      <c r="S264" s="960"/>
      <c r="T264" s="960"/>
      <c r="U264" s="960"/>
      <c r="V264" s="960"/>
      <c r="W264" s="960"/>
      <c r="X264" s="960"/>
      <c r="Y264" s="960"/>
      <c r="Z264" s="960"/>
      <c r="AA264" s="960"/>
      <c r="AB264" s="928"/>
      <c r="AC264" s="928"/>
      <c r="AD264" s="928"/>
      <c r="AE264" s="928"/>
      <c r="AF264" s="928"/>
      <c r="AG264" s="928"/>
      <c r="AH264" s="928"/>
      <c r="AI264" s="928"/>
      <c r="AJ264" s="928"/>
      <c r="AK264" s="928"/>
      <c r="AL264" s="928"/>
      <c r="AM264" s="928"/>
      <c r="AN264" s="928"/>
      <c r="AO264" s="928"/>
      <c r="AP264" s="928"/>
      <c r="AQ264" s="928"/>
      <c r="AR264" s="928"/>
      <c r="AS264" s="928"/>
    </row>
    <row r="265" spans="11:45">
      <c r="K265" s="957"/>
      <c r="L265" s="928"/>
      <c r="M265" s="928"/>
      <c r="N265" s="960"/>
      <c r="O265" s="960"/>
      <c r="P265" s="960"/>
      <c r="Q265" s="960"/>
      <c r="R265" s="960"/>
      <c r="S265" s="960"/>
      <c r="T265" s="960"/>
      <c r="U265" s="960"/>
      <c r="V265" s="960"/>
      <c r="W265" s="960"/>
      <c r="X265" s="960"/>
      <c r="Y265" s="960"/>
      <c r="Z265" s="960"/>
      <c r="AA265" s="960"/>
      <c r="AB265" s="928"/>
      <c r="AC265" s="928"/>
      <c r="AD265" s="928"/>
      <c r="AE265" s="928"/>
      <c r="AF265" s="928"/>
      <c r="AG265" s="928"/>
      <c r="AH265" s="928"/>
      <c r="AI265" s="928"/>
      <c r="AJ265" s="928"/>
      <c r="AK265" s="928"/>
      <c r="AL265" s="928"/>
      <c r="AM265" s="928"/>
      <c r="AN265" s="928"/>
      <c r="AO265" s="928"/>
      <c r="AP265" s="928"/>
      <c r="AQ265" s="928"/>
      <c r="AR265" s="928"/>
      <c r="AS265" s="928"/>
    </row>
    <row r="266" spans="11:45">
      <c r="K266" s="957"/>
      <c r="L266" s="928"/>
      <c r="M266" s="928"/>
      <c r="N266" s="960"/>
      <c r="O266" s="960"/>
      <c r="P266" s="960"/>
      <c r="Q266" s="960"/>
      <c r="R266" s="960"/>
      <c r="S266" s="960"/>
      <c r="T266" s="960"/>
      <c r="U266" s="960"/>
      <c r="V266" s="960"/>
      <c r="W266" s="960"/>
      <c r="X266" s="960"/>
      <c r="Y266" s="960"/>
      <c r="Z266" s="960"/>
      <c r="AA266" s="960"/>
      <c r="AB266" s="928"/>
      <c r="AC266" s="928"/>
      <c r="AD266" s="928"/>
      <c r="AE266" s="928"/>
      <c r="AF266" s="928"/>
      <c r="AG266" s="928"/>
      <c r="AH266" s="928"/>
      <c r="AI266" s="928"/>
      <c r="AJ266" s="928"/>
      <c r="AK266" s="928"/>
      <c r="AL266" s="928"/>
      <c r="AM266" s="928"/>
      <c r="AN266" s="928"/>
      <c r="AO266" s="928"/>
      <c r="AP266" s="928"/>
      <c r="AQ266" s="928"/>
      <c r="AR266" s="928"/>
      <c r="AS266" s="928"/>
    </row>
    <row r="267" spans="11:45">
      <c r="K267" s="957"/>
      <c r="L267" s="928"/>
      <c r="M267" s="928"/>
      <c r="N267" s="960"/>
      <c r="O267" s="960"/>
      <c r="P267" s="960"/>
      <c r="Q267" s="960"/>
      <c r="R267" s="960"/>
      <c r="S267" s="960"/>
      <c r="T267" s="960"/>
      <c r="U267" s="960"/>
      <c r="V267" s="960"/>
      <c r="W267" s="960"/>
      <c r="X267" s="960"/>
      <c r="Y267" s="960"/>
      <c r="Z267" s="960"/>
      <c r="AA267" s="960"/>
      <c r="AB267" s="928"/>
      <c r="AC267" s="928"/>
      <c r="AD267" s="928"/>
      <c r="AE267" s="928"/>
      <c r="AF267" s="928"/>
      <c r="AG267" s="928"/>
      <c r="AH267" s="928"/>
      <c r="AI267" s="928"/>
      <c r="AJ267" s="928"/>
      <c r="AK267" s="928"/>
      <c r="AL267" s="928"/>
      <c r="AM267" s="928"/>
      <c r="AN267" s="928"/>
      <c r="AO267" s="928"/>
      <c r="AP267" s="928"/>
      <c r="AQ267" s="928"/>
      <c r="AR267" s="928"/>
      <c r="AS267" s="928"/>
    </row>
    <row r="268" spans="11:45">
      <c r="K268" s="957"/>
      <c r="L268" s="928"/>
      <c r="M268" s="928"/>
      <c r="N268" s="960"/>
      <c r="O268" s="960"/>
      <c r="P268" s="960"/>
      <c r="Q268" s="960"/>
      <c r="R268" s="960"/>
      <c r="S268" s="960"/>
      <c r="T268" s="960"/>
      <c r="U268" s="960"/>
      <c r="V268" s="960"/>
      <c r="W268" s="960"/>
      <c r="X268" s="960"/>
      <c r="Y268" s="960"/>
      <c r="Z268" s="960"/>
      <c r="AA268" s="960"/>
      <c r="AB268" s="928"/>
      <c r="AC268" s="928"/>
      <c r="AD268" s="928"/>
      <c r="AE268" s="928"/>
      <c r="AF268" s="928"/>
      <c r="AG268" s="928"/>
      <c r="AH268" s="928"/>
      <c r="AI268" s="928"/>
      <c r="AJ268" s="928"/>
      <c r="AK268" s="928"/>
      <c r="AL268" s="928"/>
      <c r="AM268" s="928"/>
      <c r="AN268" s="928"/>
      <c r="AO268" s="928"/>
      <c r="AP268" s="928"/>
      <c r="AQ268" s="928"/>
      <c r="AR268" s="928"/>
      <c r="AS268" s="928"/>
    </row>
    <row r="269" spans="11:45">
      <c r="K269" s="957"/>
      <c r="L269" s="928"/>
      <c r="M269" s="928"/>
      <c r="N269" s="960"/>
      <c r="O269" s="960"/>
      <c r="P269" s="960"/>
      <c r="Q269" s="960"/>
      <c r="R269" s="960"/>
      <c r="S269" s="960"/>
      <c r="T269" s="960"/>
      <c r="U269" s="960"/>
      <c r="V269" s="960"/>
      <c r="W269" s="960"/>
      <c r="X269" s="960"/>
      <c r="Y269" s="960"/>
      <c r="Z269" s="960"/>
      <c r="AA269" s="960"/>
      <c r="AB269" s="928"/>
      <c r="AC269" s="928"/>
      <c r="AD269" s="928"/>
      <c r="AE269" s="928"/>
      <c r="AF269" s="928"/>
      <c r="AG269" s="928"/>
      <c r="AH269" s="928"/>
      <c r="AI269" s="928"/>
      <c r="AJ269" s="928"/>
      <c r="AK269" s="928"/>
      <c r="AL269" s="928"/>
      <c r="AM269" s="928"/>
      <c r="AN269" s="928"/>
      <c r="AO269" s="928"/>
      <c r="AP269" s="928"/>
      <c r="AQ269" s="928"/>
      <c r="AR269" s="928"/>
      <c r="AS269" s="928"/>
    </row>
    <row r="270" spans="11:45">
      <c r="K270" s="957"/>
      <c r="L270" s="928"/>
      <c r="M270" s="928"/>
      <c r="N270" s="960"/>
      <c r="O270" s="960"/>
      <c r="P270" s="960"/>
      <c r="Q270" s="960"/>
      <c r="R270" s="960"/>
      <c r="S270" s="960"/>
      <c r="T270" s="960"/>
      <c r="U270" s="960"/>
      <c r="V270" s="960"/>
      <c r="W270" s="960"/>
      <c r="X270" s="960"/>
      <c r="Y270" s="960"/>
      <c r="Z270" s="960"/>
      <c r="AA270" s="960"/>
      <c r="AB270" s="928"/>
      <c r="AC270" s="928"/>
      <c r="AD270" s="928"/>
      <c r="AE270" s="928"/>
      <c r="AF270" s="928"/>
      <c r="AG270" s="928"/>
      <c r="AH270" s="928"/>
      <c r="AI270" s="928"/>
      <c r="AJ270" s="928"/>
      <c r="AK270" s="928"/>
      <c r="AL270" s="928"/>
      <c r="AM270" s="928"/>
      <c r="AN270" s="928"/>
      <c r="AO270" s="928"/>
      <c r="AP270" s="928"/>
      <c r="AQ270" s="928"/>
      <c r="AR270" s="928"/>
      <c r="AS270" s="928"/>
    </row>
    <row r="271" spans="11:45">
      <c r="K271" s="957"/>
      <c r="L271" s="928"/>
      <c r="M271" s="928"/>
      <c r="N271" s="960"/>
      <c r="O271" s="960"/>
      <c r="P271" s="960"/>
      <c r="Q271" s="960"/>
      <c r="R271" s="960"/>
      <c r="S271" s="960"/>
      <c r="T271" s="960"/>
      <c r="U271" s="960"/>
      <c r="V271" s="960"/>
      <c r="W271" s="960"/>
      <c r="X271" s="960"/>
      <c r="Y271" s="960"/>
      <c r="Z271" s="960"/>
      <c r="AA271" s="960"/>
      <c r="AB271" s="928"/>
      <c r="AC271" s="928"/>
      <c r="AD271" s="928"/>
      <c r="AE271" s="928"/>
      <c r="AF271" s="928"/>
      <c r="AG271" s="928"/>
      <c r="AH271" s="928"/>
      <c r="AI271" s="928"/>
      <c r="AJ271" s="928"/>
      <c r="AK271" s="928"/>
      <c r="AL271" s="928"/>
      <c r="AM271" s="928"/>
      <c r="AN271" s="928"/>
      <c r="AO271" s="928"/>
      <c r="AP271" s="928"/>
      <c r="AQ271" s="928"/>
      <c r="AR271" s="928"/>
      <c r="AS271" s="928"/>
    </row>
    <row r="272" spans="11:45">
      <c r="K272" s="957"/>
      <c r="L272" s="928"/>
      <c r="M272" s="928"/>
      <c r="N272" s="960"/>
      <c r="O272" s="960"/>
      <c r="P272" s="960"/>
      <c r="Q272" s="960"/>
      <c r="R272" s="960"/>
      <c r="S272" s="960"/>
      <c r="T272" s="960"/>
      <c r="U272" s="960"/>
      <c r="V272" s="960"/>
      <c r="W272" s="960"/>
      <c r="X272" s="960"/>
      <c r="Y272" s="960"/>
      <c r="Z272" s="960"/>
      <c r="AA272" s="960"/>
      <c r="AB272" s="928"/>
      <c r="AC272" s="928"/>
      <c r="AD272" s="928"/>
      <c r="AE272" s="928"/>
      <c r="AF272" s="928"/>
      <c r="AG272" s="928"/>
      <c r="AH272" s="928"/>
      <c r="AI272" s="928"/>
      <c r="AJ272" s="928"/>
      <c r="AK272" s="928"/>
      <c r="AL272" s="928"/>
      <c r="AM272" s="928"/>
      <c r="AN272" s="928"/>
      <c r="AO272" s="928"/>
      <c r="AP272" s="928"/>
      <c r="AQ272" s="928"/>
      <c r="AR272" s="928"/>
      <c r="AS272" s="928"/>
    </row>
    <row r="273" spans="11:45">
      <c r="K273" s="957"/>
      <c r="L273" s="928"/>
      <c r="M273" s="928"/>
      <c r="N273" s="960"/>
      <c r="O273" s="960"/>
      <c r="P273" s="960"/>
      <c r="Q273" s="960"/>
      <c r="R273" s="960"/>
      <c r="S273" s="960"/>
      <c r="T273" s="960"/>
      <c r="U273" s="960"/>
      <c r="V273" s="960"/>
      <c r="W273" s="960"/>
      <c r="X273" s="960"/>
      <c r="Y273" s="960"/>
      <c r="Z273" s="960"/>
      <c r="AA273" s="960"/>
      <c r="AB273" s="928"/>
      <c r="AC273" s="928"/>
      <c r="AD273" s="928"/>
      <c r="AE273" s="928"/>
      <c r="AF273" s="928"/>
      <c r="AG273" s="928"/>
      <c r="AH273" s="928"/>
      <c r="AI273" s="928"/>
      <c r="AJ273" s="928"/>
      <c r="AK273" s="928"/>
      <c r="AL273" s="928"/>
      <c r="AM273" s="928"/>
      <c r="AN273" s="928"/>
      <c r="AO273" s="928"/>
      <c r="AP273" s="928"/>
      <c r="AQ273" s="928"/>
      <c r="AR273" s="928"/>
      <c r="AS273" s="928"/>
    </row>
    <row r="274" spans="11:45">
      <c r="K274" s="957"/>
      <c r="L274" s="928"/>
      <c r="M274" s="928"/>
      <c r="N274" s="960"/>
      <c r="O274" s="960"/>
      <c r="P274" s="960"/>
      <c r="Q274" s="960"/>
      <c r="R274" s="960"/>
      <c r="S274" s="960"/>
      <c r="T274" s="960"/>
      <c r="U274" s="960"/>
      <c r="V274" s="960"/>
      <c r="W274" s="960"/>
      <c r="X274" s="960"/>
      <c r="Y274" s="960"/>
      <c r="Z274" s="960"/>
      <c r="AA274" s="960"/>
      <c r="AB274" s="928"/>
      <c r="AC274" s="928"/>
      <c r="AD274" s="928"/>
      <c r="AE274" s="928"/>
      <c r="AF274" s="928"/>
      <c r="AG274" s="928"/>
      <c r="AH274" s="928"/>
      <c r="AI274" s="928"/>
      <c r="AJ274" s="928"/>
      <c r="AK274" s="928"/>
      <c r="AL274" s="928"/>
      <c r="AM274" s="928"/>
      <c r="AN274" s="928"/>
      <c r="AO274" s="928"/>
      <c r="AP274" s="928"/>
      <c r="AQ274" s="928"/>
      <c r="AR274" s="928"/>
      <c r="AS274" s="928"/>
    </row>
    <row r="275" spans="11:45">
      <c r="K275" s="957"/>
      <c r="L275" s="928"/>
      <c r="M275" s="928"/>
      <c r="N275" s="960"/>
      <c r="O275" s="960"/>
      <c r="P275" s="960"/>
      <c r="Q275" s="960"/>
      <c r="R275" s="960"/>
      <c r="S275" s="960"/>
      <c r="T275" s="960"/>
      <c r="U275" s="960"/>
      <c r="V275" s="960"/>
      <c r="W275" s="960"/>
      <c r="X275" s="960"/>
      <c r="Y275" s="960"/>
      <c r="Z275" s="960"/>
      <c r="AA275" s="960"/>
      <c r="AB275" s="928"/>
      <c r="AC275" s="928"/>
      <c r="AD275" s="928"/>
      <c r="AE275" s="928"/>
      <c r="AF275" s="928"/>
      <c r="AG275" s="928"/>
      <c r="AH275" s="928"/>
      <c r="AI275" s="928"/>
      <c r="AJ275" s="928"/>
      <c r="AK275" s="928"/>
      <c r="AL275" s="928"/>
      <c r="AM275" s="928"/>
      <c r="AN275" s="928"/>
      <c r="AO275" s="928"/>
      <c r="AP275" s="928"/>
      <c r="AQ275" s="928"/>
      <c r="AR275" s="928"/>
      <c r="AS275" s="928"/>
    </row>
    <row r="276" spans="11:45">
      <c r="K276" s="957"/>
      <c r="L276" s="928"/>
      <c r="M276" s="928"/>
      <c r="N276" s="960"/>
      <c r="O276" s="960"/>
      <c r="P276" s="960"/>
      <c r="Q276" s="960"/>
      <c r="R276" s="960"/>
      <c r="S276" s="960"/>
      <c r="T276" s="960"/>
      <c r="U276" s="960"/>
      <c r="V276" s="960"/>
      <c r="W276" s="960"/>
      <c r="X276" s="960"/>
      <c r="Y276" s="960"/>
      <c r="Z276" s="960"/>
      <c r="AA276" s="960"/>
      <c r="AB276" s="928"/>
      <c r="AC276" s="928"/>
      <c r="AD276" s="928"/>
      <c r="AE276" s="928"/>
      <c r="AF276" s="928"/>
      <c r="AG276" s="928"/>
      <c r="AH276" s="928"/>
      <c r="AI276" s="928"/>
      <c r="AJ276" s="928"/>
      <c r="AK276" s="928"/>
      <c r="AL276" s="928"/>
      <c r="AM276" s="928"/>
      <c r="AN276" s="928"/>
      <c r="AO276" s="928"/>
      <c r="AP276" s="928"/>
      <c r="AQ276" s="928"/>
      <c r="AR276" s="928"/>
      <c r="AS276" s="928"/>
    </row>
    <row r="277" spans="11:45">
      <c r="K277" s="957"/>
      <c r="L277" s="928"/>
      <c r="M277" s="928"/>
      <c r="N277" s="960"/>
      <c r="O277" s="960"/>
      <c r="P277" s="960"/>
      <c r="Q277" s="960"/>
      <c r="R277" s="960"/>
      <c r="S277" s="960"/>
      <c r="T277" s="960"/>
      <c r="U277" s="960"/>
      <c r="V277" s="960"/>
      <c r="W277" s="960"/>
      <c r="X277" s="960"/>
      <c r="Y277" s="960"/>
      <c r="Z277" s="960"/>
      <c r="AA277" s="960"/>
      <c r="AB277" s="928"/>
      <c r="AC277" s="928"/>
      <c r="AD277" s="928"/>
      <c r="AE277" s="928"/>
      <c r="AF277" s="928"/>
      <c r="AG277" s="928"/>
      <c r="AH277" s="928"/>
      <c r="AI277" s="928"/>
      <c r="AJ277" s="928"/>
      <c r="AK277" s="928"/>
      <c r="AL277" s="928"/>
      <c r="AM277" s="928"/>
      <c r="AN277" s="928"/>
      <c r="AO277" s="928"/>
      <c r="AP277" s="928"/>
      <c r="AQ277" s="928"/>
      <c r="AR277" s="928"/>
      <c r="AS277" s="928"/>
    </row>
    <row r="278" spans="11:45">
      <c r="K278" s="957"/>
      <c r="L278" s="928"/>
      <c r="M278" s="928"/>
      <c r="N278" s="960"/>
      <c r="O278" s="960"/>
      <c r="P278" s="960"/>
      <c r="Q278" s="960"/>
      <c r="R278" s="960"/>
      <c r="S278" s="960"/>
      <c r="T278" s="960"/>
      <c r="U278" s="960"/>
      <c r="V278" s="960"/>
      <c r="W278" s="960"/>
      <c r="X278" s="960"/>
      <c r="Y278" s="960"/>
      <c r="Z278" s="960"/>
      <c r="AA278" s="960"/>
      <c r="AB278" s="928"/>
      <c r="AC278" s="928"/>
      <c r="AD278" s="928"/>
      <c r="AE278" s="928"/>
      <c r="AF278" s="928"/>
      <c r="AG278" s="928"/>
      <c r="AH278" s="928"/>
      <c r="AI278" s="928"/>
      <c r="AJ278" s="928"/>
      <c r="AK278" s="928"/>
      <c r="AL278" s="928"/>
      <c r="AM278" s="928"/>
      <c r="AN278" s="928"/>
      <c r="AO278" s="928"/>
      <c r="AP278" s="928"/>
      <c r="AQ278" s="928"/>
      <c r="AR278" s="928"/>
      <c r="AS278" s="928"/>
    </row>
    <row r="279" spans="11:45">
      <c r="K279" s="957"/>
      <c r="L279" s="928"/>
      <c r="M279" s="928"/>
      <c r="N279" s="960"/>
      <c r="O279" s="960"/>
      <c r="P279" s="960"/>
      <c r="Q279" s="960"/>
      <c r="R279" s="960"/>
      <c r="S279" s="960"/>
      <c r="T279" s="960"/>
      <c r="U279" s="960"/>
      <c r="V279" s="960"/>
      <c r="W279" s="960"/>
      <c r="X279" s="960"/>
      <c r="Y279" s="960"/>
      <c r="Z279" s="960"/>
      <c r="AA279" s="960"/>
      <c r="AB279" s="928"/>
      <c r="AC279" s="928"/>
      <c r="AD279" s="928"/>
      <c r="AE279" s="928"/>
      <c r="AF279" s="928"/>
      <c r="AG279" s="928"/>
      <c r="AH279" s="928"/>
      <c r="AI279" s="928"/>
      <c r="AJ279" s="928"/>
      <c r="AK279" s="928"/>
      <c r="AL279" s="928"/>
      <c r="AM279" s="928"/>
      <c r="AN279" s="928"/>
      <c r="AO279" s="928"/>
      <c r="AP279" s="928"/>
      <c r="AQ279" s="928"/>
      <c r="AR279" s="928"/>
      <c r="AS279" s="928"/>
    </row>
    <row r="280" spans="11:45">
      <c r="K280" s="957"/>
      <c r="L280" s="928"/>
      <c r="M280" s="928"/>
      <c r="N280" s="960"/>
      <c r="O280" s="960"/>
      <c r="P280" s="960"/>
      <c r="Q280" s="960"/>
      <c r="R280" s="960"/>
      <c r="S280" s="960"/>
      <c r="T280" s="960"/>
      <c r="U280" s="960"/>
      <c r="V280" s="960"/>
      <c r="W280" s="960"/>
      <c r="X280" s="960"/>
      <c r="Y280" s="960"/>
      <c r="Z280" s="960"/>
      <c r="AA280" s="960"/>
      <c r="AB280" s="928"/>
      <c r="AC280" s="928"/>
      <c r="AD280" s="928"/>
      <c r="AE280" s="928"/>
      <c r="AF280" s="928"/>
      <c r="AG280" s="928"/>
      <c r="AH280" s="928"/>
      <c r="AI280" s="928"/>
      <c r="AJ280" s="928"/>
      <c r="AK280" s="928"/>
      <c r="AL280" s="928"/>
      <c r="AM280" s="928"/>
      <c r="AN280" s="928"/>
      <c r="AO280" s="928"/>
      <c r="AP280" s="928"/>
      <c r="AQ280" s="928"/>
      <c r="AR280" s="928"/>
      <c r="AS280" s="928"/>
    </row>
    <row r="281" spans="11:45">
      <c r="K281" s="957"/>
      <c r="L281" s="928"/>
      <c r="M281" s="928"/>
      <c r="N281" s="960"/>
      <c r="O281" s="960"/>
      <c r="P281" s="960"/>
      <c r="Q281" s="960"/>
      <c r="R281" s="960"/>
      <c r="S281" s="960"/>
      <c r="T281" s="960"/>
      <c r="U281" s="960"/>
      <c r="V281" s="960"/>
      <c r="W281" s="960"/>
      <c r="X281" s="960"/>
      <c r="Y281" s="960"/>
      <c r="Z281" s="960"/>
      <c r="AA281" s="960"/>
      <c r="AB281" s="928"/>
      <c r="AC281" s="928"/>
      <c r="AD281" s="928"/>
      <c r="AE281" s="928"/>
      <c r="AF281" s="928"/>
      <c r="AG281" s="928"/>
      <c r="AH281" s="928"/>
      <c r="AI281" s="928"/>
      <c r="AJ281" s="928"/>
      <c r="AK281" s="928"/>
      <c r="AL281" s="928"/>
      <c r="AM281" s="928"/>
      <c r="AN281" s="928"/>
      <c r="AO281" s="928"/>
      <c r="AP281" s="928"/>
      <c r="AQ281" s="928"/>
      <c r="AR281" s="928"/>
      <c r="AS281" s="928"/>
    </row>
    <row r="282" spans="11:45">
      <c r="K282" s="957"/>
      <c r="L282" s="928"/>
      <c r="M282" s="928"/>
      <c r="N282" s="960"/>
      <c r="O282" s="960"/>
      <c r="P282" s="960"/>
      <c r="Q282" s="960"/>
      <c r="R282" s="960"/>
      <c r="S282" s="960"/>
      <c r="T282" s="960"/>
      <c r="U282" s="960"/>
      <c r="V282" s="960"/>
      <c r="W282" s="960"/>
      <c r="X282" s="960"/>
      <c r="Y282" s="960"/>
      <c r="Z282" s="960"/>
      <c r="AA282" s="960"/>
      <c r="AB282" s="928"/>
      <c r="AC282" s="928"/>
      <c r="AD282" s="928"/>
      <c r="AE282" s="928"/>
      <c r="AF282" s="928"/>
      <c r="AG282" s="928"/>
      <c r="AH282" s="928"/>
      <c r="AI282" s="928"/>
      <c r="AJ282" s="928"/>
      <c r="AK282" s="928"/>
      <c r="AL282" s="928"/>
      <c r="AM282" s="928"/>
      <c r="AN282" s="928"/>
      <c r="AO282" s="928"/>
      <c r="AP282" s="928"/>
      <c r="AQ282" s="928"/>
      <c r="AR282" s="928"/>
      <c r="AS282" s="928"/>
    </row>
    <row r="283" spans="11:45">
      <c r="K283" s="957"/>
      <c r="L283" s="928"/>
      <c r="M283" s="928"/>
      <c r="N283" s="960"/>
      <c r="O283" s="960"/>
      <c r="P283" s="960"/>
      <c r="Q283" s="960"/>
      <c r="R283" s="960"/>
      <c r="S283" s="960"/>
      <c r="T283" s="960"/>
      <c r="U283" s="960"/>
      <c r="V283" s="960"/>
      <c r="W283" s="960"/>
      <c r="X283" s="960"/>
      <c r="Y283" s="960"/>
      <c r="Z283" s="960"/>
      <c r="AA283" s="960"/>
      <c r="AB283" s="928"/>
      <c r="AC283" s="928"/>
      <c r="AD283" s="928"/>
      <c r="AE283" s="928"/>
      <c r="AF283" s="928"/>
      <c r="AG283" s="928"/>
      <c r="AH283" s="928"/>
      <c r="AI283" s="928"/>
      <c r="AJ283" s="928"/>
      <c r="AK283" s="928"/>
      <c r="AL283" s="928"/>
      <c r="AM283" s="928"/>
      <c r="AN283" s="928"/>
      <c r="AO283" s="928"/>
      <c r="AP283" s="928"/>
      <c r="AQ283" s="928"/>
      <c r="AR283" s="928"/>
      <c r="AS283" s="928"/>
    </row>
    <row r="284" spans="11:45">
      <c r="K284" s="957"/>
      <c r="L284" s="928"/>
      <c r="M284" s="928"/>
      <c r="N284" s="960"/>
      <c r="O284" s="960"/>
      <c r="P284" s="960"/>
      <c r="Q284" s="960"/>
      <c r="R284" s="960"/>
      <c r="S284" s="960"/>
      <c r="T284" s="960"/>
      <c r="U284" s="960"/>
      <c r="V284" s="960"/>
      <c r="W284" s="960"/>
      <c r="X284" s="960"/>
      <c r="Y284" s="960"/>
      <c r="Z284" s="960"/>
      <c r="AA284" s="960"/>
      <c r="AB284" s="928"/>
      <c r="AC284" s="928"/>
      <c r="AD284" s="928"/>
      <c r="AE284" s="928"/>
      <c r="AF284" s="928"/>
      <c r="AG284" s="928"/>
      <c r="AH284" s="928"/>
      <c r="AI284" s="928"/>
      <c r="AJ284" s="928"/>
      <c r="AK284" s="928"/>
      <c r="AL284" s="928"/>
      <c r="AM284" s="928"/>
      <c r="AN284" s="928"/>
      <c r="AO284" s="928"/>
      <c r="AP284" s="928"/>
      <c r="AQ284" s="928"/>
      <c r="AR284" s="928"/>
      <c r="AS284" s="928"/>
    </row>
    <row r="285" spans="11:45">
      <c r="K285" s="957"/>
      <c r="L285" s="928"/>
      <c r="M285" s="928"/>
      <c r="N285" s="960"/>
      <c r="O285" s="960"/>
      <c r="P285" s="960"/>
      <c r="Q285" s="960"/>
      <c r="R285" s="960"/>
      <c r="S285" s="960"/>
      <c r="T285" s="960"/>
      <c r="U285" s="960"/>
      <c r="V285" s="960"/>
      <c r="W285" s="960"/>
      <c r="X285" s="960"/>
      <c r="Y285" s="960"/>
      <c r="Z285" s="960"/>
      <c r="AA285" s="960"/>
      <c r="AB285" s="928"/>
      <c r="AC285" s="928"/>
      <c r="AD285" s="928"/>
      <c r="AE285" s="928"/>
      <c r="AF285" s="928"/>
      <c r="AG285" s="928"/>
      <c r="AH285" s="928"/>
      <c r="AI285" s="928"/>
      <c r="AJ285" s="928"/>
      <c r="AK285" s="928"/>
      <c r="AL285" s="928"/>
      <c r="AM285" s="928"/>
      <c r="AN285" s="928"/>
      <c r="AO285" s="928"/>
      <c r="AP285" s="928"/>
      <c r="AQ285" s="928"/>
      <c r="AR285" s="928"/>
      <c r="AS285" s="928"/>
    </row>
    <row r="286" spans="11:45">
      <c r="K286" s="957"/>
      <c r="L286" s="928"/>
      <c r="M286" s="928"/>
      <c r="N286" s="960"/>
      <c r="O286" s="960"/>
      <c r="P286" s="960"/>
      <c r="Q286" s="960"/>
      <c r="R286" s="960"/>
      <c r="S286" s="960"/>
      <c r="T286" s="960"/>
      <c r="U286" s="960"/>
      <c r="V286" s="960"/>
      <c r="W286" s="960"/>
      <c r="X286" s="960"/>
      <c r="Y286" s="960"/>
      <c r="Z286" s="960"/>
      <c r="AA286" s="960"/>
      <c r="AB286" s="928"/>
      <c r="AC286" s="928"/>
      <c r="AD286" s="928"/>
      <c r="AE286" s="928"/>
      <c r="AF286" s="928"/>
      <c r="AG286" s="928"/>
      <c r="AH286" s="928"/>
      <c r="AI286" s="928"/>
      <c r="AJ286" s="928"/>
      <c r="AK286" s="928"/>
      <c r="AL286" s="928"/>
      <c r="AM286" s="928"/>
      <c r="AN286" s="928"/>
      <c r="AO286" s="928"/>
      <c r="AP286" s="928"/>
      <c r="AQ286" s="928"/>
      <c r="AR286" s="928"/>
      <c r="AS286" s="928"/>
    </row>
    <row r="287" spans="11:45">
      <c r="K287" s="957"/>
      <c r="L287" s="928"/>
      <c r="M287" s="928"/>
      <c r="N287" s="960"/>
      <c r="O287" s="960"/>
      <c r="P287" s="960"/>
      <c r="Q287" s="960"/>
      <c r="R287" s="960"/>
      <c r="S287" s="960"/>
      <c r="T287" s="960"/>
      <c r="U287" s="960"/>
      <c r="V287" s="960"/>
      <c r="W287" s="960"/>
      <c r="X287" s="960"/>
      <c r="Y287" s="960"/>
      <c r="Z287" s="960"/>
      <c r="AA287" s="960"/>
      <c r="AB287" s="928"/>
      <c r="AC287" s="928"/>
      <c r="AD287" s="928"/>
      <c r="AE287" s="928"/>
      <c r="AF287" s="928"/>
      <c r="AG287" s="928"/>
      <c r="AH287" s="928"/>
      <c r="AI287" s="928"/>
      <c r="AJ287" s="928"/>
      <c r="AK287" s="928"/>
      <c r="AL287" s="928"/>
      <c r="AM287" s="928"/>
      <c r="AN287" s="928"/>
      <c r="AO287" s="928"/>
      <c r="AP287" s="928"/>
      <c r="AQ287" s="928"/>
      <c r="AR287" s="928"/>
      <c r="AS287" s="928"/>
    </row>
    <row r="288" spans="11:45">
      <c r="K288" s="957"/>
      <c r="L288" s="928"/>
      <c r="M288" s="928"/>
      <c r="N288" s="960"/>
      <c r="O288" s="960"/>
      <c r="P288" s="960"/>
      <c r="Q288" s="960"/>
      <c r="R288" s="960"/>
      <c r="S288" s="960"/>
      <c r="T288" s="960"/>
      <c r="U288" s="960"/>
      <c r="V288" s="960"/>
      <c r="W288" s="960"/>
      <c r="X288" s="960"/>
      <c r="Y288" s="960"/>
      <c r="Z288" s="960"/>
      <c r="AA288" s="960"/>
      <c r="AB288" s="928"/>
      <c r="AC288" s="928"/>
      <c r="AD288" s="928"/>
      <c r="AE288" s="928"/>
      <c r="AF288" s="928"/>
      <c r="AG288" s="928"/>
      <c r="AH288" s="928"/>
      <c r="AI288" s="928"/>
      <c r="AJ288" s="928"/>
      <c r="AK288" s="928"/>
      <c r="AL288" s="928"/>
      <c r="AM288" s="928"/>
      <c r="AN288" s="928"/>
      <c r="AO288" s="928"/>
      <c r="AP288" s="928"/>
      <c r="AQ288" s="928"/>
      <c r="AR288" s="928"/>
      <c r="AS288" s="928"/>
    </row>
    <row r="289" spans="11:45">
      <c r="K289" s="957"/>
      <c r="L289" s="928"/>
      <c r="M289" s="928"/>
      <c r="N289" s="960"/>
      <c r="O289" s="960"/>
      <c r="P289" s="960"/>
      <c r="Q289" s="960"/>
      <c r="R289" s="960"/>
      <c r="S289" s="960"/>
      <c r="T289" s="960"/>
      <c r="U289" s="960"/>
      <c r="V289" s="960"/>
      <c r="W289" s="960"/>
      <c r="X289" s="960"/>
      <c r="Y289" s="960"/>
      <c r="Z289" s="960"/>
      <c r="AA289" s="960"/>
      <c r="AB289" s="928"/>
      <c r="AC289" s="928"/>
      <c r="AD289" s="928"/>
      <c r="AE289" s="928"/>
      <c r="AF289" s="928"/>
      <c r="AG289" s="928"/>
      <c r="AH289" s="928"/>
      <c r="AI289" s="928"/>
      <c r="AJ289" s="928"/>
      <c r="AK289" s="928"/>
      <c r="AL289" s="928"/>
      <c r="AM289" s="928"/>
      <c r="AN289" s="928"/>
      <c r="AO289" s="928"/>
      <c r="AP289" s="928"/>
      <c r="AQ289" s="928"/>
      <c r="AR289" s="928"/>
      <c r="AS289" s="928"/>
    </row>
    <row r="290" spans="11:45">
      <c r="K290" s="957"/>
      <c r="L290" s="928"/>
      <c r="M290" s="928"/>
      <c r="N290" s="960"/>
      <c r="O290" s="960"/>
      <c r="P290" s="960"/>
      <c r="Q290" s="960"/>
      <c r="R290" s="960"/>
      <c r="S290" s="960"/>
      <c r="T290" s="960"/>
      <c r="U290" s="960"/>
      <c r="V290" s="960"/>
      <c r="W290" s="960"/>
      <c r="X290" s="960"/>
      <c r="Y290" s="960"/>
      <c r="Z290" s="960"/>
      <c r="AA290" s="960"/>
      <c r="AB290" s="928"/>
      <c r="AC290" s="928"/>
      <c r="AD290" s="928"/>
      <c r="AE290" s="928"/>
      <c r="AF290" s="928"/>
      <c r="AG290" s="928"/>
      <c r="AH290" s="928"/>
      <c r="AI290" s="928"/>
      <c r="AJ290" s="928"/>
      <c r="AK290" s="928"/>
      <c r="AL290" s="928"/>
      <c r="AM290" s="928"/>
      <c r="AN290" s="928"/>
      <c r="AO290" s="928"/>
      <c r="AP290" s="928"/>
      <c r="AQ290" s="928"/>
      <c r="AR290" s="928"/>
      <c r="AS290" s="928"/>
    </row>
    <row r="291" spans="11:45">
      <c r="K291" s="957"/>
      <c r="L291" s="928"/>
      <c r="M291" s="928"/>
      <c r="N291" s="960"/>
      <c r="O291" s="960"/>
      <c r="P291" s="960"/>
      <c r="Q291" s="960"/>
      <c r="R291" s="960"/>
      <c r="S291" s="960"/>
      <c r="T291" s="960"/>
      <c r="U291" s="960"/>
      <c r="V291" s="960"/>
      <c r="W291" s="960"/>
      <c r="X291" s="960"/>
      <c r="Y291" s="960"/>
      <c r="Z291" s="960"/>
      <c r="AA291" s="960"/>
      <c r="AB291" s="928"/>
      <c r="AC291" s="928"/>
      <c r="AD291" s="928"/>
      <c r="AE291" s="928"/>
      <c r="AF291" s="928"/>
      <c r="AG291" s="928"/>
      <c r="AH291" s="928"/>
      <c r="AI291" s="928"/>
      <c r="AJ291" s="928"/>
      <c r="AK291" s="928"/>
      <c r="AL291" s="928"/>
      <c r="AM291" s="928"/>
      <c r="AN291" s="928"/>
      <c r="AO291" s="928"/>
      <c r="AP291" s="928"/>
      <c r="AQ291" s="928"/>
      <c r="AR291" s="928"/>
      <c r="AS291" s="928"/>
    </row>
    <row r="292" spans="11:45">
      <c r="K292" s="957"/>
      <c r="L292" s="928"/>
      <c r="M292" s="928"/>
      <c r="N292" s="960"/>
      <c r="O292" s="960"/>
      <c r="P292" s="960"/>
      <c r="Q292" s="960"/>
      <c r="R292" s="960"/>
      <c r="S292" s="960"/>
      <c r="T292" s="960"/>
      <c r="U292" s="960"/>
      <c r="V292" s="960"/>
      <c r="W292" s="960"/>
      <c r="X292" s="960"/>
      <c r="Y292" s="960"/>
      <c r="Z292" s="960"/>
      <c r="AA292" s="960"/>
      <c r="AB292" s="928"/>
      <c r="AC292" s="928"/>
      <c r="AD292" s="928"/>
      <c r="AE292" s="928"/>
      <c r="AF292" s="928"/>
      <c r="AG292" s="928"/>
      <c r="AH292" s="928"/>
      <c r="AI292" s="928"/>
      <c r="AJ292" s="928"/>
      <c r="AK292" s="928"/>
      <c r="AL292" s="928"/>
      <c r="AM292" s="928"/>
      <c r="AN292" s="928"/>
      <c r="AO292" s="928"/>
      <c r="AP292" s="928"/>
      <c r="AQ292" s="928"/>
      <c r="AR292" s="928"/>
      <c r="AS292" s="928"/>
    </row>
    <row r="293" spans="11:45">
      <c r="K293" s="957"/>
      <c r="L293" s="928"/>
      <c r="M293" s="928"/>
      <c r="N293" s="960"/>
      <c r="O293" s="960"/>
      <c r="P293" s="960"/>
      <c r="Q293" s="960"/>
      <c r="R293" s="960"/>
      <c r="S293" s="960"/>
      <c r="T293" s="960"/>
      <c r="U293" s="960"/>
      <c r="V293" s="960"/>
      <c r="W293" s="960"/>
      <c r="X293" s="960"/>
      <c r="Y293" s="960"/>
      <c r="Z293" s="960"/>
      <c r="AA293" s="960"/>
      <c r="AB293" s="928"/>
      <c r="AC293" s="928"/>
      <c r="AD293" s="928"/>
      <c r="AE293" s="928"/>
      <c r="AF293" s="928"/>
      <c r="AG293" s="928"/>
      <c r="AH293" s="928"/>
      <c r="AI293" s="928"/>
      <c r="AJ293" s="928"/>
      <c r="AK293" s="928"/>
      <c r="AL293" s="928"/>
      <c r="AM293" s="928"/>
      <c r="AN293" s="928"/>
      <c r="AO293" s="928"/>
      <c r="AP293" s="928"/>
      <c r="AQ293" s="928"/>
      <c r="AR293" s="928"/>
      <c r="AS293" s="928"/>
    </row>
    <row r="294" spans="11:45">
      <c r="K294" s="957"/>
      <c r="L294" s="928"/>
      <c r="M294" s="928"/>
      <c r="N294" s="960"/>
      <c r="O294" s="960"/>
      <c r="P294" s="960"/>
      <c r="Q294" s="960"/>
      <c r="R294" s="960"/>
      <c r="S294" s="960"/>
      <c r="T294" s="960"/>
      <c r="U294" s="960"/>
      <c r="V294" s="960"/>
      <c r="W294" s="960"/>
      <c r="X294" s="960"/>
      <c r="Y294" s="960"/>
      <c r="Z294" s="960"/>
      <c r="AA294" s="960"/>
      <c r="AB294" s="928"/>
      <c r="AC294" s="928"/>
      <c r="AD294" s="928"/>
      <c r="AE294" s="928"/>
      <c r="AF294" s="928"/>
      <c r="AG294" s="928"/>
      <c r="AH294" s="928"/>
      <c r="AI294" s="928"/>
      <c r="AJ294" s="928"/>
      <c r="AK294" s="928"/>
      <c r="AL294" s="928"/>
      <c r="AM294" s="928"/>
      <c r="AN294" s="928"/>
      <c r="AO294" s="928"/>
      <c r="AP294" s="928"/>
      <c r="AQ294" s="928"/>
      <c r="AR294" s="928"/>
      <c r="AS294" s="928"/>
    </row>
    <row r="295" spans="11:45">
      <c r="K295" s="957"/>
      <c r="L295" s="928"/>
      <c r="M295" s="928"/>
      <c r="N295" s="960"/>
      <c r="O295" s="960"/>
      <c r="P295" s="960"/>
      <c r="Q295" s="960"/>
      <c r="R295" s="960"/>
      <c r="S295" s="960"/>
      <c r="T295" s="960"/>
      <c r="U295" s="960"/>
      <c r="V295" s="960"/>
      <c r="W295" s="960"/>
      <c r="X295" s="960"/>
      <c r="Y295" s="960"/>
      <c r="Z295" s="960"/>
      <c r="AA295" s="960"/>
      <c r="AB295" s="928"/>
      <c r="AC295" s="928"/>
      <c r="AD295" s="928"/>
      <c r="AE295" s="928"/>
      <c r="AF295" s="928"/>
      <c r="AG295" s="928"/>
      <c r="AH295" s="928"/>
      <c r="AI295" s="928"/>
      <c r="AJ295" s="928"/>
      <c r="AK295" s="928"/>
      <c r="AL295" s="928"/>
      <c r="AM295" s="928"/>
      <c r="AN295" s="928"/>
      <c r="AO295" s="928"/>
      <c r="AP295" s="928"/>
      <c r="AQ295" s="928"/>
      <c r="AR295" s="928"/>
      <c r="AS295" s="928"/>
    </row>
    <row r="296" spans="11:45">
      <c r="K296" s="957"/>
      <c r="L296" s="928"/>
      <c r="M296" s="928"/>
      <c r="N296" s="960"/>
      <c r="O296" s="960"/>
      <c r="P296" s="960"/>
      <c r="Q296" s="960"/>
      <c r="R296" s="960"/>
      <c r="S296" s="960"/>
      <c r="T296" s="960"/>
      <c r="U296" s="960"/>
      <c r="V296" s="960"/>
      <c r="W296" s="960"/>
      <c r="X296" s="960"/>
      <c r="Y296" s="960"/>
      <c r="Z296" s="960"/>
      <c r="AA296" s="960"/>
      <c r="AB296" s="928"/>
      <c r="AC296" s="928"/>
      <c r="AD296" s="928"/>
      <c r="AE296" s="928"/>
      <c r="AF296" s="928"/>
      <c r="AG296" s="928"/>
      <c r="AH296" s="928"/>
      <c r="AI296" s="928"/>
      <c r="AJ296" s="928"/>
      <c r="AK296" s="928"/>
      <c r="AL296" s="928"/>
      <c r="AM296" s="928"/>
      <c r="AN296" s="928"/>
      <c r="AO296" s="928"/>
      <c r="AP296" s="928"/>
      <c r="AQ296" s="928"/>
      <c r="AR296" s="928"/>
      <c r="AS296" s="928"/>
    </row>
    <row r="297" spans="11:45">
      <c r="K297" s="957"/>
      <c r="L297" s="928"/>
      <c r="M297" s="928"/>
      <c r="N297" s="960"/>
      <c r="O297" s="960"/>
      <c r="P297" s="960"/>
      <c r="Q297" s="960"/>
      <c r="R297" s="960"/>
      <c r="S297" s="960"/>
      <c r="T297" s="960"/>
      <c r="U297" s="960"/>
      <c r="V297" s="960"/>
      <c r="W297" s="960"/>
      <c r="X297" s="960"/>
      <c r="Y297" s="960"/>
      <c r="Z297" s="960"/>
      <c r="AA297" s="960"/>
      <c r="AB297" s="928"/>
      <c r="AC297" s="928"/>
      <c r="AD297" s="928"/>
      <c r="AE297" s="928"/>
      <c r="AF297" s="928"/>
      <c r="AG297" s="928"/>
      <c r="AH297" s="928"/>
      <c r="AI297" s="928"/>
      <c r="AJ297" s="928"/>
      <c r="AK297" s="928"/>
      <c r="AL297" s="928"/>
      <c r="AM297" s="928"/>
      <c r="AN297" s="928"/>
      <c r="AO297" s="928"/>
      <c r="AP297" s="928"/>
      <c r="AQ297" s="928"/>
      <c r="AR297" s="928"/>
      <c r="AS297" s="928"/>
    </row>
    <row r="298" spans="11:45">
      <c r="K298" s="957"/>
      <c r="L298" s="928"/>
      <c r="M298" s="928"/>
      <c r="N298" s="960"/>
      <c r="O298" s="960"/>
      <c r="P298" s="960"/>
      <c r="Q298" s="960"/>
      <c r="R298" s="960"/>
      <c r="S298" s="960"/>
      <c r="T298" s="960"/>
      <c r="U298" s="960"/>
      <c r="V298" s="960"/>
      <c r="W298" s="960"/>
      <c r="X298" s="960"/>
      <c r="Y298" s="960"/>
      <c r="Z298" s="960"/>
      <c r="AA298" s="960"/>
      <c r="AB298" s="928"/>
      <c r="AC298" s="928"/>
      <c r="AD298" s="928"/>
      <c r="AE298" s="928"/>
      <c r="AF298" s="928"/>
      <c r="AG298" s="928"/>
      <c r="AH298" s="928"/>
      <c r="AI298" s="928"/>
      <c r="AJ298" s="928"/>
      <c r="AK298" s="928"/>
      <c r="AL298" s="928"/>
      <c r="AM298" s="928"/>
      <c r="AN298" s="928"/>
      <c r="AO298" s="928"/>
      <c r="AP298" s="928"/>
      <c r="AQ298" s="928"/>
      <c r="AR298" s="928"/>
      <c r="AS298" s="928"/>
    </row>
    <row r="299" spans="11:45">
      <c r="K299" s="957"/>
      <c r="L299" s="928"/>
      <c r="M299" s="928"/>
      <c r="N299" s="960"/>
      <c r="O299" s="960"/>
      <c r="P299" s="960"/>
      <c r="Q299" s="960"/>
      <c r="R299" s="960"/>
      <c r="S299" s="960"/>
      <c r="T299" s="960"/>
      <c r="U299" s="960"/>
      <c r="V299" s="960"/>
      <c r="W299" s="960"/>
      <c r="X299" s="960"/>
      <c r="Y299" s="960"/>
      <c r="Z299" s="960"/>
      <c r="AA299" s="960"/>
      <c r="AB299" s="928"/>
      <c r="AC299" s="928"/>
      <c r="AD299" s="928"/>
      <c r="AE299" s="928"/>
      <c r="AF299" s="928"/>
      <c r="AG299" s="928"/>
      <c r="AH299" s="928"/>
      <c r="AI299" s="928"/>
      <c r="AJ299" s="928"/>
      <c r="AK299" s="928"/>
      <c r="AL299" s="928"/>
      <c r="AM299" s="928"/>
      <c r="AN299" s="928"/>
      <c r="AO299" s="928"/>
      <c r="AP299" s="928"/>
      <c r="AQ299" s="928"/>
      <c r="AR299" s="928"/>
      <c r="AS299" s="928"/>
    </row>
    <row r="300" spans="11:45">
      <c r="K300" s="957"/>
      <c r="L300" s="928"/>
      <c r="M300" s="928"/>
      <c r="N300" s="960"/>
      <c r="O300" s="960"/>
      <c r="P300" s="960"/>
      <c r="Q300" s="960"/>
      <c r="R300" s="960"/>
      <c r="S300" s="960"/>
      <c r="T300" s="960"/>
      <c r="U300" s="960"/>
      <c r="V300" s="960"/>
      <c r="W300" s="960"/>
      <c r="X300" s="960"/>
      <c r="Y300" s="960"/>
      <c r="Z300" s="960"/>
      <c r="AA300" s="960"/>
      <c r="AB300" s="928"/>
      <c r="AC300" s="928"/>
      <c r="AD300" s="928"/>
      <c r="AE300" s="928"/>
      <c r="AF300" s="928"/>
      <c r="AG300" s="928"/>
      <c r="AH300" s="928"/>
      <c r="AI300" s="928"/>
      <c r="AJ300" s="928"/>
      <c r="AK300" s="928"/>
      <c r="AL300" s="928"/>
      <c r="AM300" s="928"/>
      <c r="AN300" s="928"/>
      <c r="AO300" s="928"/>
      <c r="AP300" s="928"/>
      <c r="AQ300" s="928"/>
      <c r="AR300" s="928"/>
      <c r="AS300" s="928"/>
    </row>
    <row r="301" spans="11:45">
      <c r="K301" s="957"/>
      <c r="L301" s="928"/>
      <c r="M301" s="928"/>
      <c r="N301" s="960"/>
      <c r="O301" s="960"/>
      <c r="P301" s="960"/>
      <c r="Q301" s="960"/>
      <c r="R301" s="960"/>
      <c r="S301" s="960"/>
      <c r="T301" s="960"/>
      <c r="U301" s="960"/>
      <c r="V301" s="960"/>
      <c r="W301" s="960"/>
      <c r="X301" s="960"/>
      <c r="Y301" s="960"/>
      <c r="Z301" s="960"/>
      <c r="AA301" s="960"/>
      <c r="AB301" s="928"/>
      <c r="AC301" s="928"/>
      <c r="AD301" s="928"/>
      <c r="AE301" s="928"/>
      <c r="AF301" s="928"/>
      <c r="AG301" s="928"/>
      <c r="AH301" s="928"/>
      <c r="AI301" s="928"/>
      <c r="AJ301" s="928"/>
      <c r="AK301" s="928"/>
      <c r="AL301" s="928"/>
      <c r="AM301" s="928"/>
      <c r="AN301" s="928"/>
      <c r="AO301" s="928"/>
      <c r="AP301" s="928"/>
      <c r="AQ301" s="928"/>
      <c r="AR301" s="928"/>
      <c r="AS301" s="928"/>
    </row>
    <row r="302" spans="11:45">
      <c r="K302" s="957"/>
      <c r="L302" s="928"/>
      <c r="M302" s="928"/>
      <c r="N302" s="960"/>
      <c r="O302" s="960"/>
      <c r="P302" s="960"/>
      <c r="Q302" s="960"/>
      <c r="R302" s="960"/>
      <c r="S302" s="960"/>
      <c r="T302" s="960"/>
      <c r="U302" s="960"/>
      <c r="V302" s="960"/>
      <c r="W302" s="960"/>
      <c r="X302" s="960"/>
      <c r="Y302" s="960"/>
      <c r="Z302" s="960"/>
      <c r="AA302" s="960"/>
      <c r="AB302" s="928"/>
      <c r="AC302" s="928"/>
      <c r="AD302" s="928"/>
      <c r="AE302" s="928"/>
      <c r="AF302" s="928"/>
      <c r="AG302" s="928"/>
      <c r="AH302" s="928"/>
      <c r="AI302" s="928"/>
      <c r="AJ302" s="928"/>
      <c r="AK302" s="928"/>
      <c r="AL302" s="928"/>
      <c r="AM302" s="928"/>
      <c r="AN302" s="928"/>
      <c r="AO302" s="928"/>
      <c r="AP302" s="928"/>
      <c r="AQ302" s="928"/>
      <c r="AR302" s="928"/>
      <c r="AS302" s="928"/>
    </row>
    <row r="303" spans="11:45">
      <c r="K303" s="957"/>
      <c r="L303" s="928"/>
      <c r="M303" s="928"/>
      <c r="N303" s="960"/>
      <c r="O303" s="960"/>
      <c r="P303" s="960"/>
      <c r="Q303" s="960"/>
      <c r="R303" s="960"/>
      <c r="S303" s="960"/>
      <c r="T303" s="960"/>
      <c r="U303" s="960"/>
      <c r="V303" s="960"/>
      <c r="W303" s="960"/>
      <c r="X303" s="960"/>
      <c r="Y303" s="960"/>
      <c r="Z303" s="960"/>
      <c r="AA303" s="960"/>
      <c r="AB303" s="928"/>
      <c r="AC303" s="928"/>
      <c r="AD303" s="928"/>
      <c r="AE303" s="928"/>
      <c r="AF303" s="928"/>
      <c r="AG303" s="928"/>
      <c r="AH303" s="928"/>
      <c r="AI303" s="928"/>
      <c r="AJ303" s="928"/>
      <c r="AK303" s="928"/>
      <c r="AL303" s="928"/>
      <c r="AM303" s="928"/>
      <c r="AN303" s="928"/>
      <c r="AO303" s="928"/>
      <c r="AP303" s="928"/>
      <c r="AQ303" s="928"/>
      <c r="AR303" s="928"/>
      <c r="AS303" s="928"/>
    </row>
    <row r="304" spans="11:45">
      <c r="K304" s="957"/>
      <c r="L304" s="928"/>
      <c r="M304" s="928"/>
      <c r="N304" s="960"/>
      <c r="O304" s="960"/>
      <c r="P304" s="960"/>
      <c r="Q304" s="960"/>
      <c r="R304" s="960"/>
      <c r="S304" s="960"/>
      <c r="T304" s="960"/>
      <c r="U304" s="960"/>
      <c r="V304" s="960"/>
      <c r="W304" s="960"/>
      <c r="X304" s="960"/>
      <c r="Y304" s="960"/>
      <c r="Z304" s="960"/>
      <c r="AA304" s="960"/>
      <c r="AB304" s="928"/>
      <c r="AC304" s="928"/>
      <c r="AD304" s="928"/>
      <c r="AE304" s="928"/>
      <c r="AF304" s="928"/>
      <c r="AG304" s="928"/>
      <c r="AH304" s="928"/>
      <c r="AI304" s="928"/>
      <c r="AJ304" s="928"/>
      <c r="AK304" s="928"/>
      <c r="AL304" s="928"/>
      <c r="AM304" s="928"/>
      <c r="AN304" s="928"/>
      <c r="AO304" s="928"/>
      <c r="AP304" s="928"/>
      <c r="AQ304" s="928"/>
      <c r="AR304" s="928"/>
      <c r="AS304" s="928"/>
    </row>
    <row r="305" spans="11:45">
      <c r="K305" s="957"/>
      <c r="L305" s="928"/>
      <c r="M305" s="928"/>
      <c r="N305" s="960"/>
      <c r="O305" s="960"/>
      <c r="P305" s="960"/>
      <c r="Q305" s="960"/>
      <c r="R305" s="960"/>
      <c r="S305" s="960"/>
      <c r="T305" s="960"/>
      <c r="U305" s="960"/>
      <c r="V305" s="960"/>
      <c r="W305" s="960"/>
      <c r="X305" s="960"/>
      <c r="Y305" s="960"/>
      <c r="Z305" s="960"/>
      <c r="AA305" s="960"/>
      <c r="AB305" s="928"/>
      <c r="AC305" s="928"/>
      <c r="AD305" s="928"/>
      <c r="AE305" s="928"/>
      <c r="AF305" s="928"/>
      <c r="AG305" s="928"/>
      <c r="AH305" s="928"/>
      <c r="AI305" s="928"/>
      <c r="AJ305" s="928"/>
      <c r="AK305" s="928"/>
      <c r="AL305" s="928"/>
      <c r="AM305" s="928"/>
      <c r="AN305" s="928"/>
      <c r="AO305" s="928"/>
      <c r="AP305" s="928"/>
      <c r="AQ305" s="928"/>
      <c r="AR305" s="928"/>
      <c r="AS305" s="928"/>
    </row>
    <row r="306" spans="11:45">
      <c r="K306" s="957"/>
      <c r="L306" s="928"/>
      <c r="M306" s="928"/>
      <c r="N306" s="960"/>
      <c r="O306" s="960"/>
      <c r="P306" s="960"/>
      <c r="Q306" s="960"/>
      <c r="R306" s="960"/>
      <c r="S306" s="960"/>
      <c r="T306" s="960"/>
      <c r="U306" s="960"/>
      <c r="V306" s="960"/>
      <c r="W306" s="960"/>
      <c r="X306" s="960"/>
      <c r="Y306" s="960"/>
      <c r="Z306" s="960"/>
      <c r="AA306" s="960"/>
      <c r="AB306" s="928"/>
      <c r="AC306" s="928"/>
      <c r="AD306" s="928"/>
      <c r="AE306" s="928"/>
      <c r="AF306" s="928"/>
      <c r="AG306" s="928"/>
      <c r="AH306" s="928"/>
      <c r="AI306" s="928"/>
      <c r="AJ306" s="928"/>
      <c r="AK306" s="928"/>
      <c r="AL306" s="928"/>
      <c r="AM306" s="928"/>
      <c r="AN306" s="928"/>
      <c r="AO306" s="928"/>
      <c r="AP306" s="928"/>
      <c r="AQ306" s="928"/>
      <c r="AR306" s="928"/>
      <c r="AS306" s="928"/>
    </row>
    <row r="307" spans="11:45">
      <c r="K307" s="957"/>
      <c r="L307" s="928"/>
      <c r="M307" s="928"/>
      <c r="N307" s="960"/>
      <c r="O307" s="960"/>
      <c r="P307" s="960"/>
      <c r="Q307" s="960"/>
      <c r="R307" s="960"/>
      <c r="S307" s="960"/>
      <c r="T307" s="960"/>
      <c r="U307" s="960"/>
      <c r="V307" s="960"/>
      <c r="W307" s="960"/>
      <c r="X307" s="960"/>
      <c r="Y307" s="960"/>
      <c r="Z307" s="960"/>
      <c r="AA307" s="960"/>
      <c r="AB307" s="928"/>
      <c r="AC307" s="928"/>
      <c r="AD307" s="928"/>
      <c r="AE307" s="928"/>
      <c r="AF307" s="928"/>
      <c r="AG307" s="928"/>
      <c r="AH307" s="928"/>
      <c r="AI307" s="928"/>
      <c r="AJ307" s="928"/>
      <c r="AK307" s="928"/>
      <c r="AL307" s="928"/>
      <c r="AM307" s="928"/>
      <c r="AN307" s="928"/>
      <c r="AO307" s="928"/>
      <c r="AP307" s="928"/>
      <c r="AQ307" s="928"/>
      <c r="AR307" s="928"/>
      <c r="AS307" s="928"/>
    </row>
    <row r="308" spans="11:45">
      <c r="K308" s="957"/>
      <c r="L308" s="928"/>
      <c r="M308" s="928"/>
      <c r="N308" s="960"/>
      <c r="O308" s="960"/>
      <c r="P308" s="960"/>
      <c r="Q308" s="960"/>
      <c r="R308" s="960"/>
      <c r="W308" s="960"/>
      <c r="X308" s="960"/>
      <c r="Y308" s="960"/>
      <c r="Z308" s="960"/>
      <c r="AA308" s="960"/>
      <c r="AB308" s="928"/>
      <c r="AC308" s="928"/>
      <c r="AD308" s="928"/>
      <c r="AE308" s="928"/>
      <c r="AF308" s="928"/>
      <c r="AG308" s="928"/>
      <c r="AH308" s="928"/>
      <c r="AI308" s="928"/>
      <c r="AJ308" s="928"/>
      <c r="AK308" s="928"/>
      <c r="AL308" s="928"/>
      <c r="AM308" s="928"/>
      <c r="AN308" s="928"/>
      <c r="AO308" s="928"/>
      <c r="AP308" s="928"/>
      <c r="AQ308" s="928"/>
      <c r="AR308" s="928"/>
      <c r="AS308" s="928"/>
    </row>
    <row r="309" spans="11:45">
      <c r="K309" s="957"/>
      <c r="L309" s="928"/>
      <c r="M309" s="928"/>
      <c r="N309" s="960"/>
      <c r="O309" s="960"/>
      <c r="P309" s="960"/>
      <c r="Q309" s="960"/>
      <c r="R309" s="960"/>
      <c r="W309" s="960"/>
      <c r="X309" s="960"/>
      <c r="Y309" s="960"/>
      <c r="Z309" s="960"/>
      <c r="AA309" s="960"/>
      <c r="AB309" s="928"/>
      <c r="AC309" s="928"/>
      <c r="AD309" s="928"/>
      <c r="AE309" s="928"/>
      <c r="AF309" s="928"/>
      <c r="AG309" s="928"/>
      <c r="AH309" s="928"/>
      <c r="AI309" s="928"/>
      <c r="AJ309" s="928"/>
      <c r="AK309" s="928"/>
      <c r="AL309" s="928"/>
      <c r="AM309" s="928"/>
      <c r="AN309" s="928"/>
      <c r="AO309" s="928"/>
      <c r="AP309" s="928"/>
      <c r="AQ309" s="928"/>
      <c r="AR309" s="928"/>
      <c r="AS309" s="928"/>
    </row>
    <row r="310" spans="11:45">
      <c r="K310" s="957"/>
      <c r="L310" s="928"/>
      <c r="M310" s="928"/>
      <c r="N310" s="960"/>
      <c r="O310" s="960"/>
      <c r="P310" s="960"/>
      <c r="Q310" s="960"/>
      <c r="R310" s="960"/>
      <c r="W310" s="960"/>
      <c r="X310" s="960"/>
      <c r="Y310" s="960"/>
      <c r="Z310" s="960"/>
      <c r="AA310" s="960"/>
      <c r="AB310" s="928"/>
      <c r="AC310" s="928"/>
      <c r="AD310" s="928"/>
      <c r="AE310" s="928"/>
      <c r="AF310" s="928"/>
      <c r="AG310" s="928"/>
      <c r="AH310" s="928"/>
      <c r="AI310" s="928"/>
      <c r="AJ310" s="928"/>
      <c r="AK310" s="928"/>
      <c r="AL310" s="928"/>
      <c r="AM310" s="928"/>
      <c r="AN310" s="928"/>
      <c r="AO310" s="928"/>
      <c r="AP310" s="928"/>
      <c r="AQ310" s="928"/>
      <c r="AR310" s="928"/>
      <c r="AS310" s="928"/>
    </row>
    <row r="311" spans="11:45">
      <c r="K311" s="957"/>
      <c r="L311" s="928"/>
      <c r="M311" s="928"/>
      <c r="N311" s="960"/>
      <c r="O311" s="960"/>
      <c r="P311" s="960"/>
      <c r="Q311" s="960"/>
      <c r="R311" s="960"/>
      <c r="W311" s="960"/>
      <c r="X311" s="960"/>
      <c r="Y311" s="960"/>
      <c r="Z311" s="960"/>
      <c r="AA311" s="960"/>
      <c r="AB311" s="928"/>
      <c r="AC311" s="928"/>
      <c r="AD311" s="928"/>
      <c r="AE311" s="928"/>
      <c r="AF311" s="928"/>
      <c r="AG311" s="928"/>
      <c r="AH311" s="928"/>
      <c r="AI311" s="928"/>
      <c r="AJ311" s="928"/>
      <c r="AK311" s="928"/>
      <c r="AL311" s="928"/>
      <c r="AM311" s="928"/>
      <c r="AN311" s="928"/>
      <c r="AO311" s="928"/>
      <c r="AP311" s="928"/>
      <c r="AQ311" s="928"/>
      <c r="AR311" s="928"/>
      <c r="AS311" s="928"/>
    </row>
  </sheetData>
  <sheetProtection sheet="1" objects="1" scenarios="1"/>
  <mergeCells count="80">
    <mergeCell ref="B25:M25"/>
    <mergeCell ref="A27:C27"/>
    <mergeCell ref="E27:H27"/>
    <mergeCell ref="L27:M27"/>
    <mergeCell ref="A28:C28"/>
    <mergeCell ref="E28:H28"/>
    <mergeCell ref="L28:M28"/>
    <mergeCell ref="L22:M23"/>
    <mergeCell ref="A20:A21"/>
    <mergeCell ref="B20:B21"/>
    <mergeCell ref="C20:C21"/>
    <mergeCell ref="J20:J21"/>
    <mergeCell ref="K20:K21"/>
    <mergeCell ref="L20:M21"/>
    <mergeCell ref="A22:A23"/>
    <mergeCell ref="B22:B23"/>
    <mergeCell ref="C22:C23"/>
    <mergeCell ref="J22:J23"/>
    <mergeCell ref="K22:K23"/>
    <mergeCell ref="L18:M19"/>
    <mergeCell ref="A16:A17"/>
    <mergeCell ref="B16:B17"/>
    <mergeCell ref="C16:C17"/>
    <mergeCell ref="J16:J17"/>
    <mergeCell ref="K16:K17"/>
    <mergeCell ref="L16:M17"/>
    <mergeCell ref="A18:A19"/>
    <mergeCell ref="B18:B19"/>
    <mergeCell ref="C18:C19"/>
    <mergeCell ref="J18:J19"/>
    <mergeCell ref="K18:K19"/>
    <mergeCell ref="L14:M15"/>
    <mergeCell ref="A12:A13"/>
    <mergeCell ref="B12:B13"/>
    <mergeCell ref="C12:C13"/>
    <mergeCell ref="J12:J13"/>
    <mergeCell ref="K12:K13"/>
    <mergeCell ref="L12:M13"/>
    <mergeCell ref="A14:A15"/>
    <mergeCell ref="B14:B15"/>
    <mergeCell ref="C14:C15"/>
    <mergeCell ref="J14:J15"/>
    <mergeCell ref="K14:K15"/>
    <mergeCell ref="I8:I9"/>
    <mergeCell ref="J8:M8"/>
    <mergeCell ref="L9:M9"/>
    <mergeCell ref="A10:A11"/>
    <mergeCell ref="B10:B11"/>
    <mergeCell ref="C10:C11"/>
    <mergeCell ref="J10:J11"/>
    <mergeCell ref="K10:K11"/>
    <mergeCell ref="L10:M11"/>
    <mergeCell ref="A8:A9"/>
    <mergeCell ref="B8:B9"/>
    <mergeCell ref="C8:C9"/>
    <mergeCell ref="D8:E9"/>
    <mergeCell ref="F8:G9"/>
    <mergeCell ref="H8:H9"/>
    <mergeCell ref="A6:C6"/>
    <mergeCell ref="D6:G6"/>
    <mergeCell ref="H6:I6"/>
    <mergeCell ref="K6:M6"/>
    <mergeCell ref="A7:B7"/>
    <mergeCell ref="C7:D7"/>
    <mergeCell ref="E7:H7"/>
    <mergeCell ref="I7:J7"/>
    <mergeCell ref="K7:M7"/>
    <mergeCell ref="D4:E4"/>
    <mergeCell ref="I4:J4"/>
    <mergeCell ref="K4:L4"/>
    <mergeCell ref="B5:D5"/>
    <mergeCell ref="E5:G5"/>
    <mergeCell ref="H5:J5"/>
    <mergeCell ref="K5:L5"/>
    <mergeCell ref="C1:H1"/>
    <mergeCell ref="J1:K1"/>
    <mergeCell ref="L1:M1"/>
    <mergeCell ref="B2:G2"/>
    <mergeCell ref="H2:I2"/>
    <mergeCell ref="J2:M2"/>
  </mergeCells>
  <dataValidations count="11">
    <dataValidation type="list" errorStyle="information" allowBlank="1" showInputMessage="1" showErrorMessage="1" error="Check type before proceeding" sqref="K7:M7">
      <formula1>ObservationType</formula1>
    </dataValidation>
    <dataValidation type="list" errorStyle="information" allowBlank="1" showInputMessage="1" showErrorMessage="1" errorTitle="Slope" error="Check slope value" prompt="Land Slope" sqref="G4">
      <formula1>Slope</formula1>
    </dataValidation>
    <dataValidation type="list" allowBlank="1" sqref="I4">
      <formula1>SlopeShape</formula1>
    </dataValidation>
    <dataValidation type="list" allowBlank="1" sqref="B22 B18 B10 B12 B14 B16 B20">
      <formula1>SoilTexture7080</formula1>
    </dataValidation>
    <dataValidation type="list" allowBlank="1" sqref="C22 C18 C10 C12 C14 C16 C20">
      <formula1>CoarseFragments</formula1>
    </dataValidation>
    <dataValidation type="list" allowBlank="1" sqref="L22 L10 L12 L14 L16 L18 L20">
      <formula1>StructureConsistence</formula1>
    </dataValidation>
    <dataValidation type="list" allowBlank="1" sqref="K22 K18 K10 K12 K14 K16 K20">
      <formula1>StructureGrade</formula1>
    </dataValidation>
    <dataValidation type="list" allowBlank="1" sqref="J22 J18 J10 J12 J14 J16 J20">
      <formula1>StructureShape</formula1>
    </dataValidation>
    <dataValidation type="list" allowBlank="1" sqref="E10:E23 G10:G23">
      <formula1>ValueChroma</formula1>
    </dataValidation>
    <dataValidation type="list" allowBlank="1" sqref="F10:F23 D10:D23">
      <formula1>Hue</formula1>
    </dataValidation>
    <dataValidation type="list" allowBlank="1" showInputMessage="1" showErrorMessage="1" sqref="B24">
      <formula1>#REF!</formula1>
    </dataValidation>
  </dataValidations>
  <printOptions horizontalCentered="1" verticalCentered="1"/>
  <pageMargins left="0.25" right="0.25" top="0.25" bottom="0.25" header="0" footer="0"/>
  <pageSetup fitToHeight="0" orientation="landscape"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3838977" r:id="rId4" name="Check Box 1">
              <controlPr defaultSize="0" autoFill="0" autoLine="0" autoPict="0">
                <anchor moveWithCells="1" sizeWithCells="1">
                  <from>
                    <xdr:col>4</xdr:col>
                    <xdr:colOff>312420</xdr:colOff>
                    <xdr:row>2</xdr:row>
                    <xdr:rowOff>45720</xdr:rowOff>
                  </from>
                  <to>
                    <xdr:col>6</xdr:col>
                    <xdr:colOff>304800</xdr:colOff>
                    <xdr:row>2</xdr:row>
                    <xdr:rowOff>259080</xdr:rowOff>
                  </to>
                </anchor>
              </controlPr>
            </control>
          </mc:Choice>
        </mc:AlternateContent>
        <mc:AlternateContent xmlns:mc="http://schemas.openxmlformats.org/markup-compatibility/2006">
          <mc:Choice Requires="x14">
            <control shapeId="3838978" r:id="rId5" name="Check Box 2">
              <controlPr defaultSize="0" autoFill="0" autoLine="0" autoPict="0">
                <anchor moveWithCells="1" sizeWithCells="1">
                  <from>
                    <xdr:col>5</xdr:col>
                    <xdr:colOff>419100</xdr:colOff>
                    <xdr:row>2</xdr:row>
                    <xdr:rowOff>45720</xdr:rowOff>
                  </from>
                  <to>
                    <xdr:col>7</xdr:col>
                    <xdr:colOff>411480</xdr:colOff>
                    <xdr:row>2</xdr:row>
                    <xdr:rowOff>259080</xdr:rowOff>
                  </to>
                </anchor>
              </controlPr>
            </control>
          </mc:Choice>
        </mc:AlternateContent>
        <mc:AlternateContent xmlns:mc="http://schemas.openxmlformats.org/markup-compatibility/2006">
          <mc:Choice Requires="x14">
            <control shapeId="3838979" r:id="rId6" name="Check Box 3">
              <controlPr defaultSize="0" autoFill="0" autoLine="0" autoPict="0">
                <anchor moveWithCells="1" sizeWithCells="1">
                  <from>
                    <xdr:col>7</xdr:col>
                    <xdr:colOff>182880</xdr:colOff>
                    <xdr:row>2</xdr:row>
                    <xdr:rowOff>45720</xdr:rowOff>
                  </from>
                  <to>
                    <xdr:col>8</xdr:col>
                    <xdr:colOff>220980</xdr:colOff>
                    <xdr:row>2</xdr:row>
                    <xdr:rowOff>259080</xdr:rowOff>
                  </to>
                </anchor>
              </controlPr>
            </control>
          </mc:Choice>
        </mc:AlternateContent>
        <mc:AlternateContent xmlns:mc="http://schemas.openxmlformats.org/markup-compatibility/2006">
          <mc:Choice Requires="x14">
            <control shapeId="3838980" r:id="rId7" name="Check Box 4">
              <controlPr defaultSize="0" autoFill="0" autoLine="0" autoPict="0">
                <anchor moveWithCells="1" sizeWithCells="1">
                  <from>
                    <xdr:col>7</xdr:col>
                    <xdr:colOff>731520</xdr:colOff>
                    <xdr:row>2</xdr:row>
                    <xdr:rowOff>45720</xdr:rowOff>
                  </from>
                  <to>
                    <xdr:col>9</xdr:col>
                    <xdr:colOff>45720</xdr:colOff>
                    <xdr:row>2</xdr:row>
                    <xdr:rowOff>259080</xdr:rowOff>
                  </to>
                </anchor>
              </controlPr>
            </control>
          </mc:Choice>
        </mc:AlternateContent>
        <mc:AlternateContent xmlns:mc="http://schemas.openxmlformats.org/markup-compatibility/2006">
          <mc:Choice Requires="x14">
            <control shapeId="3838981" r:id="rId8" name="Check Box 5">
              <controlPr defaultSize="0" autoFill="0" autoLine="0" autoPict="0">
                <anchor moveWithCells="1" sizeWithCells="1">
                  <from>
                    <xdr:col>8</xdr:col>
                    <xdr:colOff>350520</xdr:colOff>
                    <xdr:row>2</xdr:row>
                    <xdr:rowOff>45720</xdr:rowOff>
                  </from>
                  <to>
                    <xdr:col>9</xdr:col>
                    <xdr:colOff>609600</xdr:colOff>
                    <xdr:row>2</xdr:row>
                    <xdr:rowOff>259080</xdr:rowOff>
                  </to>
                </anchor>
              </controlPr>
            </control>
          </mc:Choice>
        </mc:AlternateContent>
        <mc:AlternateContent xmlns:mc="http://schemas.openxmlformats.org/markup-compatibility/2006">
          <mc:Choice Requires="x14">
            <control shapeId="3838982" r:id="rId9" name="Check Box 6">
              <controlPr defaultSize="0" autoFill="0" autoLine="0" autoPict="0">
                <anchor moveWithCells="1" sizeWithCells="1">
                  <from>
                    <xdr:col>9</xdr:col>
                    <xdr:colOff>388620</xdr:colOff>
                    <xdr:row>2</xdr:row>
                    <xdr:rowOff>45720</xdr:rowOff>
                  </from>
                  <to>
                    <xdr:col>10</xdr:col>
                    <xdr:colOff>617220</xdr:colOff>
                    <xdr:row>2</xdr:row>
                    <xdr:rowOff>259080</xdr:rowOff>
                  </to>
                </anchor>
              </controlPr>
            </control>
          </mc:Choice>
        </mc:AlternateContent>
        <mc:AlternateContent xmlns:mc="http://schemas.openxmlformats.org/markup-compatibility/2006">
          <mc:Choice Requires="x14">
            <control shapeId="3838983" r:id="rId10" name="Check Box 7">
              <controlPr defaultSize="0" autoFill="0" autoLine="0" autoPict="0">
                <anchor moveWithCells="1" sizeWithCells="1">
                  <from>
                    <xdr:col>10</xdr:col>
                    <xdr:colOff>426720</xdr:colOff>
                    <xdr:row>2</xdr:row>
                    <xdr:rowOff>45720</xdr:rowOff>
                  </from>
                  <to>
                    <xdr:col>11</xdr:col>
                    <xdr:colOff>541020</xdr:colOff>
                    <xdr:row>2</xdr:row>
                    <xdr:rowOff>259080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x14:formula1>
            <xm:f>'Drop-Down Lists'!$F$2:$F$34</xm:f>
          </x14:formula1>
          <xm:sqref>I10:I23</xm:sqref>
        </x14:dataValidation>
        <x14:dataValidation type="list" allowBlank="1">
          <x14:formula1>
            <xm:f>'Drop-Down Lists'!$C$13:$C$20</xm:f>
          </x14:formula1>
          <xm:sqref>H10:H23</xm:sqref>
        </x14:dataValidation>
        <x14:dataValidation type="list" allowBlank="1" showInputMessage="1">
          <x14:formula1>
            <xm:f>'Drop-Down Lists'!$D$63:$D$68</xm:f>
          </x14:formula1>
          <xm:sqref>B5:D5</xm:sqref>
        </x14:dataValidation>
        <x14:dataValidation type="list" allowBlank="1">
          <x14:formula1>
            <xm:f>'Drop-Down Lists'!$I$40:$I$44</xm:f>
          </x14:formula1>
          <xm:sqref>D4:E4</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pageSetUpPr fitToPage="1"/>
  </sheetPr>
  <dimension ref="A1:AS311"/>
  <sheetViews>
    <sheetView view="pageBreakPreview" zoomScaleNormal="100" zoomScaleSheetLayoutView="100" workbookViewId="0">
      <selection activeCell="D4" sqref="D4:E4"/>
    </sheetView>
  </sheetViews>
  <sheetFormatPr defaultColWidth="9.109375" defaultRowHeight="14.4"/>
  <cols>
    <col min="1" max="1" width="10.44140625" style="929" customWidth="1"/>
    <col min="2" max="2" width="11.44140625" style="929" customWidth="1"/>
    <col min="3" max="3" width="7.88671875" style="929" customWidth="1"/>
    <col min="4" max="7" width="7.44140625" style="929" customWidth="1"/>
    <col min="8" max="8" width="14.44140625" style="929" customWidth="1"/>
    <col min="9" max="9" width="11.109375" style="929" customWidth="1"/>
    <col min="10" max="10" width="11.44140625" style="929" customWidth="1"/>
    <col min="11" max="11" width="13.44140625" style="929" customWidth="1"/>
    <col min="12" max="13" width="9.109375" style="929"/>
    <col min="14" max="14" width="13.109375" style="969" customWidth="1"/>
    <col min="15" max="15" width="7.88671875" style="969" customWidth="1"/>
    <col min="16" max="27" width="9.109375" style="969"/>
    <col min="28" max="16384" width="9.109375" style="929"/>
  </cols>
  <sheetData>
    <row r="1" spans="1:45" ht="45.75" customHeight="1" thickBot="1">
      <c r="A1" s="923"/>
      <c r="B1" s="924"/>
      <c r="C1" s="2844" t="s">
        <v>1746</v>
      </c>
      <c r="D1" s="2844"/>
      <c r="E1" s="2844"/>
      <c r="F1" s="2844"/>
      <c r="G1" s="2844"/>
      <c r="H1" s="2844"/>
      <c r="I1" s="2050" t="s">
        <v>1015</v>
      </c>
      <c r="J1" s="2845" t="str">
        <f>IF(ISBLANK(Prelim!S5)," ",Prelim!S5)</f>
        <v xml:space="preserve"> </v>
      </c>
      <c r="K1" s="2845"/>
      <c r="L1" s="2845" t="str">
        <f>'Drop-Down Lists'!J40</f>
        <v>v 04.01.2021</v>
      </c>
      <c r="M1" s="2845"/>
      <c r="N1" s="926"/>
      <c r="O1" s="926"/>
      <c r="P1" s="926"/>
      <c r="Q1" s="926"/>
      <c r="R1" s="926"/>
      <c r="S1" s="926"/>
      <c r="T1" s="926"/>
      <c r="U1" s="926"/>
      <c r="V1" s="926"/>
      <c r="W1" s="926"/>
      <c r="X1" s="926"/>
      <c r="Y1" s="926"/>
      <c r="Z1" s="926"/>
      <c r="AA1" s="926"/>
      <c r="AB1" s="927"/>
      <c r="AC1" s="928"/>
      <c r="AD1" s="928"/>
      <c r="AE1" s="928"/>
      <c r="AF1" s="928"/>
      <c r="AG1" s="928"/>
      <c r="AH1" s="928"/>
      <c r="AI1" s="928"/>
      <c r="AJ1" s="928"/>
      <c r="AK1" s="928"/>
      <c r="AL1" s="928"/>
      <c r="AM1" s="928"/>
      <c r="AN1" s="928"/>
      <c r="AO1" s="928"/>
      <c r="AP1" s="928"/>
      <c r="AQ1" s="928"/>
      <c r="AR1" s="928"/>
      <c r="AS1" s="928"/>
    </row>
    <row r="2" spans="1:45" ht="21.9" customHeight="1">
      <c r="A2" s="2160" t="s">
        <v>1774</v>
      </c>
      <c r="B2" s="2846" t="str">
        <f>IF(ISBLANK(Prelim!G3),"  ", Prelim!G3)</f>
        <v xml:space="preserve">  </v>
      </c>
      <c r="C2" s="2846"/>
      <c r="D2" s="2846"/>
      <c r="E2" s="2846"/>
      <c r="F2" s="2846"/>
      <c r="G2" s="2847"/>
      <c r="H2" s="2848" t="s">
        <v>1775</v>
      </c>
      <c r="I2" s="2849"/>
      <c r="J2" s="2850" t="str">
        <f>IF(ISBLANK(Prelim!G5), " ", Prelim!G5)</f>
        <v xml:space="preserve"> </v>
      </c>
      <c r="K2" s="2850"/>
      <c r="L2" s="2850"/>
      <c r="M2" s="2851"/>
      <c r="N2" s="926"/>
      <c r="O2" s="930"/>
      <c r="P2" s="930"/>
      <c r="Q2" s="930"/>
      <c r="R2" s="930"/>
      <c r="S2" s="930"/>
      <c r="T2" s="930"/>
      <c r="U2" s="930"/>
      <c r="V2" s="930"/>
      <c r="W2" s="930"/>
      <c r="X2" s="930"/>
      <c r="Y2" s="930"/>
      <c r="Z2" s="930"/>
      <c r="AA2" s="926"/>
      <c r="AB2" s="927"/>
      <c r="AC2" s="928"/>
      <c r="AD2" s="928"/>
      <c r="AE2" s="928"/>
      <c r="AF2" s="928"/>
      <c r="AG2" s="928"/>
      <c r="AH2" s="928"/>
      <c r="AI2" s="928"/>
      <c r="AJ2" s="928"/>
      <c r="AK2" s="928"/>
      <c r="AL2" s="928"/>
      <c r="AM2" s="928"/>
      <c r="AN2" s="928"/>
      <c r="AO2" s="928"/>
      <c r="AP2" s="928"/>
      <c r="AQ2" s="928"/>
      <c r="AR2" s="928"/>
      <c r="AS2" s="928"/>
    </row>
    <row r="3" spans="1:45" ht="21.9" customHeight="1">
      <c r="A3" s="2051" t="s">
        <v>1139</v>
      </c>
      <c r="B3" s="925"/>
      <c r="C3" s="925"/>
      <c r="D3" s="925"/>
      <c r="E3" s="925"/>
      <c r="F3" s="925"/>
      <c r="G3" s="925"/>
      <c r="H3" s="925"/>
      <c r="I3" s="925"/>
      <c r="J3" s="925"/>
      <c r="K3" s="925"/>
      <c r="L3" s="925"/>
      <c r="M3" s="2052"/>
      <c r="N3" s="926"/>
      <c r="O3" s="930"/>
      <c r="P3" s="930"/>
      <c r="Q3" s="930"/>
      <c r="R3" s="930"/>
      <c r="S3" s="930"/>
      <c r="T3" s="930"/>
      <c r="U3" s="930"/>
      <c r="V3" s="930"/>
      <c r="W3" s="930"/>
      <c r="X3" s="930"/>
      <c r="Y3" s="930"/>
      <c r="Z3" s="930"/>
      <c r="AA3" s="926"/>
      <c r="AB3" s="927"/>
      <c r="AC3" s="928"/>
      <c r="AD3" s="928"/>
      <c r="AE3" s="928"/>
      <c r="AF3" s="928"/>
      <c r="AG3" s="928"/>
      <c r="AH3" s="928"/>
      <c r="AI3" s="928"/>
      <c r="AJ3" s="928"/>
      <c r="AK3" s="928"/>
      <c r="AL3" s="928"/>
      <c r="AM3" s="928"/>
      <c r="AN3" s="928"/>
      <c r="AO3" s="928"/>
      <c r="AP3" s="928"/>
      <c r="AQ3" s="928"/>
      <c r="AR3" s="928"/>
      <c r="AS3" s="928"/>
    </row>
    <row r="4" spans="1:45" ht="24" customHeight="1">
      <c r="A4" s="931" t="s">
        <v>1921</v>
      </c>
      <c r="B4" s="932"/>
      <c r="C4" s="932"/>
      <c r="D4" s="2852"/>
      <c r="E4" s="2853"/>
      <c r="F4" s="2053" t="s">
        <v>1590</v>
      </c>
      <c r="G4" s="2054"/>
      <c r="H4" s="2053" t="s">
        <v>1140</v>
      </c>
      <c r="I4" s="2854"/>
      <c r="J4" s="2855"/>
      <c r="K4" s="2856" t="s">
        <v>1922</v>
      </c>
      <c r="L4" s="2857"/>
      <c r="M4" s="2262"/>
      <c r="N4" s="926"/>
      <c r="O4" s="930"/>
      <c r="P4" s="930"/>
      <c r="Q4" s="933"/>
      <c r="R4" s="933"/>
      <c r="S4" s="933"/>
      <c r="T4" s="933"/>
      <c r="U4" s="930"/>
      <c r="V4" s="930"/>
      <c r="W4" s="930"/>
      <c r="X4" s="930"/>
      <c r="Y4" s="930"/>
      <c r="Z4" s="930"/>
      <c r="AA4" s="926"/>
      <c r="AB4" s="927"/>
      <c r="AC4" s="928"/>
      <c r="AD4" s="928"/>
      <c r="AE4" s="928"/>
      <c r="AF4" s="928"/>
      <c r="AG4" s="928"/>
      <c r="AH4" s="928"/>
      <c r="AI4" s="928"/>
      <c r="AJ4" s="928"/>
      <c r="AK4" s="928"/>
      <c r="AL4" s="928"/>
      <c r="AM4" s="928"/>
      <c r="AN4" s="928"/>
      <c r="AO4" s="928"/>
      <c r="AP4" s="928"/>
      <c r="AQ4" s="928"/>
      <c r="AR4" s="928"/>
      <c r="AS4" s="928"/>
    </row>
    <row r="5" spans="1:45" ht="21.9" customHeight="1">
      <c r="A5" s="2257" t="s">
        <v>1589</v>
      </c>
      <c r="B5" s="2854"/>
      <c r="C5" s="2854"/>
      <c r="D5" s="2855"/>
      <c r="E5" s="2858" t="s">
        <v>1588</v>
      </c>
      <c r="F5" s="2859"/>
      <c r="G5" s="2859"/>
      <c r="H5" s="2854"/>
      <c r="I5" s="2854"/>
      <c r="J5" s="2855"/>
      <c r="K5" s="2860" t="s">
        <v>1925</v>
      </c>
      <c r="L5" s="2861"/>
      <c r="M5" s="2239"/>
      <c r="N5" s="926"/>
      <c r="O5" s="933"/>
      <c r="P5" s="930"/>
      <c r="Q5" s="930"/>
      <c r="R5" s="930"/>
      <c r="S5" s="933"/>
      <c r="T5" s="933"/>
      <c r="U5" s="930"/>
      <c r="V5" s="930"/>
      <c r="W5" s="930"/>
      <c r="X5" s="930"/>
      <c r="Y5" s="930"/>
      <c r="Z5" s="930"/>
      <c r="AA5" s="926"/>
      <c r="AB5" s="927"/>
      <c r="AC5" s="928"/>
      <c r="AD5" s="928"/>
      <c r="AE5" s="928"/>
      <c r="AF5" s="928"/>
      <c r="AG5" s="928"/>
      <c r="AH5" s="928"/>
      <c r="AI5" s="928"/>
      <c r="AJ5" s="928"/>
      <c r="AK5" s="928"/>
      <c r="AL5" s="928"/>
      <c r="AM5" s="928"/>
      <c r="AN5" s="928"/>
      <c r="AO5" s="928"/>
      <c r="AP5" s="928"/>
      <c r="AQ5" s="928"/>
      <c r="AR5" s="928"/>
      <c r="AS5" s="928"/>
    </row>
    <row r="6" spans="1:45" ht="21.9" customHeight="1">
      <c r="A6" s="2862" t="s">
        <v>1141</v>
      </c>
      <c r="B6" s="2863"/>
      <c r="C6" s="2863"/>
      <c r="D6" s="2864"/>
      <c r="E6" s="2864"/>
      <c r="F6" s="2864"/>
      <c r="G6" s="2864"/>
      <c r="H6" s="2865"/>
      <c r="I6" s="2855"/>
      <c r="J6" s="2252" t="s">
        <v>1128</v>
      </c>
      <c r="K6" s="2866"/>
      <c r="L6" s="2866"/>
      <c r="M6" s="2867"/>
      <c r="N6" s="926"/>
      <c r="O6" s="1887"/>
      <c r="P6" s="1887"/>
      <c r="Q6" s="934"/>
      <c r="R6" s="934"/>
      <c r="S6" s="933"/>
      <c r="T6" s="933"/>
      <c r="U6" s="930"/>
      <c r="V6" s="930"/>
      <c r="W6" s="930"/>
      <c r="X6" s="930"/>
      <c r="Y6" s="930"/>
      <c r="Z6" s="930"/>
      <c r="AA6" s="926"/>
      <c r="AB6" s="927"/>
      <c r="AC6" s="928"/>
      <c r="AD6" s="928"/>
      <c r="AE6" s="928"/>
      <c r="AF6" s="928"/>
      <c r="AG6" s="928"/>
      <c r="AH6" s="928"/>
      <c r="AI6" s="928"/>
      <c r="AJ6" s="928"/>
      <c r="AK6" s="928"/>
      <c r="AL6" s="928"/>
      <c r="AM6" s="928"/>
      <c r="AN6" s="928"/>
      <c r="AO6" s="928"/>
      <c r="AP6" s="928"/>
      <c r="AQ6" s="928"/>
      <c r="AR6" s="928"/>
      <c r="AS6" s="928"/>
    </row>
    <row r="7" spans="1:45" ht="21.9" customHeight="1" thickBot="1">
      <c r="A7" s="2868" t="s">
        <v>1142</v>
      </c>
      <c r="B7" s="2869"/>
      <c r="C7" s="2870"/>
      <c r="D7" s="2870"/>
      <c r="E7" s="2870"/>
      <c r="F7" s="2870"/>
      <c r="G7" s="2870"/>
      <c r="H7" s="2870"/>
      <c r="I7" s="2871" t="s">
        <v>1143</v>
      </c>
      <c r="J7" s="2872"/>
      <c r="K7" s="2873"/>
      <c r="L7" s="2873"/>
      <c r="M7" s="2874"/>
      <c r="N7" s="930"/>
      <c r="O7" s="930"/>
      <c r="P7" s="930"/>
      <c r="Q7" s="930"/>
      <c r="R7" s="930"/>
      <c r="S7" s="930"/>
      <c r="T7" s="930"/>
      <c r="U7" s="930"/>
      <c r="V7" s="930"/>
      <c r="W7" s="930"/>
      <c r="X7" s="926"/>
      <c r="Y7" s="927"/>
      <c r="Z7" s="928"/>
      <c r="AA7" s="928"/>
      <c r="AB7" s="928"/>
      <c r="AC7" s="928"/>
      <c r="AD7" s="928"/>
      <c r="AE7" s="928"/>
      <c r="AF7" s="928"/>
      <c r="AG7" s="928"/>
      <c r="AH7" s="928"/>
      <c r="AI7" s="928"/>
      <c r="AJ7" s="928"/>
      <c r="AK7" s="928"/>
      <c r="AL7" s="928"/>
      <c r="AM7" s="928"/>
      <c r="AN7" s="928"/>
      <c r="AO7" s="928"/>
      <c r="AP7" s="928"/>
    </row>
    <row r="8" spans="1:45" ht="14.1" customHeight="1">
      <c r="A8" s="2892" t="s">
        <v>1144</v>
      </c>
      <c r="B8" s="2875" t="s">
        <v>669</v>
      </c>
      <c r="C8" s="2894" t="s">
        <v>1145</v>
      </c>
      <c r="D8" s="2896" t="s">
        <v>1146</v>
      </c>
      <c r="E8" s="2897"/>
      <c r="F8" s="2896" t="s">
        <v>1147</v>
      </c>
      <c r="G8" s="2900"/>
      <c r="H8" s="2875" t="s">
        <v>1148</v>
      </c>
      <c r="I8" s="2875" t="s">
        <v>1149</v>
      </c>
      <c r="J8" s="2877" t="s">
        <v>1150</v>
      </c>
      <c r="K8" s="2877"/>
      <c r="L8" s="2877"/>
      <c r="M8" s="2878"/>
      <c r="N8" s="926"/>
      <c r="O8" s="930"/>
      <c r="P8" s="930"/>
      <c r="Q8" s="930"/>
      <c r="R8" s="930"/>
      <c r="S8" s="930"/>
      <c r="T8" s="930"/>
      <c r="U8" s="930"/>
      <c r="V8" s="930"/>
      <c r="W8" s="930"/>
      <c r="X8" s="930"/>
      <c r="Y8" s="930"/>
      <c r="Z8" s="930"/>
      <c r="AA8" s="926"/>
      <c r="AB8" s="927"/>
      <c r="AC8" s="928"/>
      <c r="AD8" s="928"/>
      <c r="AE8" s="928"/>
      <c r="AF8" s="928"/>
      <c r="AG8" s="928"/>
      <c r="AH8" s="928"/>
      <c r="AI8" s="928"/>
      <c r="AJ8" s="928"/>
      <c r="AK8" s="928"/>
      <c r="AL8" s="928"/>
      <c r="AM8" s="928"/>
      <c r="AN8" s="928"/>
      <c r="AO8" s="928"/>
      <c r="AP8" s="928"/>
      <c r="AQ8" s="928"/>
      <c r="AR8" s="928"/>
      <c r="AS8" s="928"/>
    </row>
    <row r="9" spans="1:45" ht="14.1" customHeight="1" thickBot="1">
      <c r="A9" s="2893"/>
      <c r="B9" s="2876"/>
      <c r="C9" s="2895"/>
      <c r="D9" s="2898"/>
      <c r="E9" s="2899"/>
      <c r="F9" s="2901"/>
      <c r="G9" s="2902"/>
      <c r="H9" s="2876"/>
      <c r="I9" s="2876"/>
      <c r="J9" s="2253" t="s">
        <v>1151</v>
      </c>
      <c r="K9" s="2253" t="s">
        <v>671</v>
      </c>
      <c r="L9" s="2876" t="s">
        <v>672</v>
      </c>
      <c r="M9" s="2879"/>
      <c r="N9" s="926"/>
      <c r="O9" s="930"/>
      <c r="P9" s="930"/>
      <c r="Q9" s="930"/>
      <c r="R9" s="935"/>
      <c r="S9" s="936"/>
      <c r="T9" s="930"/>
      <c r="U9" s="930"/>
      <c r="V9" s="930"/>
      <c r="W9" s="930"/>
      <c r="X9" s="930"/>
      <c r="Y9" s="930"/>
      <c r="Z9" s="930"/>
      <c r="AA9" s="926"/>
      <c r="AB9" s="927"/>
      <c r="AC9" s="928"/>
      <c r="AD9" s="928"/>
      <c r="AE9" s="928"/>
      <c r="AF9" s="928"/>
      <c r="AG9" s="928"/>
      <c r="AH9" s="928"/>
      <c r="AI9" s="928"/>
      <c r="AJ9" s="928"/>
      <c r="AK9" s="928"/>
      <c r="AL9" s="928"/>
      <c r="AM9" s="928"/>
      <c r="AN9" s="928"/>
      <c r="AO9" s="928"/>
      <c r="AP9" s="928"/>
      <c r="AQ9" s="928"/>
      <c r="AR9" s="928"/>
      <c r="AS9" s="928"/>
    </row>
    <row r="10" spans="1:45" ht="21.9" customHeight="1" thickTop="1">
      <c r="A10" s="2880"/>
      <c r="B10" s="2882"/>
      <c r="C10" s="2884"/>
      <c r="D10" s="2027"/>
      <c r="E10" s="2028"/>
      <c r="F10" s="2027"/>
      <c r="G10" s="2028"/>
      <c r="H10" s="2254"/>
      <c r="I10" s="2254"/>
      <c r="J10" s="2886"/>
      <c r="K10" s="2886"/>
      <c r="L10" s="2888"/>
      <c r="M10" s="2889"/>
      <c r="N10" s="937"/>
      <c r="O10" s="930"/>
      <c r="P10" s="930"/>
      <c r="Q10" s="930"/>
      <c r="R10" s="1887"/>
      <c r="S10" s="936"/>
      <c r="T10" s="930"/>
      <c r="U10" s="930"/>
      <c r="V10" s="930"/>
      <c r="W10" s="930"/>
      <c r="X10" s="930"/>
      <c r="Y10" s="930"/>
      <c r="Z10" s="930"/>
      <c r="AA10" s="926"/>
      <c r="AB10" s="926"/>
      <c r="AC10" s="928"/>
      <c r="AD10" s="928"/>
      <c r="AE10" s="928"/>
      <c r="AF10" s="928"/>
      <c r="AG10" s="928"/>
      <c r="AH10" s="928"/>
      <c r="AI10" s="928"/>
      <c r="AJ10" s="928"/>
      <c r="AK10" s="928"/>
      <c r="AL10" s="928"/>
      <c r="AM10" s="928"/>
      <c r="AN10" s="928"/>
      <c r="AO10" s="928"/>
      <c r="AP10" s="928"/>
      <c r="AQ10" s="928"/>
      <c r="AR10" s="928"/>
      <c r="AS10" s="928"/>
    </row>
    <row r="11" spans="1:45" ht="21.9" customHeight="1">
      <c r="A11" s="2881"/>
      <c r="B11" s="2883"/>
      <c r="C11" s="2885"/>
      <c r="D11" s="2027"/>
      <c r="E11" s="2028"/>
      <c r="F11" s="2027"/>
      <c r="G11" s="2028"/>
      <c r="H11" s="1423"/>
      <c r="I11" s="1423"/>
      <c r="J11" s="2887"/>
      <c r="K11" s="2887"/>
      <c r="L11" s="2890"/>
      <c r="M11" s="2891"/>
      <c r="N11" s="937"/>
      <c r="O11" s="934"/>
      <c r="P11" s="934"/>
      <c r="Q11" s="934"/>
      <c r="R11" s="934"/>
      <c r="S11" s="934"/>
      <c r="T11" s="930"/>
      <c r="U11" s="930"/>
      <c r="V11" s="930"/>
      <c r="W11" s="930"/>
      <c r="X11" s="930"/>
      <c r="Y11" s="930"/>
      <c r="Z11" s="930"/>
      <c r="AA11" s="926"/>
      <c r="AB11" s="926"/>
      <c r="AC11" s="928"/>
      <c r="AD11" s="928"/>
      <c r="AE11" s="928"/>
      <c r="AF11" s="928"/>
      <c r="AG11" s="928"/>
      <c r="AH11" s="928"/>
      <c r="AI11" s="928"/>
      <c r="AJ11" s="928"/>
      <c r="AK11" s="928"/>
      <c r="AL11" s="928"/>
      <c r="AM11" s="928"/>
      <c r="AN11" s="928"/>
      <c r="AO11" s="928"/>
      <c r="AP11" s="928"/>
      <c r="AQ11" s="928"/>
      <c r="AR11" s="928"/>
      <c r="AS11" s="928"/>
    </row>
    <row r="12" spans="1:45" ht="21.9" customHeight="1">
      <c r="A12" s="2905"/>
      <c r="B12" s="2906"/>
      <c r="C12" s="2907"/>
      <c r="D12" s="2029"/>
      <c r="E12" s="2030"/>
      <c r="F12" s="2029"/>
      <c r="G12" s="2030"/>
      <c r="H12" s="1423"/>
      <c r="I12" s="1423"/>
      <c r="J12" s="2908"/>
      <c r="K12" s="2908"/>
      <c r="L12" s="2903"/>
      <c r="M12" s="2904"/>
      <c r="N12" s="937"/>
      <c r="O12" s="930"/>
      <c r="P12" s="930"/>
      <c r="Q12" s="930"/>
      <c r="R12" s="1887"/>
      <c r="S12" s="936"/>
      <c r="T12" s="930"/>
      <c r="U12" s="930"/>
      <c r="V12" s="930"/>
      <c r="W12" s="930"/>
      <c r="X12" s="930"/>
      <c r="Y12" s="930"/>
      <c r="Z12" s="930"/>
      <c r="AA12" s="926"/>
      <c r="AB12" s="926"/>
      <c r="AC12" s="928"/>
      <c r="AD12" s="928"/>
      <c r="AE12" s="928"/>
      <c r="AF12" s="928"/>
      <c r="AG12" s="928"/>
      <c r="AH12" s="928"/>
      <c r="AI12" s="928"/>
      <c r="AJ12" s="928"/>
      <c r="AK12" s="928"/>
      <c r="AL12" s="928"/>
      <c r="AM12" s="928"/>
      <c r="AN12" s="928"/>
      <c r="AO12" s="928"/>
      <c r="AP12" s="928"/>
      <c r="AQ12" s="928"/>
      <c r="AR12" s="928"/>
      <c r="AS12" s="928"/>
    </row>
    <row r="13" spans="1:45" ht="21.9" customHeight="1">
      <c r="A13" s="2881"/>
      <c r="B13" s="2883"/>
      <c r="C13" s="2885"/>
      <c r="D13" s="2027"/>
      <c r="E13" s="2028"/>
      <c r="F13" s="2027"/>
      <c r="G13" s="2028"/>
      <c r="H13" s="1423"/>
      <c r="I13" s="1423"/>
      <c r="J13" s="2887"/>
      <c r="K13" s="2887"/>
      <c r="L13" s="2890"/>
      <c r="M13" s="2891"/>
      <c r="N13" s="937"/>
      <c r="O13" s="934"/>
      <c r="P13" s="934"/>
      <c r="Q13" s="934"/>
      <c r="R13" s="934"/>
      <c r="S13" s="934"/>
      <c r="T13" s="930"/>
      <c r="U13" s="930"/>
      <c r="V13" s="930"/>
      <c r="W13" s="930"/>
      <c r="X13" s="930"/>
      <c r="Y13" s="930"/>
      <c r="Z13" s="930"/>
      <c r="AA13" s="926"/>
      <c r="AB13" s="926"/>
      <c r="AC13" s="928"/>
      <c r="AD13" s="928"/>
      <c r="AE13" s="928"/>
      <c r="AF13" s="928"/>
      <c r="AG13" s="928"/>
      <c r="AH13" s="928"/>
      <c r="AI13" s="928"/>
      <c r="AJ13" s="928"/>
      <c r="AK13" s="928"/>
      <c r="AL13" s="928"/>
      <c r="AM13" s="928"/>
      <c r="AN13" s="928"/>
      <c r="AO13" s="928"/>
      <c r="AP13" s="928"/>
      <c r="AQ13" s="928"/>
      <c r="AR13" s="928"/>
      <c r="AS13" s="928"/>
    </row>
    <row r="14" spans="1:45" ht="21.9" customHeight="1">
      <c r="A14" s="2905"/>
      <c r="B14" s="2906"/>
      <c r="C14" s="2907"/>
      <c r="D14" s="2029"/>
      <c r="E14" s="2030"/>
      <c r="F14" s="2029"/>
      <c r="G14" s="2030"/>
      <c r="H14" s="1423"/>
      <c r="I14" s="1423"/>
      <c r="J14" s="2908"/>
      <c r="K14" s="2908"/>
      <c r="L14" s="2903"/>
      <c r="M14" s="2904"/>
      <c r="N14" s="937"/>
      <c r="O14" s="930"/>
      <c r="P14" s="930"/>
      <c r="Q14" s="930"/>
      <c r="R14" s="1887"/>
      <c r="S14" s="936"/>
      <c r="T14" s="930"/>
      <c r="U14" s="930"/>
      <c r="V14" s="930"/>
      <c r="W14" s="930"/>
      <c r="X14" s="930"/>
      <c r="Y14" s="930"/>
      <c r="Z14" s="930"/>
      <c r="AA14" s="926"/>
      <c r="AB14" s="926"/>
      <c r="AC14" s="928"/>
      <c r="AD14" s="928"/>
      <c r="AE14" s="928"/>
      <c r="AF14" s="928"/>
      <c r="AG14" s="928"/>
      <c r="AH14" s="928"/>
      <c r="AI14" s="928"/>
      <c r="AJ14" s="928"/>
      <c r="AK14" s="928"/>
      <c r="AL14" s="928"/>
      <c r="AM14" s="928"/>
      <c r="AN14" s="928"/>
      <c r="AO14" s="928"/>
      <c r="AP14" s="928"/>
      <c r="AQ14" s="928"/>
      <c r="AR14" s="928"/>
      <c r="AS14" s="928"/>
    </row>
    <row r="15" spans="1:45" ht="21.9" customHeight="1">
      <c r="A15" s="2881"/>
      <c r="B15" s="2883"/>
      <c r="C15" s="2885"/>
      <c r="D15" s="2027"/>
      <c r="E15" s="2028"/>
      <c r="F15" s="2027"/>
      <c r="G15" s="2028"/>
      <c r="H15" s="1423"/>
      <c r="I15" s="1423"/>
      <c r="J15" s="2887"/>
      <c r="K15" s="2887"/>
      <c r="L15" s="2890"/>
      <c r="M15" s="2891"/>
      <c r="N15" s="937"/>
      <c r="O15" s="934"/>
      <c r="P15" s="934"/>
      <c r="Q15" s="934"/>
      <c r="R15" s="934"/>
      <c r="S15" s="934"/>
      <c r="T15" s="930"/>
      <c r="U15" s="930"/>
      <c r="V15" s="930"/>
      <c r="W15" s="930"/>
      <c r="X15" s="930"/>
      <c r="Y15" s="930"/>
      <c r="Z15" s="930"/>
      <c r="AA15" s="926"/>
      <c r="AB15" s="926"/>
      <c r="AC15" s="928"/>
      <c r="AD15" s="928"/>
      <c r="AE15" s="928"/>
      <c r="AF15" s="928"/>
      <c r="AG15" s="928"/>
      <c r="AH15" s="928"/>
      <c r="AI15" s="928"/>
      <c r="AJ15" s="928"/>
      <c r="AK15" s="928"/>
      <c r="AL15" s="928"/>
      <c r="AM15" s="928"/>
      <c r="AN15" s="928"/>
      <c r="AO15" s="928"/>
      <c r="AP15" s="928"/>
      <c r="AQ15" s="928"/>
      <c r="AR15" s="928"/>
      <c r="AS15" s="928"/>
    </row>
    <row r="16" spans="1:45" ht="21.9" customHeight="1">
      <c r="A16" s="2905"/>
      <c r="B16" s="2906"/>
      <c r="C16" s="2907"/>
      <c r="D16" s="2029"/>
      <c r="E16" s="2030"/>
      <c r="F16" s="2029"/>
      <c r="G16" s="2030"/>
      <c r="H16" s="1423"/>
      <c r="I16" s="1423"/>
      <c r="J16" s="2908"/>
      <c r="K16" s="2908"/>
      <c r="L16" s="2903"/>
      <c r="M16" s="2904"/>
      <c r="N16" s="937"/>
      <c r="O16" s="930"/>
      <c r="P16" s="930"/>
      <c r="Q16" s="930"/>
      <c r="R16" s="1887"/>
      <c r="S16" s="936"/>
      <c r="T16" s="930"/>
      <c r="U16" s="930"/>
      <c r="V16" s="930"/>
      <c r="W16" s="930"/>
      <c r="X16" s="930"/>
      <c r="Y16" s="930"/>
      <c r="Z16" s="930"/>
      <c r="AA16" s="926"/>
      <c r="AB16" s="926"/>
      <c r="AC16" s="928"/>
      <c r="AD16" s="928"/>
      <c r="AE16" s="928"/>
      <c r="AF16" s="928"/>
      <c r="AG16" s="928"/>
      <c r="AH16" s="928"/>
      <c r="AI16" s="928"/>
      <c r="AJ16" s="928"/>
      <c r="AK16" s="928"/>
      <c r="AL16" s="928"/>
      <c r="AM16" s="928"/>
      <c r="AN16" s="928"/>
      <c r="AO16" s="928"/>
      <c r="AP16" s="928"/>
      <c r="AQ16" s="928"/>
      <c r="AR16" s="928"/>
      <c r="AS16" s="928"/>
    </row>
    <row r="17" spans="1:45" ht="21.9" customHeight="1">
      <c r="A17" s="2881"/>
      <c r="B17" s="2883"/>
      <c r="C17" s="2885"/>
      <c r="D17" s="2027"/>
      <c r="E17" s="2028"/>
      <c r="F17" s="2027"/>
      <c r="G17" s="2028"/>
      <c r="H17" s="1423"/>
      <c r="I17" s="1423"/>
      <c r="J17" s="2887"/>
      <c r="K17" s="2887"/>
      <c r="L17" s="2890"/>
      <c r="M17" s="2891"/>
      <c r="N17" s="937"/>
      <c r="O17" s="934"/>
      <c r="P17" s="934"/>
      <c r="Q17" s="934"/>
      <c r="R17" s="934"/>
      <c r="S17" s="934"/>
      <c r="T17" s="930"/>
      <c r="U17" s="930"/>
      <c r="V17" s="930"/>
      <c r="W17" s="930"/>
      <c r="X17" s="930"/>
      <c r="Y17" s="930"/>
      <c r="Z17" s="930"/>
      <c r="AA17" s="926"/>
      <c r="AB17" s="926"/>
      <c r="AC17" s="928"/>
      <c r="AD17" s="928"/>
      <c r="AE17" s="928"/>
      <c r="AF17" s="928"/>
      <c r="AG17" s="928"/>
      <c r="AH17" s="928"/>
      <c r="AI17" s="928"/>
      <c r="AJ17" s="928"/>
      <c r="AK17" s="928"/>
      <c r="AL17" s="928"/>
      <c r="AM17" s="928"/>
      <c r="AN17" s="928"/>
      <c r="AO17" s="928"/>
      <c r="AP17" s="928"/>
      <c r="AQ17" s="928"/>
      <c r="AR17" s="928"/>
      <c r="AS17" s="928"/>
    </row>
    <row r="18" spans="1:45" ht="21.9" customHeight="1">
      <c r="A18" s="2905"/>
      <c r="B18" s="2906"/>
      <c r="C18" s="2907"/>
      <c r="D18" s="2029"/>
      <c r="E18" s="2030"/>
      <c r="F18" s="2029"/>
      <c r="G18" s="2030"/>
      <c r="H18" s="1423"/>
      <c r="I18" s="1423"/>
      <c r="J18" s="2908"/>
      <c r="K18" s="2908"/>
      <c r="L18" s="2903"/>
      <c r="M18" s="2904"/>
      <c r="N18" s="937"/>
      <c r="O18" s="930"/>
      <c r="P18" s="930"/>
      <c r="Q18" s="930"/>
      <c r="R18" s="1887"/>
      <c r="S18" s="936"/>
      <c r="T18" s="930"/>
      <c r="U18" s="930"/>
      <c r="V18" s="930"/>
      <c r="W18" s="930"/>
      <c r="X18" s="930"/>
      <c r="Y18" s="930"/>
      <c r="Z18" s="930"/>
      <c r="AA18" s="926"/>
      <c r="AB18" s="926"/>
      <c r="AC18" s="928"/>
      <c r="AD18" s="928"/>
      <c r="AE18" s="928"/>
      <c r="AF18" s="928"/>
      <c r="AG18" s="928"/>
      <c r="AH18" s="928"/>
      <c r="AI18" s="928"/>
      <c r="AJ18" s="928"/>
      <c r="AK18" s="928"/>
      <c r="AL18" s="928"/>
      <c r="AM18" s="928"/>
      <c r="AN18" s="928"/>
      <c r="AO18" s="928"/>
      <c r="AP18" s="928"/>
      <c r="AQ18" s="928"/>
      <c r="AR18" s="928"/>
      <c r="AS18" s="928"/>
    </row>
    <row r="19" spans="1:45" ht="21.9" customHeight="1">
      <c r="A19" s="2881"/>
      <c r="B19" s="2883"/>
      <c r="C19" s="2885"/>
      <c r="D19" s="2027"/>
      <c r="E19" s="2028"/>
      <c r="F19" s="2027"/>
      <c r="G19" s="2028"/>
      <c r="H19" s="1423"/>
      <c r="I19" s="1423"/>
      <c r="J19" s="2887"/>
      <c r="K19" s="2887"/>
      <c r="L19" s="2890"/>
      <c r="M19" s="2891"/>
      <c r="N19" s="937"/>
      <c r="O19" s="934"/>
      <c r="P19" s="934"/>
      <c r="Q19" s="934"/>
      <c r="R19" s="934"/>
      <c r="S19" s="934"/>
      <c r="T19" s="930"/>
      <c r="U19" s="930"/>
      <c r="V19" s="930"/>
      <c r="W19" s="930"/>
      <c r="X19" s="930"/>
      <c r="Y19" s="930"/>
      <c r="Z19" s="930"/>
      <c r="AA19" s="926"/>
      <c r="AB19" s="926"/>
      <c r="AC19" s="928"/>
      <c r="AD19" s="928"/>
      <c r="AE19" s="928"/>
      <c r="AF19" s="928"/>
      <c r="AG19" s="928"/>
      <c r="AH19" s="928"/>
      <c r="AI19" s="928"/>
      <c r="AJ19" s="928"/>
      <c r="AK19" s="928"/>
      <c r="AL19" s="928"/>
      <c r="AM19" s="928"/>
      <c r="AN19" s="928"/>
      <c r="AO19" s="928"/>
      <c r="AP19" s="928"/>
      <c r="AQ19" s="928"/>
      <c r="AR19" s="928"/>
      <c r="AS19" s="928"/>
    </row>
    <row r="20" spans="1:45" ht="21.9" customHeight="1">
      <c r="A20" s="2905"/>
      <c r="B20" s="2906"/>
      <c r="C20" s="2907"/>
      <c r="D20" s="2029"/>
      <c r="E20" s="2030"/>
      <c r="F20" s="2029"/>
      <c r="G20" s="2030"/>
      <c r="H20" s="1423"/>
      <c r="I20" s="1423"/>
      <c r="J20" s="2908"/>
      <c r="K20" s="2908"/>
      <c r="L20" s="2903"/>
      <c r="M20" s="2904"/>
      <c r="N20" s="937"/>
      <c r="O20" s="930"/>
      <c r="P20" s="930"/>
      <c r="Q20" s="930"/>
      <c r="R20" s="1887"/>
      <c r="S20" s="936"/>
      <c r="T20" s="930"/>
      <c r="U20" s="930"/>
      <c r="V20" s="930"/>
      <c r="W20" s="930"/>
      <c r="X20" s="930"/>
      <c r="Y20" s="930"/>
      <c r="Z20" s="930"/>
      <c r="AA20" s="926"/>
      <c r="AB20" s="926"/>
      <c r="AC20" s="928"/>
      <c r="AD20" s="928"/>
      <c r="AE20" s="928"/>
      <c r="AF20" s="928"/>
      <c r="AG20" s="928"/>
      <c r="AH20" s="928"/>
      <c r="AI20" s="928"/>
      <c r="AJ20" s="928"/>
      <c r="AK20" s="928"/>
      <c r="AL20" s="928"/>
      <c r="AM20" s="928"/>
      <c r="AN20" s="928"/>
      <c r="AO20" s="928"/>
      <c r="AP20" s="928"/>
      <c r="AQ20" s="928"/>
      <c r="AR20" s="928"/>
      <c r="AS20" s="928"/>
    </row>
    <row r="21" spans="1:45" ht="21.9" customHeight="1">
      <c r="A21" s="2881"/>
      <c r="B21" s="2883"/>
      <c r="C21" s="2885"/>
      <c r="D21" s="2027"/>
      <c r="E21" s="2028"/>
      <c r="F21" s="2027"/>
      <c r="G21" s="2028"/>
      <c r="H21" s="1423"/>
      <c r="I21" s="1423"/>
      <c r="J21" s="2887"/>
      <c r="K21" s="2887"/>
      <c r="L21" s="2890"/>
      <c r="M21" s="2891"/>
      <c r="N21" s="937"/>
      <c r="O21" s="934"/>
      <c r="P21" s="934"/>
      <c r="Q21" s="934"/>
      <c r="R21" s="934"/>
      <c r="S21" s="934"/>
      <c r="T21" s="930"/>
      <c r="U21" s="930"/>
      <c r="V21" s="930"/>
      <c r="W21" s="930"/>
      <c r="X21" s="930"/>
      <c r="Y21" s="930"/>
      <c r="Z21" s="930"/>
      <c r="AA21" s="926"/>
      <c r="AB21" s="926"/>
      <c r="AC21" s="928"/>
      <c r="AD21" s="928"/>
      <c r="AE21" s="928"/>
      <c r="AF21" s="928"/>
      <c r="AG21" s="928"/>
      <c r="AH21" s="928"/>
      <c r="AI21" s="928"/>
      <c r="AJ21" s="928"/>
      <c r="AK21" s="928"/>
      <c r="AL21" s="928"/>
      <c r="AM21" s="928"/>
      <c r="AN21" s="928"/>
      <c r="AO21" s="928"/>
      <c r="AP21" s="928"/>
      <c r="AQ21" s="928"/>
      <c r="AR21" s="928"/>
      <c r="AS21" s="928"/>
    </row>
    <row r="22" spans="1:45" ht="21.9" customHeight="1">
      <c r="A22" s="2905"/>
      <c r="B22" s="2906"/>
      <c r="C22" s="2907"/>
      <c r="D22" s="2029"/>
      <c r="E22" s="2030"/>
      <c r="F22" s="2029"/>
      <c r="G22" s="2030"/>
      <c r="H22" s="1423"/>
      <c r="I22" s="1423"/>
      <c r="J22" s="2908"/>
      <c r="K22" s="2908"/>
      <c r="L22" s="2903"/>
      <c r="M22" s="2904"/>
      <c r="N22" s="937"/>
      <c r="O22" s="930"/>
      <c r="P22" s="930"/>
      <c r="Q22" s="930"/>
      <c r="R22" s="1887"/>
      <c r="S22" s="936"/>
      <c r="T22" s="930"/>
      <c r="U22" s="930"/>
      <c r="V22" s="930"/>
      <c r="W22" s="930"/>
      <c r="X22" s="930"/>
      <c r="Y22" s="930"/>
      <c r="Z22" s="930"/>
      <c r="AA22" s="926"/>
      <c r="AB22" s="926"/>
      <c r="AC22" s="928"/>
      <c r="AD22" s="928"/>
      <c r="AE22" s="928"/>
      <c r="AF22" s="928"/>
      <c r="AG22" s="928"/>
      <c r="AH22" s="928"/>
      <c r="AI22" s="928"/>
      <c r="AJ22" s="928"/>
      <c r="AK22" s="928"/>
      <c r="AL22" s="928"/>
      <c r="AM22" s="928"/>
      <c r="AN22" s="928"/>
      <c r="AO22" s="928"/>
      <c r="AP22" s="928"/>
      <c r="AQ22" s="928"/>
      <c r="AR22" s="928"/>
      <c r="AS22" s="928"/>
    </row>
    <row r="23" spans="1:45" ht="21.9" customHeight="1" thickBot="1">
      <c r="A23" s="2911"/>
      <c r="B23" s="2912"/>
      <c r="C23" s="2913"/>
      <c r="D23" s="2031"/>
      <c r="E23" s="2032"/>
      <c r="F23" s="2031"/>
      <c r="G23" s="2032"/>
      <c r="H23" s="1952"/>
      <c r="I23" s="1952"/>
      <c r="J23" s="2914"/>
      <c r="K23" s="2914"/>
      <c r="L23" s="2909"/>
      <c r="M23" s="2910"/>
      <c r="N23" s="937"/>
      <c r="O23" s="934"/>
      <c r="P23" s="934"/>
      <c r="Q23" s="934"/>
      <c r="R23" s="934"/>
      <c r="S23" s="934"/>
      <c r="T23" s="930"/>
      <c r="U23" s="930"/>
      <c r="V23" s="930"/>
      <c r="W23" s="930"/>
      <c r="X23" s="930"/>
      <c r="Y23" s="930"/>
      <c r="Z23" s="930"/>
      <c r="AA23" s="926"/>
      <c r="AB23" s="926"/>
      <c r="AC23" s="928"/>
      <c r="AD23" s="928"/>
      <c r="AE23" s="928"/>
      <c r="AF23" s="928"/>
      <c r="AG23" s="928"/>
      <c r="AH23" s="928"/>
      <c r="AI23" s="928"/>
      <c r="AJ23" s="928"/>
      <c r="AK23" s="928"/>
      <c r="AL23" s="928"/>
      <c r="AM23" s="928"/>
      <c r="AN23" s="928"/>
      <c r="AO23" s="928"/>
      <c r="AP23" s="928"/>
      <c r="AQ23" s="928"/>
      <c r="AR23" s="928"/>
      <c r="AS23" s="928"/>
    </row>
    <row r="24" spans="1:45" s="942" customFormat="1" ht="6" customHeight="1">
      <c r="A24" s="952"/>
      <c r="B24" s="953"/>
      <c r="C24" s="953"/>
      <c r="D24" s="953"/>
      <c r="E24" s="953"/>
      <c r="F24" s="953"/>
      <c r="G24" s="953"/>
      <c r="H24" s="954"/>
      <c r="I24" s="954"/>
      <c r="J24" s="955"/>
      <c r="K24" s="955"/>
      <c r="L24" s="955"/>
      <c r="M24" s="956"/>
      <c r="N24" s="939"/>
      <c r="O24" s="926"/>
      <c r="P24" s="926"/>
      <c r="Q24" s="926"/>
      <c r="R24" s="930"/>
      <c r="S24" s="926"/>
      <c r="T24" s="926"/>
      <c r="U24" s="926"/>
      <c r="V24" s="930"/>
      <c r="W24" s="926"/>
      <c r="X24" s="926"/>
      <c r="Y24" s="926"/>
      <c r="Z24" s="926"/>
      <c r="AA24" s="940"/>
      <c r="AB24" s="940"/>
      <c r="AC24" s="941"/>
      <c r="AD24" s="941"/>
      <c r="AE24" s="941"/>
      <c r="AF24" s="941"/>
      <c r="AG24" s="941"/>
      <c r="AH24" s="941"/>
      <c r="AI24" s="941"/>
      <c r="AJ24" s="941"/>
      <c r="AK24" s="941"/>
      <c r="AL24" s="941"/>
      <c r="AM24" s="941"/>
      <c r="AN24" s="941"/>
      <c r="AO24" s="941"/>
      <c r="AP24" s="941"/>
      <c r="AQ24" s="941"/>
      <c r="AR24" s="941"/>
      <c r="AS24" s="941"/>
    </row>
    <row r="25" spans="1:45" ht="21.9" customHeight="1" thickBot="1">
      <c r="A25" s="943" t="s">
        <v>1152</v>
      </c>
      <c r="B25" s="2915"/>
      <c r="C25" s="2916"/>
      <c r="D25" s="2916"/>
      <c r="E25" s="2916"/>
      <c r="F25" s="2916"/>
      <c r="G25" s="2916"/>
      <c r="H25" s="2916"/>
      <c r="I25" s="2916"/>
      <c r="J25" s="2916"/>
      <c r="K25" s="2916"/>
      <c r="L25" s="2916"/>
      <c r="M25" s="2917"/>
      <c r="N25" s="938"/>
      <c r="O25" s="926"/>
      <c r="P25" s="944"/>
      <c r="Q25" s="944"/>
      <c r="R25" s="944"/>
      <c r="S25" s="944"/>
      <c r="T25" s="944"/>
      <c r="U25" s="944"/>
      <c r="V25" s="944"/>
      <c r="W25" s="926"/>
      <c r="X25" s="944"/>
      <c r="Y25" s="944"/>
      <c r="Z25" s="944"/>
      <c r="AA25" s="926"/>
      <c r="AB25" s="926"/>
      <c r="AC25" s="928"/>
      <c r="AD25" s="928"/>
      <c r="AE25" s="928"/>
      <c r="AF25" s="928"/>
      <c r="AG25" s="928"/>
      <c r="AH25" s="928"/>
      <c r="AI25" s="928"/>
      <c r="AJ25" s="928"/>
      <c r="AK25" s="928"/>
      <c r="AL25" s="928"/>
      <c r="AM25" s="928"/>
      <c r="AN25" s="928"/>
      <c r="AO25" s="928"/>
      <c r="AP25" s="928"/>
      <c r="AQ25" s="928"/>
      <c r="AR25" s="928"/>
      <c r="AS25" s="928"/>
    </row>
    <row r="26" spans="1:45" s="917" customFormat="1" ht="14.1" customHeight="1">
      <c r="A26" s="945" t="s">
        <v>135</v>
      </c>
      <c r="B26" s="946"/>
      <c r="C26" s="947"/>
      <c r="D26" s="948"/>
      <c r="E26" s="948"/>
      <c r="F26" s="948"/>
      <c r="G26" s="948"/>
      <c r="H26" s="948"/>
      <c r="I26" s="948"/>
      <c r="J26" s="948"/>
      <c r="K26" s="948"/>
      <c r="L26" s="948"/>
      <c r="M26" s="949"/>
      <c r="N26" s="2258"/>
      <c r="O26" s="926"/>
      <c r="P26" s="926"/>
      <c r="Q26" s="926"/>
      <c r="R26" s="930"/>
      <c r="S26" s="926"/>
      <c r="T26" s="926"/>
      <c r="U26" s="926"/>
      <c r="V26" s="930"/>
      <c r="W26" s="926"/>
      <c r="X26" s="926"/>
      <c r="Y26" s="926"/>
      <c r="Z26" s="926"/>
      <c r="AA26" s="950"/>
      <c r="AB26" s="950"/>
    </row>
    <row r="27" spans="1:45" s="917" customFormat="1" ht="21.9" customHeight="1" thickBot="1">
      <c r="A27" s="2918"/>
      <c r="B27" s="2919"/>
      <c r="C27" s="2919"/>
      <c r="D27" s="920"/>
      <c r="E27" s="2920"/>
      <c r="F27" s="2920"/>
      <c r="G27" s="2920"/>
      <c r="H27" s="2920"/>
      <c r="I27" s="918"/>
      <c r="J27" s="2338"/>
      <c r="K27" s="918"/>
      <c r="L27" s="2921"/>
      <c r="M27" s="2922"/>
      <c r="N27" s="951"/>
      <c r="O27" s="930"/>
      <c r="P27" s="926"/>
      <c r="Q27" s="926"/>
      <c r="R27" s="930"/>
      <c r="S27" s="926"/>
      <c r="T27" s="926"/>
      <c r="U27" s="926"/>
      <c r="V27" s="930"/>
      <c r="W27" s="930"/>
      <c r="X27" s="926"/>
      <c r="Y27" s="926"/>
      <c r="Z27" s="926"/>
      <c r="AA27" s="950"/>
      <c r="AB27" s="950"/>
    </row>
    <row r="28" spans="1:45" s="917" customFormat="1" ht="14.1" customHeight="1" thickBot="1">
      <c r="A28" s="2923" t="s">
        <v>1385</v>
      </c>
      <c r="B28" s="2924"/>
      <c r="C28" s="2924"/>
      <c r="D28" s="2256"/>
      <c r="E28" s="2924" t="s">
        <v>137</v>
      </c>
      <c r="F28" s="2924"/>
      <c r="G28" s="2924"/>
      <c r="H28" s="2925"/>
      <c r="I28" s="922"/>
      <c r="J28" s="2255" t="s">
        <v>138</v>
      </c>
      <c r="K28" s="922"/>
      <c r="L28" s="2926" t="s">
        <v>139</v>
      </c>
      <c r="M28" s="2927"/>
      <c r="N28" s="950"/>
      <c r="O28" s="930"/>
      <c r="P28" s="926"/>
      <c r="Q28" s="926"/>
      <c r="R28" s="930"/>
      <c r="S28" s="926"/>
      <c r="T28" s="926"/>
      <c r="U28" s="926"/>
      <c r="V28" s="930"/>
      <c r="W28" s="926"/>
      <c r="X28" s="926"/>
      <c r="Y28" s="926"/>
      <c r="Z28" s="926"/>
      <c r="AA28" s="950"/>
      <c r="AB28" s="950"/>
    </row>
    <row r="29" spans="1:45">
      <c r="K29" s="957"/>
      <c r="L29" s="928"/>
      <c r="M29" s="928"/>
      <c r="N29" s="960"/>
      <c r="O29" s="960"/>
      <c r="P29" s="960"/>
      <c r="Q29" s="960"/>
      <c r="R29" s="960"/>
      <c r="S29" s="960"/>
      <c r="T29" s="960"/>
      <c r="U29" s="960"/>
      <c r="V29" s="960"/>
      <c r="W29" s="960"/>
      <c r="X29" s="960"/>
      <c r="Y29" s="960"/>
      <c r="Z29" s="960"/>
      <c r="AA29" s="960"/>
      <c r="AB29" s="928"/>
      <c r="AC29" s="928"/>
      <c r="AD29" s="928"/>
      <c r="AE29" s="928"/>
      <c r="AF29" s="928"/>
      <c r="AG29" s="928"/>
      <c r="AH29" s="928"/>
      <c r="AI29" s="928"/>
      <c r="AJ29" s="928"/>
      <c r="AK29" s="928"/>
      <c r="AL29" s="928"/>
      <c r="AM29" s="928"/>
      <c r="AN29" s="928"/>
      <c r="AO29" s="928"/>
      <c r="AP29" s="928"/>
      <c r="AQ29" s="928"/>
      <c r="AR29" s="928"/>
      <c r="AS29" s="928"/>
    </row>
    <row r="30" spans="1:45">
      <c r="K30" s="957"/>
      <c r="L30" s="928"/>
      <c r="M30" s="928"/>
      <c r="N30" s="960"/>
      <c r="O30" s="960"/>
      <c r="P30" s="960"/>
      <c r="Q30" s="960"/>
      <c r="R30" s="960"/>
      <c r="S30" s="960"/>
      <c r="T30" s="960"/>
      <c r="U30" s="960"/>
      <c r="V30" s="960"/>
      <c r="W30" s="960"/>
      <c r="X30" s="960"/>
      <c r="Y30" s="960"/>
      <c r="Z30" s="960"/>
      <c r="AA30" s="960"/>
      <c r="AB30" s="928"/>
      <c r="AC30" s="928"/>
      <c r="AD30" s="928"/>
      <c r="AE30" s="928"/>
      <c r="AF30" s="928"/>
      <c r="AG30" s="928"/>
      <c r="AH30" s="928"/>
      <c r="AI30" s="928"/>
      <c r="AJ30" s="928"/>
      <c r="AK30" s="928"/>
      <c r="AL30" s="928"/>
      <c r="AM30" s="928"/>
      <c r="AN30" s="928"/>
      <c r="AO30" s="928"/>
      <c r="AP30" s="928"/>
      <c r="AQ30" s="928"/>
      <c r="AR30" s="928"/>
      <c r="AS30" s="928"/>
    </row>
    <row r="31" spans="1:45">
      <c r="K31" s="957"/>
      <c r="L31" s="928"/>
      <c r="M31" s="928"/>
      <c r="N31" s="960"/>
      <c r="O31" s="960"/>
      <c r="P31" s="960"/>
      <c r="Q31" s="960"/>
      <c r="R31" s="960"/>
      <c r="S31" s="960"/>
      <c r="T31" s="960"/>
      <c r="U31" s="960"/>
      <c r="V31" s="960"/>
      <c r="W31" s="960"/>
      <c r="X31" s="960"/>
      <c r="Y31" s="960"/>
      <c r="Z31" s="960"/>
      <c r="AA31" s="960"/>
      <c r="AB31" s="928"/>
      <c r="AC31" s="928"/>
      <c r="AD31" s="928"/>
      <c r="AE31" s="928"/>
      <c r="AF31" s="928"/>
      <c r="AG31" s="928"/>
      <c r="AH31" s="928"/>
      <c r="AI31" s="928"/>
      <c r="AJ31" s="928"/>
      <c r="AK31" s="928"/>
      <c r="AL31" s="928"/>
      <c r="AM31" s="928"/>
      <c r="AN31" s="928"/>
      <c r="AO31" s="928"/>
      <c r="AP31" s="928"/>
      <c r="AQ31" s="928"/>
      <c r="AR31" s="928"/>
      <c r="AS31" s="928"/>
    </row>
    <row r="32" spans="1:45">
      <c r="K32" s="957"/>
      <c r="L32" s="928"/>
      <c r="M32" s="928"/>
      <c r="N32" s="960"/>
      <c r="O32" s="960"/>
      <c r="P32" s="960"/>
      <c r="Q32" s="960"/>
      <c r="R32" s="960"/>
      <c r="S32" s="960"/>
      <c r="T32" s="960"/>
      <c r="U32" s="960"/>
      <c r="V32" s="960"/>
      <c r="W32" s="960"/>
      <c r="X32" s="960"/>
      <c r="Y32" s="960"/>
      <c r="Z32" s="960"/>
      <c r="AA32" s="960"/>
      <c r="AB32" s="928"/>
      <c r="AC32" s="928"/>
      <c r="AD32" s="928"/>
      <c r="AE32" s="928"/>
      <c r="AF32" s="928"/>
      <c r="AG32" s="928"/>
      <c r="AH32" s="928"/>
      <c r="AI32" s="928"/>
      <c r="AJ32" s="928"/>
      <c r="AK32" s="928"/>
      <c r="AL32" s="928"/>
      <c r="AM32" s="928"/>
      <c r="AN32" s="928"/>
      <c r="AO32" s="928"/>
      <c r="AP32" s="928"/>
      <c r="AQ32" s="928"/>
      <c r="AR32" s="928"/>
      <c r="AS32" s="928"/>
    </row>
    <row r="33" spans="11:45">
      <c r="K33" s="957"/>
      <c r="L33" s="928"/>
      <c r="M33" s="928"/>
      <c r="N33" s="960"/>
      <c r="O33" s="960"/>
      <c r="P33" s="960"/>
      <c r="Q33" s="960"/>
      <c r="R33" s="960"/>
      <c r="S33" s="960"/>
      <c r="T33" s="960"/>
      <c r="U33" s="960"/>
      <c r="V33" s="960"/>
      <c r="W33" s="960"/>
      <c r="X33" s="960"/>
      <c r="Y33" s="960"/>
      <c r="Z33" s="960"/>
      <c r="AA33" s="960"/>
      <c r="AB33" s="928"/>
      <c r="AC33" s="928"/>
      <c r="AD33" s="928"/>
      <c r="AE33" s="928"/>
      <c r="AF33" s="928"/>
      <c r="AG33" s="928"/>
      <c r="AH33" s="928"/>
      <c r="AI33" s="928"/>
      <c r="AJ33" s="928"/>
      <c r="AK33" s="928"/>
      <c r="AL33" s="928"/>
      <c r="AM33" s="928"/>
      <c r="AN33" s="928"/>
      <c r="AO33" s="928"/>
      <c r="AP33" s="928"/>
      <c r="AQ33" s="928"/>
      <c r="AR33" s="928"/>
      <c r="AS33" s="928"/>
    </row>
    <row r="34" spans="11:45">
      <c r="K34" s="957"/>
      <c r="L34" s="928"/>
      <c r="M34" s="928"/>
      <c r="N34" s="960"/>
      <c r="O34" s="960"/>
      <c r="P34" s="960"/>
      <c r="Q34" s="960"/>
      <c r="R34" s="960"/>
      <c r="S34" s="960"/>
      <c r="T34" s="960"/>
      <c r="U34" s="960"/>
      <c r="V34" s="960"/>
      <c r="W34" s="960"/>
      <c r="X34" s="960"/>
      <c r="Y34" s="960"/>
      <c r="Z34" s="960"/>
      <c r="AA34" s="960"/>
      <c r="AB34" s="928"/>
      <c r="AC34" s="928"/>
      <c r="AD34" s="928"/>
      <c r="AE34" s="928"/>
      <c r="AF34" s="928"/>
      <c r="AG34" s="928"/>
      <c r="AH34" s="928"/>
      <c r="AI34" s="928"/>
      <c r="AJ34" s="928"/>
      <c r="AK34" s="928"/>
      <c r="AL34" s="928"/>
      <c r="AM34" s="928"/>
      <c r="AN34" s="928"/>
      <c r="AO34" s="928"/>
      <c r="AP34" s="928"/>
      <c r="AQ34" s="928"/>
      <c r="AR34" s="928"/>
      <c r="AS34" s="928"/>
    </row>
    <row r="35" spans="11:45">
      <c r="K35" s="957"/>
      <c r="L35" s="928"/>
      <c r="M35" s="928"/>
      <c r="N35" s="960"/>
      <c r="O35" s="960"/>
      <c r="P35" s="960"/>
      <c r="Q35" s="960"/>
      <c r="R35" s="960"/>
      <c r="S35" s="960"/>
      <c r="T35" s="960"/>
      <c r="U35" s="960"/>
      <c r="V35" s="960"/>
      <c r="W35" s="960"/>
      <c r="X35" s="960"/>
      <c r="Y35" s="960"/>
      <c r="Z35" s="960"/>
      <c r="AA35" s="960"/>
      <c r="AB35" s="928"/>
      <c r="AC35" s="928"/>
      <c r="AD35" s="928"/>
      <c r="AE35" s="928"/>
      <c r="AF35" s="928"/>
      <c r="AG35" s="928"/>
      <c r="AH35" s="928"/>
      <c r="AI35" s="928"/>
      <c r="AJ35" s="928"/>
      <c r="AK35" s="928"/>
      <c r="AL35" s="928"/>
      <c r="AM35" s="928"/>
      <c r="AN35" s="928"/>
      <c r="AO35" s="928"/>
      <c r="AP35" s="928"/>
      <c r="AQ35" s="928"/>
      <c r="AR35" s="928"/>
      <c r="AS35" s="928"/>
    </row>
    <row r="36" spans="11:45">
      <c r="K36" s="957"/>
      <c r="L36" s="928"/>
      <c r="M36" s="928"/>
      <c r="N36" s="960"/>
      <c r="O36" s="960"/>
      <c r="P36" s="960"/>
      <c r="Q36" s="960"/>
      <c r="R36" s="960"/>
      <c r="S36" s="960"/>
      <c r="T36" s="960"/>
      <c r="U36" s="960"/>
      <c r="V36" s="960"/>
      <c r="W36" s="960"/>
      <c r="X36" s="960"/>
      <c r="Y36" s="960"/>
      <c r="Z36" s="960"/>
      <c r="AA36" s="960"/>
      <c r="AB36" s="928"/>
      <c r="AC36" s="928"/>
      <c r="AD36" s="928"/>
      <c r="AE36" s="928"/>
      <c r="AF36" s="928"/>
      <c r="AG36" s="928"/>
      <c r="AH36" s="928"/>
      <c r="AI36" s="928"/>
      <c r="AJ36" s="928"/>
      <c r="AK36" s="928"/>
      <c r="AL36" s="928"/>
      <c r="AM36" s="928"/>
      <c r="AN36" s="928"/>
      <c r="AO36" s="928"/>
      <c r="AP36" s="928"/>
      <c r="AQ36" s="928"/>
      <c r="AR36" s="928"/>
      <c r="AS36" s="928"/>
    </row>
    <row r="37" spans="11:45">
      <c r="K37" s="957"/>
      <c r="L37" s="928"/>
      <c r="M37" s="928"/>
      <c r="N37" s="960"/>
      <c r="O37" s="960"/>
      <c r="P37" s="960"/>
      <c r="Q37" s="960"/>
      <c r="R37" s="960"/>
      <c r="S37" s="960"/>
      <c r="T37" s="960"/>
      <c r="U37" s="960"/>
      <c r="V37" s="960"/>
      <c r="W37" s="960"/>
      <c r="X37" s="960"/>
      <c r="Y37" s="960"/>
      <c r="Z37" s="960"/>
      <c r="AA37" s="960"/>
      <c r="AB37" s="928"/>
      <c r="AC37" s="928"/>
      <c r="AD37" s="928"/>
      <c r="AE37" s="928"/>
      <c r="AF37" s="928"/>
      <c r="AG37" s="928"/>
      <c r="AH37" s="928"/>
      <c r="AI37" s="928"/>
      <c r="AJ37" s="928"/>
      <c r="AK37" s="928"/>
      <c r="AL37" s="928"/>
      <c r="AM37" s="928"/>
      <c r="AN37" s="928"/>
      <c r="AO37" s="928"/>
      <c r="AP37" s="928"/>
      <c r="AQ37" s="928"/>
      <c r="AR37" s="928"/>
      <c r="AS37" s="928"/>
    </row>
    <row r="38" spans="11:45">
      <c r="K38" s="957"/>
      <c r="L38" s="928"/>
      <c r="M38" s="928"/>
      <c r="N38" s="960"/>
      <c r="O38" s="960"/>
      <c r="P38" s="960"/>
      <c r="Q38" s="960"/>
      <c r="R38" s="960"/>
      <c r="S38" s="960"/>
      <c r="T38" s="960"/>
      <c r="U38" s="960"/>
      <c r="V38" s="960"/>
      <c r="W38" s="960"/>
      <c r="X38" s="960"/>
      <c r="Y38" s="960"/>
      <c r="Z38" s="960"/>
      <c r="AA38" s="960"/>
      <c r="AB38" s="928"/>
      <c r="AC38" s="928"/>
      <c r="AD38" s="928"/>
      <c r="AE38" s="928"/>
      <c r="AF38" s="928"/>
      <c r="AG38" s="928"/>
      <c r="AH38" s="928"/>
      <c r="AI38" s="928"/>
      <c r="AJ38" s="928"/>
      <c r="AK38" s="928"/>
      <c r="AL38" s="928"/>
      <c r="AM38" s="928"/>
      <c r="AN38" s="928"/>
      <c r="AO38" s="928"/>
      <c r="AP38" s="928"/>
      <c r="AQ38" s="928"/>
      <c r="AR38" s="928"/>
      <c r="AS38" s="928"/>
    </row>
    <row r="39" spans="11:45">
      <c r="K39" s="957"/>
      <c r="L39" s="928"/>
      <c r="M39" s="928"/>
      <c r="N39" s="960"/>
      <c r="O39" s="960"/>
      <c r="P39" s="960"/>
      <c r="Q39" s="960"/>
      <c r="R39" s="960"/>
      <c r="S39" s="960"/>
      <c r="T39" s="960"/>
      <c r="U39" s="960"/>
      <c r="V39" s="960"/>
      <c r="W39" s="960"/>
      <c r="X39" s="960"/>
      <c r="Y39" s="960"/>
      <c r="Z39" s="960"/>
      <c r="AA39" s="960"/>
      <c r="AB39" s="928"/>
      <c r="AC39" s="928"/>
      <c r="AD39" s="928"/>
      <c r="AE39" s="928"/>
      <c r="AF39" s="928"/>
      <c r="AG39" s="928"/>
      <c r="AH39" s="928"/>
      <c r="AI39" s="928"/>
      <c r="AJ39" s="928"/>
      <c r="AK39" s="928"/>
      <c r="AL39" s="928"/>
      <c r="AM39" s="928"/>
      <c r="AN39" s="928"/>
      <c r="AO39" s="928"/>
      <c r="AP39" s="928"/>
      <c r="AQ39" s="928"/>
      <c r="AR39" s="928"/>
      <c r="AS39" s="928"/>
    </row>
    <row r="40" spans="11:45">
      <c r="K40" s="957"/>
      <c r="L40" s="928"/>
      <c r="M40" s="928"/>
      <c r="N40" s="960"/>
      <c r="O40" s="960"/>
      <c r="P40" s="960"/>
      <c r="Q40" s="960"/>
      <c r="R40" s="960"/>
      <c r="S40" s="960"/>
      <c r="T40" s="960"/>
      <c r="U40" s="960"/>
      <c r="V40" s="960"/>
      <c r="W40" s="960"/>
      <c r="X40" s="960"/>
      <c r="Y40" s="960"/>
      <c r="Z40" s="960"/>
      <c r="AA40" s="960"/>
      <c r="AB40" s="928"/>
      <c r="AC40" s="928"/>
      <c r="AD40" s="928"/>
      <c r="AE40" s="928"/>
      <c r="AF40" s="928"/>
      <c r="AG40" s="928"/>
      <c r="AH40" s="928"/>
      <c r="AI40" s="928"/>
      <c r="AJ40" s="928"/>
      <c r="AK40" s="928"/>
      <c r="AL40" s="928"/>
      <c r="AM40" s="928"/>
      <c r="AN40" s="928"/>
      <c r="AO40" s="928"/>
      <c r="AP40" s="928"/>
      <c r="AQ40" s="928"/>
      <c r="AR40" s="928"/>
      <c r="AS40" s="928"/>
    </row>
    <row r="41" spans="11:45">
      <c r="K41" s="957"/>
      <c r="L41" s="928"/>
      <c r="M41" s="928"/>
      <c r="N41" s="960"/>
      <c r="O41" s="960"/>
      <c r="P41" s="960"/>
      <c r="Q41" s="960"/>
      <c r="R41" s="960"/>
      <c r="S41" s="960"/>
      <c r="T41" s="960"/>
      <c r="U41" s="960"/>
      <c r="V41" s="960"/>
      <c r="W41" s="960"/>
      <c r="X41" s="960"/>
      <c r="Y41" s="960"/>
      <c r="Z41" s="960"/>
      <c r="AA41" s="960"/>
      <c r="AB41" s="928"/>
      <c r="AC41" s="928"/>
      <c r="AD41" s="928"/>
      <c r="AE41" s="928"/>
      <c r="AF41" s="928"/>
      <c r="AG41" s="928"/>
      <c r="AH41" s="928"/>
      <c r="AI41" s="928"/>
      <c r="AJ41" s="928"/>
      <c r="AK41" s="928"/>
      <c r="AL41" s="928"/>
      <c r="AM41" s="928"/>
      <c r="AN41" s="928"/>
      <c r="AO41" s="928"/>
      <c r="AP41" s="928"/>
      <c r="AQ41" s="928"/>
      <c r="AR41" s="928"/>
      <c r="AS41" s="928"/>
    </row>
    <row r="42" spans="11:45">
      <c r="K42" s="957"/>
      <c r="L42" s="928"/>
      <c r="M42" s="928"/>
      <c r="N42" s="960"/>
      <c r="O42" s="960"/>
      <c r="P42" s="960"/>
      <c r="Q42" s="960"/>
      <c r="R42" s="960"/>
      <c r="S42" s="960"/>
      <c r="T42" s="960"/>
      <c r="U42" s="960"/>
      <c r="V42" s="960"/>
      <c r="W42" s="960"/>
      <c r="X42" s="960"/>
      <c r="Y42" s="960"/>
      <c r="Z42" s="960"/>
      <c r="AA42" s="960"/>
      <c r="AB42" s="928"/>
      <c r="AC42" s="928"/>
      <c r="AD42" s="928"/>
      <c r="AE42" s="928"/>
      <c r="AF42" s="928"/>
      <c r="AG42" s="928"/>
      <c r="AH42" s="928"/>
      <c r="AI42" s="928"/>
      <c r="AJ42" s="928"/>
      <c r="AK42" s="928"/>
      <c r="AL42" s="928"/>
      <c r="AM42" s="928"/>
      <c r="AN42" s="928"/>
      <c r="AO42" s="928"/>
      <c r="AP42" s="928"/>
      <c r="AQ42" s="928"/>
      <c r="AR42" s="928"/>
      <c r="AS42" s="928"/>
    </row>
    <row r="43" spans="11:45">
      <c r="K43" s="957"/>
      <c r="L43" s="928"/>
      <c r="M43" s="928"/>
      <c r="N43" s="960"/>
      <c r="O43" s="960"/>
      <c r="P43" s="960"/>
      <c r="Q43" s="960"/>
      <c r="R43" s="960"/>
      <c r="S43" s="960"/>
      <c r="T43" s="960"/>
      <c r="U43" s="960"/>
      <c r="V43" s="960"/>
      <c r="W43" s="960"/>
      <c r="X43" s="960"/>
      <c r="Y43" s="960"/>
      <c r="Z43" s="960"/>
      <c r="AA43" s="960"/>
      <c r="AB43" s="928"/>
      <c r="AC43" s="928"/>
      <c r="AD43" s="928"/>
      <c r="AE43" s="928"/>
      <c r="AF43" s="928"/>
      <c r="AG43" s="928"/>
      <c r="AH43" s="928"/>
      <c r="AI43" s="928"/>
      <c r="AJ43" s="928"/>
      <c r="AK43" s="928"/>
      <c r="AL43" s="928"/>
      <c r="AM43" s="928"/>
      <c r="AN43" s="928"/>
      <c r="AO43" s="928"/>
      <c r="AP43" s="928"/>
      <c r="AQ43" s="928"/>
      <c r="AR43" s="928"/>
      <c r="AS43" s="928"/>
    </row>
    <row r="44" spans="11:45">
      <c r="K44" s="957"/>
      <c r="L44" s="928"/>
      <c r="M44" s="928"/>
      <c r="N44" s="960"/>
      <c r="O44" s="960"/>
      <c r="P44" s="960"/>
      <c r="Q44" s="960"/>
      <c r="R44" s="960"/>
      <c r="S44" s="960"/>
      <c r="T44" s="960"/>
      <c r="U44" s="960"/>
      <c r="V44" s="960"/>
      <c r="W44" s="960"/>
      <c r="X44" s="960"/>
      <c r="Y44" s="960"/>
      <c r="Z44" s="960"/>
      <c r="AA44" s="960"/>
      <c r="AB44" s="928"/>
      <c r="AC44" s="928"/>
      <c r="AD44" s="928"/>
      <c r="AE44" s="928"/>
      <c r="AF44" s="928"/>
      <c r="AG44" s="928"/>
      <c r="AH44" s="928"/>
      <c r="AI44" s="928"/>
      <c r="AJ44" s="928"/>
      <c r="AK44" s="928"/>
      <c r="AL44" s="928"/>
      <c r="AM44" s="928"/>
      <c r="AN44" s="928"/>
      <c r="AO44" s="928"/>
      <c r="AP44" s="928"/>
      <c r="AQ44" s="928"/>
      <c r="AR44" s="928"/>
      <c r="AS44" s="928"/>
    </row>
    <row r="45" spans="11:45">
      <c r="K45" s="957"/>
      <c r="L45" s="928"/>
      <c r="M45" s="928"/>
      <c r="N45" s="960"/>
      <c r="O45" s="960"/>
      <c r="P45" s="960"/>
      <c r="Q45" s="960"/>
      <c r="R45" s="960"/>
      <c r="S45" s="960"/>
      <c r="T45" s="960"/>
      <c r="U45" s="960"/>
      <c r="V45" s="960"/>
      <c r="W45" s="960"/>
      <c r="X45" s="960"/>
      <c r="Y45" s="960"/>
      <c r="Z45" s="960"/>
      <c r="AA45" s="960"/>
      <c r="AB45" s="928"/>
      <c r="AC45" s="928"/>
      <c r="AD45" s="928"/>
      <c r="AE45" s="928"/>
      <c r="AF45" s="928"/>
      <c r="AG45" s="928"/>
      <c r="AH45" s="928"/>
      <c r="AI45" s="928"/>
      <c r="AJ45" s="928"/>
      <c r="AK45" s="928"/>
      <c r="AL45" s="928"/>
      <c r="AM45" s="928"/>
      <c r="AN45" s="928"/>
      <c r="AO45" s="928"/>
      <c r="AP45" s="928"/>
      <c r="AQ45" s="928"/>
      <c r="AR45" s="928"/>
      <c r="AS45" s="928"/>
    </row>
    <row r="46" spans="11:45">
      <c r="K46" s="957"/>
      <c r="L46" s="928"/>
      <c r="M46" s="928"/>
      <c r="N46" s="960"/>
      <c r="O46" s="960"/>
      <c r="P46" s="960"/>
      <c r="Q46" s="960"/>
      <c r="R46" s="960"/>
      <c r="S46" s="960"/>
      <c r="T46" s="960"/>
      <c r="U46" s="960"/>
      <c r="V46" s="960"/>
      <c r="W46" s="960"/>
      <c r="X46" s="960"/>
      <c r="Y46" s="960"/>
      <c r="Z46" s="960"/>
      <c r="AA46" s="960"/>
      <c r="AB46" s="928"/>
      <c r="AC46" s="928"/>
      <c r="AD46" s="928"/>
      <c r="AE46" s="928"/>
      <c r="AF46" s="928"/>
      <c r="AG46" s="928"/>
      <c r="AH46" s="928"/>
      <c r="AI46" s="928"/>
      <c r="AJ46" s="928"/>
      <c r="AK46" s="928"/>
      <c r="AL46" s="928"/>
      <c r="AM46" s="928"/>
      <c r="AN46" s="928"/>
      <c r="AO46" s="928"/>
      <c r="AP46" s="928"/>
      <c r="AQ46" s="928"/>
      <c r="AR46" s="928"/>
      <c r="AS46" s="928"/>
    </row>
    <row r="47" spans="11:45">
      <c r="K47" s="957"/>
      <c r="L47" s="928"/>
      <c r="M47" s="928"/>
      <c r="N47" s="960"/>
      <c r="O47" s="960"/>
      <c r="P47" s="960"/>
      <c r="Q47" s="960"/>
      <c r="R47" s="960"/>
      <c r="S47" s="960"/>
      <c r="T47" s="960"/>
      <c r="U47" s="960"/>
      <c r="V47" s="960"/>
      <c r="W47" s="960"/>
      <c r="X47" s="960"/>
      <c r="Y47" s="960"/>
      <c r="Z47" s="960"/>
      <c r="AA47" s="960"/>
      <c r="AB47" s="928"/>
      <c r="AC47" s="928"/>
      <c r="AD47" s="928"/>
      <c r="AE47" s="928"/>
      <c r="AF47" s="928"/>
      <c r="AG47" s="928"/>
      <c r="AH47" s="928"/>
      <c r="AI47" s="928"/>
      <c r="AJ47" s="928"/>
      <c r="AK47" s="928"/>
      <c r="AL47" s="928"/>
      <c r="AM47" s="928"/>
      <c r="AN47" s="928"/>
      <c r="AO47" s="928"/>
      <c r="AP47" s="928"/>
      <c r="AQ47" s="928"/>
      <c r="AR47" s="928"/>
      <c r="AS47" s="928"/>
    </row>
    <row r="48" spans="11:45">
      <c r="K48" s="957"/>
      <c r="L48" s="928"/>
      <c r="M48" s="928"/>
      <c r="N48" s="960"/>
      <c r="O48" s="960"/>
      <c r="P48" s="960"/>
      <c r="Q48" s="960"/>
      <c r="R48" s="960"/>
      <c r="S48" s="960"/>
      <c r="T48" s="960"/>
      <c r="U48" s="960"/>
      <c r="V48" s="960"/>
      <c r="W48" s="960"/>
      <c r="X48" s="960"/>
      <c r="Y48" s="960"/>
      <c r="Z48" s="960"/>
      <c r="AA48" s="960"/>
      <c r="AB48" s="928"/>
      <c r="AC48" s="928"/>
      <c r="AD48" s="928"/>
      <c r="AE48" s="928"/>
      <c r="AF48" s="928"/>
      <c r="AG48" s="928"/>
      <c r="AH48" s="928"/>
      <c r="AI48" s="928"/>
      <c r="AJ48" s="928"/>
      <c r="AK48" s="928"/>
      <c r="AL48" s="928"/>
      <c r="AM48" s="928"/>
      <c r="AN48" s="928"/>
      <c r="AO48" s="928"/>
      <c r="AP48" s="928"/>
      <c r="AQ48" s="928"/>
      <c r="AR48" s="928"/>
      <c r="AS48" s="928"/>
    </row>
    <row r="49" spans="11:45">
      <c r="K49" s="957"/>
      <c r="L49" s="928"/>
      <c r="M49" s="928"/>
      <c r="N49" s="960"/>
      <c r="O49" s="960"/>
      <c r="P49" s="960"/>
      <c r="Q49" s="960"/>
      <c r="R49" s="960"/>
      <c r="S49" s="960"/>
      <c r="T49" s="960"/>
      <c r="U49" s="960"/>
      <c r="V49" s="960"/>
      <c r="W49" s="960"/>
      <c r="X49" s="960"/>
      <c r="Y49" s="960"/>
      <c r="Z49" s="960"/>
      <c r="AA49" s="960"/>
      <c r="AB49" s="928"/>
      <c r="AC49" s="928"/>
      <c r="AD49" s="928"/>
      <c r="AE49" s="928"/>
      <c r="AF49" s="928"/>
      <c r="AG49" s="928"/>
      <c r="AH49" s="928"/>
      <c r="AI49" s="928"/>
      <c r="AJ49" s="928"/>
      <c r="AK49" s="928"/>
      <c r="AL49" s="928"/>
      <c r="AM49" s="928"/>
      <c r="AN49" s="928"/>
      <c r="AO49" s="928"/>
      <c r="AP49" s="928"/>
      <c r="AQ49" s="928"/>
      <c r="AR49" s="928"/>
      <c r="AS49" s="928"/>
    </row>
    <row r="50" spans="11:45">
      <c r="K50" s="957"/>
      <c r="L50" s="928"/>
      <c r="M50" s="928"/>
      <c r="N50" s="960"/>
      <c r="O50" s="960"/>
      <c r="P50" s="960"/>
      <c r="Q50" s="960"/>
      <c r="R50" s="960"/>
      <c r="S50" s="960"/>
      <c r="T50" s="960"/>
      <c r="U50" s="960"/>
      <c r="V50" s="960"/>
      <c r="W50" s="960"/>
      <c r="X50" s="960"/>
      <c r="Y50" s="960"/>
      <c r="Z50" s="960"/>
      <c r="AA50" s="960"/>
      <c r="AB50" s="928"/>
      <c r="AC50" s="928"/>
      <c r="AD50" s="928"/>
      <c r="AE50" s="928"/>
      <c r="AF50" s="928"/>
      <c r="AG50" s="928"/>
      <c r="AH50" s="928"/>
      <c r="AI50" s="928"/>
      <c r="AJ50" s="928"/>
      <c r="AK50" s="928"/>
      <c r="AL50" s="928"/>
      <c r="AM50" s="928"/>
      <c r="AN50" s="928"/>
      <c r="AO50" s="928"/>
      <c r="AP50" s="928"/>
      <c r="AQ50" s="928"/>
      <c r="AR50" s="928"/>
      <c r="AS50" s="928"/>
    </row>
    <row r="51" spans="11:45">
      <c r="K51" s="957"/>
      <c r="L51" s="928"/>
      <c r="M51" s="928"/>
      <c r="N51" s="960"/>
      <c r="O51" s="960"/>
      <c r="P51" s="960"/>
      <c r="Q51" s="960"/>
      <c r="R51" s="960"/>
      <c r="S51" s="960"/>
      <c r="T51" s="960"/>
      <c r="U51" s="960"/>
      <c r="V51" s="960"/>
      <c r="W51" s="960"/>
      <c r="X51" s="960"/>
      <c r="Y51" s="960"/>
      <c r="Z51" s="960"/>
      <c r="AA51" s="960"/>
      <c r="AB51" s="928"/>
      <c r="AC51" s="928"/>
      <c r="AD51" s="928"/>
      <c r="AE51" s="928"/>
      <c r="AF51" s="928"/>
      <c r="AG51" s="928"/>
      <c r="AH51" s="928"/>
      <c r="AI51" s="928"/>
      <c r="AJ51" s="928"/>
      <c r="AK51" s="928"/>
      <c r="AL51" s="928"/>
      <c r="AM51" s="928"/>
      <c r="AN51" s="928"/>
      <c r="AO51" s="928"/>
      <c r="AP51" s="928"/>
      <c r="AQ51" s="928"/>
      <c r="AR51" s="928"/>
      <c r="AS51" s="928"/>
    </row>
    <row r="52" spans="11:45">
      <c r="K52" s="957"/>
      <c r="L52" s="928"/>
      <c r="M52" s="928"/>
      <c r="N52" s="960"/>
      <c r="O52" s="960"/>
      <c r="P52" s="960"/>
      <c r="Q52" s="960"/>
      <c r="R52" s="960"/>
      <c r="S52" s="960"/>
      <c r="T52" s="960"/>
      <c r="U52" s="960"/>
      <c r="V52" s="960"/>
      <c r="W52" s="960"/>
      <c r="X52" s="960"/>
      <c r="Y52" s="960"/>
      <c r="Z52" s="960"/>
      <c r="AA52" s="960"/>
      <c r="AB52" s="928"/>
      <c r="AC52" s="928"/>
      <c r="AD52" s="928"/>
      <c r="AE52" s="928"/>
      <c r="AF52" s="928"/>
      <c r="AG52" s="928"/>
      <c r="AH52" s="928"/>
      <c r="AI52" s="928"/>
      <c r="AJ52" s="928"/>
      <c r="AK52" s="928"/>
      <c r="AL52" s="928"/>
      <c r="AM52" s="928"/>
      <c r="AN52" s="928"/>
      <c r="AO52" s="928"/>
      <c r="AP52" s="928"/>
      <c r="AQ52" s="928"/>
      <c r="AR52" s="928"/>
      <c r="AS52" s="928"/>
    </row>
    <row r="53" spans="11:45">
      <c r="K53" s="957"/>
      <c r="L53" s="928"/>
      <c r="M53" s="928"/>
      <c r="N53" s="960"/>
      <c r="O53" s="960"/>
      <c r="P53" s="960"/>
      <c r="Q53" s="960"/>
      <c r="R53" s="960"/>
      <c r="S53" s="960"/>
      <c r="T53" s="960"/>
      <c r="U53" s="960"/>
      <c r="V53" s="960"/>
      <c r="W53" s="960"/>
      <c r="X53" s="960"/>
      <c r="Y53" s="960"/>
      <c r="Z53" s="960"/>
      <c r="AA53" s="960"/>
      <c r="AB53" s="928"/>
      <c r="AC53" s="928"/>
      <c r="AD53" s="928"/>
      <c r="AE53" s="928"/>
      <c r="AF53" s="928"/>
      <c r="AG53" s="928"/>
      <c r="AH53" s="928"/>
      <c r="AI53" s="928"/>
      <c r="AJ53" s="928"/>
      <c r="AK53" s="928"/>
      <c r="AL53" s="928"/>
      <c r="AM53" s="928"/>
      <c r="AN53" s="928"/>
      <c r="AO53" s="928"/>
      <c r="AP53" s="928"/>
      <c r="AQ53" s="928"/>
      <c r="AR53" s="928"/>
      <c r="AS53" s="928"/>
    </row>
    <row r="54" spans="11:45">
      <c r="K54" s="957"/>
      <c r="L54" s="928"/>
      <c r="M54" s="928"/>
      <c r="N54" s="960"/>
      <c r="O54" s="960"/>
      <c r="P54" s="960"/>
      <c r="Q54" s="960"/>
      <c r="R54" s="960"/>
      <c r="S54" s="960"/>
      <c r="T54" s="960"/>
      <c r="U54" s="960"/>
      <c r="V54" s="960"/>
      <c r="W54" s="960"/>
      <c r="X54" s="960"/>
      <c r="Y54" s="960"/>
      <c r="Z54" s="960"/>
      <c r="AA54" s="960"/>
      <c r="AB54" s="928"/>
      <c r="AC54" s="928"/>
      <c r="AD54" s="928"/>
      <c r="AE54" s="928"/>
      <c r="AF54" s="928"/>
      <c r="AG54" s="928"/>
      <c r="AH54" s="928"/>
      <c r="AI54" s="928"/>
      <c r="AJ54" s="928"/>
      <c r="AK54" s="928"/>
      <c r="AL54" s="928"/>
      <c r="AM54" s="928"/>
      <c r="AN54" s="928"/>
      <c r="AO54" s="928"/>
      <c r="AP54" s="928"/>
      <c r="AQ54" s="928"/>
      <c r="AR54" s="928"/>
      <c r="AS54" s="928"/>
    </row>
    <row r="55" spans="11:45">
      <c r="K55" s="957"/>
      <c r="L55" s="928"/>
      <c r="M55" s="928"/>
      <c r="N55" s="960"/>
      <c r="O55" s="960"/>
      <c r="P55" s="960"/>
      <c r="Q55" s="960"/>
      <c r="R55" s="960"/>
      <c r="S55" s="960"/>
      <c r="T55" s="960"/>
      <c r="U55" s="960"/>
      <c r="V55" s="960"/>
      <c r="W55" s="960"/>
      <c r="X55" s="960"/>
      <c r="Y55" s="960"/>
      <c r="Z55" s="960"/>
      <c r="AA55" s="960"/>
      <c r="AB55" s="928"/>
      <c r="AC55" s="928"/>
      <c r="AD55" s="928"/>
      <c r="AE55" s="928"/>
      <c r="AF55" s="928"/>
      <c r="AG55" s="928"/>
      <c r="AH55" s="928"/>
      <c r="AI55" s="928"/>
      <c r="AJ55" s="928"/>
      <c r="AK55" s="928"/>
      <c r="AL55" s="928"/>
      <c r="AM55" s="928"/>
      <c r="AN55" s="928"/>
      <c r="AO55" s="928"/>
      <c r="AP55" s="928"/>
      <c r="AQ55" s="928"/>
      <c r="AR55" s="928"/>
      <c r="AS55" s="928"/>
    </row>
    <row r="56" spans="11:45">
      <c r="K56" s="957"/>
      <c r="L56" s="928"/>
      <c r="M56" s="928"/>
      <c r="N56" s="960"/>
      <c r="O56" s="960"/>
      <c r="P56" s="960"/>
      <c r="Q56" s="960"/>
      <c r="R56" s="960"/>
      <c r="S56" s="960"/>
      <c r="T56" s="960"/>
      <c r="U56" s="960"/>
      <c r="V56" s="960"/>
      <c r="W56" s="960"/>
      <c r="X56" s="960"/>
      <c r="Y56" s="960"/>
      <c r="Z56" s="960"/>
      <c r="AA56" s="960"/>
      <c r="AB56" s="928"/>
      <c r="AC56" s="928"/>
      <c r="AD56" s="928"/>
      <c r="AE56" s="928"/>
      <c r="AF56" s="928"/>
      <c r="AG56" s="928"/>
      <c r="AH56" s="928"/>
      <c r="AI56" s="928"/>
      <c r="AJ56" s="928"/>
      <c r="AK56" s="928"/>
      <c r="AL56" s="928"/>
      <c r="AM56" s="928"/>
      <c r="AN56" s="928"/>
      <c r="AO56" s="928"/>
      <c r="AP56" s="928"/>
      <c r="AQ56" s="928"/>
      <c r="AR56" s="928"/>
      <c r="AS56" s="928"/>
    </row>
    <row r="57" spans="11:45">
      <c r="K57" s="957"/>
      <c r="L57" s="928"/>
      <c r="M57" s="928"/>
      <c r="N57" s="960"/>
      <c r="O57" s="960"/>
      <c r="P57" s="960"/>
      <c r="Q57" s="960"/>
      <c r="R57" s="960"/>
      <c r="S57" s="960"/>
      <c r="T57" s="960"/>
      <c r="U57" s="960"/>
      <c r="V57" s="960"/>
      <c r="W57" s="960"/>
      <c r="X57" s="960"/>
      <c r="Y57" s="960"/>
      <c r="Z57" s="960"/>
      <c r="AA57" s="960"/>
      <c r="AB57" s="928"/>
      <c r="AC57" s="928"/>
      <c r="AD57" s="928"/>
      <c r="AE57" s="928"/>
      <c r="AF57" s="928"/>
      <c r="AG57" s="928"/>
      <c r="AH57" s="928"/>
      <c r="AI57" s="928"/>
      <c r="AJ57" s="928"/>
      <c r="AK57" s="928"/>
      <c r="AL57" s="928"/>
      <c r="AM57" s="928"/>
      <c r="AN57" s="928"/>
      <c r="AO57" s="928"/>
      <c r="AP57" s="928"/>
      <c r="AQ57" s="928"/>
      <c r="AR57" s="928"/>
      <c r="AS57" s="928"/>
    </row>
    <row r="58" spans="11:45">
      <c r="K58" s="957"/>
      <c r="L58" s="928"/>
      <c r="M58" s="928"/>
      <c r="N58" s="960"/>
      <c r="O58" s="960"/>
      <c r="P58" s="960"/>
      <c r="Q58" s="960"/>
      <c r="R58" s="960"/>
      <c r="S58" s="960"/>
      <c r="T58" s="960"/>
      <c r="U58" s="960"/>
      <c r="V58" s="960"/>
      <c r="W58" s="960"/>
      <c r="X58" s="960"/>
      <c r="Y58" s="960"/>
      <c r="Z58" s="960"/>
      <c r="AA58" s="960"/>
      <c r="AB58" s="928"/>
      <c r="AC58" s="928"/>
      <c r="AD58" s="928"/>
      <c r="AE58" s="928"/>
      <c r="AF58" s="928"/>
      <c r="AG58" s="928"/>
      <c r="AH58" s="928"/>
      <c r="AI58" s="928"/>
      <c r="AJ58" s="928"/>
      <c r="AK58" s="928"/>
      <c r="AL58" s="928"/>
      <c r="AM58" s="928"/>
      <c r="AN58" s="928"/>
      <c r="AO58" s="928"/>
      <c r="AP58" s="928"/>
      <c r="AQ58" s="928"/>
      <c r="AR58" s="928"/>
      <c r="AS58" s="928"/>
    </row>
    <row r="59" spans="11:45">
      <c r="K59" s="957"/>
      <c r="L59" s="928"/>
      <c r="M59" s="928"/>
      <c r="N59" s="960"/>
      <c r="O59" s="960"/>
      <c r="P59" s="960"/>
      <c r="Q59" s="960"/>
      <c r="R59" s="960"/>
      <c r="S59" s="960"/>
      <c r="T59" s="960"/>
      <c r="U59" s="960"/>
      <c r="V59" s="960"/>
      <c r="W59" s="960"/>
      <c r="X59" s="960"/>
      <c r="Y59" s="960"/>
      <c r="Z59" s="960"/>
      <c r="AA59" s="960"/>
      <c r="AB59" s="928"/>
      <c r="AC59" s="928"/>
      <c r="AD59" s="928"/>
      <c r="AE59" s="928"/>
      <c r="AF59" s="928"/>
      <c r="AG59" s="928"/>
      <c r="AH59" s="928"/>
      <c r="AI59" s="928"/>
      <c r="AJ59" s="928"/>
      <c r="AK59" s="928"/>
      <c r="AL59" s="928"/>
      <c r="AM59" s="928"/>
      <c r="AN59" s="928"/>
      <c r="AO59" s="928"/>
      <c r="AP59" s="928"/>
      <c r="AQ59" s="928"/>
      <c r="AR59" s="928"/>
      <c r="AS59" s="928"/>
    </row>
    <row r="60" spans="11:45">
      <c r="K60" s="957"/>
      <c r="L60" s="928"/>
      <c r="M60" s="928"/>
      <c r="N60" s="960"/>
      <c r="O60" s="960"/>
      <c r="P60" s="960"/>
      <c r="Q60" s="960"/>
      <c r="R60" s="960"/>
      <c r="S60" s="960"/>
      <c r="T60" s="960"/>
      <c r="U60" s="960"/>
      <c r="V60" s="960"/>
      <c r="W60" s="960"/>
      <c r="X60" s="960"/>
      <c r="Y60" s="960"/>
      <c r="Z60" s="960"/>
      <c r="AA60" s="960"/>
      <c r="AB60" s="928"/>
      <c r="AC60" s="928"/>
      <c r="AD60" s="928"/>
      <c r="AE60" s="928"/>
      <c r="AF60" s="928"/>
      <c r="AG60" s="928"/>
      <c r="AH60" s="928"/>
      <c r="AI60" s="928"/>
      <c r="AJ60" s="928"/>
      <c r="AK60" s="928"/>
      <c r="AL60" s="928"/>
      <c r="AM60" s="928"/>
      <c r="AN60" s="928"/>
      <c r="AO60" s="928"/>
      <c r="AP60" s="928"/>
      <c r="AQ60" s="928"/>
      <c r="AR60" s="928"/>
      <c r="AS60" s="928"/>
    </row>
    <row r="61" spans="11:45">
      <c r="K61" s="957"/>
      <c r="L61" s="928"/>
      <c r="M61" s="928"/>
      <c r="N61" s="960"/>
      <c r="O61" s="960"/>
      <c r="P61" s="960"/>
      <c r="Q61" s="960"/>
      <c r="R61" s="960"/>
      <c r="S61" s="960"/>
      <c r="T61" s="960"/>
      <c r="U61" s="960"/>
      <c r="V61" s="960"/>
      <c r="W61" s="960"/>
      <c r="X61" s="960"/>
      <c r="Y61" s="960"/>
      <c r="Z61" s="960"/>
      <c r="AA61" s="960"/>
      <c r="AB61" s="928"/>
      <c r="AC61" s="928"/>
      <c r="AD61" s="928"/>
      <c r="AE61" s="928"/>
      <c r="AF61" s="928"/>
      <c r="AG61" s="928"/>
      <c r="AH61" s="928"/>
      <c r="AI61" s="928"/>
      <c r="AJ61" s="928"/>
      <c r="AK61" s="928"/>
      <c r="AL61" s="928"/>
      <c r="AM61" s="928"/>
      <c r="AN61" s="928"/>
      <c r="AO61" s="928"/>
      <c r="AP61" s="928"/>
      <c r="AQ61" s="928"/>
      <c r="AR61" s="928"/>
      <c r="AS61" s="928"/>
    </row>
    <row r="62" spans="11:45">
      <c r="K62" s="957"/>
      <c r="L62" s="928"/>
      <c r="M62" s="928"/>
      <c r="N62" s="960"/>
      <c r="O62" s="960"/>
      <c r="P62" s="960"/>
      <c r="Q62" s="960"/>
      <c r="R62" s="960"/>
      <c r="S62" s="960"/>
      <c r="T62" s="960"/>
      <c r="U62" s="960"/>
      <c r="V62" s="960"/>
      <c r="W62" s="960"/>
      <c r="X62" s="960"/>
      <c r="Y62" s="960"/>
      <c r="Z62" s="960"/>
      <c r="AA62" s="960"/>
      <c r="AB62" s="928"/>
      <c r="AC62" s="928"/>
      <c r="AD62" s="928"/>
      <c r="AE62" s="928"/>
      <c r="AF62" s="928"/>
      <c r="AG62" s="928"/>
      <c r="AH62" s="928"/>
      <c r="AI62" s="928"/>
      <c r="AJ62" s="928"/>
      <c r="AK62" s="928"/>
      <c r="AL62" s="928"/>
      <c r="AM62" s="928"/>
      <c r="AN62" s="928"/>
      <c r="AO62" s="928"/>
      <c r="AP62" s="928"/>
      <c r="AQ62" s="928"/>
      <c r="AR62" s="928"/>
      <c r="AS62" s="928"/>
    </row>
    <row r="63" spans="11:45">
      <c r="K63" s="957"/>
      <c r="L63" s="928"/>
      <c r="M63" s="928"/>
      <c r="N63" s="960"/>
      <c r="O63" s="960"/>
      <c r="P63" s="960"/>
      <c r="Q63" s="960"/>
      <c r="R63" s="960"/>
      <c r="S63" s="960"/>
      <c r="T63" s="960"/>
      <c r="U63" s="960"/>
      <c r="V63" s="960"/>
      <c r="W63" s="960"/>
      <c r="X63" s="960"/>
      <c r="Y63" s="960"/>
      <c r="Z63" s="960"/>
      <c r="AA63" s="960"/>
      <c r="AB63" s="928"/>
      <c r="AC63" s="928"/>
      <c r="AD63" s="928"/>
      <c r="AE63" s="928"/>
      <c r="AF63" s="928"/>
      <c r="AG63" s="928"/>
      <c r="AH63" s="928"/>
      <c r="AI63" s="928"/>
      <c r="AJ63" s="928"/>
      <c r="AK63" s="928"/>
      <c r="AL63" s="928"/>
      <c r="AM63" s="928"/>
      <c r="AN63" s="928"/>
      <c r="AO63" s="928"/>
      <c r="AP63" s="928"/>
      <c r="AQ63" s="928"/>
      <c r="AR63" s="928"/>
      <c r="AS63" s="928"/>
    </row>
    <row r="64" spans="11:45">
      <c r="K64" s="957"/>
      <c r="L64" s="928"/>
      <c r="M64" s="928"/>
      <c r="N64" s="960"/>
      <c r="O64" s="960"/>
      <c r="P64" s="960"/>
      <c r="Q64" s="960"/>
      <c r="R64" s="960"/>
      <c r="S64" s="960"/>
      <c r="T64" s="960"/>
      <c r="U64" s="960"/>
      <c r="V64" s="960"/>
      <c r="W64" s="960"/>
      <c r="X64" s="960"/>
      <c r="Y64" s="960"/>
      <c r="Z64" s="960"/>
      <c r="AA64" s="960"/>
      <c r="AB64" s="928"/>
      <c r="AC64" s="928"/>
      <c r="AD64" s="928"/>
      <c r="AE64" s="928"/>
      <c r="AF64" s="928"/>
      <c r="AG64" s="928"/>
      <c r="AH64" s="928"/>
      <c r="AI64" s="928"/>
      <c r="AJ64" s="928"/>
      <c r="AK64" s="928"/>
      <c r="AL64" s="928"/>
      <c r="AM64" s="928"/>
      <c r="AN64" s="928"/>
      <c r="AO64" s="928"/>
      <c r="AP64" s="928"/>
      <c r="AQ64" s="928"/>
      <c r="AR64" s="928"/>
      <c r="AS64" s="928"/>
    </row>
    <row r="65" spans="11:45">
      <c r="K65" s="957"/>
      <c r="L65" s="928"/>
      <c r="M65" s="928"/>
      <c r="N65" s="960"/>
      <c r="O65" s="960"/>
      <c r="P65" s="960"/>
      <c r="Q65" s="960"/>
      <c r="R65" s="960"/>
      <c r="S65" s="960"/>
      <c r="T65" s="960"/>
      <c r="U65" s="960"/>
      <c r="V65" s="960"/>
      <c r="W65" s="960"/>
      <c r="X65" s="960"/>
      <c r="Y65" s="960"/>
      <c r="Z65" s="960"/>
      <c r="AA65" s="960"/>
      <c r="AB65" s="928"/>
      <c r="AC65" s="928"/>
      <c r="AD65" s="928"/>
      <c r="AE65" s="928"/>
      <c r="AF65" s="928"/>
      <c r="AG65" s="928"/>
      <c r="AH65" s="928"/>
      <c r="AI65" s="928"/>
      <c r="AJ65" s="928"/>
      <c r="AK65" s="928"/>
      <c r="AL65" s="928"/>
      <c r="AM65" s="928"/>
      <c r="AN65" s="928"/>
      <c r="AO65" s="928"/>
      <c r="AP65" s="928"/>
      <c r="AQ65" s="928"/>
      <c r="AR65" s="928"/>
      <c r="AS65" s="928"/>
    </row>
    <row r="66" spans="11:45">
      <c r="K66" s="957"/>
      <c r="L66" s="928"/>
      <c r="M66" s="928"/>
      <c r="N66" s="960"/>
      <c r="O66" s="960"/>
      <c r="P66" s="960"/>
      <c r="Q66" s="960"/>
      <c r="R66" s="960"/>
      <c r="S66" s="960"/>
      <c r="T66" s="960"/>
      <c r="U66" s="960"/>
      <c r="V66" s="960"/>
      <c r="W66" s="960"/>
      <c r="X66" s="960"/>
      <c r="Y66" s="960"/>
      <c r="Z66" s="960"/>
      <c r="AA66" s="960"/>
      <c r="AB66" s="928"/>
      <c r="AC66" s="928"/>
      <c r="AD66" s="928"/>
      <c r="AE66" s="928"/>
      <c r="AF66" s="928"/>
      <c r="AG66" s="928"/>
      <c r="AH66" s="928"/>
      <c r="AI66" s="928"/>
      <c r="AJ66" s="928"/>
      <c r="AK66" s="928"/>
      <c r="AL66" s="928"/>
      <c r="AM66" s="928"/>
      <c r="AN66" s="928"/>
      <c r="AO66" s="928"/>
      <c r="AP66" s="928"/>
      <c r="AQ66" s="928"/>
      <c r="AR66" s="928"/>
      <c r="AS66" s="928"/>
    </row>
    <row r="67" spans="11:45">
      <c r="K67" s="957"/>
      <c r="L67" s="928"/>
      <c r="M67" s="928"/>
      <c r="N67" s="960"/>
      <c r="O67" s="960"/>
      <c r="P67" s="960"/>
      <c r="Q67" s="960"/>
      <c r="R67" s="960"/>
      <c r="S67" s="960"/>
      <c r="T67" s="960"/>
      <c r="U67" s="960"/>
      <c r="V67" s="960"/>
      <c r="W67" s="960"/>
      <c r="X67" s="960"/>
      <c r="Y67" s="960"/>
      <c r="Z67" s="960"/>
      <c r="AA67" s="960"/>
      <c r="AB67" s="928"/>
      <c r="AC67" s="928"/>
      <c r="AD67" s="928"/>
      <c r="AE67" s="928"/>
      <c r="AF67" s="928"/>
      <c r="AG67" s="928"/>
      <c r="AH67" s="928"/>
      <c r="AI67" s="928"/>
      <c r="AJ67" s="928"/>
      <c r="AK67" s="928"/>
      <c r="AL67" s="928"/>
      <c r="AM67" s="928"/>
      <c r="AN67" s="928"/>
      <c r="AO67" s="928"/>
      <c r="AP67" s="928"/>
      <c r="AQ67" s="928"/>
      <c r="AR67" s="928"/>
      <c r="AS67" s="928"/>
    </row>
    <row r="68" spans="11:45">
      <c r="K68" s="957"/>
      <c r="L68" s="928"/>
      <c r="M68" s="928"/>
      <c r="N68" s="960"/>
      <c r="O68" s="960"/>
      <c r="P68" s="960"/>
      <c r="Q68" s="960"/>
      <c r="R68" s="960"/>
      <c r="S68" s="960"/>
      <c r="T68" s="960"/>
      <c r="U68" s="960"/>
      <c r="V68" s="960"/>
      <c r="W68" s="960"/>
      <c r="X68" s="960"/>
      <c r="Y68" s="960"/>
      <c r="Z68" s="960"/>
      <c r="AA68" s="960"/>
      <c r="AB68" s="928"/>
      <c r="AC68" s="928"/>
      <c r="AD68" s="928"/>
      <c r="AE68" s="928"/>
      <c r="AF68" s="928"/>
      <c r="AG68" s="928"/>
      <c r="AH68" s="928"/>
      <c r="AI68" s="928"/>
      <c r="AJ68" s="928"/>
      <c r="AK68" s="928"/>
      <c r="AL68" s="928"/>
      <c r="AM68" s="928"/>
      <c r="AN68" s="928"/>
      <c r="AO68" s="928"/>
      <c r="AP68" s="928"/>
      <c r="AQ68" s="928"/>
      <c r="AR68" s="928"/>
      <c r="AS68" s="928"/>
    </row>
    <row r="69" spans="11:45">
      <c r="K69" s="957"/>
      <c r="L69" s="928"/>
      <c r="M69" s="928"/>
      <c r="N69" s="960"/>
      <c r="O69" s="960"/>
      <c r="P69" s="960"/>
      <c r="Q69" s="960"/>
      <c r="R69" s="960"/>
      <c r="S69" s="960"/>
      <c r="T69" s="960"/>
      <c r="U69" s="960"/>
      <c r="V69" s="960"/>
      <c r="W69" s="960"/>
      <c r="X69" s="960"/>
      <c r="Y69" s="960"/>
      <c r="Z69" s="960"/>
      <c r="AA69" s="960"/>
      <c r="AB69" s="928"/>
      <c r="AC69" s="928"/>
      <c r="AD69" s="928"/>
      <c r="AE69" s="928"/>
      <c r="AF69" s="928"/>
      <c r="AG69" s="928"/>
      <c r="AH69" s="928"/>
      <c r="AI69" s="928"/>
      <c r="AJ69" s="928"/>
      <c r="AK69" s="928"/>
      <c r="AL69" s="928"/>
      <c r="AM69" s="928"/>
      <c r="AN69" s="928"/>
      <c r="AO69" s="928"/>
      <c r="AP69" s="928"/>
      <c r="AQ69" s="928"/>
      <c r="AR69" s="928"/>
      <c r="AS69" s="928"/>
    </row>
    <row r="70" spans="11:45">
      <c r="K70" s="957"/>
      <c r="L70" s="928"/>
      <c r="M70" s="928"/>
      <c r="N70" s="960"/>
      <c r="O70" s="960"/>
      <c r="P70" s="960"/>
      <c r="Q70" s="960"/>
      <c r="R70" s="960"/>
      <c r="S70" s="960"/>
      <c r="T70" s="960"/>
      <c r="U70" s="960"/>
      <c r="V70" s="960"/>
      <c r="W70" s="960"/>
      <c r="X70" s="960"/>
      <c r="Y70" s="960"/>
      <c r="Z70" s="960"/>
      <c r="AA70" s="960"/>
      <c r="AB70" s="928"/>
      <c r="AC70" s="928"/>
      <c r="AD70" s="928"/>
      <c r="AE70" s="928"/>
      <c r="AF70" s="928"/>
      <c r="AG70" s="928"/>
      <c r="AH70" s="928"/>
      <c r="AI70" s="928"/>
      <c r="AJ70" s="928"/>
      <c r="AK70" s="928"/>
      <c r="AL70" s="928"/>
      <c r="AM70" s="928"/>
      <c r="AN70" s="928"/>
      <c r="AO70" s="928"/>
      <c r="AP70" s="928"/>
      <c r="AQ70" s="928"/>
      <c r="AR70" s="928"/>
      <c r="AS70" s="928"/>
    </row>
    <row r="71" spans="11:45">
      <c r="K71" s="957"/>
      <c r="L71" s="928"/>
      <c r="M71" s="928"/>
      <c r="N71" s="960"/>
      <c r="O71" s="960"/>
      <c r="P71" s="960"/>
      <c r="Q71" s="960"/>
      <c r="R71" s="960"/>
      <c r="S71" s="960"/>
      <c r="T71" s="960"/>
      <c r="U71" s="960"/>
      <c r="V71" s="960"/>
      <c r="W71" s="960"/>
      <c r="X71" s="960"/>
      <c r="Y71" s="960"/>
      <c r="Z71" s="960"/>
      <c r="AA71" s="960"/>
      <c r="AB71" s="928"/>
      <c r="AC71" s="928"/>
      <c r="AD71" s="928"/>
      <c r="AE71" s="928"/>
      <c r="AF71" s="928"/>
      <c r="AG71" s="928"/>
      <c r="AH71" s="928"/>
      <c r="AI71" s="928"/>
      <c r="AJ71" s="928"/>
      <c r="AK71" s="928"/>
      <c r="AL71" s="928"/>
      <c r="AM71" s="928"/>
      <c r="AN71" s="928"/>
      <c r="AO71" s="928"/>
      <c r="AP71" s="928"/>
      <c r="AQ71" s="928"/>
      <c r="AR71" s="928"/>
      <c r="AS71" s="928"/>
    </row>
    <row r="72" spans="11:45">
      <c r="K72" s="957"/>
      <c r="L72" s="928"/>
      <c r="M72" s="928"/>
      <c r="N72" s="960"/>
      <c r="O72" s="960"/>
      <c r="P72" s="960"/>
      <c r="Q72" s="960"/>
      <c r="R72" s="960"/>
      <c r="S72" s="960"/>
      <c r="T72" s="960"/>
      <c r="U72" s="960"/>
      <c r="V72" s="960"/>
      <c r="W72" s="960"/>
      <c r="X72" s="960"/>
      <c r="Y72" s="960"/>
      <c r="Z72" s="960"/>
      <c r="AA72" s="960"/>
      <c r="AB72" s="928"/>
      <c r="AC72" s="928"/>
      <c r="AD72" s="928"/>
      <c r="AE72" s="928"/>
      <c r="AF72" s="928"/>
      <c r="AG72" s="928"/>
      <c r="AH72" s="928"/>
      <c r="AI72" s="928"/>
      <c r="AJ72" s="928"/>
      <c r="AK72" s="928"/>
      <c r="AL72" s="928"/>
      <c r="AM72" s="928"/>
      <c r="AN72" s="928"/>
      <c r="AO72" s="928"/>
      <c r="AP72" s="928"/>
      <c r="AQ72" s="928"/>
      <c r="AR72" s="928"/>
      <c r="AS72" s="928"/>
    </row>
    <row r="73" spans="11:45">
      <c r="K73" s="957"/>
      <c r="L73" s="928"/>
      <c r="M73" s="928"/>
      <c r="N73" s="960"/>
      <c r="O73" s="960"/>
      <c r="P73" s="960"/>
      <c r="Q73" s="960"/>
      <c r="R73" s="960"/>
      <c r="S73" s="960"/>
      <c r="T73" s="960"/>
      <c r="U73" s="960"/>
      <c r="V73" s="960"/>
      <c r="W73" s="960"/>
      <c r="X73" s="960"/>
      <c r="Y73" s="960"/>
      <c r="Z73" s="960"/>
      <c r="AA73" s="960"/>
      <c r="AB73" s="928"/>
      <c r="AC73" s="928"/>
      <c r="AD73" s="928"/>
      <c r="AE73" s="928"/>
      <c r="AF73" s="928"/>
      <c r="AG73" s="928"/>
      <c r="AH73" s="928"/>
      <c r="AI73" s="928"/>
      <c r="AJ73" s="928"/>
      <c r="AK73" s="928"/>
      <c r="AL73" s="928"/>
      <c r="AM73" s="928"/>
      <c r="AN73" s="928"/>
      <c r="AO73" s="928"/>
      <c r="AP73" s="928"/>
      <c r="AQ73" s="928"/>
      <c r="AR73" s="928"/>
      <c r="AS73" s="928"/>
    </row>
    <row r="74" spans="11:45">
      <c r="K74" s="957"/>
      <c r="L74" s="928"/>
      <c r="M74" s="928"/>
      <c r="N74" s="960"/>
      <c r="O74" s="960"/>
      <c r="P74" s="960"/>
      <c r="Q74" s="960"/>
      <c r="R74" s="960"/>
      <c r="S74" s="960"/>
      <c r="T74" s="960"/>
      <c r="U74" s="960"/>
      <c r="V74" s="960"/>
      <c r="W74" s="960"/>
      <c r="X74" s="960"/>
      <c r="Y74" s="960"/>
      <c r="Z74" s="960"/>
      <c r="AA74" s="960"/>
      <c r="AB74" s="928"/>
      <c r="AC74" s="928"/>
      <c r="AD74" s="928"/>
      <c r="AE74" s="928"/>
      <c r="AF74" s="928"/>
      <c r="AG74" s="928"/>
      <c r="AH74" s="928"/>
      <c r="AI74" s="928"/>
      <c r="AJ74" s="928"/>
      <c r="AK74" s="928"/>
      <c r="AL74" s="928"/>
      <c r="AM74" s="928"/>
      <c r="AN74" s="928"/>
      <c r="AO74" s="928"/>
      <c r="AP74" s="928"/>
      <c r="AQ74" s="928"/>
      <c r="AR74" s="928"/>
      <c r="AS74" s="928"/>
    </row>
    <row r="75" spans="11:45">
      <c r="K75" s="957"/>
      <c r="L75" s="928"/>
      <c r="M75" s="928"/>
      <c r="N75" s="960"/>
      <c r="O75" s="960"/>
      <c r="P75" s="960"/>
      <c r="Q75" s="960"/>
      <c r="R75" s="960"/>
      <c r="S75" s="960"/>
      <c r="T75" s="960"/>
      <c r="U75" s="960"/>
      <c r="V75" s="960"/>
      <c r="W75" s="960"/>
      <c r="X75" s="960"/>
      <c r="Y75" s="960"/>
      <c r="Z75" s="960"/>
      <c r="AA75" s="960"/>
      <c r="AB75" s="928"/>
      <c r="AC75" s="928"/>
      <c r="AD75" s="928"/>
      <c r="AE75" s="928"/>
      <c r="AF75" s="928"/>
      <c r="AG75" s="928"/>
      <c r="AH75" s="928"/>
      <c r="AI75" s="928"/>
      <c r="AJ75" s="928"/>
      <c r="AK75" s="928"/>
      <c r="AL75" s="928"/>
      <c r="AM75" s="928"/>
      <c r="AN75" s="928"/>
      <c r="AO75" s="928"/>
      <c r="AP75" s="928"/>
      <c r="AQ75" s="928"/>
      <c r="AR75" s="928"/>
      <c r="AS75" s="928"/>
    </row>
    <row r="76" spans="11:45">
      <c r="K76" s="957"/>
      <c r="L76" s="928"/>
      <c r="M76" s="928"/>
      <c r="N76" s="960"/>
      <c r="O76" s="960"/>
      <c r="P76" s="960"/>
      <c r="Q76" s="960"/>
      <c r="R76" s="960"/>
      <c r="S76" s="960"/>
      <c r="T76" s="960"/>
      <c r="U76" s="960"/>
      <c r="V76" s="960"/>
      <c r="W76" s="960"/>
      <c r="X76" s="960"/>
      <c r="Y76" s="960"/>
      <c r="Z76" s="960"/>
      <c r="AA76" s="960"/>
      <c r="AB76" s="928"/>
      <c r="AC76" s="928"/>
      <c r="AD76" s="928"/>
      <c r="AE76" s="928"/>
      <c r="AF76" s="928"/>
      <c r="AG76" s="928"/>
      <c r="AH76" s="928"/>
      <c r="AI76" s="928"/>
      <c r="AJ76" s="928"/>
      <c r="AK76" s="928"/>
      <c r="AL76" s="928"/>
      <c r="AM76" s="928"/>
      <c r="AN76" s="928"/>
      <c r="AO76" s="928"/>
      <c r="AP76" s="928"/>
      <c r="AQ76" s="928"/>
      <c r="AR76" s="928"/>
      <c r="AS76" s="928"/>
    </row>
    <row r="77" spans="11:45">
      <c r="K77" s="957"/>
      <c r="L77" s="928"/>
      <c r="M77" s="928"/>
      <c r="N77" s="960"/>
      <c r="O77" s="960"/>
      <c r="P77" s="960"/>
      <c r="Q77" s="960"/>
      <c r="R77" s="960"/>
      <c r="S77" s="960"/>
      <c r="T77" s="960"/>
      <c r="U77" s="960"/>
      <c r="V77" s="960"/>
      <c r="W77" s="960"/>
      <c r="X77" s="960"/>
      <c r="Y77" s="960"/>
      <c r="Z77" s="960"/>
      <c r="AA77" s="960"/>
      <c r="AB77" s="928"/>
      <c r="AC77" s="928"/>
      <c r="AD77" s="928"/>
      <c r="AE77" s="928"/>
      <c r="AF77" s="928"/>
      <c r="AG77" s="928"/>
      <c r="AH77" s="928"/>
      <c r="AI77" s="928"/>
      <c r="AJ77" s="928"/>
      <c r="AK77" s="928"/>
      <c r="AL77" s="928"/>
      <c r="AM77" s="928"/>
      <c r="AN77" s="928"/>
      <c r="AO77" s="928"/>
      <c r="AP77" s="928"/>
      <c r="AQ77" s="928"/>
      <c r="AR77" s="928"/>
      <c r="AS77" s="928"/>
    </row>
    <row r="78" spans="11:45">
      <c r="K78" s="957"/>
      <c r="L78" s="928"/>
      <c r="M78" s="928"/>
      <c r="N78" s="960"/>
      <c r="O78" s="960"/>
      <c r="P78" s="960"/>
      <c r="Q78" s="960"/>
      <c r="R78" s="960"/>
      <c r="S78" s="960"/>
      <c r="T78" s="960"/>
      <c r="U78" s="960"/>
      <c r="V78" s="960"/>
      <c r="W78" s="960"/>
      <c r="X78" s="960"/>
      <c r="Y78" s="960"/>
      <c r="Z78" s="960"/>
      <c r="AA78" s="960"/>
      <c r="AB78" s="928"/>
      <c r="AC78" s="928"/>
      <c r="AD78" s="928"/>
      <c r="AE78" s="928"/>
      <c r="AF78" s="928"/>
      <c r="AG78" s="928"/>
      <c r="AH78" s="928"/>
      <c r="AI78" s="928"/>
      <c r="AJ78" s="928"/>
      <c r="AK78" s="928"/>
      <c r="AL78" s="928"/>
      <c r="AM78" s="928"/>
      <c r="AN78" s="928"/>
      <c r="AO78" s="928"/>
      <c r="AP78" s="928"/>
      <c r="AQ78" s="928"/>
      <c r="AR78" s="928"/>
      <c r="AS78" s="928"/>
    </row>
    <row r="79" spans="11:45">
      <c r="K79" s="957"/>
      <c r="L79" s="928"/>
      <c r="M79" s="928"/>
      <c r="N79" s="960"/>
      <c r="O79" s="960"/>
      <c r="P79" s="960"/>
      <c r="Q79" s="960"/>
      <c r="R79" s="960"/>
      <c r="S79" s="960"/>
      <c r="T79" s="960"/>
      <c r="U79" s="960"/>
      <c r="V79" s="960"/>
      <c r="W79" s="960"/>
      <c r="X79" s="960"/>
      <c r="Y79" s="960"/>
      <c r="Z79" s="960"/>
      <c r="AA79" s="960"/>
      <c r="AB79" s="928"/>
      <c r="AC79" s="928"/>
      <c r="AD79" s="928"/>
      <c r="AE79" s="928"/>
      <c r="AF79" s="928"/>
      <c r="AG79" s="928"/>
      <c r="AH79" s="928"/>
      <c r="AI79" s="928"/>
      <c r="AJ79" s="928"/>
      <c r="AK79" s="928"/>
      <c r="AL79" s="928"/>
      <c r="AM79" s="928"/>
      <c r="AN79" s="928"/>
      <c r="AO79" s="928"/>
      <c r="AP79" s="928"/>
      <c r="AQ79" s="928"/>
      <c r="AR79" s="928"/>
      <c r="AS79" s="928"/>
    </row>
    <row r="80" spans="11:45">
      <c r="K80" s="957"/>
      <c r="L80" s="928"/>
      <c r="M80" s="928"/>
      <c r="N80" s="960"/>
      <c r="O80" s="960"/>
      <c r="P80" s="960"/>
      <c r="Q80" s="960"/>
      <c r="R80" s="960"/>
      <c r="S80" s="960"/>
      <c r="T80" s="960"/>
      <c r="U80" s="960"/>
      <c r="V80" s="960"/>
      <c r="W80" s="960"/>
      <c r="X80" s="960"/>
      <c r="Y80" s="960"/>
      <c r="Z80" s="960"/>
      <c r="AA80" s="960"/>
      <c r="AB80" s="928"/>
      <c r="AC80" s="928"/>
      <c r="AD80" s="928"/>
      <c r="AE80" s="928"/>
      <c r="AF80" s="928"/>
      <c r="AG80" s="928"/>
      <c r="AH80" s="928"/>
      <c r="AI80" s="928"/>
      <c r="AJ80" s="928"/>
      <c r="AK80" s="928"/>
      <c r="AL80" s="928"/>
      <c r="AM80" s="928"/>
      <c r="AN80" s="928"/>
      <c r="AO80" s="928"/>
      <c r="AP80" s="928"/>
      <c r="AQ80" s="928"/>
      <c r="AR80" s="928"/>
      <c r="AS80" s="928"/>
    </row>
    <row r="81" spans="11:45">
      <c r="K81" s="957"/>
      <c r="L81" s="928"/>
      <c r="M81" s="928"/>
      <c r="N81" s="960"/>
      <c r="O81" s="960"/>
      <c r="P81" s="960"/>
      <c r="Q81" s="960"/>
      <c r="R81" s="960"/>
      <c r="S81" s="960"/>
      <c r="T81" s="960"/>
      <c r="U81" s="960"/>
      <c r="V81" s="960"/>
      <c r="W81" s="960"/>
      <c r="X81" s="960"/>
      <c r="Y81" s="960"/>
      <c r="Z81" s="960"/>
      <c r="AA81" s="960"/>
      <c r="AB81" s="928"/>
      <c r="AC81" s="928"/>
      <c r="AD81" s="928"/>
      <c r="AE81" s="928"/>
      <c r="AF81" s="928"/>
      <c r="AG81" s="928"/>
      <c r="AH81" s="928"/>
      <c r="AI81" s="928"/>
      <c r="AJ81" s="928"/>
      <c r="AK81" s="928"/>
      <c r="AL81" s="928"/>
      <c r="AM81" s="928"/>
      <c r="AN81" s="928"/>
      <c r="AO81" s="928"/>
      <c r="AP81" s="928"/>
      <c r="AQ81" s="928"/>
      <c r="AR81" s="928"/>
      <c r="AS81" s="928"/>
    </row>
    <row r="82" spans="11:45">
      <c r="K82" s="957"/>
      <c r="L82" s="928"/>
      <c r="M82" s="928"/>
      <c r="N82" s="960"/>
      <c r="O82" s="960"/>
      <c r="P82" s="960"/>
      <c r="Q82" s="960"/>
      <c r="R82" s="960"/>
      <c r="S82" s="960"/>
      <c r="T82" s="960"/>
      <c r="U82" s="960"/>
      <c r="V82" s="960"/>
      <c r="W82" s="960"/>
      <c r="X82" s="960"/>
      <c r="Y82" s="960"/>
      <c r="Z82" s="960"/>
      <c r="AA82" s="960"/>
      <c r="AB82" s="928"/>
      <c r="AC82" s="928"/>
      <c r="AD82" s="928"/>
      <c r="AE82" s="928"/>
      <c r="AF82" s="928"/>
      <c r="AG82" s="928"/>
      <c r="AH82" s="928"/>
      <c r="AI82" s="928"/>
      <c r="AJ82" s="928"/>
      <c r="AK82" s="928"/>
      <c r="AL82" s="928"/>
      <c r="AM82" s="928"/>
      <c r="AN82" s="928"/>
      <c r="AO82" s="928"/>
      <c r="AP82" s="928"/>
      <c r="AQ82" s="928"/>
      <c r="AR82" s="928"/>
      <c r="AS82" s="928"/>
    </row>
    <row r="83" spans="11:45">
      <c r="K83" s="957"/>
      <c r="L83" s="928"/>
      <c r="M83" s="928"/>
      <c r="N83" s="960"/>
      <c r="O83" s="960"/>
      <c r="P83" s="960"/>
      <c r="Q83" s="960"/>
      <c r="R83" s="960"/>
      <c r="S83" s="960"/>
      <c r="T83" s="960"/>
      <c r="U83" s="960"/>
      <c r="V83" s="960"/>
      <c r="W83" s="960"/>
      <c r="X83" s="960"/>
      <c r="Y83" s="960"/>
      <c r="Z83" s="960"/>
      <c r="AA83" s="960"/>
      <c r="AB83" s="928"/>
      <c r="AC83" s="928"/>
      <c r="AD83" s="928"/>
      <c r="AE83" s="928"/>
      <c r="AF83" s="928"/>
      <c r="AG83" s="928"/>
      <c r="AH83" s="928"/>
      <c r="AI83" s="928"/>
      <c r="AJ83" s="928"/>
      <c r="AK83" s="928"/>
      <c r="AL83" s="928"/>
      <c r="AM83" s="928"/>
      <c r="AN83" s="928"/>
      <c r="AO83" s="928"/>
      <c r="AP83" s="928"/>
      <c r="AQ83" s="928"/>
      <c r="AR83" s="928"/>
      <c r="AS83" s="928"/>
    </row>
    <row r="84" spans="11:45">
      <c r="K84" s="957"/>
      <c r="L84" s="928"/>
      <c r="M84" s="928"/>
      <c r="N84" s="960"/>
      <c r="O84" s="960"/>
      <c r="P84" s="960"/>
      <c r="Q84" s="960"/>
      <c r="R84" s="960"/>
      <c r="S84" s="960"/>
      <c r="T84" s="960"/>
      <c r="U84" s="960"/>
      <c r="V84" s="960"/>
      <c r="W84" s="960"/>
      <c r="X84" s="960"/>
      <c r="Y84" s="960"/>
      <c r="Z84" s="960"/>
      <c r="AA84" s="960"/>
      <c r="AB84" s="928"/>
      <c r="AC84" s="928"/>
      <c r="AD84" s="928"/>
      <c r="AE84" s="928"/>
      <c r="AF84" s="928"/>
      <c r="AG84" s="928"/>
      <c r="AH84" s="928"/>
      <c r="AI84" s="928"/>
      <c r="AJ84" s="928"/>
      <c r="AK84" s="928"/>
      <c r="AL84" s="928"/>
      <c r="AM84" s="928"/>
      <c r="AN84" s="928"/>
      <c r="AO84" s="928"/>
      <c r="AP84" s="928"/>
      <c r="AQ84" s="928"/>
      <c r="AR84" s="928"/>
      <c r="AS84" s="928"/>
    </row>
    <row r="85" spans="11:45">
      <c r="K85" s="957"/>
      <c r="L85" s="928"/>
      <c r="M85" s="928"/>
      <c r="N85" s="960"/>
      <c r="O85" s="960"/>
      <c r="P85" s="960"/>
      <c r="Q85" s="960"/>
      <c r="R85" s="960"/>
      <c r="S85" s="960"/>
      <c r="T85" s="960"/>
      <c r="U85" s="960"/>
      <c r="V85" s="960"/>
      <c r="W85" s="960"/>
      <c r="X85" s="960"/>
      <c r="Y85" s="960"/>
      <c r="Z85" s="960"/>
      <c r="AA85" s="960"/>
      <c r="AB85" s="928"/>
      <c r="AC85" s="928"/>
      <c r="AD85" s="928"/>
      <c r="AE85" s="928"/>
      <c r="AF85" s="928"/>
      <c r="AG85" s="928"/>
      <c r="AH85" s="928"/>
      <c r="AI85" s="928"/>
      <c r="AJ85" s="928"/>
      <c r="AK85" s="928"/>
      <c r="AL85" s="928"/>
      <c r="AM85" s="928"/>
      <c r="AN85" s="928"/>
      <c r="AO85" s="928"/>
      <c r="AP85" s="928"/>
      <c r="AQ85" s="928"/>
      <c r="AR85" s="928"/>
      <c r="AS85" s="928"/>
    </row>
    <row r="86" spans="11:45">
      <c r="K86" s="957"/>
      <c r="L86" s="928"/>
      <c r="M86" s="928"/>
      <c r="N86" s="960"/>
      <c r="O86" s="960"/>
      <c r="P86" s="960"/>
      <c r="Q86" s="960"/>
      <c r="R86" s="960"/>
      <c r="S86" s="960"/>
      <c r="T86" s="960"/>
      <c r="U86" s="960"/>
      <c r="V86" s="960"/>
      <c r="W86" s="960"/>
      <c r="X86" s="960"/>
      <c r="Y86" s="960"/>
      <c r="Z86" s="960"/>
      <c r="AA86" s="960"/>
      <c r="AB86" s="928"/>
      <c r="AC86" s="928"/>
      <c r="AD86" s="928"/>
      <c r="AE86" s="928"/>
      <c r="AF86" s="928"/>
      <c r="AG86" s="928"/>
      <c r="AH86" s="928"/>
      <c r="AI86" s="928"/>
      <c r="AJ86" s="928"/>
      <c r="AK86" s="928"/>
      <c r="AL86" s="928"/>
      <c r="AM86" s="928"/>
      <c r="AN86" s="928"/>
      <c r="AO86" s="928"/>
      <c r="AP86" s="928"/>
      <c r="AQ86" s="928"/>
      <c r="AR86" s="928"/>
      <c r="AS86" s="928"/>
    </row>
    <row r="87" spans="11:45">
      <c r="K87" s="957"/>
      <c r="L87" s="928"/>
      <c r="M87" s="928"/>
      <c r="N87" s="960"/>
      <c r="O87" s="960"/>
      <c r="P87" s="960"/>
      <c r="Q87" s="960"/>
      <c r="R87" s="960"/>
      <c r="S87" s="960"/>
      <c r="T87" s="960"/>
      <c r="U87" s="960"/>
      <c r="V87" s="960"/>
      <c r="W87" s="960"/>
      <c r="X87" s="960"/>
      <c r="Y87" s="960"/>
      <c r="Z87" s="960"/>
      <c r="AA87" s="960"/>
      <c r="AB87" s="928"/>
      <c r="AC87" s="928"/>
      <c r="AD87" s="928"/>
      <c r="AE87" s="928"/>
      <c r="AF87" s="928"/>
      <c r="AG87" s="928"/>
      <c r="AH87" s="928"/>
      <c r="AI87" s="928"/>
      <c r="AJ87" s="928"/>
      <c r="AK87" s="928"/>
      <c r="AL87" s="928"/>
      <c r="AM87" s="928"/>
      <c r="AN87" s="928"/>
      <c r="AO87" s="928"/>
      <c r="AP87" s="928"/>
      <c r="AQ87" s="928"/>
      <c r="AR87" s="928"/>
      <c r="AS87" s="928"/>
    </row>
    <row r="88" spans="11:45">
      <c r="K88" s="957"/>
      <c r="L88" s="928"/>
      <c r="M88" s="928"/>
      <c r="N88" s="960"/>
      <c r="O88" s="960"/>
      <c r="P88" s="960"/>
      <c r="Q88" s="960"/>
      <c r="R88" s="960"/>
      <c r="S88" s="960"/>
      <c r="T88" s="960"/>
      <c r="U88" s="960"/>
      <c r="V88" s="960"/>
      <c r="W88" s="960"/>
      <c r="X88" s="960"/>
      <c r="Y88" s="960"/>
      <c r="Z88" s="960"/>
      <c r="AA88" s="960"/>
      <c r="AB88" s="928"/>
      <c r="AC88" s="928"/>
      <c r="AD88" s="928"/>
      <c r="AE88" s="928"/>
      <c r="AF88" s="928"/>
      <c r="AG88" s="928"/>
      <c r="AH88" s="928"/>
      <c r="AI88" s="928"/>
      <c r="AJ88" s="928"/>
      <c r="AK88" s="928"/>
      <c r="AL88" s="928"/>
      <c r="AM88" s="928"/>
      <c r="AN88" s="928"/>
      <c r="AO88" s="928"/>
      <c r="AP88" s="928"/>
      <c r="AQ88" s="928"/>
      <c r="AR88" s="928"/>
      <c r="AS88" s="928"/>
    </row>
    <row r="89" spans="11:45">
      <c r="K89" s="957"/>
      <c r="L89" s="928"/>
      <c r="M89" s="928"/>
      <c r="N89" s="960"/>
      <c r="O89" s="960"/>
      <c r="P89" s="960"/>
      <c r="Q89" s="960"/>
      <c r="R89" s="960"/>
      <c r="S89" s="960"/>
      <c r="T89" s="960"/>
      <c r="U89" s="960"/>
      <c r="V89" s="960"/>
      <c r="W89" s="960"/>
      <c r="X89" s="960"/>
      <c r="Y89" s="960"/>
      <c r="Z89" s="960"/>
      <c r="AA89" s="960"/>
      <c r="AB89" s="928"/>
      <c r="AC89" s="928"/>
      <c r="AD89" s="928"/>
      <c r="AE89" s="928"/>
      <c r="AF89" s="928"/>
      <c r="AG89" s="928"/>
      <c r="AH89" s="928"/>
      <c r="AI89" s="928"/>
      <c r="AJ89" s="928"/>
      <c r="AK89" s="928"/>
      <c r="AL89" s="928"/>
      <c r="AM89" s="928"/>
      <c r="AN89" s="928"/>
      <c r="AO89" s="928"/>
      <c r="AP89" s="928"/>
      <c r="AQ89" s="928"/>
      <c r="AR89" s="928"/>
      <c r="AS89" s="928"/>
    </row>
    <row r="90" spans="11:45">
      <c r="K90" s="957"/>
      <c r="L90" s="928"/>
      <c r="M90" s="928"/>
      <c r="N90" s="960"/>
      <c r="O90" s="960"/>
      <c r="P90" s="960"/>
      <c r="Q90" s="960"/>
      <c r="R90" s="960"/>
      <c r="S90" s="960"/>
      <c r="T90" s="960"/>
      <c r="U90" s="960"/>
      <c r="V90" s="960"/>
      <c r="W90" s="960"/>
      <c r="X90" s="960"/>
      <c r="Y90" s="960"/>
      <c r="Z90" s="960"/>
      <c r="AA90" s="960"/>
      <c r="AB90" s="928"/>
      <c r="AC90" s="928"/>
      <c r="AD90" s="928"/>
      <c r="AE90" s="928"/>
      <c r="AF90" s="928"/>
      <c r="AG90" s="928"/>
      <c r="AH90" s="928"/>
      <c r="AI90" s="928"/>
      <c r="AJ90" s="928"/>
      <c r="AK90" s="928"/>
      <c r="AL90" s="928"/>
      <c r="AM90" s="928"/>
      <c r="AN90" s="928"/>
      <c r="AO90" s="928"/>
      <c r="AP90" s="928"/>
      <c r="AQ90" s="928"/>
      <c r="AR90" s="928"/>
      <c r="AS90" s="928"/>
    </row>
    <row r="91" spans="11:45">
      <c r="K91" s="957"/>
      <c r="L91" s="928"/>
      <c r="M91" s="928"/>
      <c r="N91" s="960"/>
      <c r="O91" s="960"/>
      <c r="P91" s="960"/>
      <c r="Q91" s="960"/>
      <c r="R91" s="960"/>
      <c r="S91" s="960"/>
      <c r="T91" s="960"/>
      <c r="U91" s="960"/>
      <c r="V91" s="960"/>
      <c r="W91" s="960"/>
      <c r="X91" s="960"/>
      <c r="Y91" s="960"/>
      <c r="Z91" s="960"/>
      <c r="AA91" s="960"/>
      <c r="AB91" s="928"/>
      <c r="AC91" s="928"/>
      <c r="AD91" s="928"/>
      <c r="AE91" s="928"/>
      <c r="AF91" s="928"/>
      <c r="AG91" s="928"/>
      <c r="AH91" s="928"/>
      <c r="AI91" s="928"/>
      <c r="AJ91" s="928"/>
      <c r="AK91" s="928"/>
      <c r="AL91" s="928"/>
      <c r="AM91" s="928"/>
      <c r="AN91" s="928"/>
      <c r="AO91" s="928"/>
      <c r="AP91" s="928"/>
      <c r="AQ91" s="928"/>
      <c r="AR91" s="928"/>
      <c r="AS91" s="928"/>
    </row>
    <row r="92" spans="11:45">
      <c r="K92" s="957"/>
      <c r="L92" s="928"/>
      <c r="M92" s="928"/>
      <c r="N92" s="960"/>
      <c r="O92" s="960"/>
      <c r="P92" s="960"/>
      <c r="Q92" s="960"/>
      <c r="R92" s="960"/>
      <c r="S92" s="960"/>
      <c r="T92" s="960"/>
      <c r="U92" s="960"/>
      <c r="V92" s="960"/>
      <c r="W92" s="960"/>
      <c r="X92" s="960"/>
      <c r="Y92" s="960"/>
      <c r="Z92" s="960"/>
      <c r="AA92" s="960"/>
      <c r="AB92" s="928"/>
      <c r="AC92" s="928"/>
      <c r="AD92" s="928"/>
      <c r="AE92" s="928"/>
      <c r="AF92" s="928"/>
      <c r="AG92" s="928"/>
      <c r="AH92" s="928"/>
      <c r="AI92" s="928"/>
      <c r="AJ92" s="928"/>
      <c r="AK92" s="928"/>
      <c r="AL92" s="928"/>
      <c r="AM92" s="928"/>
      <c r="AN92" s="928"/>
      <c r="AO92" s="928"/>
      <c r="AP92" s="928"/>
      <c r="AQ92" s="928"/>
      <c r="AR92" s="928"/>
      <c r="AS92" s="928"/>
    </row>
    <row r="93" spans="11:45">
      <c r="K93" s="957"/>
      <c r="L93" s="928"/>
      <c r="M93" s="928"/>
      <c r="N93" s="960"/>
      <c r="O93" s="960"/>
      <c r="P93" s="960"/>
      <c r="Q93" s="960"/>
      <c r="R93" s="960"/>
      <c r="S93" s="960"/>
      <c r="T93" s="960"/>
      <c r="U93" s="960"/>
      <c r="V93" s="960"/>
      <c r="W93" s="960"/>
      <c r="X93" s="960"/>
      <c r="Y93" s="960"/>
      <c r="Z93" s="960"/>
      <c r="AA93" s="960"/>
      <c r="AB93" s="928"/>
      <c r="AC93" s="928"/>
      <c r="AD93" s="928"/>
      <c r="AE93" s="928"/>
      <c r="AF93" s="928"/>
      <c r="AG93" s="928"/>
      <c r="AH93" s="928"/>
      <c r="AI93" s="928"/>
      <c r="AJ93" s="928"/>
      <c r="AK93" s="928"/>
      <c r="AL93" s="928"/>
      <c r="AM93" s="928"/>
      <c r="AN93" s="928"/>
      <c r="AO93" s="928"/>
      <c r="AP93" s="928"/>
      <c r="AQ93" s="928"/>
      <c r="AR93" s="928"/>
      <c r="AS93" s="928"/>
    </row>
    <row r="94" spans="11:45">
      <c r="K94" s="957"/>
      <c r="L94" s="928"/>
      <c r="M94" s="928"/>
      <c r="N94" s="960"/>
      <c r="O94" s="960"/>
      <c r="P94" s="960"/>
      <c r="Q94" s="960"/>
      <c r="R94" s="960"/>
      <c r="S94" s="960"/>
      <c r="T94" s="960"/>
      <c r="U94" s="960"/>
      <c r="V94" s="960"/>
      <c r="W94" s="960"/>
      <c r="X94" s="960"/>
      <c r="Y94" s="960"/>
      <c r="Z94" s="960"/>
      <c r="AA94" s="960"/>
      <c r="AB94" s="928"/>
      <c r="AC94" s="928"/>
      <c r="AD94" s="928"/>
      <c r="AE94" s="928"/>
      <c r="AF94" s="928"/>
      <c r="AG94" s="928"/>
      <c r="AH94" s="928"/>
      <c r="AI94" s="928"/>
      <c r="AJ94" s="928"/>
      <c r="AK94" s="928"/>
      <c r="AL94" s="928"/>
      <c r="AM94" s="928"/>
      <c r="AN94" s="928"/>
      <c r="AO94" s="928"/>
      <c r="AP94" s="928"/>
      <c r="AQ94" s="928"/>
      <c r="AR94" s="928"/>
      <c r="AS94" s="928"/>
    </row>
    <row r="95" spans="11:45">
      <c r="K95" s="957"/>
      <c r="L95" s="928"/>
      <c r="M95" s="928"/>
      <c r="N95" s="960"/>
      <c r="O95" s="960"/>
      <c r="P95" s="960"/>
      <c r="Q95" s="960"/>
      <c r="R95" s="960"/>
      <c r="S95" s="960"/>
      <c r="T95" s="960"/>
      <c r="U95" s="960"/>
      <c r="V95" s="960"/>
      <c r="W95" s="960"/>
      <c r="X95" s="960"/>
      <c r="Y95" s="960"/>
      <c r="Z95" s="960"/>
      <c r="AA95" s="960"/>
      <c r="AB95" s="928"/>
      <c r="AC95" s="928"/>
      <c r="AD95" s="928"/>
      <c r="AE95" s="928"/>
      <c r="AF95" s="928"/>
      <c r="AG95" s="928"/>
      <c r="AH95" s="928"/>
      <c r="AI95" s="928"/>
      <c r="AJ95" s="928"/>
      <c r="AK95" s="928"/>
      <c r="AL95" s="928"/>
      <c r="AM95" s="928"/>
      <c r="AN95" s="928"/>
      <c r="AO95" s="928"/>
      <c r="AP95" s="928"/>
      <c r="AQ95" s="928"/>
      <c r="AR95" s="928"/>
      <c r="AS95" s="928"/>
    </row>
    <row r="96" spans="11:45">
      <c r="K96" s="957"/>
      <c r="L96" s="928"/>
      <c r="M96" s="928"/>
      <c r="N96" s="960"/>
      <c r="O96" s="960"/>
      <c r="P96" s="960"/>
      <c r="Q96" s="960"/>
      <c r="R96" s="960"/>
      <c r="S96" s="960"/>
      <c r="T96" s="960"/>
      <c r="U96" s="960"/>
      <c r="V96" s="960"/>
      <c r="W96" s="960"/>
      <c r="X96" s="960"/>
      <c r="Y96" s="960"/>
      <c r="Z96" s="960"/>
      <c r="AA96" s="960"/>
      <c r="AB96" s="928"/>
      <c r="AC96" s="928"/>
      <c r="AD96" s="928"/>
      <c r="AE96" s="928"/>
      <c r="AF96" s="928"/>
      <c r="AG96" s="928"/>
      <c r="AH96" s="928"/>
      <c r="AI96" s="928"/>
      <c r="AJ96" s="928"/>
      <c r="AK96" s="928"/>
      <c r="AL96" s="928"/>
      <c r="AM96" s="928"/>
      <c r="AN96" s="928"/>
      <c r="AO96" s="928"/>
      <c r="AP96" s="928"/>
      <c r="AQ96" s="928"/>
      <c r="AR96" s="928"/>
      <c r="AS96" s="928"/>
    </row>
    <row r="97" spans="11:45">
      <c r="K97" s="957"/>
      <c r="L97" s="928"/>
      <c r="M97" s="928"/>
      <c r="N97" s="960"/>
      <c r="O97" s="960"/>
      <c r="P97" s="960"/>
      <c r="Q97" s="960"/>
      <c r="R97" s="960"/>
      <c r="S97" s="960"/>
      <c r="T97" s="960"/>
      <c r="U97" s="960"/>
      <c r="V97" s="960"/>
      <c r="W97" s="960"/>
      <c r="X97" s="960"/>
      <c r="Y97" s="960"/>
      <c r="Z97" s="960"/>
      <c r="AA97" s="960"/>
      <c r="AB97" s="928"/>
      <c r="AC97" s="928"/>
      <c r="AD97" s="928"/>
      <c r="AE97" s="928"/>
      <c r="AF97" s="928"/>
      <c r="AG97" s="928"/>
      <c r="AH97" s="928"/>
      <c r="AI97" s="928"/>
      <c r="AJ97" s="928"/>
      <c r="AK97" s="928"/>
      <c r="AL97" s="928"/>
      <c r="AM97" s="928"/>
      <c r="AN97" s="928"/>
      <c r="AO97" s="928"/>
      <c r="AP97" s="928"/>
      <c r="AQ97" s="928"/>
      <c r="AR97" s="928"/>
      <c r="AS97" s="928"/>
    </row>
    <row r="98" spans="11:45">
      <c r="K98" s="957"/>
      <c r="L98" s="928"/>
      <c r="M98" s="928"/>
      <c r="N98" s="960"/>
      <c r="O98" s="960"/>
      <c r="P98" s="960"/>
      <c r="Q98" s="960"/>
      <c r="R98" s="960"/>
      <c r="S98" s="960"/>
      <c r="T98" s="960"/>
      <c r="U98" s="960"/>
      <c r="V98" s="960"/>
      <c r="W98" s="960"/>
      <c r="X98" s="960"/>
      <c r="Y98" s="960"/>
      <c r="Z98" s="960"/>
      <c r="AA98" s="960"/>
      <c r="AB98" s="928"/>
      <c r="AC98" s="928"/>
      <c r="AD98" s="928"/>
      <c r="AE98" s="928"/>
      <c r="AF98" s="928"/>
      <c r="AG98" s="928"/>
      <c r="AH98" s="928"/>
      <c r="AI98" s="928"/>
      <c r="AJ98" s="928"/>
      <c r="AK98" s="928"/>
      <c r="AL98" s="928"/>
      <c r="AM98" s="928"/>
      <c r="AN98" s="928"/>
      <c r="AO98" s="928"/>
      <c r="AP98" s="928"/>
      <c r="AQ98" s="928"/>
      <c r="AR98" s="928"/>
      <c r="AS98" s="928"/>
    </row>
    <row r="99" spans="11:45">
      <c r="K99" s="957"/>
      <c r="L99" s="928"/>
      <c r="M99" s="928"/>
      <c r="N99" s="960"/>
      <c r="O99" s="960"/>
      <c r="P99" s="960"/>
      <c r="Q99" s="960"/>
      <c r="R99" s="960"/>
      <c r="S99" s="960"/>
      <c r="T99" s="960"/>
      <c r="U99" s="960"/>
      <c r="V99" s="960"/>
      <c r="W99" s="960"/>
      <c r="X99" s="960"/>
      <c r="Y99" s="960"/>
      <c r="Z99" s="960"/>
      <c r="AA99" s="960"/>
      <c r="AB99" s="928"/>
      <c r="AC99" s="928"/>
      <c r="AD99" s="928"/>
      <c r="AE99" s="928"/>
      <c r="AF99" s="928"/>
      <c r="AG99" s="928"/>
      <c r="AH99" s="928"/>
      <c r="AI99" s="928"/>
      <c r="AJ99" s="928"/>
      <c r="AK99" s="928"/>
      <c r="AL99" s="928"/>
      <c r="AM99" s="928"/>
      <c r="AN99" s="928"/>
      <c r="AO99" s="928"/>
      <c r="AP99" s="928"/>
      <c r="AQ99" s="928"/>
      <c r="AR99" s="928"/>
      <c r="AS99" s="928"/>
    </row>
    <row r="100" spans="11:45">
      <c r="K100" s="957"/>
      <c r="L100" s="928"/>
      <c r="M100" s="928"/>
      <c r="N100" s="960"/>
      <c r="O100" s="960"/>
      <c r="P100" s="960"/>
      <c r="Q100" s="960"/>
      <c r="R100" s="960"/>
      <c r="S100" s="960"/>
      <c r="T100" s="960"/>
      <c r="U100" s="960"/>
      <c r="V100" s="960"/>
      <c r="W100" s="960"/>
      <c r="X100" s="960"/>
      <c r="Y100" s="960"/>
      <c r="Z100" s="960"/>
      <c r="AA100" s="960"/>
      <c r="AB100" s="928"/>
      <c r="AC100" s="928"/>
      <c r="AD100" s="928"/>
      <c r="AE100" s="928"/>
      <c r="AF100" s="928"/>
      <c r="AG100" s="928"/>
      <c r="AH100" s="928"/>
      <c r="AI100" s="928"/>
      <c r="AJ100" s="928"/>
      <c r="AK100" s="928"/>
      <c r="AL100" s="928"/>
      <c r="AM100" s="928"/>
      <c r="AN100" s="928"/>
      <c r="AO100" s="928"/>
      <c r="AP100" s="928"/>
      <c r="AQ100" s="928"/>
      <c r="AR100" s="928"/>
      <c r="AS100" s="928"/>
    </row>
    <row r="101" spans="11:45">
      <c r="K101" s="957"/>
      <c r="L101" s="928"/>
      <c r="M101" s="928"/>
      <c r="N101" s="960"/>
      <c r="O101" s="960"/>
      <c r="P101" s="960"/>
      <c r="Q101" s="960"/>
      <c r="R101" s="960"/>
      <c r="S101" s="960"/>
      <c r="T101" s="960"/>
      <c r="U101" s="960"/>
      <c r="V101" s="960"/>
      <c r="W101" s="960"/>
      <c r="X101" s="960"/>
      <c r="Y101" s="960"/>
      <c r="Z101" s="960"/>
      <c r="AA101" s="960"/>
      <c r="AB101" s="928"/>
      <c r="AC101" s="928"/>
      <c r="AD101" s="928"/>
      <c r="AE101" s="928"/>
      <c r="AF101" s="928"/>
      <c r="AG101" s="928"/>
      <c r="AH101" s="928"/>
      <c r="AI101" s="928"/>
      <c r="AJ101" s="928"/>
      <c r="AK101" s="928"/>
      <c r="AL101" s="928"/>
      <c r="AM101" s="928"/>
      <c r="AN101" s="928"/>
      <c r="AO101" s="928"/>
      <c r="AP101" s="928"/>
      <c r="AQ101" s="928"/>
      <c r="AR101" s="928"/>
      <c r="AS101" s="928"/>
    </row>
    <row r="102" spans="11:45">
      <c r="K102" s="957"/>
      <c r="L102" s="928"/>
      <c r="M102" s="928"/>
      <c r="N102" s="960"/>
      <c r="O102" s="960"/>
      <c r="P102" s="960"/>
      <c r="Q102" s="960"/>
      <c r="R102" s="960"/>
      <c r="S102" s="960"/>
      <c r="T102" s="960"/>
      <c r="U102" s="960"/>
      <c r="V102" s="960"/>
      <c r="W102" s="960"/>
      <c r="X102" s="960"/>
      <c r="Y102" s="960"/>
      <c r="Z102" s="960"/>
      <c r="AA102" s="960"/>
      <c r="AB102" s="928"/>
      <c r="AC102" s="928"/>
      <c r="AD102" s="928"/>
      <c r="AE102" s="928"/>
      <c r="AF102" s="928"/>
      <c r="AG102" s="928"/>
      <c r="AH102" s="928"/>
      <c r="AI102" s="928"/>
      <c r="AJ102" s="928"/>
      <c r="AK102" s="928"/>
      <c r="AL102" s="928"/>
      <c r="AM102" s="928"/>
      <c r="AN102" s="928"/>
      <c r="AO102" s="928"/>
      <c r="AP102" s="928"/>
      <c r="AQ102" s="928"/>
      <c r="AR102" s="928"/>
      <c r="AS102" s="928"/>
    </row>
    <row r="103" spans="11:45">
      <c r="K103" s="957"/>
      <c r="L103" s="928"/>
      <c r="M103" s="928"/>
      <c r="N103" s="960"/>
      <c r="O103" s="960"/>
      <c r="P103" s="960"/>
      <c r="Q103" s="960"/>
      <c r="R103" s="960"/>
      <c r="S103" s="960"/>
      <c r="T103" s="960"/>
      <c r="U103" s="960"/>
      <c r="V103" s="960"/>
      <c r="W103" s="960"/>
      <c r="X103" s="960"/>
      <c r="Y103" s="960"/>
      <c r="Z103" s="960"/>
      <c r="AA103" s="960"/>
      <c r="AB103" s="928"/>
      <c r="AC103" s="928"/>
      <c r="AD103" s="928"/>
      <c r="AE103" s="928"/>
      <c r="AF103" s="928"/>
      <c r="AG103" s="928"/>
      <c r="AH103" s="928"/>
      <c r="AI103" s="928"/>
      <c r="AJ103" s="928"/>
      <c r="AK103" s="928"/>
      <c r="AL103" s="928"/>
      <c r="AM103" s="928"/>
      <c r="AN103" s="928"/>
      <c r="AO103" s="928"/>
      <c r="AP103" s="928"/>
      <c r="AQ103" s="928"/>
      <c r="AR103" s="928"/>
      <c r="AS103" s="928"/>
    </row>
    <row r="104" spans="11:45">
      <c r="K104" s="957"/>
      <c r="L104" s="928"/>
      <c r="M104" s="928"/>
      <c r="N104" s="960"/>
      <c r="O104" s="960"/>
      <c r="P104" s="960"/>
      <c r="Q104" s="960"/>
      <c r="R104" s="960"/>
      <c r="S104" s="960"/>
      <c r="T104" s="960"/>
      <c r="U104" s="960"/>
      <c r="V104" s="960"/>
      <c r="W104" s="960"/>
      <c r="X104" s="960"/>
      <c r="Y104" s="960"/>
      <c r="Z104" s="960"/>
      <c r="AA104" s="960"/>
      <c r="AB104" s="928"/>
      <c r="AC104" s="928"/>
      <c r="AD104" s="928"/>
      <c r="AE104" s="928"/>
      <c r="AF104" s="928"/>
      <c r="AG104" s="928"/>
      <c r="AH104" s="928"/>
      <c r="AI104" s="928"/>
      <c r="AJ104" s="928"/>
      <c r="AK104" s="928"/>
      <c r="AL104" s="928"/>
      <c r="AM104" s="928"/>
      <c r="AN104" s="928"/>
      <c r="AO104" s="928"/>
      <c r="AP104" s="928"/>
      <c r="AQ104" s="928"/>
      <c r="AR104" s="928"/>
      <c r="AS104" s="928"/>
    </row>
    <row r="105" spans="11:45">
      <c r="K105" s="957"/>
      <c r="L105" s="928"/>
      <c r="M105" s="928"/>
      <c r="N105" s="960"/>
      <c r="O105" s="960"/>
      <c r="P105" s="960"/>
      <c r="Q105" s="960"/>
      <c r="R105" s="960"/>
      <c r="S105" s="960"/>
      <c r="T105" s="960"/>
      <c r="U105" s="960"/>
      <c r="V105" s="960"/>
      <c r="W105" s="960"/>
      <c r="X105" s="960"/>
      <c r="Y105" s="960"/>
      <c r="Z105" s="960"/>
      <c r="AA105" s="960"/>
      <c r="AB105" s="928"/>
      <c r="AC105" s="928"/>
      <c r="AD105" s="928"/>
      <c r="AE105" s="928"/>
      <c r="AF105" s="928"/>
      <c r="AG105" s="928"/>
      <c r="AH105" s="928"/>
      <c r="AI105" s="928"/>
      <c r="AJ105" s="928"/>
      <c r="AK105" s="928"/>
      <c r="AL105" s="928"/>
      <c r="AM105" s="928"/>
      <c r="AN105" s="928"/>
      <c r="AO105" s="928"/>
      <c r="AP105" s="928"/>
      <c r="AQ105" s="928"/>
      <c r="AR105" s="928"/>
      <c r="AS105" s="928"/>
    </row>
    <row r="106" spans="11:45">
      <c r="K106" s="957"/>
      <c r="L106" s="928"/>
      <c r="M106" s="928"/>
      <c r="N106" s="960"/>
      <c r="O106" s="960"/>
      <c r="P106" s="960"/>
      <c r="Q106" s="960"/>
      <c r="R106" s="960"/>
      <c r="S106" s="960"/>
      <c r="T106" s="960"/>
      <c r="U106" s="960"/>
      <c r="V106" s="960"/>
      <c r="W106" s="960"/>
      <c r="X106" s="960"/>
      <c r="Y106" s="960"/>
      <c r="Z106" s="960"/>
      <c r="AA106" s="960"/>
      <c r="AB106" s="928"/>
      <c r="AC106" s="928"/>
      <c r="AD106" s="928"/>
      <c r="AE106" s="928"/>
      <c r="AF106" s="928"/>
      <c r="AG106" s="928"/>
      <c r="AH106" s="928"/>
      <c r="AI106" s="928"/>
      <c r="AJ106" s="928"/>
      <c r="AK106" s="928"/>
      <c r="AL106" s="928"/>
      <c r="AM106" s="928"/>
      <c r="AN106" s="928"/>
      <c r="AO106" s="928"/>
      <c r="AP106" s="928"/>
      <c r="AQ106" s="928"/>
      <c r="AR106" s="928"/>
      <c r="AS106" s="928"/>
    </row>
    <row r="107" spans="11:45">
      <c r="K107" s="957"/>
      <c r="L107" s="928"/>
      <c r="M107" s="928"/>
      <c r="N107" s="960"/>
      <c r="O107" s="960"/>
      <c r="P107" s="960"/>
      <c r="Q107" s="960"/>
      <c r="R107" s="960"/>
      <c r="S107" s="960"/>
      <c r="T107" s="960"/>
      <c r="U107" s="960"/>
      <c r="V107" s="960"/>
      <c r="W107" s="960"/>
      <c r="X107" s="960"/>
      <c r="Y107" s="960"/>
      <c r="Z107" s="960"/>
      <c r="AA107" s="960"/>
      <c r="AB107" s="928"/>
      <c r="AC107" s="928"/>
      <c r="AD107" s="928"/>
      <c r="AE107" s="928"/>
      <c r="AF107" s="928"/>
      <c r="AG107" s="928"/>
      <c r="AH107" s="928"/>
      <c r="AI107" s="928"/>
      <c r="AJ107" s="928"/>
      <c r="AK107" s="928"/>
      <c r="AL107" s="928"/>
      <c r="AM107" s="928"/>
      <c r="AN107" s="928"/>
      <c r="AO107" s="928"/>
      <c r="AP107" s="928"/>
      <c r="AQ107" s="928"/>
      <c r="AR107" s="928"/>
      <c r="AS107" s="928"/>
    </row>
    <row r="108" spans="11:45">
      <c r="K108" s="957"/>
      <c r="L108" s="928"/>
      <c r="M108" s="928"/>
      <c r="N108" s="960"/>
      <c r="O108" s="960"/>
      <c r="P108" s="960"/>
      <c r="Q108" s="960"/>
      <c r="R108" s="960"/>
      <c r="S108" s="960"/>
      <c r="T108" s="960"/>
      <c r="U108" s="960"/>
      <c r="V108" s="960"/>
      <c r="W108" s="960"/>
      <c r="X108" s="960"/>
      <c r="Y108" s="960"/>
      <c r="Z108" s="960"/>
      <c r="AA108" s="960"/>
      <c r="AB108" s="928"/>
      <c r="AC108" s="928"/>
      <c r="AD108" s="928"/>
      <c r="AE108" s="928"/>
      <c r="AF108" s="928"/>
      <c r="AG108" s="928"/>
      <c r="AH108" s="928"/>
      <c r="AI108" s="928"/>
      <c r="AJ108" s="928"/>
      <c r="AK108" s="928"/>
      <c r="AL108" s="928"/>
      <c r="AM108" s="928"/>
      <c r="AN108" s="928"/>
      <c r="AO108" s="928"/>
      <c r="AP108" s="928"/>
      <c r="AQ108" s="928"/>
      <c r="AR108" s="928"/>
      <c r="AS108" s="928"/>
    </row>
    <row r="109" spans="11:45">
      <c r="K109" s="957"/>
      <c r="L109" s="928"/>
      <c r="M109" s="928"/>
      <c r="N109" s="960"/>
      <c r="O109" s="960"/>
      <c r="P109" s="960"/>
      <c r="Q109" s="960"/>
      <c r="R109" s="960"/>
      <c r="S109" s="960"/>
      <c r="T109" s="960"/>
      <c r="U109" s="960"/>
      <c r="V109" s="960"/>
      <c r="W109" s="960"/>
      <c r="X109" s="960"/>
      <c r="Y109" s="960"/>
      <c r="Z109" s="960"/>
      <c r="AA109" s="960"/>
      <c r="AB109" s="928"/>
      <c r="AC109" s="928"/>
      <c r="AD109" s="928"/>
      <c r="AE109" s="928"/>
      <c r="AF109" s="928"/>
      <c r="AG109" s="928"/>
      <c r="AH109" s="928"/>
      <c r="AI109" s="928"/>
      <c r="AJ109" s="928"/>
      <c r="AK109" s="928"/>
      <c r="AL109" s="928"/>
      <c r="AM109" s="928"/>
      <c r="AN109" s="928"/>
      <c r="AO109" s="928"/>
      <c r="AP109" s="928"/>
      <c r="AQ109" s="928"/>
      <c r="AR109" s="928"/>
      <c r="AS109" s="928"/>
    </row>
    <row r="110" spans="11:45">
      <c r="K110" s="957"/>
      <c r="L110" s="928"/>
      <c r="M110" s="928"/>
      <c r="N110" s="960"/>
      <c r="O110" s="960"/>
      <c r="P110" s="960"/>
      <c r="Q110" s="960"/>
      <c r="R110" s="960"/>
      <c r="S110" s="960"/>
      <c r="T110" s="960"/>
      <c r="U110" s="960"/>
      <c r="V110" s="960"/>
      <c r="W110" s="960"/>
      <c r="X110" s="960"/>
      <c r="Y110" s="960"/>
      <c r="Z110" s="960"/>
      <c r="AA110" s="960"/>
      <c r="AB110" s="928"/>
      <c r="AC110" s="928"/>
      <c r="AD110" s="928"/>
      <c r="AE110" s="928"/>
      <c r="AF110" s="928"/>
      <c r="AG110" s="928"/>
      <c r="AH110" s="928"/>
      <c r="AI110" s="928"/>
      <c r="AJ110" s="928"/>
      <c r="AK110" s="928"/>
      <c r="AL110" s="928"/>
      <c r="AM110" s="928"/>
      <c r="AN110" s="928"/>
      <c r="AO110" s="928"/>
      <c r="AP110" s="928"/>
      <c r="AQ110" s="928"/>
      <c r="AR110" s="928"/>
      <c r="AS110" s="928"/>
    </row>
    <row r="111" spans="11:45">
      <c r="K111" s="957"/>
      <c r="L111" s="928"/>
      <c r="M111" s="928"/>
      <c r="N111" s="960"/>
      <c r="O111" s="960"/>
      <c r="P111" s="960"/>
      <c r="Q111" s="960"/>
      <c r="R111" s="960"/>
      <c r="S111" s="960"/>
      <c r="T111" s="960"/>
      <c r="U111" s="960"/>
      <c r="V111" s="960"/>
      <c r="W111" s="960"/>
      <c r="X111" s="960"/>
      <c r="Y111" s="960"/>
      <c r="Z111" s="960"/>
      <c r="AA111" s="960"/>
      <c r="AB111" s="928"/>
      <c r="AC111" s="928"/>
      <c r="AD111" s="928"/>
      <c r="AE111" s="928"/>
      <c r="AF111" s="928"/>
      <c r="AG111" s="928"/>
      <c r="AH111" s="928"/>
      <c r="AI111" s="928"/>
      <c r="AJ111" s="928"/>
      <c r="AK111" s="928"/>
      <c r="AL111" s="928"/>
      <c r="AM111" s="928"/>
      <c r="AN111" s="928"/>
      <c r="AO111" s="928"/>
      <c r="AP111" s="928"/>
      <c r="AQ111" s="928"/>
      <c r="AR111" s="928"/>
      <c r="AS111" s="928"/>
    </row>
    <row r="112" spans="11:45">
      <c r="K112" s="957"/>
      <c r="L112" s="928"/>
      <c r="M112" s="928"/>
      <c r="N112" s="960"/>
      <c r="O112" s="960"/>
      <c r="P112" s="960"/>
      <c r="Q112" s="960"/>
      <c r="R112" s="960"/>
      <c r="S112" s="960"/>
      <c r="T112" s="960"/>
      <c r="U112" s="960"/>
      <c r="V112" s="960"/>
      <c r="W112" s="960"/>
      <c r="X112" s="960"/>
      <c r="Y112" s="960"/>
      <c r="Z112" s="960"/>
      <c r="AA112" s="960"/>
      <c r="AB112" s="928"/>
      <c r="AC112" s="928"/>
      <c r="AD112" s="928"/>
      <c r="AE112" s="928"/>
      <c r="AF112" s="928"/>
      <c r="AG112" s="928"/>
      <c r="AH112" s="928"/>
      <c r="AI112" s="928"/>
      <c r="AJ112" s="928"/>
      <c r="AK112" s="928"/>
      <c r="AL112" s="928"/>
      <c r="AM112" s="928"/>
      <c r="AN112" s="928"/>
      <c r="AO112" s="928"/>
      <c r="AP112" s="928"/>
      <c r="AQ112" s="928"/>
      <c r="AR112" s="928"/>
      <c r="AS112" s="928"/>
    </row>
    <row r="113" spans="11:45">
      <c r="K113" s="957"/>
      <c r="L113" s="928"/>
      <c r="M113" s="928"/>
      <c r="N113" s="960"/>
      <c r="O113" s="960"/>
      <c r="P113" s="960"/>
      <c r="Q113" s="960"/>
      <c r="R113" s="960"/>
      <c r="S113" s="960"/>
      <c r="T113" s="960"/>
      <c r="U113" s="960"/>
      <c r="V113" s="960"/>
      <c r="W113" s="960"/>
      <c r="X113" s="960"/>
      <c r="Y113" s="960"/>
      <c r="Z113" s="960"/>
      <c r="AA113" s="960"/>
      <c r="AB113" s="928"/>
      <c r="AC113" s="928"/>
      <c r="AD113" s="928"/>
      <c r="AE113" s="928"/>
      <c r="AF113" s="928"/>
      <c r="AG113" s="928"/>
      <c r="AH113" s="928"/>
      <c r="AI113" s="928"/>
      <c r="AJ113" s="928"/>
      <c r="AK113" s="928"/>
      <c r="AL113" s="928"/>
      <c r="AM113" s="928"/>
      <c r="AN113" s="928"/>
      <c r="AO113" s="928"/>
      <c r="AP113" s="928"/>
      <c r="AQ113" s="928"/>
      <c r="AR113" s="928"/>
      <c r="AS113" s="928"/>
    </row>
    <row r="114" spans="11:45">
      <c r="K114" s="957"/>
      <c r="L114" s="928"/>
      <c r="M114" s="928"/>
      <c r="N114" s="960"/>
      <c r="O114" s="960"/>
      <c r="P114" s="960"/>
      <c r="Q114" s="960"/>
      <c r="R114" s="960"/>
      <c r="S114" s="960"/>
      <c r="T114" s="960"/>
      <c r="U114" s="960"/>
      <c r="V114" s="960"/>
      <c r="W114" s="960"/>
      <c r="X114" s="960"/>
      <c r="Y114" s="960"/>
      <c r="Z114" s="960"/>
      <c r="AA114" s="960"/>
      <c r="AB114" s="928"/>
      <c r="AC114" s="928"/>
      <c r="AD114" s="928"/>
      <c r="AE114" s="928"/>
      <c r="AF114" s="928"/>
      <c r="AG114" s="928"/>
      <c r="AH114" s="928"/>
      <c r="AI114" s="928"/>
      <c r="AJ114" s="928"/>
      <c r="AK114" s="928"/>
      <c r="AL114" s="928"/>
      <c r="AM114" s="928"/>
      <c r="AN114" s="928"/>
      <c r="AO114" s="928"/>
      <c r="AP114" s="928"/>
      <c r="AQ114" s="928"/>
      <c r="AR114" s="928"/>
      <c r="AS114" s="928"/>
    </row>
    <row r="115" spans="11:45">
      <c r="K115" s="957"/>
      <c r="L115" s="928"/>
      <c r="M115" s="928"/>
      <c r="N115" s="960"/>
      <c r="O115" s="960"/>
      <c r="P115" s="960"/>
      <c r="Q115" s="960"/>
      <c r="R115" s="960"/>
      <c r="S115" s="960"/>
      <c r="T115" s="960"/>
      <c r="U115" s="960"/>
      <c r="V115" s="960"/>
      <c r="W115" s="960"/>
      <c r="X115" s="960"/>
      <c r="Y115" s="960"/>
      <c r="Z115" s="960"/>
      <c r="AA115" s="960"/>
      <c r="AB115" s="928"/>
      <c r="AC115" s="928"/>
      <c r="AD115" s="928"/>
      <c r="AE115" s="928"/>
      <c r="AF115" s="928"/>
      <c r="AG115" s="928"/>
      <c r="AH115" s="928"/>
      <c r="AI115" s="928"/>
      <c r="AJ115" s="928"/>
      <c r="AK115" s="928"/>
      <c r="AL115" s="928"/>
      <c r="AM115" s="928"/>
      <c r="AN115" s="928"/>
      <c r="AO115" s="928"/>
      <c r="AP115" s="928"/>
      <c r="AQ115" s="928"/>
      <c r="AR115" s="928"/>
      <c r="AS115" s="928"/>
    </row>
    <row r="116" spans="11:45">
      <c r="K116" s="957"/>
      <c r="L116" s="928"/>
      <c r="M116" s="928"/>
      <c r="N116" s="960"/>
      <c r="O116" s="960"/>
      <c r="P116" s="960"/>
      <c r="Q116" s="960"/>
      <c r="R116" s="960"/>
      <c r="S116" s="960"/>
      <c r="T116" s="960"/>
      <c r="U116" s="960"/>
      <c r="V116" s="960"/>
      <c r="W116" s="960"/>
      <c r="X116" s="960"/>
      <c r="Y116" s="960"/>
      <c r="Z116" s="960"/>
      <c r="AA116" s="960"/>
      <c r="AB116" s="928"/>
      <c r="AC116" s="928"/>
      <c r="AD116" s="928"/>
      <c r="AE116" s="928"/>
      <c r="AF116" s="928"/>
      <c r="AG116" s="928"/>
      <c r="AH116" s="928"/>
      <c r="AI116" s="928"/>
      <c r="AJ116" s="928"/>
      <c r="AK116" s="928"/>
      <c r="AL116" s="928"/>
      <c r="AM116" s="928"/>
      <c r="AN116" s="928"/>
      <c r="AO116" s="928"/>
      <c r="AP116" s="928"/>
      <c r="AQ116" s="928"/>
      <c r="AR116" s="928"/>
      <c r="AS116" s="928"/>
    </row>
    <row r="117" spans="11:45">
      <c r="K117" s="957"/>
      <c r="L117" s="928"/>
      <c r="M117" s="928"/>
      <c r="N117" s="960"/>
      <c r="O117" s="960"/>
      <c r="P117" s="960"/>
      <c r="Q117" s="960"/>
      <c r="R117" s="960"/>
      <c r="S117" s="960"/>
      <c r="T117" s="960"/>
      <c r="U117" s="960"/>
      <c r="V117" s="960"/>
      <c r="W117" s="960"/>
      <c r="X117" s="960"/>
      <c r="Y117" s="960"/>
      <c r="Z117" s="960"/>
      <c r="AA117" s="960"/>
      <c r="AB117" s="928"/>
      <c r="AC117" s="928"/>
      <c r="AD117" s="928"/>
      <c r="AE117" s="928"/>
      <c r="AF117" s="928"/>
      <c r="AG117" s="928"/>
      <c r="AH117" s="928"/>
      <c r="AI117" s="928"/>
      <c r="AJ117" s="928"/>
      <c r="AK117" s="928"/>
      <c r="AL117" s="928"/>
      <c r="AM117" s="928"/>
      <c r="AN117" s="928"/>
      <c r="AO117" s="928"/>
      <c r="AP117" s="928"/>
      <c r="AQ117" s="928"/>
      <c r="AR117" s="928"/>
      <c r="AS117" s="928"/>
    </row>
    <row r="118" spans="11:45">
      <c r="K118" s="957"/>
      <c r="L118" s="928"/>
      <c r="M118" s="928"/>
      <c r="N118" s="960"/>
      <c r="O118" s="960"/>
      <c r="P118" s="960"/>
      <c r="Q118" s="960"/>
      <c r="R118" s="960"/>
      <c r="S118" s="960"/>
      <c r="T118" s="960"/>
      <c r="U118" s="960"/>
      <c r="V118" s="960"/>
      <c r="W118" s="960"/>
      <c r="X118" s="960"/>
      <c r="Y118" s="960"/>
      <c r="Z118" s="960"/>
      <c r="AA118" s="960"/>
      <c r="AB118" s="928"/>
      <c r="AC118" s="928"/>
      <c r="AD118" s="928"/>
      <c r="AE118" s="928"/>
      <c r="AF118" s="928"/>
      <c r="AG118" s="928"/>
      <c r="AH118" s="928"/>
      <c r="AI118" s="928"/>
      <c r="AJ118" s="928"/>
      <c r="AK118" s="928"/>
      <c r="AL118" s="928"/>
      <c r="AM118" s="928"/>
      <c r="AN118" s="928"/>
      <c r="AO118" s="928"/>
      <c r="AP118" s="928"/>
      <c r="AQ118" s="928"/>
      <c r="AR118" s="928"/>
      <c r="AS118" s="928"/>
    </row>
    <row r="119" spans="11:45">
      <c r="K119" s="957"/>
      <c r="L119" s="928"/>
      <c r="M119" s="928"/>
      <c r="N119" s="960"/>
      <c r="O119" s="960"/>
      <c r="P119" s="960"/>
      <c r="Q119" s="960"/>
      <c r="R119" s="960"/>
      <c r="S119" s="960"/>
      <c r="T119" s="960"/>
      <c r="U119" s="960"/>
      <c r="V119" s="960"/>
      <c r="W119" s="960"/>
      <c r="X119" s="960"/>
      <c r="Y119" s="960"/>
      <c r="Z119" s="960"/>
      <c r="AA119" s="960"/>
      <c r="AB119" s="928"/>
      <c r="AC119" s="928"/>
      <c r="AD119" s="928"/>
      <c r="AE119" s="928"/>
      <c r="AF119" s="928"/>
      <c r="AG119" s="928"/>
      <c r="AH119" s="928"/>
      <c r="AI119" s="928"/>
      <c r="AJ119" s="928"/>
      <c r="AK119" s="928"/>
      <c r="AL119" s="928"/>
      <c r="AM119" s="928"/>
      <c r="AN119" s="928"/>
      <c r="AO119" s="928"/>
      <c r="AP119" s="928"/>
      <c r="AQ119" s="928"/>
      <c r="AR119" s="928"/>
      <c r="AS119" s="928"/>
    </row>
    <row r="120" spans="11:45">
      <c r="K120" s="957"/>
      <c r="L120" s="928"/>
      <c r="M120" s="928"/>
      <c r="N120" s="960"/>
      <c r="O120" s="960"/>
      <c r="P120" s="960"/>
      <c r="Q120" s="960"/>
      <c r="R120" s="960"/>
      <c r="S120" s="960"/>
      <c r="T120" s="960"/>
      <c r="U120" s="960"/>
      <c r="V120" s="960"/>
      <c r="W120" s="960"/>
      <c r="X120" s="960"/>
      <c r="Y120" s="960"/>
      <c r="Z120" s="960"/>
      <c r="AA120" s="960"/>
      <c r="AB120" s="928"/>
      <c r="AC120" s="928"/>
      <c r="AD120" s="928"/>
      <c r="AE120" s="928"/>
      <c r="AF120" s="928"/>
      <c r="AG120" s="928"/>
      <c r="AH120" s="928"/>
      <c r="AI120" s="928"/>
      <c r="AJ120" s="928"/>
      <c r="AK120" s="928"/>
      <c r="AL120" s="928"/>
      <c r="AM120" s="928"/>
      <c r="AN120" s="928"/>
      <c r="AO120" s="928"/>
      <c r="AP120" s="928"/>
      <c r="AQ120" s="928"/>
      <c r="AR120" s="928"/>
      <c r="AS120" s="928"/>
    </row>
    <row r="121" spans="11:45">
      <c r="K121" s="957"/>
      <c r="L121" s="928"/>
      <c r="M121" s="928"/>
      <c r="N121" s="960"/>
      <c r="O121" s="960"/>
      <c r="P121" s="960"/>
      <c r="Q121" s="960"/>
      <c r="R121" s="960"/>
      <c r="S121" s="960"/>
      <c r="T121" s="960"/>
      <c r="U121" s="960"/>
      <c r="V121" s="960"/>
      <c r="W121" s="960"/>
      <c r="X121" s="960"/>
      <c r="Y121" s="960"/>
      <c r="Z121" s="960"/>
      <c r="AA121" s="960"/>
      <c r="AB121" s="928"/>
      <c r="AC121" s="928"/>
      <c r="AD121" s="928"/>
      <c r="AE121" s="928"/>
      <c r="AF121" s="928"/>
      <c r="AG121" s="928"/>
      <c r="AH121" s="928"/>
      <c r="AI121" s="928"/>
      <c r="AJ121" s="928"/>
      <c r="AK121" s="928"/>
      <c r="AL121" s="928"/>
      <c r="AM121" s="928"/>
      <c r="AN121" s="928"/>
      <c r="AO121" s="928"/>
      <c r="AP121" s="928"/>
      <c r="AQ121" s="928"/>
      <c r="AR121" s="928"/>
      <c r="AS121" s="928"/>
    </row>
    <row r="122" spans="11:45">
      <c r="K122" s="957"/>
      <c r="L122" s="928"/>
      <c r="M122" s="928"/>
      <c r="N122" s="960"/>
      <c r="O122" s="960"/>
      <c r="P122" s="960"/>
      <c r="Q122" s="960"/>
      <c r="R122" s="960"/>
      <c r="S122" s="960"/>
      <c r="T122" s="960"/>
      <c r="U122" s="960"/>
      <c r="V122" s="960"/>
      <c r="W122" s="960"/>
      <c r="X122" s="960"/>
      <c r="Y122" s="960"/>
      <c r="Z122" s="960"/>
      <c r="AA122" s="960"/>
      <c r="AB122" s="928"/>
      <c r="AC122" s="928"/>
      <c r="AD122" s="928"/>
      <c r="AE122" s="928"/>
      <c r="AF122" s="928"/>
      <c r="AG122" s="928"/>
      <c r="AH122" s="928"/>
      <c r="AI122" s="928"/>
      <c r="AJ122" s="928"/>
      <c r="AK122" s="928"/>
      <c r="AL122" s="928"/>
      <c r="AM122" s="928"/>
      <c r="AN122" s="928"/>
      <c r="AO122" s="928"/>
      <c r="AP122" s="928"/>
      <c r="AQ122" s="928"/>
      <c r="AR122" s="928"/>
      <c r="AS122" s="928"/>
    </row>
    <row r="123" spans="11:45">
      <c r="K123" s="957"/>
      <c r="L123" s="928"/>
      <c r="M123" s="928"/>
      <c r="N123" s="960"/>
      <c r="O123" s="960"/>
      <c r="P123" s="960"/>
      <c r="Q123" s="960"/>
      <c r="R123" s="960"/>
      <c r="S123" s="960"/>
      <c r="T123" s="960"/>
      <c r="U123" s="960"/>
      <c r="V123" s="960"/>
      <c r="W123" s="960"/>
      <c r="X123" s="960"/>
      <c r="Y123" s="960"/>
      <c r="Z123" s="960"/>
      <c r="AA123" s="960"/>
      <c r="AB123" s="928"/>
      <c r="AC123" s="928"/>
      <c r="AD123" s="928"/>
      <c r="AE123" s="928"/>
      <c r="AF123" s="928"/>
      <c r="AG123" s="928"/>
      <c r="AH123" s="928"/>
      <c r="AI123" s="928"/>
      <c r="AJ123" s="928"/>
      <c r="AK123" s="928"/>
      <c r="AL123" s="928"/>
      <c r="AM123" s="928"/>
      <c r="AN123" s="928"/>
      <c r="AO123" s="928"/>
      <c r="AP123" s="928"/>
      <c r="AQ123" s="928"/>
      <c r="AR123" s="928"/>
      <c r="AS123" s="928"/>
    </row>
    <row r="124" spans="11:45">
      <c r="K124" s="957"/>
      <c r="L124" s="928"/>
      <c r="M124" s="928"/>
      <c r="N124" s="960"/>
      <c r="O124" s="960"/>
      <c r="P124" s="960"/>
      <c r="Q124" s="960"/>
      <c r="R124" s="960"/>
      <c r="S124" s="960"/>
      <c r="T124" s="960"/>
      <c r="U124" s="960"/>
      <c r="V124" s="960"/>
      <c r="W124" s="960"/>
      <c r="X124" s="960"/>
      <c r="Y124" s="960"/>
      <c r="Z124" s="960"/>
      <c r="AA124" s="960"/>
      <c r="AB124" s="928"/>
      <c r="AC124" s="928"/>
      <c r="AD124" s="928"/>
      <c r="AE124" s="928"/>
      <c r="AF124" s="928"/>
      <c r="AG124" s="928"/>
      <c r="AH124" s="928"/>
      <c r="AI124" s="928"/>
      <c r="AJ124" s="928"/>
      <c r="AK124" s="928"/>
      <c r="AL124" s="928"/>
      <c r="AM124" s="928"/>
      <c r="AN124" s="928"/>
      <c r="AO124" s="928"/>
      <c r="AP124" s="928"/>
      <c r="AQ124" s="928"/>
      <c r="AR124" s="928"/>
      <c r="AS124" s="928"/>
    </row>
    <row r="125" spans="11:45">
      <c r="K125" s="957"/>
      <c r="L125" s="928"/>
      <c r="M125" s="928"/>
      <c r="N125" s="960"/>
      <c r="O125" s="960"/>
      <c r="P125" s="960"/>
      <c r="Q125" s="960"/>
      <c r="R125" s="960"/>
      <c r="S125" s="960"/>
      <c r="T125" s="960"/>
      <c r="U125" s="960"/>
      <c r="V125" s="960"/>
      <c r="W125" s="960"/>
      <c r="X125" s="960"/>
      <c r="Y125" s="960"/>
      <c r="Z125" s="960"/>
      <c r="AA125" s="960"/>
      <c r="AB125" s="928"/>
      <c r="AC125" s="928"/>
      <c r="AD125" s="928"/>
      <c r="AE125" s="928"/>
      <c r="AF125" s="928"/>
      <c r="AG125" s="928"/>
      <c r="AH125" s="928"/>
      <c r="AI125" s="928"/>
      <c r="AJ125" s="928"/>
      <c r="AK125" s="928"/>
      <c r="AL125" s="928"/>
      <c r="AM125" s="928"/>
      <c r="AN125" s="928"/>
      <c r="AO125" s="928"/>
      <c r="AP125" s="928"/>
      <c r="AQ125" s="928"/>
      <c r="AR125" s="928"/>
      <c r="AS125" s="928"/>
    </row>
    <row r="126" spans="11:45">
      <c r="K126" s="957"/>
      <c r="L126" s="928"/>
      <c r="M126" s="928"/>
      <c r="N126" s="960"/>
      <c r="O126" s="960"/>
      <c r="P126" s="960"/>
      <c r="Q126" s="960"/>
      <c r="R126" s="960"/>
      <c r="S126" s="960"/>
      <c r="T126" s="960"/>
      <c r="U126" s="960"/>
      <c r="V126" s="960"/>
      <c r="W126" s="960"/>
      <c r="X126" s="960"/>
      <c r="Y126" s="960"/>
      <c r="Z126" s="960"/>
      <c r="AA126" s="960"/>
      <c r="AB126" s="928"/>
      <c r="AC126" s="928"/>
      <c r="AD126" s="928"/>
      <c r="AE126" s="928"/>
      <c r="AF126" s="928"/>
      <c r="AG126" s="928"/>
      <c r="AH126" s="928"/>
      <c r="AI126" s="928"/>
      <c r="AJ126" s="928"/>
      <c r="AK126" s="928"/>
      <c r="AL126" s="928"/>
      <c r="AM126" s="928"/>
      <c r="AN126" s="928"/>
      <c r="AO126" s="928"/>
      <c r="AP126" s="928"/>
      <c r="AQ126" s="928"/>
      <c r="AR126" s="928"/>
      <c r="AS126" s="928"/>
    </row>
    <row r="127" spans="11:45">
      <c r="K127" s="957"/>
      <c r="L127" s="928"/>
      <c r="M127" s="928"/>
      <c r="N127" s="960"/>
      <c r="O127" s="960"/>
      <c r="P127" s="960"/>
      <c r="Q127" s="960"/>
      <c r="R127" s="960"/>
      <c r="S127" s="960"/>
      <c r="T127" s="960"/>
      <c r="U127" s="960"/>
      <c r="V127" s="960"/>
      <c r="W127" s="960"/>
      <c r="X127" s="960"/>
      <c r="Y127" s="960"/>
      <c r="Z127" s="960"/>
      <c r="AA127" s="960"/>
      <c r="AB127" s="928"/>
      <c r="AC127" s="928"/>
      <c r="AD127" s="928"/>
      <c r="AE127" s="928"/>
      <c r="AF127" s="928"/>
      <c r="AG127" s="928"/>
      <c r="AH127" s="928"/>
      <c r="AI127" s="928"/>
      <c r="AJ127" s="928"/>
      <c r="AK127" s="928"/>
      <c r="AL127" s="928"/>
      <c r="AM127" s="928"/>
      <c r="AN127" s="928"/>
      <c r="AO127" s="928"/>
      <c r="AP127" s="928"/>
      <c r="AQ127" s="928"/>
      <c r="AR127" s="928"/>
      <c r="AS127" s="928"/>
    </row>
    <row r="128" spans="11:45">
      <c r="K128" s="957"/>
      <c r="L128" s="928"/>
      <c r="M128" s="928"/>
      <c r="N128" s="960"/>
      <c r="O128" s="960"/>
      <c r="P128" s="960"/>
      <c r="Q128" s="960"/>
      <c r="R128" s="960"/>
      <c r="S128" s="960"/>
      <c r="T128" s="960"/>
      <c r="U128" s="960"/>
      <c r="V128" s="960"/>
      <c r="W128" s="960"/>
      <c r="X128" s="960"/>
      <c r="Y128" s="960"/>
      <c r="Z128" s="960"/>
      <c r="AA128" s="960"/>
      <c r="AB128" s="928"/>
      <c r="AC128" s="928"/>
      <c r="AD128" s="928"/>
      <c r="AE128" s="928"/>
      <c r="AF128" s="928"/>
      <c r="AG128" s="928"/>
      <c r="AH128" s="928"/>
      <c r="AI128" s="928"/>
      <c r="AJ128" s="928"/>
      <c r="AK128" s="928"/>
      <c r="AL128" s="928"/>
      <c r="AM128" s="928"/>
      <c r="AN128" s="928"/>
      <c r="AO128" s="928"/>
      <c r="AP128" s="928"/>
      <c r="AQ128" s="928"/>
      <c r="AR128" s="928"/>
      <c r="AS128" s="928"/>
    </row>
    <row r="129" spans="11:45">
      <c r="K129" s="957"/>
      <c r="L129" s="928"/>
      <c r="M129" s="928"/>
      <c r="N129" s="960"/>
      <c r="O129" s="960"/>
      <c r="P129" s="960"/>
      <c r="Q129" s="960"/>
      <c r="R129" s="960"/>
      <c r="S129" s="960"/>
      <c r="T129" s="960"/>
      <c r="U129" s="960"/>
      <c r="V129" s="960"/>
      <c r="W129" s="960"/>
      <c r="X129" s="960"/>
      <c r="Y129" s="960"/>
      <c r="Z129" s="960"/>
      <c r="AA129" s="960"/>
      <c r="AB129" s="928"/>
      <c r="AC129" s="928"/>
      <c r="AD129" s="928"/>
      <c r="AE129" s="928"/>
      <c r="AF129" s="928"/>
      <c r="AG129" s="928"/>
      <c r="AH129" s="928"/>
      <c r="AI129" s="928"/>
      <c r="AJ129" s="928"/>
      <c r="AK129" s="928"/>
      <c r="AL129" s="928"/>
      <c r="AM129" s="928"/>
      <c r="AN129" s="928"/>
      <c r="AO129" s="928"/>
      <c r="AP129" s="928"/>
      <c r="AQ129" s="928"/>
      <c r="AR129" s="928"/>
      <c r="AS129" s="928"/>
    </row>
    <row r="130" spans="11:45">
      <c r="K130" s="957"/>
      <c r="L130" s="928"/>
      <c r="M130" s="928"/>
      <c r="N130" s="960"/>
      <c r="O130" s="960"/>
      <c r="P130" s="960"/>
      <c r="Q130" s="960"/>
      <c r="R130" s="960"/>
      <c r="S130" s="960"/>
      <c r="T130" s="960"/>
      <c r="U130" s="960"/>
      <c r="V130" s="960"/>
      <c r="W130" s="960"/>
      <c r="X130" s="960"/>
      <c r="Y130" s="960"/>
      <c r="Z130" s="960"/>
      <c r="AA130" s="960"/>
      <c r="AB130" s="928"/>
      <c r="AC130" s="928"/>
      <c r="AD130" s="928"/>
      <c r="AE130" s="928"/>
      <c r="AF130" s="928"/>
      <c r="AG130" s="928"/>
      <c r="AH130" s="928"/>
      <c r="AI130" s="928"/>
      <c r="AJ130" s="928"/>
      <c r="AK130" s="928"/>
      <c r="AL130" s="928"/>
      <c r="AM130" s="928"/>
      <c r="AN130" s="928"/>
      <c r="AO130" s="928"/>
      <c r="AP130" s="928"/>
      <c r="AQ130" s="928"/>
      <c r="AR130" s="928"/>
      <c r="AS130" s="928"/>
    </row>
    <row r="131" spans="11:45">
      <c r="K131" s="957"/>
      <c r="L131" s="928"/>
      <c r="M131" s="928"/>
      <c r="N131" s="960"/>
      <c r="O131" s="960"/>
      <c r="P131" s="960"/>
      <c r="Q131" s="960"/>
      <c r="R131" s="960"/>
      <c r="S131" s="960"/>
      <c r="T131" s="960"/>
      <c r="U131" s="960"/>
      <c r="V131" s="960"/>
      <c r="W131" s="960"/>
      <c r="X131" s="960"/>
      <c r="Y131" s="960"/>
      <c r="Z131" s="960"/>
      <c r="AA131" s="960"/>
      <c r="AB131" s="928"/>
      <c r="AC131" s="928"/>
      <c r="AD131" s="928"/>
      <c r="AE131" s="928"/>
      <c r="AF131" s="928"/>
      <c r="AG131" s="928"/>
      <c r="AH131" s="928"/>
      <c r="AI131" s="928"/>
      <c r="AJ131" s="928"/>
      <c r="AK131" s="928"/>
      <c r="AL131" s="928"/>
      <c r="AM131" s="928"/>
      <c r="AN131" s="928"/>
      <c r="AO131" s="928"/>
      <c r="AP131" s="928"/>
      <c r="AQ131" s="928"/>
      <c r="AR131" s="928"/>
      <c r="AS131" s="928"/>
    </row>
    <row r="132" spans="11:45">
      <c r="K132" s="957"/>
      <c r="L132" s="928"/>
      <c r="M132" s="928"/>
      <c r="N132" s="960"/>
      <c r="O132" s="960"/>
      <c r="P132" s="960"/>
      <c r="Q132" s="960"/>
      <c r="R132" s="960"/>
      <c r="S132" s="960"/>
      <c r="T132" s="960"/>
      <c r="U132" s="960"/>
      <c r="V132" s="960"/>
      <c r="W132" s="960"/>
      <c r="X132" s="960"/>
      <c r="Y132" s="960"/>
      <c r="Z132" s="960"/>
      <c r="AA132" s="960"/>
      <c r="AB132" s="928"/>
      <c r="AC132" s="928"/>
      <c r="AD132" s="928"/>
      <c r="AE132" s="928"/>
      <c r="AF132" s="928"/>
      <c r="AG132" s="928"/>
      <c r="AH132" s="928"/>
      <c r="AI132" s="928"/>
      <c r="AJ132" s="928"/>
      <c r="AK132" s="928"/>
      <c r="AL132" s="928"/>
      <c r="AM132" s="928"/>
      <c r="AN132" s="928"/>
      <c r="AO132" s="928"/>
      <c r="AP132" s="928"/>
      <c r="AQ132" s="928"/>
      <c r="AR132" s="928"/>
      <c r="AS132" s="928"/>
    </row>
    <row r="133" spans="11:45">
      <c r="K133" s="957"/>
      <c r="L133" s="928"/>
      <c r="M133" s="928"/>
      <c r="N133" s="960"/>
      <c r="O133" s="960"/>
      <c r="P133" s="960"/>
      <c r="Q133" s="960"/>
      <c r="R133" s="960"/>
      <c r="S133" s="960"/>
      <c r="T133" s="960"/>
      <c r="U133" s="960"/>
      <c r="V133" s="960"/>
      <c r="W133" s="960"/>
      <c r="X133" s="960"/>
      <c r="Y133" s="960"/>
      <c r="Z133" s="960"/>
      <c r="AA133" s="960"/>
      <c r="AB133" s="928"/>
      <c r="AC133" s="928"/>
      <c r="AD133" s="928"/>
      <c r="AE133" s="928"/>
      <c r="AF133" s="928"/>
      <c r="AG133" s="928"/>
      <c r="AH133" s="928"/>
      <c r="AI133" s="928"/>
      <c r="AJ133" s="928"/>
      <c r="AK133" s="928"/>
      <c r="AL133" s="928"/>
      <c r="AM133" s="928"/>
      <c r="AN133" s="928"/>
      <c r="AO133" s="928"/>
      <c r="AP133" s="928"/>
      <c r="AQ133" s="928"/>
      <c r="AR133" s="928"/>
      <c r="AS133" s="928"/>
    </row>
    <row r="134" spans="11:45">
      <c r="K134" s="957"/>
      <c r="L134" s="928"/>
      <c r="M134" s="928"/>
      <c r="N134" s="960"/>
      <c r="O134" s="960"/>
      <c r="P134" s="960"/>
      <c r="Q134" s="960"/>
      <c r="R134" s="960"/>
      <c r="S134" s="960"/>
      <c r="T134" s="960"/>
      <c r="U134" s="960"/>
      <c r="V134" s="960"/>
      <c r="W134" s="960"/>
      <c r="X134" s="960"/>
      <c r="Y134" s="960"/>
      <c r="Z134" s="960"/>
      <c r="AA134" s="960"/>
      <c r="AB134" s="928"/>
      <c r="AC134" s="928"/>
      <c r="AD134" s="928"/>
      <c r="AE134" s="928"/>
      <c r="AF134" s="928"/>
      <c r="AG134" s="928"/>
      <c r="AH134" s="928"/>
      <c r="AI134" s="928"/>
      <c r="AJ134" s="928"/>
      <c r="AK134" s="928"/>
      <c r="AL134" s="928"/>
      <c r="AM134" s="928"/>
      <c r="AN134" s="928"/>
      <c r="AO134" s="928"/>
      <c r="AP134" s="928"/>
      <c r="AQ134" s="928"/>
      <c r="AR134" s="928"/>
      <c r="AS134" s="928"/>
    </row>
    <row r="135" spans="11:45">
      <c r="K135" s="957"/>
      <c r="L135" s="928"/>
      <c r="M135" s="928"/>
      <c r="N135" s="960"/>
      <c r="O135" s="960"/>
      <c r="P135" s="960"/>
      <c r="Q135" s="960"/>
      <c r="R135" s="960"/>
      <c r="S135" s="960"/>
      <c r="T135" s="960"/>
      <c r="U135" s="960"/>
      <c r="V135" s="960"/>
      <c r="W135" s="960"/>
      <c r="X135" s="960"/>
      <c r="Y135" s="960"/>
      <c r="Z135" s="960"/>
      <c r="AA135" s="960"/>
      <c r="AB135" s="928"/>
      <c r="AC135" s="928"/>
      <c r="AD135" s="928"/>
      <c r="AE135" s="928"/>
      <c r="AF135" s="928"/>
      <c r="AG135" s="928"/>
      <c r="AH135" s="928"/>
      <c r="AI135" s="928"/>
      <c r="AJ135" s="928"/>
      <c r="AK135" s="928"/>
      <c r="AL135" s="928"/>
      <c r="AM135" s="928"/>
      <c r="AN135" s="928"/>
      <c r="AO135" s="928"/>
      <c r="AP135" s="928"/>
      <c r="AQ135" s="928"/>
      <c r="AR135" s="928"/>
      <c r="AS135" s="928"/>
    </row>
    <row r="136" spans="11:45">
      <c r="K136" s="957"/>
      <c r="L136" s="928"/>
      <c r="M136" s="928"/>
      <c r="N136" s="960"/>
      <c r="O136" s="960"/>
      <c r="P136" s="960"/>
      <c r="Q136" s="960"/>
      <c r="R136" s="960"/>
      <c r="S136" s="960"/>
      <c r="T136" s="960"/>
      <c r="U136" s="960"/>
      <c r="V136" s="960"/>
      <c r="W136" s="960"/>
      <c r="X136" s="960"/>
      <c r="Y136" s="960"/>
      <c r="Z136" s="960"/>
      <c r="AA136" s="960"/>
      <c r="AB136" s="928"/>
      <c r="AC136" s="928"/>
      <c r="AD136" s="928"/>
      <c r="AE136" s="928"/>
      <c r="AF136" s="928"/>
      <c r="AG136" s="928"/>
      <c r="AH136" s="928"/>
      <c r="AI136" s="928"/>
      <c r="AJ136" s="928"/>
      <c r="AK136" s="928"/>
      <c r="AL136" s="928"/>
      <c r="AM136" s="928"/>
      <c r="AN136" s="928"/>
      <c r="AO136" s="928"/>
      <c r="AP136" s="928"/>
      <c r="AQ136" s="928"/>
      <c r="AR136" s="928"/>
      <c r="AS136" s="928"/>
    </row>
    <row r="137" spans="11:45">
      <c r="K137" s="957"/>
      <c r="L137" s="928"/>
      <c r="M137" s="928"/>
      <c r="N137" s="960"/>
      <c r="O137" s="960"/>
      <c r="P137" s="960"/>
      <c r="Q137" s="960"/>
      <c r="R137" s="960"/>
      <c r="S137" s="960"/>
      <c r="T137" s="960"/>
      <c r="U137" s="960"/>
      <c r="V137" s="960"/>
      <c r="W137" s="960"/>
      <c r="X137" s="960"/>
      <c r="Y137" s="960"/>
      <c r="Z137" s="960"/>
      <c r="AA137" s="960"/>
      <c r="AB137" s="928"/>
      <c r="AC137" s="928"/>
      <c r="AD137" s="928"/>
      <c r="AE137" s="928"/>
      <c r="AF137" s="928"/>
      <c r="AG137" s="928"/>
      <c r="AH137" s="928"/>
      <c r="AI137" s="928"/>
      <c r="AJ137" s="928"/>
      <c r="AK137" s="928"/>
      <c r="AL137" s="928"/>
      <c r="AM137" s="928"/>
      <c r="AN137" s="928"/>
      <c r="AO137" s="928"/>
      <c r="AP137" s="928"/>
      <c r="AQ137" s="928"/>
      <c r="AR137" s="928"/>
      <c r="AS137" s="928"/>
    </row>
    <row r="138" spans="11:45">
      <c r="K138" s="957"/>
      <c r="L138" s="928"/>
      <c r="M138" s="928"/>
      <c r="N138" s="960"/>
      <c r="O138" s="960"/>
      <c r="P138" s="960"/>
      <c r="Q138" s="960"/>
      <c r="R138" s="960"/>
      <c r="S138" s="960"/>
      <c r="T138" s="960"/>
      <c r="U138" s="960"/>
      <c r="V138" s="960"/>
      <c r="W138" s="960"/>
      <c r="X138" s="960"/>
      <c r="Y138" s="960"/>
      <c r="Z138" s="960"/>
      <c r="AA138" s="960"/>
      <c r="AB138" s="928"/>
      <c r="AC138" s="928"/>
      <c r="AD138" s="928"/>
      <c r="AE138" s="928"/>
      <c r="AF138" s="928"/>
      <c r="AG138" s="928"/>
      <c r="AH138" s="928"/>
      <c r="AI138" s="928"/>
      <c r="AJ138" s="928"/>
      <c r="AK138" s="928"/>
      <c r="AL138" s="928"/>
      <c r="AM138" s="928"/>
      <c r="AN138" s="928"/>
      <c r="AO138" s="928"/>
      <c r="AP138" s="928"/>
      <c r="AQ138" s="928"/>
      <c r="AR138" s="928"/>
      <c r="AS138" s="928"/>
    </row>
    <row r="139" spans="11:45">
      <c r="K139" s="957"/>
      <c r="L139" s="928"/>
      <c r="M139" s="928"/>
      <c r="N139" s="960"/>
      <c r="O139" s="960"/>
      <c r="P139" s="960"/>
      <c r="Q139" s="960"/>
      <c r="R139" s="960"/>
      <c r="S139" s="960"/>
      <c r="T139" s="960"/>
      <c r="U139" s="960"/>
      <c r="V139" s="960"/>
      <c r="W139" s="960"/>
      <c r="X139" s="960"/>
      <c r="Y139" s="960"/>
      <c r="Z139" s="960"/>
      <c r="AA139" s="960"/>
      <c r="AB139" s="928"/>
      <c r="AC139" s="928"/>
      <c r="AD139" s="928"/>
      <c r="AE139" s="928"/>
      <c r="AF139" s="928"/>
      <c r="AG139" s="928"/>
      <c r="AH139" s="928"/>
      <c r="AI139" s="928"/>
      <c r="AJ139" s="928"/>
      <c r="AK139" s="928"/>
      <c r="AL139" s="928"/>
      <c r="AM139" s="928"/>
      <c r="AN139" s="928"/>
      <c r="AO139" s="928"/>
      <c r="AP139" s="928"/>
      <c r="AQ139" s="928"/>
      <c r="AR139" s="928"/>
      <c r="AS139" s="928"/>
    </row>
    <row r="140" spans="11:45">
      <c r="K140" s="957"/>
      <c r="L140" s="928"/>
      <c r="M140" s="928"/>
      <c r="N140" s="960"/>
      <c r="O140" s="960"/>
      <c r="P140" s="960"/>
      <c r="Q140" s="960"/>
      <c r="R140" s="960"/>
      <c r="S140" s="960"/>
      <c r="T140" s="960"/>
      <c r="U140" s="960"/>
      <c r="V140" s="960"/>
      <c r="W140" s="960"/>
      <c r="X140" s="960"/>
      <c r="Y140" s="960"/>
      <c r="Z140" s="960"/>
      <c r="AA140" s="960"/>
      <c r="AB140" s="928"/>
      <c r="AC140" s="928"/>
      <c r="AD140" s="928"/>
      <c r="AE140" s="928"/>
      <c r="AF140" s="928"/>
      <c r="AG140" s="928"/>
      <c r="AH140" s="928"/>
      <c r="AI140" s="928"/>
      <c r="AJ140" s="928"/>
      <c r="AK140" s="928"/>
      <c r="AL140" s="928"/>
      <c r="AM140" s="928"/>
      <c r="AN140" s="928"/>
      <c r="AO140" s="928"/>
      <c r="AP140" s="928"/>
      <c r="AQ140" s="928"/>
      <c r="AR140" s="928"/>
      <c r="AS140" s="928"/>
    </row>
    <row r="141" spans="11:45">
      <c r="K141" s="957"/>
      <c r="L141" s="928"/>
      <c r="M141" s="928"/>
      <c r="N141" s="960"/>
      <c r="O141" s="960"/>
      <c r="P141" s="960"/>
      <c r="Q141" s="960"/>
      <c r="R141" s="960"/>
      <c r="S141" s="960"/>
      <c r="T141" s="960"/>
      <c r="U141" s="960"/>
      <c r="V141" s="960"/>
      <c r="W141" s="960"/>
      <c r="X141" s="960"/>
      <c r="Y141" s="960"/>
      <c r="Z141" s="960"/>
      <c r="AA141" s="960"/>
      <c r="AB141" s="928"/>
      <c r="AC141" s="928"/>
      <c r="AD141" s="928"/>
      <c r="AE141" s="928"/>
      <c r="AF141" s="928"/>
      <c r="AG141" s="928"/>
      <c r="AH141" s="928"/>
      <c r="AI141" s="928"/>
      <c r="AJ141" s="928"/>
      <c r="AK141" s="928"/>
      <c r="AL141" s="928"/>
      <c r="AM141" s="928"/>
      <c r="AN141" s="928"/>
      <c r="AO141" s="928"/>
      <c r="AP141" s="928"/>
      <c r="AQ141" s="928"/>
      <c r="AR141" s="928"/>
      <c r="AS141" s="928"/>
    </row>
    <row r="142" spans="11:45">
      <c r="K142" s="957"/>
      <c r="L142" s="928"/>
      <c r="M142" s="928"/>
      <c r="N142" s="960"/>
      <c r="O142" s="960"/>
      <c r="P142" s="960"/>
      <c r="Q142" s="960"/>
      <c r="R142" s="960"/>
      <c r="S142" s="960"/>
      <c r="T142" s="960"/>
      <c r="U142" s="960"/>
      <c r="V142" s="960"/>
      <c r="W142" s="960"/>
      <c r="X142" s="960"/>
      <c r="Y142" s="960"/>
      <c r="Z142" s="960"/>
      <c r="AA142" s="960"/>
      <c r="AB142" s="928"/>
      <c r="AC142" s="928"/>
      <c r="AD142" s="928"/>
      <c r="AE142" s="928"/>
      <c r="AF142" s="928"/>
      <c r="AG142" s="928"/>
      <c r="AH142" s="928"/>
      <c r="AI142" s="928"/>
      <c r="AJ142" s="928"/>
      <c r="AK142" s="928"/>
      <c r="AL142" s="928"/>
      <c r="AM142" s="928"/>
      <c r="AN142" s="928"/>
      <c r="AO142" s="928"/>
      <c r="AP142" s="928"/>
      <c r="AQ142" s="928"/>
      <c r="AR142" s="928"/>
      <c r="AS142" s="928"/>
    </row>
    <row r="143" spans="11:45">
      <c r="K143" s="957"/>
      <c r="L143" s="928"/>
      <c r="M143" s="928"/>
      <c r="N143" s="960"/>
      <c r="O143" s="960"/>
      <c r="P143" s="960"/>
      <c r="Q143" s="960"/>
      <c r="R143" s="960"/>
      <c r="S143" s="960"/>
      <c r="T143" s="960"/>
      <c r="U143" s="960"/>
      <c r="V143" s="960"/>
      <c r="W143" s="960"/>
      <c r="X143" s="960"/>
      <c r="Y143" s="960"/>
      <c r="Z143" s="960"/>
      <c r="AA143" s="960"/>
      <c r="AB143" s="928"/>
      <c r="AC143" s="928"/>
      <c r="AD143" s="928"/>
      <c r="AE143" s="928"/>
      <c r="AF143" s="928"/>
      <c r="AG143" s="928"/>
      <c r="AH143" s="928"/>
      <c r="AI143" s="928"/>
      <c r="AJ143" s="928"/>
      <c r="AK143" s="928"/>
      <c r="AL143" s="928"/>
      <c r="AM143" s="928"/>
      <c r="AN143" s="928"/>
      <c r="AO143" s="928"/>
      <c r="AP143" s="928"/>
      <c r="AQ143" s="928"/>
      <c r="AR143" s="928"/>
      <c r="AS143" s="928"/>
    </row>
    <row r="144" spans="11:45">
      <c r="K144" s="957"/>
      <c r="L144" s="928"/>
      <c r="M144" s="928"/>
      <c r="N144" s="960"/>
      <c r="O144" s="960"/>
      <c r="P144" s="960"/>
      <c r="Q144" s="960"/>
      <c r="R144" s="960"/>
      <c r="S144" s="960"/>
      <c r="T144" s="960"/>
      <c r="U144" s="960"/>
      <c r="V144" s="960"/>
      <c r="W144" s="960"/>
      <c r="X144" s="960"/>
      <c r="Y144" s="960"/>
      <c r="Z144" s="960"/>
      <c r="AA144" s="960"/>
      <c r="AB144" s="928"/>
      <c r="AC144" s="928"/>
      <c r="AD144" s="928"/>
      <c r="AE144" s="928"/>
      <c r="AF144" s="928"/>
      <c r="AG144" s="928"/>
      <c r="AH144" s="928"/>
      <c r="AI144" s="928"/>
      <c r="AJ144" s="928"/>
      <c r="AK144" s="928"/>
      <c r="AL144" s="928"/>
      <c r="AM144" s="928"/>
      <c r="AN144" s="928"/>
      <c r="AO144" s="928"/>
      <c r="AP144" s="928"/>
      <c r="AQ144" s="928"/>
      <c r="AR144" s="928"/>
      <c r="AS144" s="928"/>
    </row>
    <row r="145" spans="11:45">
      <c r="K145" s="957"/>
      <c r="L145" s="928"/>
      <c r="M145" s="928"/>
      <c r="N145" s="960"/>
      <c r="O145" s="960"/>
      <c r="P145" s="960"/>
      <c r="Q145" s="960"/>
      <c r="R145" s="960"/>
      <c r="S145" s="960"/>
      <c r="T145" s="960"/>
      <c r="U145" s="960"/>
      <c r="V145" s="960"/>
      <c r="W145" s="960"/>
      <c r="X145" s="960"/>
      <c r="Y145" s="960"/>
      <c r="Z145" s="960"/>
      <c r="AA145" s="960"/>
      <c r="AB145" s="928"/>
      <c r="AC145" s="928"/>
      <c r="AD145" s="928"/>
      <c r="AE145" s="928"/>
      <c r="AF145" s="928"/>
      <c r="AG145" s="928"/>
      <c r="AH145" s="928"/>
      <c r="AI145" s="928"/>
      <c r="AJ145" s="928"/>
      <c r="AK145" s="928"/>
      <c r="AL145" s="928"/>
      <c r="AM145" s="928"/>
      <c r="AN145" s="928"/>
      <c r="AO145" s="928"/>
      <c r="AP145" s="928"/>
      <c r="AQ145" s="928"/>
      <c r="AR145" s="928"/>
      <c r="AS145" s="928"/>
    </row>
    <row r="146" spans="11:45">
      <c r="K146" s="957"/>
      <c r="L146" s="928"/>
      <c r="M146" s="928"/>
      <c r="N146" s="960"/>
      <c r="O146" s="960"/>
      <c r="P146" s="960"/>
      <c r="Q146" s="960"/>
      <c r="R146" s="960"/>
      <c r="S146" s="960"/>
      <c r="T146" s="960"/>
      <c r="U146" s="960"/>
      <c r="V146" s="960"/>
      <c r="W146" s="960"/>
      <c r="X146" s="960"/>
      <c r="Y146" s="960"/>
      <c r="Z146" s="960"/>
      <c r="AA146" s="960"/>
      <c r="AB146" s="928"/>
      <c r="AC146" s="928"/>
      <c r="AD146" s="928"/>
      <c r="AE146" s="928"/>
      <c r="AF146" s="928"/>
      <c r="AG146" s="928"/>
      <c r="AH146" s="928"/>
      <c r="AI146" s="928"/>
      <c r="AJ146" s="928"/>
      <c r="AK146" s="928"/>
      <c r="AL146" s="928"/>
      <c r="AM146" s="928"/>
      <c r="AN146" s="928"/>
      <c r="AO146" s="928"/>
      <c r="AP146" s="928"/>
      <c r="AQ146" s="928"/>
      <c r="AR146" s="928"/>
      <c r="AS146" s="928"/>
    </row>
    <row r="147" spans="11:45">
      <c r="K147" s="957"/>
      <c r="L147" s="928"/>
      <c r="M147" s="928"/>
      <c r="N147" s="960"/>
      <c r="O147" s="960"/>
      <c r="P147" s="960"/>
      <c r="Q147" s="960"/>
      <c r="R147" s="960"/>
      <c r="S147" s="960"/>
      <c r="T147" s="960"/>
      <c r="U147" s="960"/>
      <c r="V147" s="960"/>
      <c r="W147" s="960"/>
      <c r="X147" s="960"/>
      <c r="Y147" s="960"/>
      <c r="Z147" s="960"/>
      <c r="AA147" s="960"/>
      <c r="AB147" s="928"/>
      <c r="AC147" s="928"/>
      <c r="AD147" s="928"/>
      <c r="AE147" s="928"/>
      <c r="AF147" s="928"/>
      <c r="AG147" s="928"/>
      <c r="AH147" s="928"/>
      <c r="AI147" s="928"/>
      <c r="AJ147" s="928"/>
      <c r="AK147" s="928"/>
      <c r="AL147" s="928"/>
      <c r="AM147" s="928"/>
      <c r="AN147" s="928"/>
      <c r="AO147" s="928"/>
      <c r="AP147" s="928"/>
      <c r="AQ147" s="928"/>
      <c r="AR147" s="928"/>
      <c r="AS147" s="928"/>
    </row>
    <row r="148" spans="11:45">
      <c r="K148" s="957"/>
      <c r="L148" s="928"/>
      <c r="M148" s="928"/>
      <c r="N148" s="960"/>
      <c r="O148" s="960"/>
      <c r="P148" s="960"/>
      <c r="Q148" s="960"/>
      <c r="R148" s="960"/>
      <c r="S148" s="960"/>
      <c r="T148" s="960"/>
      <c r="U148" s="960"/>
      <c r="V148" s="960"/>
      <c r="W148" s="960"/>
      <c r="X148" s="960"/>
      <c r="Y148" s="960"/>
      <c r="Z148" s="960"/>
      <c r="AA148" s="960"/>
      <c r="AB148" s="928"/>
      <c r="AC148" s="928"/>
      <c r="AD148" s="928"/>
      <c r="AE148" s="928"/>
      <c r="AF148" s="928"/>
      <c r="AG148" s="928"/>
      <c r="AH148" s="928"/>
      <c r="AI148" s="928"/>
      <c r="AJ148" s="928"/>
      <c r="AK148" s="928"/>
      <c r="AL148" s="928"/>
      <c r="AM148" s="928"/>
      <c r="AN148" s="928"/>
      <c r="AO148" s="928"/>
      <c r="AP148" s="928"/>
      <c r="AQ148" s="928"/>
      <c r="AR148" s="928"/>
      <c r="AS148" s="928"/>
    </row>
    <row r="149" spans="11:45">
      <c r="K149" s="957"/>
      <c r="L149" s="928"/>
      <c r="M149" s="928"/>
      <c r="N149" s="960"/>
      <c r="O149" s="960"/>
      <c r="P149" s="960"/>
      <c r="Q149" s="960"/>
      <c r="R149" s="960"/>
      <c r="S149" s="960"/>
      <c r="T149" s="960"/>
      <c r="U149" s="960"/>
      <c r="V149" s="960"/>
      <c r="W149" s="960"/>
      <c r="X149" s="960"/>
      <c r="Y149" s="960"/>
      <c r="Z149" s="960"/>
      <c r="AA149" s="960"/>
      <c r="AB149" s="928"/>
      <c r="AC149" s="928"/>
      <c r="AD149" s="928"/>
      <c r="AE149" s="928"/>
      <c r="AF149" s="928"/>
      <c r="AG149" s="928"/>
      <c r="AH149" s="928"/>
      <c r="AI149" s="928"/>
      <c r="AJ149" s="928"/>
      <c r="AK149" s="928"/>
      <c r="AL149" s="928"/>
      <c r="AM149" s="928"/>
      <c r="AN149" s="928"/>
      <c r="AO149" s="928"/>
      <c r="AP149" s="928"/>
      <c r="AQ149" s="928"/>
      <c r="AR149" s="928"/>
      <c r="AS149" s="928"/>
    </row>
    <row r="150" spans="11:45">
      <c r="K150" s="957"/>
      <c r="L150" s="928"/>
      <c r="M150" s="928"/>
      <c r="N150" s="960"/>
      <c r="O150" s="960"/>
      <c r="P150" s="960"/>
      <c r="Q150" s="960"/>
      <c r="R150" s="960"/>
      <c r="S150" s="960"/>
      <c r="T150" s="960"/>
      <c r="U150" s="960"/>
      <c r="V150" s="960"/>
      <c r="W150" s="960"/>
      <c r="X150" s="960"/>
      <c r="Y150" s="960"/>
      <c r="Z150" s="960"/>
      <c r="AA150" s="960"/>
      <c r="AB150" s="928"/>
      <c r="AC150" s="928"/>
      <c r="AD150" s="928"/>
      <c r="AE150" s="928"/>
      <c r="AF150" s="928"/>
      <c r="AG150" s="928"/>
      <c r="AH150" s="928"/>
      <c r="AI150" s="928"/>
      <c r="AJ150" s="928"/>
      <c r="AK150" s="928"/>
      <c r="AL150" s="928"/>
      <c r="AM150" s="928"/>
      <c r="AN150" s="928"/>
      <c r="AO150" s="928"/>
      <c r="AP150" s="928"/>
      <c r="AQ150" s="928"/>
      <c r="AR150" s="928"/>
      <c r="AS150" s="928"/>
    </row>
    <row r="151" spans="11:45">
      <c r="K151" s="957"/>
      <c r="L151" s="928"/>
      <c r="M151" s="928"/>
      <c r="N151" s="960"/>
      <c r="O151" s="960"/>
      <c r="P151" s="960"/>
      <c r="Q151" s="960"/>
      <c r="R151" s="960"/>
      <c r="S151" s="960"/>
      <c r="T151" s="960"/>
      <c r="U151" s="960"/>
      <c r="V151" s="960"/>
      <c r="W151" s="960"/>
      <c r="X151" s="960"/>
      <c r="Y151" s="960"/>
      <c r="Z151" s="960"/>
      <c r="AA151" s="960"/>
      <c r="AB151" s="928"/>
      <c r="AC151" s="928"/>
      <c r="AD151" s="928"/>
      <c r="AE151" s="928"/>
      <c r="AF151" s="928"/>
      <c r="AG151" s="928"/>
      <c r="AH151" s="928"/>
      <c r="AI151" s="928"/>
      <c r="AJ151" s="928"/>
      <c r="AK151" s="928"/>
      <c r="AL151" s="928"/>
      <c r="AM151" s="928"/>
      <c r="AN151" s="928"/>
      <c r="AO151" s="928"/>
      <c r="AP151" s="928"/>
      <c r="AQ151" s="928"/>
      <c r="AR151" s="928"/>
      <c r="AS151" s="928"/>
    </row>
    <row r="152" spans="11:45">
      <c r="K152" s="957"/>
      <c r="L152" s="928"/>
      <c r="M152" s="928"/>
      <c r="N152" s="960"/>
      <c r="O152" s="960"/>
      <c r="P152" s="960"/>
      <c r="Q152" s="960"/>
      <c r="R152" s="960"/>
      <c r="S152" s="960"/>
      <c r="T152" s="960"/>
      <c r="U152" s="960"/>
      <c r="V152" s="960"/>
      <c r="W152" s="960"/>
      <c r="X152" s="960"/>
      <c r="Y152" s="960"/>
      <c r="Z152" s="960"/>
      <c r="AA152" s="960"/>
      <c r="AB152" s="928"/>
      <c r="AC152" s="928"/>
      <c r="AD152" s="928"/>
      <c r="AE152" s="928"/>
      <c r="AF152" s="928"/>
      <c r="AG152" s="928"/>
      <c r="AH152" s="928"/>
      <c r="AI152" s="928"/>
      <c r="AJ152" s="928"/>
      <c r="AK152" s="928"/>
      <c r="AL152" s="928"/>
      <c r="AM152" s="928"/>
      <c r="AN152" s="928"/>
      <c r="AO152" s="928"/>
      <c r="AP152" s="928"/>
      <c r="AQ152" s="928"/>
      <c r="AR152" s="928"/>
      <c r="AS152" s="928"/>
    </row>
    <row r="153" spans="11:45">
      <c r="K153" s="957"/>
      <c r="L153" s="928"/>
      <c r="M153" s="928"/>
      <c r="N153" s="960"/>
      <c r="O153" s="960"/>
      <c r="P153" s="960"/>
      <c r="Q153" s="960"/>
      <c r="R153" s="960"/>
      <c r="S153" s="960"/>
      <c r="T153" s="960"/>
      <c r="U153" s="960"/>
      <c r="V153" s="960"/>
      <c r="W153" s="960"/>
      <c r="X153" s="960"/>
      <c r="Y153" s="960"/>
      <c r="Z153" s="960"/>
      <c r="AA153" s="960"/>
      <c r="AB153" s="928"/>
      <c r="AC153" s="928"/>
      <c r="AD153" s="928"/>
      <c r="AE153" s="928"/>
      <c r="AF153" s="928"/>
      <c r="AG153" s="928"/>
      <c r="AH153" s="928"/>
      <c r="AI153" s="928"/>
      <c r="AJ153" s="928"/>
      <c r="AK153" s="928"/>
      <c r="AL153" s="928"/>
      <c r="AM153" s="928"/>
      <c r="AN153" s="928"/>
      <c r="AO153" s="928"/>
      <c r="AP153" s="928"/>
      <c r="AQ153" s="928"/>
      <c r="AR153" s="928"/>
      <c r="AS153" s="928"/>
    </row>
    <row r="154" spans="11:45">
      <c r="K154" s="957"/>
      <c r="L154" s="928"/>
      <c r="M154" s="928"/>
      <c r="N154" s="960"/>
      <c r="O154" s="960"/>
      <c r="P154" s="960"/>
      <c r="Q154" s="960"/>
      <c r="R154" s="960"/>
      <c r="S154" s="960"/>
      <c r="T154" s="960"/>
      <c r="U154" s="960"/>
      <c r="V154" s="960"/>
      <c r="W154" s="960"/>
      <c r="X154" s="960"/>
      <c r="Y154" s="960"/>
      <c r="Z154" s="960"/>
      <c r="AA154" s="960"/>
      <c r="AB154" s="928"/>
      <c r="AC154" s="928"/>
      <c r="AD154" s="928"/>
      <c r="AE154" s="928"/>
      <c r="AF154" s="928"/>
      <c r="AG154" s="928"/>
      <c r="AH154" s="928"/>
      <c r="AI154" s="928"/>
      <c r="AJ154" s="928"/>
      <c r="AK154" s="928"/>
      <c r="AL154" s="928"/>
      <c r="AM154" s="928"/>
      <c r="AN154" s="928"/>
      <c r="AO154" s="928"/>
      <c r="AP154" s="928"/>
      <c r="AQ154" s="928"/>
      <c r="AR154" s="928"/>
      <c r="AS154" s="928"/>
    </row>
    <row r="155" spans="11:45">
      <c r="K155" s="957"/>
      <c r="L155" s="928"/>
      <c r="M155" s="928"/>
      <c r="N155" s="960"/>
      <c r="O155" s="960"/>
      <c r="P155" s="960"/>
      <c r="Q155" s="960"/>
      <c r="R155" s="960"/>
      <c r="S155" s="960"/>
      <c r="T155" s="960"/>
      <c r="U155" s="960"/>
      <c r="V155" s="960"/>
      <c r="W155" s="960"/>
      <c r="X155" s="960"/>
      <c r="Y155" s="960"/>
      <c r="Z155" s="960"/>
      <c r="AA155" s="960"/>
      <c r="AB155" s="928"/>
      <c r="AC155" s="928"/>
      <c r="AD155" s="928"/>
      <c r="AE155" s="928"/>
      <c r="AF155" s="928"/>
      <c r="AG155" s="928"/>
      <c r="AH155" s="928"/>
      <c r="AI155" s="928"/>
      <c r="AJ155" s="928"/>
      <c r="AK155" s="928"/>
      <c r="AL155" s="928"/>
      <c r="AM155" s="928"/>
      <c r="AN155" s="928"/>
      <c r="AO155" s="928"/>
      <c r="AP155" s="928"/>
      <c r="AQ155" s="928"/>
      <c r="AR155" s="928"/>
      <c r="AS155" s="928"/>
    </row>
    <row r="156" spans="11:45">
      <c r="K156" s="957"/>
      <c r="L156" s="928"/>
      <c r="M156" s="928"/>
      <c r="N156" s="960"/>
      <c r="O156" s="960"/>
      <c r="P156" s="960"/>
      <c r="Q156" s="960"/>
      <c r="R156" s="960"/>
      <c r="S156" s="960"/>
      <c r="T156" s="960"/>
      <c r="U156" s="960"/>
      <c r="V156" s="960"/>
      <c r="W156" s="960"/>
      <c r="X156" s="960"/>
      <c r="Y156" s="960"/>
      <c r="Z156" s="960"/>
      <c r="AA156" s="960"/>
      <c r="AB156" s="928"/>
      <c r="AC156" s="928"/>
      <c r="AD156" s="928"/>
      <c r="AE156" s="928"/>
      <c r="AF156" s="928"/>
      <c r="AG156" s="928"/>
      <c r="AH156" s="928"/>
      <c r="AI156" s="928"/>
      <c r="AJ156" s="928"/>
      <c r="AK156" s="928"/>
      <c r="AL156" s="928"/>
      <c r="AM156" s="928"/>
      <c r="AN156" s="928"/>
      <c r="AO156" s="928"/>
      <c r="AP156" s="928"/>
      <c r="AQ156" s="928"/>
      <c r="AR156" s="928"/>
      <c r="AS156" s="928"/>
    </row>
    <row r="157" spans="11:45">
      <c r="K157" s="957"/>
      <c r="L157" s="928"/>
      <c r="M157" s="928"/>
      <c r="N157" s="960"/>
      <c r="O157" s="960"/>
      <c r="P157" s="960"/>
      <c r="Q157" s="960"/>
      <c r="R157" s="960"/>
      <c r="S157" s="960"/>
      <c r="T157" s="960"/>
      <c r="U157" s="960"/>
      <c r="V157" s="960"/>
      <c r="W157" s="960"/>
      <c r="X157" s="960"/>
      <c r="Y157" s="960"/>
      <c r="Z157" s="960"/>
      <c r="AA157" s="960"/>
      <c r="AB157" s="928"/>
      <c r="AC157" s="928"/>
      <c r="AD157" s="928"/>
      <c r="AE157" s="928"/>
      <c r="AF157" s="928"/>
      <c r="AG157" s="928"/>
      <c r="AH157" s="928"/>
      <c r="AI157" s="928"/>
      <c r="AJ157" s="928"/>
      <c r="AK157" s="928"/>
      <c r="AL157" s="928"/>
      <c r="AM157" s="928"/>
      <c r="AN157" s="928"/>
      <c r="AO157" s="928"/>
      <c r="AP157" s="928"/>
      <c r="AQ157" s="928"/>
      <c r="AR157" s="928"/>
      <c r="AS157" s="928"/>
    </row>
    <row r="158" spans="11:45">
      <c r="K158" s="957"/>
      <c r="L158" s="928"/>
      <c r="M158" s="928"/>
      <c r="N158" s="960"/>
      <c r="O158" s="960"/>
      <c r="P158" s="960"/>
      <c r="Q158" s="960"/>
      <c r="R158" s="960"/>
      <c r="S158" s="960"/>
      <c r="T158" s="960"/>
      <c r="U158" s="960"/>
      <c r="V158" s="960"/>
      <c r="W158" s="960"/>
      <c r="X158" s="960"/>
      <c r="Y158" s="960"/>
      <c r="Z158" s="960"/>
      <c r="AA158" s="960"/>
      <c r="AB158" s="928"/>
      <c r="AC158" s="928"/>
      <c r="AD158" s="928"/>
      <c r="AE158" s="928"/>
      <c r="AF158" s="928"/>
      <c r="AG158" s="928"/>
      <c r="AH158" s="928"/>
      <c r="AI158" s="928"/>
      <c r="AJ158" s="928"/>
      <c r="AK158" s="928"/>
      <c r="AL158" s="928"/>
      <c r="AM158" s="928"/>
      <c r="AN158" s="928"/>
      <c r="AO158" s="928"/>
      <c r="AP158" s="928"/>
      <c r="AQ158" s="928"/>
      <c r="AR158" s="928"/>
      <c r="AS158" s="928"/>
    </row>
    <row r="159" spans="11:45">
      <c r="K159" s="957"/>
      <c r="L159" s="928"/>
      <c r="M159" s="928"/>
      <c r="N159" s="960"/>
      <c r="O159" s="960"/>
      <c r="P159" s="960"/>
      <c r="Q159" s="960"/>
      <c r="R159" s="960"/>
      <c r="S159" s="960"/>
      <c r="T159" s="960"/>
      <c r="U159" s="960"/>
      <c r="V159" s="960"/>
      <c r="W159" s="960"/>
      <c r="X159" s="960"/>
      <c r="Y159" s="960"/>
      <c r="Z159" s="960"/>
      <c r="AA159" s="960"/>
      <c r="AB159" s="928"/>
      <c r="AC159" s="928"/>
      <c r="AD159" s="928"/>
      <c r="AE159" s="928"/>
      <c r="AF159" s="928"/>
      <c r="AG159" s="928"/>
      <c r="AH159" s="928"/>
      <c r="AI159" s="928"/>
      <c r="AJ159" s="928"/>
      <c r="AK159" s="928"/>
      <c r="AL159" s="928"/>
      <c r="AM159" s="928"/>
      <c r="AN159" s="928"/>
      <c r="AO159" s="928"/>
      <c r="AP159" s="928"/>
      <c r="AQ159" s="928"/>
      <c r="AR159" s="928"/>
      <c r="AS159" s="928"/>
    </row>
    <row r="160" spans="11:45">
      <c r="K160" s="957"/>
      <c r="L160" s="928"/>
      <c r="M160" s="928"/>
      <c r="N160" s="960"/>
      <c r="O160" s="960"/>
      <c r="P160" s="960"/>
      <c r="Q160" s="960"/>
      <c r="R160" s="960"/>
      <c r="S160" s="960"/>
      <c r="T160" s="960"/>
      <c r="U160" s="960"/>
      <c r="V160" s="960"/>
      <c r="W160" s="960"/>
      <c r="X160" s="960"/>
      <c r="Y160" s="960"/>
      <c r="Z160" s="960"/>
      <c r="AA160" s="960"/>
      <c r="AB160" s="928"/>
      <c r="AC160" s="928"/>
      <c r="AD160" s="928"/>
      <c r="AE160" s="928"/>
      <c r="AF160" s="928"/>
      <c r="AG160" s="928"/>
      <c r="AH160" s="928"/>
      <c r="AI160" s="928"/>
      <c r="AJ160" s="928"/>
      <c r="AK160" s="928"/>
      <c r="AL160" s="928"/>
      <c r="AM160" s="928"/>
      <c r="AN160" s="928"/>
      <c r="AO160" s="928"/>
      <c r="AP160" s="928"/>
      <c r="AQ160" s="928"/>
      <c r="AR160" s="928"/>
      <c r="AS160" s="928"/>
    </row>
    <row r="161" spans="11:45">
      <c r="K161" s="957"/>
      <c r="L161" s="928"/>
      <c r="M161" s="928"/>
      <c r="N161" s="960"/>
      <c r="O161" s="960"/>
      <c r="P161" s="960"/>
      <c r="Q161" s="960"/>
      <c r="R161" s="960"/>
      <c r="S161" s="960"/>
      <c r="T161" s="960"/>
      <c r="U161" s="960"/>
      <c r="V161" s="960"/>
      <c r="W161" s="960"/>
      <c r="X161" s="960"/>
      <c r="Y161" s="960"/>
      <c r="Z161" s="960"/>
      <c r="AA161" s="960"/>
      <c r="AB161" s="928"/>
      <c r="AC161" s="928"/>
      <c r="AD161" s="928"/>
      <c r="AE161" s="928"/>
      <c r="AF161" s="928"/>
      <c r="AG161" s="928"/>
      <c r="AH161" s="928"/>
      <c r="AI161" s="928"/>
      <c r="AJ161" s="928"/>
      <c r="AK161" s="928"/>
      <c r="AL161" s="928"/>
      <c r="AM161" s="928"/>
      <c r="AN161" s="928"/>
      <c r="AO161" s="928"/>
      <c r="AP161" s="928"/>
      <c r="AQ161" s="928"/>
      <c r="AR161" s="928"/>
      <c r="AS161" s="928"/>
    </row>
    <row r="162" spans="11:45">
      <c r="K162" s="957"/>
      <c r="L162" s="928"/>
      <c r="M162" s="928"/>
      <c r="N162" s="960"/>
      <c r="O162" s="960"/>
      <c r="P162" s="960"/>
      <c r="Q162" s="960"/>
      <c r="R162" s="960"/>
      <c r="S162" s="960"/>
      <c r="T162" s="960"/>
      <c r="U162" s="960"/>
      <c r="V162" s="960"/>
      <c r="W162" s="960"/>
      <c r="X162" s="960"/>
      <c r="Y162" s="960"/>
      <c r="Z162" s="960"/>
      <c r="AA162" s="960"/>
      <c r="AB162" s="928"/>
      <c r="AC162" s="928"/>
      <c r="AD162" s="928"/>
      <c r="AE162" s="928"/>
      <c r="AF162" s="928"/>
      <c r="AG162" s="928"/>
      <c r="AH162" s="928"/>
      <c r="AI162" s="928"/>
      <c r="AJ162" s="928"/>
      <c r="AK162" s="928"/>
      <c r="AL162" s="928"/>
      <c r="AM162" s="928"/>
      <c r="AN162" s="928"/>
      <c r="AO162" s="928"/>
      <c r="AP162" s="928"/>
      <c r="AQ162" s="928"/>
      <c r="AR162" s="928"/>
      <c r="AS162" s="928"/>
    </row>
    <row r="163" spans="11:45">
      <c r="K163" s="957"/>
      <c r="L163" s="928"/>
      <c r="M163" s="928"/>
      <c r="N163" s="960"/>
      <c r="O163" s="960"/>
      <c r="P163" s="960"/>
      <c r="Q163" s="960"/>
      <c r="R163" s="960"/>
      <c r="S163" s="960"/>
      <c r="T163" s="960"/>
      <c r="U163" s="960"/>
      <c r="V163" s="960"/>
      <c r="W163" s="960"/>
      <c r="X163" s="960"/>
      <c r="Y163" s="960"/>
      <c r="Z163" s="960"/>
      <c r="AA163" s="960"/>
      <c r="AB163" s="928"/>
      <c r="AC163" s="928"/>
      <c r="AD163" s="928"/>
      <c r="AE163" s="928"/>
      <c r="AF163" s="928"/>
      <c r="AG163" s="928"/>
      <c r="AH163" s="928"/>
      <c r="AI163" s="928"/>
      <c r="AJ163" s="928"/>
      <c r="AK163" s="928"/>
      <c r="AL163" s="928"/>
      <c r="AM163" s="928"/>
      <c r="AN163" s="928"/>
      <c r="AO163" s="928"/>
      <c r="AP163" s="928"/>
      <c r="AQ163" s="928"/>
      <c r="AR163" s="928"/>
      <c r="AS163" s="928"/>
    </row>
    <row r="164" spans="11:45">
      <c r="K164" s="957"/>
      <c r="L164" s="928"/>
      <c r="M164" s="928"/>
      <c r="N164" s="960"/>
      <c r="O164" s="960"/>
      <c r="P164" s="960"/>
      <c r="Q164" s="960"/>
      <c r="R164" s="960"/>
      <c r="S164" s="960"/>
      <c r="T164" s="960"/>
      <c r="U164" s="960"/>
      <c r="V164" s="960"/>
      <c r="W164" s="960"/>
      <c r="X164" s="960"/>
      <c r="Y164" s="960"/>
      <c r="Z164" s="960"/>
      <c r="AA164" s="960"/>
      <c r="AB164" s="928"/>
      <c r="AC164" s="928"/>
      <c r="AD164" s="928"/>
      <c r="AE164" s="928"/>
      <c r="AF164" s="928"/>
      <c r="AG164" s="928"/>
      <c r="AH164" s="928"/>
      <c r="AI164" s="928"/>
      <c r="AJ164" s="928"/>
      <c r="AK164" s="928"/>
      <c r="AL164" s="928"/>
      <c r="AM164" s="928"/>
      <c r="AN164" s="928"/>
      <c r="AO164" s="928"/>
      <c r="AP164" s="928"/>
      <c r="AQ164" s="928"/>
      <c r="AR164" s="928"/>
      <c r="AS164" s="928"/>
    </row>
    <row r="165" spans="11:45">
      <c r="K165" s="957"/>
      <c r="L165" s="928"/>
      <c r="M165" s="928"/>
      <c r="N165" s="960"/>
      <c r="O165" s="960"/>
      <c r="P165" s="960"/>
      <c r="Q165" s="960"/>
      <c r="R165" s="960"/>
      <c r="S165" s="960"/>
      <c r="T165" s="960"/>
      <c r="U165" s="960"/>
      <c r="V165" s="960"/>
      <c r="W165" s="960"/>
      <c r="X165" s="960"/>
      <c r="Y165" s="960"/>
      <c r="Z165" s="960"/>
      <c r="AA165" s="960"/>
      <c r="AB165" s="928"/>
      <c r="AC165" s="928"/>
      <c r="AD165" s="928"/>
      <c r="AE165" s="928"/>
      <c r="AF165" s="928"/>
      <c r="AG165" s="928"/>
      <c r="AH165" s="928"/>
      <c r="AI165" s="928"/>
      <c r="AJ165" s="928"/>
      <c r="AK165" s="928"/>
      <c r="AL165" s="928"/>
      <c r="AM165" s="928"/>
      <c r="AN165" s="928"/>
      <c r="AO165" s="928"/>
      <c r="AP165" s="928"/>
      <c r="AQ165" s="928"/>
      <c r="AR165" s="928"/>
      <c r="AS165" s="928"/>
    </row>
    <row r="166" spans="11:45">
      <c r="K166" s="957"/>
      <c r="L166" s="928"/>
      <c r="M166" s="928"/>
      <c r="N166" s="960"/>
      <c r="O166" s="960"/>
      <c r="P166" s="960"/>
      <c r="Q166" s="960"/>
      <c r="R166" s="960"/>
      <c r="S166" s="960"/>
      <c r="T166" s="960"/>
      <c r="U166" s="960"/>
      <c r="V166" s="960"/>
      <c r="W166" s="960"/>
      <c r="X166" s="960"/>
      <c r="Y166" s="960"/>
      <c r="Z166" s="960"/>
      <c r="AA166" s="960"/>
      <c r="AB166" s="928"/>
      <c r="AC166" s="928"/>
      <c r="AD166" s="928"/>
      <c r="AE166" s="928"/>
      <c r="AF166" s="928"/>
      <c r="AG166" s="928"/>
      <c r="AH166" s="928"/>
      <c r="AI166" s="928"/>
      <c r="AJ166" s="928"/>
      <c r="AK166" s="928"/>
      <c r="AL166" s="928"/>
      <c r="AM166" s="928"/>
      <c r="AN166" s="928"/>
      <c r="AO166" s="928"/>
      <c r="AP166" s="928"/>
      <c r="AQ166" s="928"/>
      <c r="AR166" s="928"/>
      <c r="AS166" s="928"/>
    </row>
    <row r="167" spans="11:45">
      <c r="K167" s="957"/>
      <c r="L167" s="928"/>
      <c r="M167" s="928"/>
      <c r="N167" s="960"/>
      <c r="O167" s="960"/>
      <c r="P167" s="960"/>
      <c r="Q167" s="960"/>
      <c r="R167" s="960"/>
      <c r="S167" s="960"/>
      <c r="T167" s="960"/>
      <c r="U167" s="960"/>
      <c r="V167" s="960"/>
      <c r="W167" s="960"/>
      <c r="X167" s="960"/>
      <c r="Y167" s="960"/>
      <c r="Z167" s="960"/>
      <c r="AA167" s="960"/>
      <c r="AB167" s="928"/>
      <c r="AC167" s="928"/>
      <c r="AD167" s="928"/>
      <c r="AE167" s="928"/>
      <c r="AF167" s="928"/>
      <c r="AG167" s="928"/>
      <c r="AH167" s="928"/>
      <c r="AI167" s="928"/>
      <c r="AJ167" s="928"/>
      <c r="AK167" s="928"/>
      <c r="AL167" s="928"/>
      <c r="AM167" s="928"/>
      <c r="AN167" s="928"/>
      <c r="AO167" s="928"/>
      <c r="AP167" s="928"/>
      <c r="AQ167" s="928"/>
      <c r="AR167" s="928"/>
      <c r="AS167" s="928"/>
    </row>
    <row r="168" spans="11:45">
      <c r="K168" s="957"/>
      <c r="L168" s="928"/>
      <c r="M168" s="928"/>
      <c r="N168" s="960"/>
      <c r="O168" s="960"/>
      <c r="P168" s="960"/>
      <c r="Q168" s="960"/>
      <c r="R168" s="960"/>
      <c r="S168" s="960"/>
      <c r="T168" s="960"/>
      <c r="U168" s="960"/>
      <c r="V168" s="960"/>
      <c r="W168" s="960"/>
      <c r="X168" s="960"/>
      <c r="Y168" s="960"/>
      <c r="Z168" s="960"/>
      <c r="AA168" s="960"/>
      <c r="AB168" s="928"/>
      <c r="AC168" s="928"/>
      <c r="AD168" s="928"/>
      <c r="AE168" s="928"/>
      <c r="AF168" s="928"/>
      <c r="AG168" s="928"/>
      <c r="AH168" s="928"/>
      <c r="AI168" s="928"/>
      <c r="AJ168" s="928"/>
      <c r="AK168" s="928"/>
      <c r="AL168" s="928"/>
      <c r="AM168" s="928"/>
      <c r="AN168" s="928"/>
      <c r="AO168" s="928"/>
      <c r="AP168" s="928"/>
      <c r="AQ168" s="928"/>
      <c r="AR168" s="928"/>
      <c r="AS168" s="928"/>
    </row>
    <row r="169" spans="11:45">
      <c r="K169" s="957"/>
      <c r="L169" s="928"/>
      <c r="M169" s="928"/>
      <c r="N169" s="960"/>
      <c r="O169" s="960"/>
      <c r="P169" s="960"/>
      <c r="Q169" s="960"/>
      <c r="R169" s="960"/>
      <c r="S169" s="960"/>
      <c r="T169" s="960"/>
      <c r="U169" s="960"/>
      <c r="V169" s="960"/>
      <c r="W169" s="960"/>
      <c r="X169" s="960"/>
      <c r="Y169" s="960"/>
      <c r="Z169" s="960"/>
      <c r="AA169" s="960"/>
      <c r="AB169" s="928"/>
      <c r="AC169" s="928"/>
      <c r="AD169" s="928"/>
      <c r="AE169" s="928"/>
      <c r="AF169" s="928"/>
      <c r="AG169" s="928"/>
      <c r="AH169" s="928"/>
      <c r="AI169" s="928"/>
      <c r="AJ169" s="928"/>
      <c r="AK169" s="928"/>
      <c r="AL169" s="928"/>
      <c r="AM169" s="928"/>
      <c r="AN169" s="928"/>
      <c r="AO169" s="928"/>
      <c r="AP169" s="928"/>
      <c r="AQ169" s="928"/>
      <c r="AR169" s="928"/>
      <c r="AS169" s="928"/>
    </row>
    <row r="170" spans="11:45">
      <c r="K170" s="957"/>
      <c r="L170" s="928"/>
      <c r="M170" s="928"/>
      <c r="N170" s="960"/>
      <c r="O170" s="960"/>
      <c r="P170" s="960"/>
      <c r="Q170" s="960"/>
      <c r="R170" s="960"/>
      <c r="S170" s="960"/>
      <c r="T170" s="960"/>
      <c r="U170" s="960"/>
      <c r="V170" s="960"/>
      <c r="W170" s="960"/>
      <c r="X170" s="960"/>
      <c r="Y170" s="960"/>
      <c r="Z170" s="960"/>
      <c r="AA170" s="960"/>
      <c r="AB170" s="928"/>
      <c r="AC170" s="928"/>
      <c r="AD170" s="928"/>
      <c r="AE170" s="928"/>
      <c r="AF170" s="928"/>
      <c r="AG170" s="928"/>
      <c r="AH170" s="928"/>
      <c r="AI170" s="928"/>
      <c r="AJ170" s="928"/>
      <c r="AK170" s="928"/>
      <c r="AL170" s="928"/>
      <c r="AM170" s="928"/>
      <c r="AN170" s="928"/>
      <c r="AO170" s="928"/>
      <c r="AP170" s="928"/>
      <c r="AQ170" s="928"/>
      <c r="AR170" s="928"/>
      <c r="AS170" s="928"/>
    </row>
    <row r="171" spans="11:45">
      <c r="K171" s="957"/>
      <c r="L171" s="928"/>
      <c r="M171" s="928"/>
      <c r="N171" s="960"/>
      <c r="O171" s="960"/>
      <c r="P171" s="960"/>
      <c r="Q171" s="960"/>
      <c r="R171" s="960"/>
      <c r="S171" s="960"/>
      <c r="T171" s="960"/>
      <c r="U171" s="960"/>
      <c r="V171" s="960"/>
      <c r="W171" s="960"/>
      <c r="X171" s="960"/>
      <c r="Y171" s="960"/>
      <c r="Z171" s="960"/>
      <c r="AA171" s="960"/>
      <c r="AB171" s="928"/>
      <c r="AC171" s="928"/>
      <c r="AD171" s="928"/>
      <c r="AE171" s="928"/>
      <c r="AF171" s="928"/>
      <c r="AG171" s="928"/>
      <c r="AH171" s="928"/>
      <c r="AI171" s="928"/>
      <c r="AJ171" s="928"/>
      <c r="AK171" s="928"/>
      <c r="AL171" s="928"/>
      <c r="AM171" s="928"/>
      <c r="AN171" s="928"/>
      <c r="AO171" s="928"/>
      <c r="AP171" s="928"/>
      <c r="AQ171" s="928"/>
      <c r="AR171" s="928"/>
      <c r="AS171" s="928"/>
    </row>
    <row r="172" spans="11:45">
      <c r="K172" s="957"/>
      <c r="L172" s="928"/>
      <c r="M172" s="928"/>
      <c r="N172" s="960"/>
      <c r="O172" s="960"/>
      <c r="P172" s="960"/>
      <c r="Q172" s="960"/>
      <c r="R172" s="960"/>
      <c r="S172" s="960"/>
      <c r="T172" s="960"/>
      <c r="U172" s="960"/>
      <c r="V172" s="960"/>
      <c r="W172" s="960"/>
      <c r="X172" s="960"/>
      <c r="Y172" s="960"/>
      <c r="Z172" s="960"/>
      <c r="AA172" s="960"/>
      <c r="AB172" s="928"/>
      <c r="AC172" s="928"/>
      <c r="AD172" s="928"/>
      <c r="AE172" s="928"/>
      <c r="AF172" s="928"/>
      <c r="AG172" s="928"/>
      <c r="AH172" s="928"/>
      <c r="AI172" s="928"/>
      <c r="AJ172" s="928"/>
      <c r="AK172" s="928"/>
      <c r="AL172" s="928"/>
      <c r="AM172" s="928"/>
      <c r="AN172" s="928"/>
      <c r="AO172" s="928"/>
      <c r="AP172" s="928"/>
      <c r="AQ172" s="928"/>
      <c r="AR172" s="928"/>
      <c r="AS172" s="928"/>
    </row>
    <row r="173" spans="11:45">
      <c r="K173" s="957"/>
      <c r="L173" s="928"/>
      <c r="M173" s="928"/>
      <c r="N173" s="960"/>
      <c r="O173" s="960"/>
      <c r="P173" s="960"/>
      <c r="Q173" s="960"/>
      <c r="R173" s="960"/>
      <c r="S173" s="960"/>
      <c r="T173" s="960"/>
      <c r="U173" s="960"/>
      <c r="V173" s="960"/>
      <c r="W173" s="960"/>
      <c r="X173" s="960"/>
      <c r="Y173" s="960"/>
      <c r="Z173" s="960"/>
      <c r="AA173" s="960"/>
      <c r="AB173" s="928"/>
      <c r="AC173" s="928"/>
      <c r="AD173" s="928"/>
      <c r="AE173" s="928"/>
      <c r="AF173" s="928"/>
      <c r="AG173" s="928"/>
      <c r="AH173" s="928"/>
      <c r="AI173" s="928"/>
      <c r="AJ173" s="928"/>
      <c r="AK173" s="928"/>
      <c r="AL173" s="928"/>
      <c r="AM173" s="928"/>
      <c r="AN173" s="928"/>
      <c r="AO173" s="928"/>
      <c r="AP173" s="928"/>
      <c r="AQ173" s="928"/>
      <c r="AR173" s="928"/>
      <c r="AS173" s="928"/>
    </row>
    <row r="174" spans="11:45">
      <c r="K174" s="957"/>
      <c r="L174" s="928"/>
      <c r="M174" s="928"/>
      <c r="N174" s="960"/>
      <c r="O174" s="960"/>
      <c r="P174" s="960"/>
      <c r="Q174" s="960"/>
      <c r="R174" s="960"/>
      <c r="S174" s="960"/>
      <c r="T174" s="960"/>
      <c r="U174" s="960"/>
      <c r="V174" s="960"/>
      <c r="W174" s="960"/>
      <c r="X174" s="960"/>
      <c r="Y174" s="960"/>
      <c r="Z174" s="960"/>
      <c r="AA174" s="960"/>
      <c r="AB174" s="928"/>
      <c r="AC174" s="928"/>
      <c r="AD174" s="928"/>
      <c r="AE174" s="928"/>
      <c r="AF174" s="928"/>
      <c r="AG174" s="928"/>
      <c r="AH174" s="928"/>
      <c r="AI174" s="928"/>
      <c r="AJ174" s="928"/>
      <c r="AK174" s="928"/>
      <c r="AL174" s="928"/>
      <c r="AM174" s="928"/>
      <c r="AN174" s="928"/>
      <c r="AO174" s="928"/>
      <c r="AP174" s="928"/>
      <c r="AQ174" s="928"/>
      <c r="AR174" s="928"/>
      <c r="AS174" s="928"/>
    </row>
    <row r="175" spans="11:45">
      <c r="K175" s="957"/>
      <c r="L175" s="928"/>
      <c r="M175" s="928"/>
      <c r="N175" s="960"/>
      <c r="O175" s="960"/>
      <c r="P175" s="960"/>
      <c r="Q175" s="960"/>
      <c r="R175" s="960"/>
      <c r="S175" s="960"/>
      <c r="T175" s="960"/>
      <c r="U175" s="960"/>
      <c r="V175" s="960"/>
      <c r="W175" s="960"/>
      <c r="X175" s="960"/>
      <c r="Y175" s="960"/>
      <c r="Z175" s="960"/>
      <c r="AA175" s="960"/>
      <c r="AB175" s="928"/>
      <c r="AC175" s="928"/>
      <c r="AD175" s="928"/>
      <c r="AE175" s="928"/>
      <c r="AF175" s="928"/>
      <c r="AG175" s="928"/>
      <c r="AH175" s="928"/>
      <c r="AI175" s="928"/>
      <c r="AJ175" s="928"/>
      <c r="AK175" s="928"/>
      <c r="AL175" s="928"/>
      <c r="AM175" s="928"/>
      <c r="AN175" s="928"/>
      <c r="AO175" s="928"/>
      <c r="AP175" s="928"/>
      <c r="AQ175" s="928"/>
      <c r="AR175" s="928"/>
      <c r="AS175" s="928"/>
    </row>
    <row r="176" spans="11:45">
      <c r="K176" s="957"/>
      <c r="L176" s="928"/>
      <c r="M176" s="928"/>
      <c r="N176" s="960"/>
      <c r="O176" s="960"/>
      <c r="P176" s="960"/>
      <c r="Q176" s="960"/>
      <c r="R176" s="960"/>
      <c r="S176" s="960"/>
      <c r="T176" s="960"/>
      <c r="U176" s="960"/>
      <c r="V176" s="960"/>
      <c r="W176" s="960"/>
      <c r="X176" s="960"/>
      <c r="Y176" s="960"/>
      <c r="Z176" s="960"/>
      <c r="AA176" s="960"/>
      <c r="AB176" s="928"/>
      <c r="AC176" s="928"/>
      <c r="AD176" s="928"/>
      <c r="AE176" s="928"/>
      <c r="AF176" s="928"/>
      <c r="AG176" s="928"/>
      <c r="AH176" s="928"/>
      <c r="AI176" s="928"/>
      <c r="AJ176" s="928"/>
      <c r="AK176" s="928"/>
      <c r="AL176" s="928"/>
      <c r="AM176" s="928"/>
      <c r="AN176" s="928"/>
      <c r="AO176" s="928"/>
      <c r="AP176" s="928"/>
      <c r="AQ176" s="928"/>
      <c r="AR176" s="928"/>
      <c r="AS176" s="928"/>
    </row>
    <row r="177" spans="11:45">
      <c r="K177" s="957"/>
      <c r="L177" s="928"/>
      <c r="M177" s="928"/>
      <c r="N177" s="960"/>
      <c r="O177" s="960"/>
      <c r="P177" s="960"/>
      <c r="Q177" s="960"/>
      <c r="R177" s="960"/>
      <c r="S177" s="960"/>
      <c r="T177" s="960"/>
      <c r="U177" s="960"/>
      <c r="V177" s="960"/>
      <c r="W177" s="960"/>
      <c r="X177" s="960"/>
      <c r="Y177" s="960"/>
      <c r="Z177" s="960"/>
      <c r="AA177" s="960"/>
      <c r="AB177" s="928"/>
      <c r="AC177" s="928"/>
      <c r="AD177" s="928"/>
      <c r="AE177" s="928"/>
      <c r="AF177" s="928"/>
      <c r="AG177" s="928"/>
      <c r="AH177" s="928"/>
      <c r="AI177" s="928"/>
      <c r="AJ177" s="928"/>
      <c r="AK177" s="928"/>
      <c r="AL177" s="928"/>
      <c r="AM177" s="928"/>
      <c r="AN177" s="928"/>
      <c r="AO177" s="928"/>
      <c r="AP177" s="928"/>
      <c r="AQ177" s="928"/>
      <c r="AR177" s="928"/>
      <c r="AS177" s="928"/>
    </row>
    <row r="178" spans="11:45">
      <c r="K178" s="957"/>
      <c r="L178" s="928"/>
      <c r="M178" s="928"/>
      <c r="N178" s="960"/>
      <c r="O178" s="960"/>
      <c r="P178" s="960"/>
      <c r="Q178" s="960"/>
      <c r="R178" s="960"/>
      <c r="S178" s="960"/>
      <c r="T178" s="960"/>
      <c r="U178" s="960"/>
      <c r="V178" s="960"/>
      <c r="W178" s="960"/>
      <c r="X178" s="960"/>
      <c r="Y178" s="960"/>
      <c r="Z178" s="960"/>
      <c r="AA178" s="960"/>
      <c r="AB178" s="928"/>
      <c r="AC178" s="928"/>
      <c r="AD178" s="928"/>
      <c r="AE178" s="928"/>
      <c r="AF178" s="928"/>
      <c r="AG178" s="928"/>
      <c r="AH178" s="928"/>
      <c r="AI178" s="928"/>
      <c r="AJ178" s="928"/>
      <c r="AK178" s="928"/>
      <c r="AL178" s="928"/>
      <c r="AM178" s="928"/>
      <c r="AN178" s="928"/>
      <c r="AO178" s="928"/>
      <c r="AP178" s="928"/>
      <c r="AQ178" s="928"/>
      <c r="AR178" s="928"/>
      <c r="AS178" s="928"/>
    </row>
    <row r="179" spans="11:45">
      <c r="K179" s="957"/>
      <c r="L179" s="928"/>
      <c r="M179" s="928"/>
      <c r="N179" s="960"/>
      <c r="O179" s="960"/>
      <c r="P179" s="960"/>
      <c r="Q179" s="960"/>
      <c r="R179" s="960"/>
      <c r="S179" s="960"/>
      <c r="T179" s="960"/>
      <c r="U179" s="960"/>
      <c r="V179" s="960"/>
      <c r="W179" s="960"/>
      <c r="X179" s="960"/>
      <c r="Y179" s="960"/>
      <c r="Z179" s="960"/>
      <c r="AA179" s="960"/>
      <c r="AB179" s="928"/>
      <c r="AC179" s="928"/>
      <c r="AD179" s="928"/>
      <c r="AE179" s="928"/>
      <c r="AF179" s="928"/>
      <c r="AG179" s="928"/>
      <c r="AH179" s="928"/>
      <c r="AI179" s="928"/>
      <c r="AJ179" s="928"/>
      <c r="AK179" s="928"/>
      <c r="AL179" s="928"/>
      <c r="AM179" s="928"/>
      <c r="AN179" s="928"/>
      <c r="AO179" s="928"/>
      <c r="AP179" s="928"/>
      <c r="AQ179" s="928"/>
      <c r="AR179" s="928"/>
      <c r="AS179" s="928"/>
    </row>
    <row r="180" spans="11:45">
      <c r="K180" s="957"/>
      <c r="L180" s="928"/>
      <c r="M180" s="928"/>
      <c r="N180" s="960"/>
      <c r="O180" s="960"/>
      <c r="P180" s="960"/>
      <c r="Q180" s="960"/>
      <c r="R180" s="960"/>
      <c r="S180" s="960"/>
      <c r="T180" s="960"/>
      <c r="U180" s="960"/>
      <c r="V180" s="960"/>
      <c r="W180" s="960"/>
      <c r="X180" s="960"/>
      <c r="Y180" s="960"/>
      <c r="Z180" s="960"/>
      <c r="AA180" s="960"/>
      <c r="AB180" s="928"/>
      <c r="AC180" s="928"/>
      <c r="AD180" s="928"/>
      <c r="AE180" s="928"/>
      <c r="AF180" s="928"/>
      <c r="AG180" s="928"/>
      <c r="AH180" s="928"/>
      <c r="AI180" s="928"/>
      <c r="AJ180" s="928"/>
      <c r="AK180" s="928"/>
      <c r="AL180" s="928"/>
      <c r="AM180" s="928"/>
      <c r="AN180" s="928"/>
      <c r="AO180" s="928"/>
      <c r="AP180" s="928"/>
      <c r="AQ180" s="928"/>
      <c r="AR180" s="928"/>
      <c r="AS180" s="928"/>
    </row>
    <row r="181" spans="11:45">
      <c r="K181" s="957"/>
      <c r="L181" s="928"/>
      <c r="M181" s="928"/>
      <c r="N181" s="960"/>
      <c r="O181" s="960"/>
      <c r="P181" s="960"/>
      <c r="Q181" s="960"/>
      <c r="R181" s="960"/>
      <c r="S181" s="960"/>
      <c r="T181" s="960"/>
      <c r="U181" s="960"/>
      <c r="V181" s="960"/>
      <c r="W181" s="960"/>
      <c r="X181" s="960"/>
      <c r="Y181" s="960"/>
      <c r="Z181" s="960"/>
      <c r="AA181" s="960"/>
      <c r="AB181" s="928"/>
      <c r="AC181" s="928"/>
      <c r="AD181" s="928"/>
      <c r="AE181" s="928"/>
      <c r="AF181" s="928"/>
      <c r="AG181" s="928"/>
      <c r="AH181" s="928"/>
      <c r="AI181" s="928"/>
      <c r="AJ181" s="928"/>
      <c r="AK181" s="928"/>
      <c r="AL181" s="928"/>
      <c r="AM181" s="928"/>
      <c r="AN181" s="928"/>
      <c r="AO181" s="928"/>
      <c r="AP181" s="928"/>
      <c r="AQ181" s="928"/>
      <c r="AR181" s="928"/>
      <c r="AS181" s="928"/>
    </row>
    <row r="182" spans="11:45">
      <c r="K182" s="957"/>
      <c r="L182" s="928"/>
      <c r="M182" s="928"/>
      <c r="N182" s="960"/>
      <c r="O182" s="960"/>
      <c r="P182" s="960"/>
      <c r="Q182" s="960"/>
      <c r="R182" s="960"/>
      <c r="S182" s="960"/>
      <c r="T182" s="960"/>
      <c r="U182" s="960"/>
      <c r="V182" s="960"/>
      <c r="W182" s="960"/>
      <c r="X182" s="960"/>
      <c r="Y182" s="960"/>
      <c r="Z182" s="960"/>
      <c r="AA182" s="960"/>
      <c r="AB182" s="928"/>
      <c r="AC182" s="928"/>
      <c r="AD182" s="928"/>
      <c r="AE182" s="928"/>
      <c r="AF182" s="928"/>
      <c r="AG182" s="928"/>
      <c r="AH182" s="928"/>
      <c r="AI182" s="928"/>
      <c r="AJ182" s="928"/>
      <c r="AK182" s="928"/>
      <c r="AL182" s="928"/>
      <c r="AM182" s="928"/>
      <c r="AN182" s="928"/>
      <c r="AO182" s="928"/>
      <c r="AP182" s="928"/>
      <c r="AQ182" s="928"/>
      <c r="AR182" s="928"/>
      <c r="AS182" s="928"/>
    </row>
    <row r="183" spans="11:45">
      <c r="K183" s="957"/>
      <c r="L183" s="928"/>
      <c r="M183" s="928"/>
      <c r="N183" s="960"/>
      <c r="O183" s="960"/>
      <c r="P183" s="960"/>
      <c r="Q183" s="960"/>
      <c r="R183" s="960"/>
      <c r="S183" s="960"/>
      <c r="T183" s="960"/>
      <c r="U183" s="960"/>
      <c r="V183" s="960"/>
      <c r="W183" s="960"/>
      <c r="X183" s="960"/>
      <c r="Y183" s="960"/>
      <c r="Z183" s="960"/>
      <c r="AA183" s="960"/>
      <c r="AB183" s="928"/>
      <c r="AC183" s="928"/>
      <c r="AD183" s="928"/>
      <c r="AE183" s="928"/>
      <c r="AF183" s="928"/>
      <c r="AG183" s="928"/>
      <c r="AH183" s="928"/>
      <c r="AI183" s="928"/>
      <c r="AJ183" s="928"/>
      <c r="AK183" s="928"/>
      <c r="AL183" s="928"/>
      <c r="AM183" s="928"/>
      <c r="AN183" s="928"/>
      <c r="AO183" s="928"/>
      <c r="AP183" s="928"/>
      <c r="AQ183" s="928"/>
      <c r="AR183" s="928"/>
      <c r="AS183" s="928"/>
    </row>
    <row r="184" spans="11:45">
      <c r="K184" s="957"/>
      <c r="L184" s="928"/>
      <c r="M184" s="928"/>
      <c r="N184" s="960"/>
      <c r="O184" s="960"/>
      <c r="P184" s="960"/>
      <c r="Q184" s="960"/>
      <c r="R184" s="960"/>
      <c r="S184" s="960"/>
      <c r="T184" s="960"/>
      <c r="U184" s="960"/>
      <c r="V184" s="960"/>
      <c r="W184" s="960"/>
      <c r="X184" s="960"/>
      <c r="Y184" s="960"/>
      <c r="Z184" s="960"/>
      <c r="AA184" s="960"/>
      <c r="AB184" s="928"/>
      <c r="AC184" s="928"/>
      <c r="AD184" s="928"/>
      <c r="AE184" s="928"/>
      <c r="AF184" s="928"/>
      <c r="AG184" s="928"/>
      <c r="AH184" s="928"/>
      <c r="AI184" s="928"/>
      <c r="AJ184" s="928"/>
      <c r="AK184" s="928"/>
      <c r="AL184" s="928"/>
      <c r="AM184" s="928"/>
      <c r="AN184" s="928"/>
      <c r="AO184" s="928"/>
      <c r="AP184" s="928"/>
      <c r="AQ184" s="928"/>
      <c r="AR184" s="928"/>
      <c r="AS184" s="928"/>
    </row>
    <row r="185" spans="11:45">
      <c r="K185" s="957"/>
      <c r="L185" s="928"/>
      <c r="M185" s="928"/>
      <c r="N185" s="960"/>
      <c r="O185" s="960"/>
      <c r="P185" s="960"/>
      <c r="Q185" s="960"/>
      <c r="R185" s="960"/>
      <c r="S185" s="960"/>
      <c r="T185" s="960"/>
      <c r="U185" s="960"/>
      <c r="V185" s="960"/>
      <c r="W185" s="960"/>
      <c r="X185" s="960"/>
      <c r="Y185" s="960"/>
      <c r="Z185" s="960"/>
      <c r="AA185" s="960"/>
      <c r="AB185" s="928"/>
      <c r="AC185" s="928"/>
      <c r="AD185" s="928"/>
      <c r="AE185" s="928"/>
      <c r="AF185" s="928"/>
      <c r="AG185" s="928"/>
      <c r="AH185" s="928"/>
      <c r="AI185" s="928"/>
      <c r="AJ185" s="928"/>
      <c r="AK185" s="928"/>
      <c r="AL185" s="928"/>
      <c r="AM185" s="928"/>
      <c r="AN185" s="928"/>
      <c r="AO185" s="928"/>
      <c r="AP185" s="928"/>
      <c r="AQ185" s="928"/>
      <c r="AR185" s="928"/>
      <c r="AS185" s="928"/>
    </row>
    <row r="186" spans="11:45">
      <c r="K186" s="957"/>
      <c r="L186" s="928"/>
      <c r="M186" s="928"/>
      <c r="N186" s="960"/>
      <c r="O186" s="960"/>
      <c r="P186" s="960"/>
      <c r="Q186" s="960"/>
      <c r="R186" s="960"/>
      <c r="S186" s="960"/>
      <c r="T186" s="960"/>
      <c r="U186" s="960"/>
      <c r="V186" s="960"/>
      <c r="W186" s="960"/>
      <c r="X186" s="960"/>
      <c r="Y186" s="960"/>
      <c r="Z186" s="960"/>
      <c r="AA186" s="960"/>
      <c r="AB186" s="928"/>
      <c r="AC186" s="928"/>
      <c r="AD186" s="928"/>
      <c r="AE186" s="928"/>
      <c r="AF186" s="928"/>
      <c r="AG186" s="928"/>
      <c r="AH186" s="928"/>
      <c r="AI186" s="928"/>
      <c r="AJ186" s="928"/>
      <c r="AK186" s="928"/>
      <c r="AL186" s="928"/>
      <c r="AM186" s="928"/>
      <c r="AN186" s="928"/>
      <c r="AO186" s="928"/>
      <c r="AP186" s="928"/>
      <c r="AQ186" s="928"/>
      <c r="AR186" s="928"/>
      <c r="AS186" s="928"/>
    </row>
    <row r="187" spans="11:45">
      <c r="K187" s="957"/>
      <c r="L187" s="928"/>
      <c r="M187" s="928"/>
      <c r="N187" s="960"/>
      <c r="O187" s="960"/>
      <c r="P187" s="960"/>
      <c r="Q187" s="960"/>
      <c r="R187" s="960"/>
      <c r="S187" s="960"/>
      <c r="T187" s="960"/>
      <c r="U187" s="960"/>
      <c r="V187" s="960"/>
      <c r="W187" s="960"/>
      <c r="X187" s="960"/>
      <c r="Y187" s="960"/>
      <c r="Z187" s="960"/>
      <c r="AA187" s="960"/>
      <c r="AB187" s="928"/>
      <c r="AC187" s="928"/>
      <c r="AD187" s="928"/>
      <c r="AE187" s="928"/>
      <c r="AF187" s="928"/>
      <c r="AG187" s="928"/>
      <c r="AH187" s="928"/>
      <c r="AI187" s="928"/>
      <c r="AJ187" s="928"/>
      <c r="AK187" s="928"/>
      <c r="AL187" s="928"/>
      <c r="AM187" s="928"/>
      <c r="AN187" s="928"/>
      <c r="AO187" s="928"/>
      <c r="AP187" s="928"/>
      <c r="AQ187" s="928"/>
      <c r="AR187" s="928"/>
      <c r="AS187" s="928"/>
    </row>
    <row r="188" spans="11:45">
      <c r="K188" s="957"/>
      <c r="L188" s="928"/>
      <c r="M188" s="928"/>
      <c r="N188" s="960"/>
      <c r="O188" s="960"/>
      <c r="P188" s="960"/>
      <c r="Q188" s="960"/>
      <c r="R188" s="960"/>
      <c r="S188" s="960"/>
      <c r="T188" s="960"/>
      <c r="U188" s="960"/>
      <c r="V188" s="960"/>
      <c r="W188" s="960"/>
      <c r="X188" s="960"/>
      <c r="Y188" s="960"/>
      <c r="Z188" s="960"/>
      <c r="AA188" s="960"/>
      <c r="AB188" s="928"/>
      <c r="AC188" s="928"/>
      <c r="AD188" s="928"/>
      <c r="AE188" s="928"/>
      <c r="AF188" s="928"/>
      <c r="AG188" s="928"/>
      <c r="AH188" s="928"/>
      <c r="AI188" s="928"/>
      <c r="AJ188" s="928"/>
      <c r="AK188" s="928"/>
      <c r="AL188" s="928"/>
      <c r="AM188" s="928"/>
      <c r="AN188" s="928"/>
      <c r="AO188" s="928"/>
      <c r="AP188" s="928"/>
      <c r="AQ188" s="928"/>
      <c r="AR188" s="928"/>
      <c r="AS188" s="928"/>
    </row>
    <row r="189" spans="11:45">
      <c r="K189" s="957"/>
      <c r="L189" s="928"/>
      <c r="M189" s="928"/>
      <c r="N189" s="960"/>
      <c r="O189" s="960"/>
      <c r="P189" s="960"/>
      <c r="Q189" s="960"/>
      <c r="R189" s="960"/>
      <c r="S189" s="960"/>
      <c r="T189" s="960"/>
      <c r="U189" s="960"/>
      <c r="V189" s="960"/>
      <c r="W189" s="960"/>
      <c r="X189" s="960"/>
      <c r="Y189" s="960"/>
      <c r="Z189" s="960"/>
      <c r="AA189" s="960"/>
      <c r="AB189" s="928"/>
      <c r="AC189" s="928"/>
      <c r="AD189" s="928"/>
      <c r="AE189" s="928"/>
      <c r="AF189" s="928"/>
      <c r="AG189" s="928"/>
      <c r="AH189" s="928"/>
      <c r="AI189" s="928"/>
      <c r="AJ189" s="928"/>
      <c r="AK189" s="928"/>
      <c r="AL189" s="928"/>
      <c r="AM189" s="928"/>
      <c r="AN189" s="928"/>
      <c r="AO189" s="928"/>
      <c r="AP189" s="928"/>
      <c r="AQ189" s="928"/>
      <c r="AR189" s="928"/>
      <c r="AS189" s="928"/>
    </row>
    <row r="190" spans="11:45">
      <c r="K190" s="957"/>
      <c r="L190" s="928"/>
      <c r="M190" s="928"/>
      <c r="N190" s="960"/>
      <c r="O190" s="960"/>
      <c r="P190" s="960"/>
      <c r="Q190" s="960"/>
      <c r="R190" s="960"/>
      <c r="S190" s="960"/>
      <c r="T190" s="960"/>
      <c r="U190" s="960"/>
      <c r="V190" s="960"/>
      <c r="W190" s="960"/>
      <c r="X190" s="960"/>
      <c r="Y190" s="960"/>
      <c r="Z190" s="960"/>
      <c r="AA190" s="960"/>
      <c r="AB190" s="928"/>
      <c r="AC190" s="928"/>
      <c r="AD190" s="928"/>
      <c r="AE190" s="928"/>
      <c r="AF190" s="928"/>
      <c r="AG190" s="928"/>
      <c r="AH190" s="928"/>
      <c r="AI190" s="928"/>
      <c r="AJ190" s="928"/>
      <c r="AK190" s="928"/>
      <c r="AL190" s="928"/>
      <c r="AM190" s="928"/>
      <c r="AN190" s="928"/>
      <c r="AO190" s="928"/>
      <c r="AP190" s="928"/>
      <c r="AQ190" s="928"/>
      <c r="AR190" s="928"/>
      <c r="AS190" s="928"/>
    </row>
    <row r="191" spans="11:45">
      <c r="K191" s="957"/>
      <c r="L191" s="928"/>
      <c r="M191" s="928"/>
      <c r="N191" s="960"/>
      <c r="O191" s="960"/>
      <c r="P191" s="960"/>
      <c r="Q191" s="960"/>
      <c r="R191" s="960"/>
      <c r="S191" s="960"/>
      <c r="T191" s="960"/>
      <c r="U191" s="960"/>
      <c r="V191" s="960"/>
      <c r="W191" s="960"/>
      <c r="X191" s="960"/>
      <c r="Y191" s="960"/>
      <c r="Z191" s="960"/>
      <c r="AA191" s="960"/>
      <c r="AB191" s="928"/>
      <c r="AC191" s="928"/>
      <c r="AD191" s="928"/>
      <c r="AE191" s="928"/>
      <c r="AF191" s="928"/>
      <c r="AG191" s="928"/>
      <c r="AH191" s="928"/>
      <c r="AI191" s="928"/>
      <c r="AJ191" s="928"/>
      <c r="AK191" s="928"/>
      <c r="AL191" s="928"/>
      <c r="AM191" s="928"/>
      <c r="AN191" s="928"/>
      <c r="AO191" s="928"/>
      <c r="AP191" s="928"/>
      <c r="AQ191" s="928"/>
      <c r="AR191" s="928"/>
      <c r="AS191" s="928"/>
    </row>
    <row r="192" spans="11:45">
      <c r="K192" s="957"/>
      <c r="L192" s="928"/>
      <c r="M192" s="928"/>
      <c r="N192" s="960"/>
      <c r="O192" s="960"/>
      <c r="P192" s="960"/>
      <c r="Q192" s="960"/>
      <c r="R192" s="960"/>
      <c r="S192" s="960"/>
      <c r="T192" s="960"/>
      <c r="U192" s="960"/>
      <c r="V192" s="960"/>
      <c r="W192" s="960"/>
      <c r="X192" s="960"/>
      <c r="Y192" s="960"/>
      <c r="Z192" s="960"/>
      <c r="AA192" s="960"/>
      <c r="AB192" s="928"/>
      <c r="AC192" s="928"/>
      <c r="AD192" s="928"/>
      <c r="AE192" s="928"/>
      <c r="AF192" s="928"/>
      <c r="AG192" s="928"/>
      <c r="AH192" s="928"/>
      <c r="AI192" s="928"/>
      <c r="AJ192" s="928"/>
      <c r="AK192" s="928"/>
      <c r="AL192" s="928"/>
      <c r="AM192" s="928"/>
      <c r="AN192" s="928"/>
      <c r="AO192" s="928"/>
      <c r="AP192" s="928"/>
      <c r="AQ192" s="928"/>
      <c r="AR192" s="928"/>
      <c r="AS192" s="928"/>
    </row>
    <row r="193" spans="11:45">
      <c r="K193" s="957"/>
      <c r="L193" s="928"/>
      <c r="M193" s="928"/>
      <c r="N193" s="960"/>
      <c r="O193" s="960"/>
      <c r="P193" s="960"/>
      <c r="Q193" s="960"/>
      <c r="R193" s="960"/>
      <c r="S193" s="960"/>
      <c r="T193" s="960"/>
      <c r="U193" s="960"/>
      <c r="V193" s="960"/>
      <c r="W193" s="960"/>
      <c r="X193" s="960"/>
      <c r="Y193" s="960"/>
      <c r="Z193" s="960"/>
      <c r="AA193" s="960"/>
      <c r="AB193" s="928"/>
      <c r="AC193" s="928"/>
      <c r="AD193" s="928"/>
      <c r="AE193" s="928"/>
      <c r="AF193" s="928"/>
      <c r="AG193" s="928"/>
      <c r="AH193" s="928"/>
      <c r="AI193" s="928"/>
      <c r="AJ193" s="928"/>
      <c r="AK193" s="928"/>
      <c r="AL193" s="928"/>
      <c r="AM193" s="928"/>
      <c r="AN193" s="928"/>
      <c r="AO193" s="928"/>
      <c r="AP193" s="928"/>
      <c r="AQ193" s="928"/>
      <c r="AR193" s="928"/>
      <c r="AS193" s="928"/>
    </row>
    <row r="194" spans="11:45">
      <c r="K194" s="957"/>
      <c r="L194" s="928"/>
      <c r="M194" s="928"/>
      <c r="N194" s="960"/>
      <c r="O194" s="960"/>
      <c r="P194" s="960"/>
      <c r="Q194" s="960"/>
      <c r="R194" s="960"/>
      <c r="S194" s="960"/>
      <c r="T194" s="960"/>
      <c r="U194" s="960"/>
      <c r="V194" s="960"/>
      <c r="W194" s="960"/>
      <c r="X194" s="960"/>
      <c r="Y194" s="960"/>
      <c r="Z194" s="960"/>
      <c r="AA194" s="960"/>
      <c r="AB194" s="928"/>
      <c r="AC194" s="928"/>
      <c r="AD194" s="928"/>
      <c r="AE194" s="928"/>
      <c r="AF194" s="928"/>
      <c r="AG194" s="928"/>
      <c r="AH194" s="928"/>
      <c r="AI194" s="928"/>
      <c r="AJ194" s="928"/>
      <c r="AK194" s="928"/>
      <c r="AL194" s="928"/>
      <c r="AM194" s="928"/>
      <c r="AN194" s="928"/>
      <c r="AO194" s="928"/>
      <c r="AP194" s="928"/>
      <c r="AQ194" s="928"/>
      <c r="AR194" s="928"/>
      <c r="AS194" s="928"/>
    </row>
    <row r="195" spans="11:45">
      <c r="K195" s="957"/>
      <c r="L195" s="928"/>
      <c r="M195" s="928"/>
      <c r="N195" s="960"/>
      <c r="O195" s="960"/>
      <c r="P195" s="960"/>
      <c r="Q195" s="960"/>
      <c r="R195" s="960"/>
      <c r="S195" s="960"/>
      <c r="T195" s="960"/>
      <c r="U195" s="960"/>
      <c r="V195" s="960"/>
      <c r="W195" s="960"/>
      <c r="X195" s="960"/>
      <c r="Y195" s="960"/>
      <c r="Z195" s="960"/>
      <c r="AA195" s="960"/>
      <c r="AB195" s="928"/>
      <c r="AC195" s="928"/>
      <c r="AD195" s="928"/>
      <c r="AE195" s="928"/>
      <c r="AF195" s="928"/>
      <c r="AG195" s="928"/>
      <c r="AH195" s="928"/>
      <c r="AI195" s="928"/>
      <c r="AJ195" s="928"/>
      <c r="AK195" s="928"/>
      <c r="AL195" s="928"/>
      <c r="AM195" s="928"/>
      <c r="AN195" s="928"/>
      <c r="AO195" s="928"/>
      <c r="AP195" s="928"/>
      <c r="AQ195" s="928"/>
      <c r="AR195" s="928"/>
      <c r="AS195" s="928"/>
    </row>
    <row r="196" spans="11:45">
      <c r="K196" s="957"/>
      <c r="L196" s="928"/>
      <c r="M196" s="928"/>
      <c r="N196" s="960"/>
      <c r="O196" s="960"/>
      <c r="P196" s="960"/>
      <c r="Q196" s="960"/>
      <c r="R196" s="960"/>
      <c r="S196" s="960"/>
      <c r="T196" s="960"/>
      <c r="U196" s="960"/>
      <c r="V196" s="960"/>
      <c r="W196" s="960"/>
      <c r="X196" s="960"/>
      <c r="Y196" s="960"/>
      <c r="Z196" s="960"/>
      <c r="AA196" s="960"/>
      <c r="AB196" s="928"/>
      <c r="AC196" s="928"/>
      <c r="AD196" s="928"/>
      <c r="AE196" s="928"/>
      <c r="AF196" s="928"/>
      <c r="AG196" s="928"/>
      <c r="AH196" s="928"/>
      <c r="AI196" s="928"/>
      <c r="AJ196" s="928"/>
      <c r="AK196" s="928"/>
      <c r="AL196" s="928"/>
      <c r="AM196" s="928"/>
      <c r="AN196" s="928"/>
      <c r="AO196" s="928"/>
      <c r="AP196" s="928"/>
      <c r="AQ196" s="928"/>
      <c r="AR196" s="928"/>
      <c r="AS196" s="928"/>
    </row>
    <row r="197" spans="11:45">
      <c r="K197" s="957"/>
      <c r="L197" s="928"/>
      <c r="M197" s="928"/>
      <c r="N197" s="960"/>
      <c r="O197" s="960"/>
      <c r="P197" s="960"/>
      <c r="Q197" s="960"/>
      <c r="R197" s="960"/>
      <c r="S197" s="960"/>
      <c r="T197" s="960"/>
      <c r="U197" s="960"/>
      <c r="V197" s="960"/>
      <c r="W197" s="960"/>
      <c r="X197" s="960"/>
      <c r="Y197" s="960"/>
      <c r="Z197" s="960"/>
      <c r="AA197" s="960"/>
      <c r="AB197" s="928"/>
      <c r="AC197" s="928"/>
      <c r="AD197" s="928"/>
      <c r="AE197" s="928"/>
      <c r="AF197" s="928"/>
      <c r="AG197" s="928"/>
      <c r="AH197" s="928"/>
      <c r="AI197" s="928"/>
      <c r="AJ197" s="928"/>
      <c r="AK197" s="928"/>
      <c r="AL197" s="928"/>
      <c r="AM197" s="928"/>
      <c r="AN197" s="928"/>
      <c r="AO197" s="928"/>
      <c r="AP197" s="928"/>
      <c r="AQ197" s="928"/>
      <c r="AR197" s="928"/>
      <c r="AS197" s="928"/>
    </row>
    <row r="198" spans="11:45">
      <c r="K198" s="957"/>
      <c r="L198" s="928"/>
      <c r="M198" s="928"/>
      <c r="N198" s="960"/>
      <c r="O198" s="960"/>
      <c r="P198" s="960"/>
      <c r="Q198" s="960"/>
      <c r="R198" s="960"/>
      <c r="S198" s="960"/>
      <c r="T198" s="960"/>
      <c r="U198" s="960"/>
      <c r="V198" s="960"/>
      <c r="W198" s="960"/>
      <c r="X198" s="960"/>
      <c r="Y198" s="960"/>
      <c r="Z198" s="960"/>
      <c r="AA198" s="960"/>
      <c r="AB198" s="928"/>
      <c r="AC198" s="928"/>
      <c r="AD198" s="928"/>
      <c r="AE198" s="928"/>
      <c r="AF198" s="928"/>
      <c r="AG198" s="928"/>
      <c r="AH198" s="928"/>
      <c r="AI198" s="928"/>
      <c r="AJ198" s="928"/>
      <c r="AK198" s="928"/>
      <c r="AL198" s="928"/>
      <c r="AM198" s="928"/>
      <c r="AN198" s="928"/>
      <c r="AO198" s="928"/>
      <c r="AP198" s="928"/>
      <c r="AQ198" s="928"/>
      <c r="AR198" s="928"/>
      <c r="AS198" s="928"/>
    </row>
    <row r="199" spans="11:45">
      <c r="K199" s="957"/>
      <c r="L199" s="928"/>
      <c r="M199" s="928"/>
      <c r="N199" s="960"/>
      <c r="O199" s="960"/>
      <c r="P199" s="960"/>
      <c r="Q199" s="960"/>
      <c r="R199" s="960"/>
      <c r="S199" s="960"/>
      <c r="T199" s="960"/>
      <c r="U199" s="960"/>
      <c r="V199" s="960"/>
      <c r="W199" s="960"/>
      <c r="X199" s="960"/>
      <c r="Y199" s="960"/>
      <c r="Z199" s="960"/>
      <c r="AA199" s="960"/>
      <c r="AB199" s="928"/>
      <c r="AC199" s="928"/>
      <c r="AD199" s="928"/>
      <c r="AE199" s="928"/>
      <c r="AF199" s="928"/>
      <c r="AG199" s="928"/>
      <c r="AH199" s="928"/>
      <c r="AI199" s="928"/>
      <c r="AJ199" s="928"/>
      <c r="AK199" s="928"/>
      <c r="AL199" s="928"/>
      <c r="AM199" s="928"/>
      <c r="AN199" s="928"/>
      <c r="AO199" s="928"/>
      <c r="AP199" s="928"/>
      <c r="AQ199" s="928"/>
      <c r="AR199" s="928"/>
      <c r="AS199" s="928"/>
    </row>
    <row r="200" spans="11:45">
      <c r="K200" s="957"/>
      <c r="L200" s="928"/>
      <c r="M200" s="928"/>
      <c r="N200" s="960"/>
      <c r="O200" s="960"/>
      <c r="P200" s="960"/>
      <c r="Q200" s="960"/>
      <c r="R200" s="960"/>
      <c r="S200" s="960"/>
      <c r="T200" s="960"/>
      <c r="U200" s="960"/>
      <c r="V200" s="960"/>
      <c r="W200" s="960"/>
      <c r="X200" s="960"/>
      <c r="Y200" s="960"/>
      <c r="Z200" s="960"/>
      <c r="AA200" s="960"/>
      <c r="AB200" s="928"/>
      <c r="AC200" s="928"/>
      <c r="AD200" s="928"/>
      <c r="AE200" s="928"/>
      <c r="AF200" s="928"/>
      <c r="AG200" s="928"/>
      <c r="AH200" s="928"/>
      <c r="AI200" s="928"/>
      <c r="AJ200" s="928"/>
      <c r="AK200" s="928"/>
      <c r="AL200" s="928"/>
      <c r="AM200" s="928"/>
      <c r="AN200" s="928"/>
      <c r="AO200" s="928"/>
      <c r="AP200" s="928"/>
      <c r="AQ200" s="928"/>
      <c r="AR200" s="928"/>
      <c r="AS200" s="928"/>
    </row>
    <row r="201" spans="11:45">
      <c r="K201" s="957"/>
      <c r="L201" s="928"/>
      <c r="M201" s="928"/>
      <c r="N201" s="960"/>
      <c r="O201" s="960"/>
      <c r="P201" s="960"/>
      <c r="Q201" s="960"/>
      <c r="R201" s="960"/>
      <c r="S201" s="960"/>
      <c r="T201" s="960"/>
      <c r="U201" s="960"/>
      <c r="V201" s="960"/>
      <c r="W201" s="960"/>
      <c r="X201" s="960"/>
      <c r="Y201" s="960"/>
      <c r="Z201" s="960"/>
      <c r="AA201" s="960"/>
      <c r="AB201" s="928"/>
      <c r="AC201" s="928"/>
      <c r="AD201" s="928"/>
      <c r="AE201" s="928"/>
      <c r="AF201" s="928"/>
      <c r="AG201" s="928"/>
      <c r="AH201" s="928"/>
      <c r="AI201" s="928"/>
      <c r="AJ201" s="928"/>
      <c r="AK201" s="928"/>
      <c r="AL201" s="928"/>
      <c r="AM201" s="928"/>
      <c r="AN201" s="928"/>
      <c r="AO201" s="928"/>
      <c r="AP201" s="928"/>
      <c r="AQ201" s="928"/>
      <c r="AR201" s="928"/>
      <c r="AS201" s="928"/>
    </row>
    <row r="202" spans="11:45">
      <c r="K202" s="957"/>
      <c r="L202" s="928"/>
      <c r="M202" s="928"/>
      <c r="N202" s="960"/>
      <c r="O202" s="960"/>
      <c r="P202" s="960"/>
      <c r="Q202" s="960"/>
      <c r="R202" s="960"/>
      <c r="S202" s="960"/>
      <c r="T202" s="960"/>
      <c r="U202" s="960"/>
      <c r="V202" s="960"/>
      <c r="W202" s="960"/>
      <c r="X202" s="960"/>
      <c r="Y202" s="960"/>
      <c r="Z202" s="960"/>
      <c r="AA202" s="960"/>
      <c r="AB202" s="928"/>
      <c r="AC202" s="928"/>
      <c r="AD202" s="928"/>
      <c r="AE202" s="928"/>
      <c r="AF202" s="928"/>
      <c r="AG202" s="928"/>
      <c r="AH202" s="928"/>
      <c r="AI202" s="928"/>
      <c r="AJ202" s="928"/>
      <c r="AK202" s="928"/>
      <c r="AL202" s="928"/>
      <c r="AM202" s="928"/>
      <c r="AN202" s="928"/>
      <c r="AO202" s="928"/>
      <c r="AP202" s="928"/>
      <c r="AQ202" s="928"/>
      <c r="AR202" s="928"/>
      <c r="AS202" s="928"/>
    </row>
    <row r="203" spans="11:45">
      <c r="K203" s="957"/>
      <c r="L203" s="928"/>
      <c r="M203" s="928"/>
      <c r="N203" s="960"/>
      <c r="O203" s="960"/>
      <c r="P203" s="960"/>
      <c r="Q203" s="960"/>
      <c r="R203" s="960"/>
      <c r="S203" s="960"/>
      <c r="T203" s="960"/>
      <c r="U203" s="960"/>
      <c r="V203" s="960"/>
      <c r="W203" s="960"/>
      <c r="X203" s="960"/>
      <c r="Y203" s="960"/>
      <c r="Z203" s="960"/>
      <c r="AA203" s="960"/>
      <c r="AB203" s="928"/>
      <c r="AC203" s="928"/>
      <c r="AD203" s="928"/>
      <c r="AE203" s="928"/>
      <c r="AF203" s="928"/>
      <c r="AG203" s="928"/>
      <c r="AH203" s="928"/>
      <c r="AI203" s="928"/>
      <c r="AJ203" s="928"/>
      <c r="AK203" s="928"/>
      <c r="AL203" s="928"/>
      <c r="AM203" s="928"/>
      <c r="AN203" s="928"/>
      <c r="AO203" s="928"/>
      <c r="AP203" s="928"/>
      <c r="AQ203" s="928"/>
      <c r="AR203" s="928"/>
      <c r="AS203" s="928"/>
    </row>
    <row r="204" spans="11:45">
      <c r="K204" s="957"/>
      <c r="L204" s="928"/>
      <c r="M204" s="928"/>
      <c r="N204" s="960"/>
      <c r="O204" s="960"/>
      <c r="P204" s="960"/>
      <c r="Q204" s="960"/>
      <c r="R204" s="960"/>
      <c r="S204" s="960"/>
      <c r="T204" s="960"/>
      <c r="U204" s="960"/>
      <c r="V204" s="960"/>
      <c r="W204" s="960"/>
      <c r="X204" s="960"/>
      <c r="Y204" s="960"/>
      <c r="Z204" s="960"/>
      <c r="AA204" s="960"/>
      <c r="AB204" s="928"/>
      <c r="AC204" s="928"/>
      <c r="AD204" s="928"/>
      <c r="AE204" s="928"/>
      <c r="AF204" s="928"/>
      <c r="AG204" s="928"/>
      <c r="AH204" s="928"/>
      <c r="AI204" s="928"/>
      <c r="AJ204" s="928"/>
      <c r="AK204" s="928"/>
      <c r="AL204" s="928"/>
      <c r="AM204" s="928"/>
      <c r="AN204" s="928"/>
      <c r="AO204" s="928"/>
      <c r="AP204" s="928"/>
      <c r="AQ204" s="928"/>
      <c r="AR204" s="928"/>
      <c r="AS204" s="928"/>
    </row>
    <row r="205" spans="11:45">
      <c r="K205" s="957"/>
      <c r="L205" s="928"/>
      <c r="M205" s="928"/>
      <c r="N205" s="960"/>
      <c r="O205" s="960"/>
      <c r="P205" s="960"/>
      <c r="Q205" s="960"/>
      <c r="R205" s="960"/>
      <c r="S205" s="960"/>
      <c r="T205" s="960"/>
      <c r="U205" s="960"/>
      <c r="V205" s="960"/>
      <c r="W205" s="960"/>
      <c r="X205" s="960"/>
      <c r="Y205" s="960"/>
      <c r="Z205" s="960"/>
      <c r="AA205" s="960"/>
      <c r="AB205" s="928"/>
      <c r="AC205" s="928"/>
      <c r="AD205" s="928"/>
      <c r="AE205" s="928"/>
      <c r="AF205" s="928"/>
      <c r="AG205" s="928"/>
      <c r="AH205" s="928"/>
      <c r="AI205" s="928"/>
      <c r="AJ205" s="928"/>
      <c r="AK205" s="928"/>
      <c r="AL205" s="928"/>
      <c r="AM205" s="928"/>
      <c r="AN205" s="928"/>
      <c r="AO205" s="928"/>
      <c r="AP205" s="928"/>
      <c r="AQ205" s="928"/>
      <c r="AR205" s="928"/>
      <c r="AS205" s="928"/>
    </row>
    <row r="206" spans="11:45">
      <c r="K206" s="957"/>
      <c r="L206" s="928"/>
      <c r="M206" s="928"/>
      <c r="N206" s="960"/>
      <c r="O206" s="960"/>
      <c r="P206" s="960"/>
      <c r="Q206" s="960"/>
      <c r="R206" s="960"/>
      <c r="S206" s="960"/>
      <c r="T206" s="960"/>
      <c r="U206" s="960"/>
      <c r="V206" s="960"/>
      <c r="W206" s="960"/>
      <c r="X206" s="960"/>
      <c r="Y206" s="960"/>
      <c r="Z206" s="960"/>
      <c r="AA206" s="960"/>
      <c r="AB206" s="928"/>
      <c r="AC206" s="928"/>
      <c r="AD206" s="928"/>
      <c r="AE206" s="928"/>
      <c r="AF206" s="928"/>
      <c r="AG206" s="928"/>
      <c r="AH206" s="928"/>
      <c r="AI206" s="928"/>
      <c r="AJ206" s="928"/>
      <c r="AK206" s="928"/>
      <c r="AL206" s="928"/>
      <c r="AM206" s="928"/>
      <c r="AN206" s="928"/>
      <c r="AO206" s="928"/>
      <c r="AP206" s="928"/>
      <c r="AQ206" s="928"/>
      <c r="AR206" s="928"/>
      <c r="AS206" s="928"/>
    </row>
    <row r="207" spans="11:45">
      <c r="K207" s="957"/>
      <c r="L207" s="928"/>
      <c r="M207" s="928"/>
      <c r="N207" s="960"/>
      <c r="O207" s="960"/>
      <c r="P207" s="960"/>
      <c r="Q207" s="960"/>
      <c r="R207" s="960"/>
      <c r="S207" s="960"/>
      <c r="T207" s="960"/>
      <c r="U207" s="960"/>
      <c r="V207" s="960"/>
      <c r="W207" s="960"/>
      <c r="X207" s="960"/>
      <c r="Y207" s="960"/>
      <c r="Z207" s="960"/>
      <c r="AA207" s="960"/>
      <c r="AB207" s="928"/>
      <c r="AC207" s="928"/>
      <c r="AD207" s="928"/>
      <c r="AE207" s="928"/>
      <c r="AF207" s="928"/>
      <c r="AG207" s="928"/>
      <c r="AH207" s="928"/>
      <c r="AI207" s="928"/>
      <c r="AJ207" s="928"/>
      <c r="AK207" s="928"/>
      <c r="AL207" s="928"/>
      <c r="AM207" s="928"/>
      <c r="AN207" s="928"/>
      <c r="AO207" s="928"/>
      <c r="AP207" s="928"/>
      <c r="AQ207" s="928"/>
      <c r="AR207" s="928"/>
      <c r="AS207" s="928"/>
    </row>
    <row r="208" spans="11:45">
      <c r="K208" s="957"/>
      <c r="L208" s="928"/>
      <c r="M208" s="928"/>
      <c r="N208" s="960"/>
      <c r="O208" s="960"/>
      <c r="P208" s="960"/>
      <c r="Q208" s="960"/>
      <c r="R208" s="960"/>
      <c r="S208" s="960"/>
      <c r="T208" s="960"/>
      <c r="U208" s="960"/>
      <c r="V208" s="960"/>
      <c r="W208" s="960"/>
      <c r="X208" s="960"/>
      <c r="Y208" s="960"/>
      <c r="Z208" s="960"/>
      <c r="AA208" s="960"/>
      <c r="AB208" s="928"/>
      <c r="AC208" s="928"/>
      <c r="AD208" s="928"/>
      <c r="AE208" s="928"/>
      <c r="AF208" s="928"/>
      <c r="AG208" s="928"/>
      <c r="AH208" s="928"/>
      <c r="AI208" s="928"/>
      <c r="AJ208" s="928"/>
      <c r="AK208" s="928"/>
      <c r="AL208" s="928"/>
      <c r="AM208" s="928"/>
      <c r="AN208" s="928"/>
      <c r="AO208" s="928"/>
      <c r="AP208" s="928"/>
      <c r="AQ208" s="928"/>
      <c r="AR208" s="928"/>
      <c r="AS208" s="928"/>
    </row>
    <row r="209" spans="11:45">
      <c r="K209" s="957"/>
      <c r="L209" s="928"/>
      <c r="M209" s="928"/>
      <c r="N209" s="960"/>
      <c r="O209" s="960"/>
      <c r="P209" s="960"/>
      <c r="Q209" s="960"/>
      <c r="R209" s="960"/>
      <c r="S209" s="960"/>
      <c r="T209" s="960"/>
      <c r="U209" s="960"/>
      <c r="V209" s="960"/>
      <c r="W209" s="960"/>
      <c r="X209" s="960"/>
      <c r="Y209" s="960"/>
      <c r="Z209" s="960"/>
      <c r="AA209" s="960"/>
      <c r="AB209" s="928"/>
      <c r="AC209" s="928"/>
      <c r="AD209" s="928"/>
      <c r="AE209" s="928"/>
      <c r="AF209" s="928"/>
      <c r="AG209" s="928"/>
      <c r="AH209" s="928"/>
      <c r="AI209" s="928"/>
      <c r="AJ209" s="928"/>
      <c r="AK209" s="928"/>
      <c r="AL209" s="928"/>
      <c r="AM209" s="928"/>
      <c r="AN209" s="928"/>
      <c r="AO209" s="928"/>
      <c r="AP209" s="928"/>
      <c r="AQ209" s="928"/>
      <c r="AR209" s="928"/>
      <c r="AS209" s="928"/>
    </row>
    <row r="210" spans="11:45">
      <c r="K210" s="957"/>
      <c r="L210" s="928"/>
      <c r="M210" s="928"/>
      <c r="N210" s="960"/>
      <c r="O210" s="960"/>
      <c r="P210" s="960"/>
      <c r="Q210" s="960"/>
      <c r="R210" s="960"/>
      <c r="S210" s="960"/>
      <c r="T210" s="960"/>
      <c r="U210" s="960"/>
      <c r="V210" s="960"/>
      <c r="W210" s="960"/>
      <c r="X210" s="960"/>
      <c r="Y210" s="960"/>
      <c r="Z210" s="960"/>
      <c r="AA210" s="960"/>
      <c r="AB210" s="928"/>
      <c r="AC210" s="928"/>
      <c r="AD210" s="928"/>
      <c r="AE210" s="928"/>
      <c r="AF210" s="928"/>
      <c r="AG210" s="928"/>
      <c r="AH210" s="928"/>
      <c r="AI210" s="928"/>
      <c r="AJ210" s="928"/>
      <c r="AK210" s="928"/>
      <c r="AL210" s="928"/>
      <c r="AM210" s="928"/>
      <c r="AN210" s="928"/>
      <c r="AO210" s="928"/>
      <c r="AP210" s="928"/>
      <c r="AQ210" s="928"/>
      <c r="AR210" s="928"/>
      <c r="AS210" s="928"/>
    </row>
    <row r="211" spans="11:45">
      <c r="K211" s="957"/>
      <c r="L211" s="928"/>
      <c r="M211" s="928"/>
      <c r="N211" s="960"/>
      <c r="O211" s="960"/>
      <c r="P211" s="960"/>
      <c r="Q211" s="960"/>
      <c r="R211" s="960"/>
      <c r="S211" s="960"/>
      <c r="T211" s="960"/>
      <c r="U211" s="960"/>
      <c r="V211" s="960"/>
      <c r="W211" s="960"/>
      <c r="X211" s="960"/>
      <c r="Y211" s="960"/>
      <c r="Z211" s="960"/>
      <c r="AA211" s="960"/>
      <c r="AB211" s="928"/>
      <c r="AC211" s="928"/>
      <c r="AD211" s="928"/>
      <c r="AE211" s="928"/>
      <c r="AF211" s="928"/>
      <c r="AG211" s="928"/>
      <c r="AH211" s="928"/>
      <c r="AI211" s="928"/>
      <c r="AJ211" s="928"/>
      <c r="AK211" s="928"/>
      <c r="AL211" s="928"/>
      <c r="AM211" s="928"/>
      <c r="AN211" s="928"/>
      <c r="AO211" s="928"/>
      <c r="AP211" s="928"/>
      <c r="AQ211" s="928"/>
      <c r="AR211" s="928"/>
      <c r="AS211" s="928"/>
    </row>
    <row r="212" spans="11:45">
      <c r="K212" s="957"/>
      <c r="L212" s="928"/>
      <c r="M212" s="928"/>
      <c r="N212" s="960"/>
      <c r="O212" s="960"/>
      <c r="P212" s="960"/>
      <c r="Q212" s="960"/>
      <c r="R212" s="960"/>
      <c r="S212" s="960"/>
      <c r="T212" s="960"/>
      <c r="U212" s="960"/>
      <c r="V212" s="960"/>
      <c r="W212" s="960"/>
      <c r="X212" s="960"/>
      <c r="Y212" s="960"/>
      <c r="Z212" s="960"/>
      <c r="AA212" s="960"/>
      <c r="AB212" s="928"/>
      <c r="AC212" s="928"/>
      <c r="AD212" s="928"/>
      <c r="AE212" s="928"/>
      <c r="AF212" s="928"/>
      <c r="AG212" s="928"/>
      <c r="AH212" s="928"/>
      <c r="AI212" s="928"/>
      <c r="AJ212" s="928"/>
      <c r="AK212" s="928"/>
      <c r="AL212" s="928"/>
      <c r="AM212" s="928"/>
      <c r="AN212" s="928"/>
      <c r="AO212" s="928"/>
      <c r="AP212" s="928"/>
      <c r="AQ212" s="928"/>
      <c r="AR212" s="928"/>
      <c r="AS212" s="928"/>
    </row>
    <row r="213" spans="11:45">
      <c r="K213" s="957"/>
      <c r="L213" s="928"/>
      <c r="M213" s="928"/>
      <c r="N213" s="960"/>
      <c r="O213" s="960"/>
      <c r="P213" s="960"/>
      <c r="Q213" s="960"/>
      <c r="R213" s="960"/>
      <c r="S213" s="960"/>
      <c r="T213" s="960"/>
      <c r="U213" s="960"/>
      <c r="V213" s="960"/>
      <c r="W213" s="960"/>
      <c r="X213" s="960"/>
      <c r="Y213" s="960"/>
      <c r="Z213" s="960"/>
      <c r="AA213" s="960"/>
      <c r="AB213" s="928"/>
      <c r="AC213" s="928"/>
      <c r="AD213" s="928"/>
      <c r="AE213" s="928"/>
      <c r="AF213" s="928"/>
      <c r="AG213" s="928"/>
      <c r="AH213" s="928"/>
      <c r="AI213" s="928"/>
      <c r="AJ213" s="928"/>
      <c r="AK213" s="928"/>
      <c r="AL213" s="928"/>
      <c r="AM213" s="928"/>
      <c r="AN213" s="928"/>
      <c r="AO213" s="928"/>
      <c r="AP213" s="928"/>
      <c r="AQ213" s="928"/>
      <c r="AR213" s="928"/>
      <c r="AS213" s="928"/>
    </row>
    <row r="214" spans="11:45">
      <c r="K214" s="957"/>
      <c r="L214" s="928"/>
      <c r="M214" s="928"/>
      <c r="N214" s="960"/>
      <c r="O214" s="960"/>
      <c r="P214" s="960"/>
      <c r="Q214" s="960"/>
      <c r="R214" s="960"/>
      <c r="S214" s="960"/>
      <c r="T214" s="960"/>
      <c r="U214" s="960"/>
      <c r="V214" s="960"/>
      <c r="W214" s="960"/>
      <c r="X214" s="960"/>
      <c r="Y214" s="960"/>
      <c r="Z214" s="960"/>
      <c r="AA214" s="960"/>
      <c r="AB214" s="928"/>
      <c r="AC214" s="928"/>
      <c r="AD214" s="928"/>
      <c r="AE214" s="928"/>
      <c r="AF214" s="928"/>
      <c r="AG214" s="928"/>
      <c r="AH214" s="928"/>
      <c r="AI214" s="928"/>
      <c r="AJ214" s="928"/>
      <c r="AK214" s="928"/>
      <c r="AL214" s="928"/>
      <c r="AM214" s="928"/>
      <c r="AN214" s="928"/>
      <c r="AO214" s="928"/>
      <c r="AP214" s="928"/>
      <c r="AQ214" s="928"/>
      <c r="AR214" s="928"/>
      <c r="AS214" s="928"/>
    </row>
    <row r="215" spans="11:45">
      <c r="K215" s="957"/>
      <c r="L215" s="928"/>
      <c r="M215" s="928"/>
      <c r="N215" s="960"/>
      <c r="O215" s="960"/>
      <c r="P215" s="960"/>
      <c r="Q215" s="960"/>
      <c r="R215" s="960"/>
      <c r="S215" s="960"/>
      <c r="T215" s="960"/>
      <c r="U215" s="960"/>
      <c r="V215" s="960"/>
      <c r="W215" s="960"/>
      <c r="X215" s="960"/>
      <c r="Y215" s="960"/>
      <c r="Z215" s="960"/>
      <c r="AA215" s="960"/>
      <c r="AB215" s="928"/>
      <c r="AC215" s="928"/>
      <c r="AD215" s="928"/>
      <c r="AE215" s="928"/>
      <c r="AF215" s="928"/>
      <c r="AG215" s="928"/>
      <c r="AH215" s="928"/>
      <c r="AI215" s="928"/>
      <c r="AJ215" s="928"/>
      <c r="AK215" s="928"/>
      <c r="AL215" s="928"/>
      <c r="AM215" s="928"/>
      <c r="AN215" s="928"/>
      <c r="AO215" s="928"/>
      <c r="AP215" s="928"/>
      <c r="AQ215" s="928"/>
      <c r="AR215" s="928"/>
      <c r="AS215" s="928"/>
    </row>
    <row r="216" spans="11:45">
      <c r="K216" s="957"/>
      <c r="L216" s="928"/>
      <c r="M216" s="928"/>
      <c r="N216" s="960"/>
      <c r="O216" s="960"/>
      <c r="P216" s="960"/>
      <c r="Q216" s="960"/>
      <c r="R216" s="960"/>
      <c r="S216" s="960"/>
      <c r="T216" s="960"/>
      <c r="U216" s="960"/>
      <c r="V216" s="960"/>
      <c r="W216" s="960"/>
      <c r="X216" s="960"/>
      <c r="Y216" s="960"/>
      <c r="Z216" s="960"/>
      <c r="AA216" s="960"/>
      <c r="AB216" s="928"/>
      <c r="AC216" s="928"/>
      <c r="AD216" s="928"/>
      <c r="AE216" s="928"/>
      <c r="AF216" s="928"/>
      <c r="AG216" s="928"/>
      <c r="AH216" s="928"/>
      <c r="AI216" s="928"/>
      <c r="AJ216" s="928"/>
      <c r="AK216" s="928"/>
      <c r="AL216" s="928"/>
      <c r="AM216" s="928"/>
      <c r="AN216" s="928"/>
      <c r="AO216" s="928"/>
      <c r="AP216" s="928"/>
      <c r="AQ216" s="928"/>
      <c r="AR216" s="928"/>
      <c r="AS216" s="928"/>
    </row>
    <row r="217" spans="11:45">
      <c r="K217" s="957"/>
      <c r="L217" s="928"/>
      <c r="M217" s="928"/>
      <c r="N217" s="960"/>
      <c r="O217" s="960"/>
      <c r="P217" s="960"/>
      <c r="Q217" s="960"/>
      <c r="R217" s="960"/>
      <c r="S217" s="960"/>
      <c r="T217" s="960"/>
      <c r="U217" s="960"/>
      <c r="V217" s="960"/>
      <c r="W217" s="960"/>
      <c r="X217" s="960"/>
      <c r="Y217" s="960"/>
      <c r="Z217" s="960"/>
      <c r="AA217" s="960"/>
      <c r="AB217" s="928"/>
      <c r="AC217" s="928"/>
      <c r="AD217" s="928"/>
      <c r="AE217" s="928"/>
      <c r="AF217" s="928"/>
      <c r="AG217" s="928"/>
      <c r="AH217" s="928"/>
      <c r="AI217" s="928"/>
      <c r="AJ217" s="928"/>
      <c r="AK217" s="928"/>
      <c r="AL217" s="928"/>
      <c r="AM217" s="928"/>
      <c r="AN217" s="928"/>
      <c r="AO217" s="928"/>
      <c r="AP217" s="928"/>
      <c r="AQ217" s="928"/>
      <c r="AR217" s="928"/>
      <c r="AS217" s="928"/>
    </row>
    <row r="218" spans="11:45">
      <c r="K218" s="957"/>
      <c r="L218" s="928"/>
      <c r="M218" s="928"/>
      <c r="N218" s="960"/>
      <c r="O218" s="960"/>
      <c r="P218" s="960"/>
      <c r="Q218" s="960"/>
      <c r="R218" s="960"/>
      <c r="S218" s="960"/>
      <c r="T218" s="960"/>
      <c r="U218" s="960"/>
      <c r="V218" s="960"/>
      <c r="W218" s="960"/>
      <c r="X218" s="960"/>
      <c r="Y218" s="960"/>
      <c r="Z218" s="960"/>
      <c r="AA218" s="960"/>
      <c r="AB218" s="928"/>
      <c r="AC218" s="928"/>
      <c r="AD218" s="928"/>
      <c r="AE218" s="928"/>
      <c r="AF218" s="928"/>
      <c r="AG218" s="928"/>
      <c r="AH218" s="928"/>
      <c r="AI218" s="928"/>
      <c r="AJ218" s="928"/>
      <c r="AK218" s="928"/>
      <c r="AL218" s="928"/>
      <c r="AM218" s="928"/>
      <c r="AN218" s="928"/>
      <c r="AO218" s="928"/>
      <c r="AP218" s="928"/>
      <c r="AQ218" s="928"/>
      <c r="AR218" s="928"/>
      <c r="AS218" s="928"/>
    </row>
    <row r="219" spans="11:45">
      <c r="K219" s="957"/>
      <c r="L219" s="928"/>
      <c r="M219" s="928"/>
      <c r="N219" s="960"/>
      <c r="O219" s="960"/>
      <c r="P219" s="960"/>
      <c r="Q219" s="960"/>
      <c r="R219" s="960"/>
      <c r="S219" s="960"/>
      <c r="T219" s="960"/>
      <c r="U219" s="960"/>
      <c r="V219" s="960"/>
      <c r="W219" s="960"/>
      <c r="X219" s="960"/>
      <c r="Y219" s="960"/>
      <c r="Z219" s="960"/>
      <c r="AA219" s="960"/>
      <c r="AB219" s="928"/>
      <c r="AC219" s="928"/>
      <c r="AD219" s="928"/>
      <c r="AE219" s="928"/>
      <c r="AF219" s="928"/>
      <c r="AG219" s="928"/>
      <c r="AH219" s="928"/>
      <c r="AI219" s="928"/>
      <c r="AJ219" s="928"/>
      <c r="AK219" s="928"/>
      <c r="AL219" s="928"/>
      <c r="AM219" s="928"/>
      <c r="AN219" s="928"/>
      <c r="AO219" s="928"/>
      <c r="AP219" s="928"/>
      <c r="AQ219" s="928"/>
      <c r="AR219" s="928"/>
      <c r="AS219" s="928"/>
    </row>
    <row r="220" spans="11:45">
      <c r="K220" s="957"/>
      <c r="L220" s="928"/>
      <c r="M220" s="928"/>
      <c r="N220" s="960"/>
      <c r="O220" s="960"/>
      <c r="P220" s="960"/>
      <c r="Q220" s="960"/>
      <c r="R220" s="960"/>
      <c r="S220" s="960"/>
      <c r="T220" s="960"/>
      <c r="U220" s="960"/>
      <c r="V220" s="960"/>
      <c r="W220" s="960"/>
      <c r="X220" s="960"/>
      <c r="Y220" s="960"/>
      <c r="Z220" s="960"/>
      <c r="AA220" s="960"/>
      <c r="AB220" s="928"/>
      <c r="AC220" s="928"/>
      <c r="AD220" s="928"/>
      <c r="AE220" s="928"/>
      <c r="AF220" s="928"/>
      <c r="AG220" s="928"/>
      <c r="AH220" s="928"/>
      <c r="AI220" s="928"/>
      <c r="AJ220" s="928"/>
      <c r="AK220" s="928"/>
      <c r="AL220" s="928"/>
      <c r="AM220" s="928"/>
      <c r="AN220" s="928"/>
      <c r="AO220" s="928"/>
      <c r="AP220" s="928"/>
      <c r="AQ220" s="928"/>
      <c r="AR220" s="928"/>
      <c r="AS220" s="928"/>
    </row>
    <row r="221" spans="11:45">
      <c r="K221" s="957"/>
      <c r="L221" s="928"/>
      <c r="M221" s="928"/>
      <c r="N221" s="960"/>
      <c r="O221" s="960"/>
      <c r="P221" s="960"/>
      <c r="Q221" s="960"/>
      <c r="R221" s="960"/>
      <c r="S221" s="960"/>
      <c r="T221" s="960"/>
      <c r="U221" s="960"/>
      <c r="V221" s="960"/>
      <c r="W221" s="960"/>
      <c r="X221" s="960"/>
      <c r="Y221" s="960"/>
      <c r="Z221" s="960"/>
      <c r="AA221" s="960"/>
      <c r="AB221" s="928"/>
      <c r="AC221" s="928"/>
      <c r="AD221" s="928"/>
      <c r="AE221" s="928"/>
      <c r="AF221" s="928"/>
      <c r="AG221" s="928"/>
      <c r="AH221" s="928"/>
      <c r="AI221" s="928"/>
      <c r="AJ221" s="928"/>
      <c r="AK221" s="928"/>
      <c r="AL221" s="928"/>
      <c r="AM221" s="928"/>
      <c r="AN221" s="928"/>
      <c r="AO221" s="928"/>
      <c r="AP221" s="928"/>
      <c r="AQ221" s="928"/>
      <c r="AR221" s="928"/>
      <c r="AS221" s="928"/>
    </row>
    <row r="222" spans="11:45">
      <c r="K222" s="957"/>
      <c r="L222" s="928"/>
      <c r="M222" s="928"/>
      <c r="N222" s="960"/>
      <c r="O222" s="960"/>
      <c r="P222" s="960"/>
      <c r="Q222" s="960"/>
      <c r="R222" s="960"/>
      <c r="S222" s="960"/>
      <c r="T222" s="960"/>
      <c r="U222" s="960"/>
      <c r="V222" s="960"/>
      <c r="W222" s="960"/>
      <c r="X222" s="960"/>
      <c r="Y222" s="960"/>
      <c r="Z222" s="960"/>
      <c r="AA222" s="960"/>
      <c r="AB222" s="928"/>
      <c r="AC222" s="928"/>
      <c r="AD222" s="928"/>
      <c r="AE222" s="928"/>
      <c r="AF222" s="928"/>
      <c r="AG222" s="928"/>
      <c r="AH222" s="928"/>
      <c r="AI222" s="928"/>
      <c r="AJ222" s="928"/>
      <c r="AK222" s="928"/>
      <c r="AL222" s="928"/>
      <c r="AM222" s="928"/>
      <c r="AN222" s="928"/>
      <c r="AO222" s="928"/>
      <c r="AP222" s="928"/>
      <c r="AQ222" s="928"/>
      <c r="AR222" s="928"/>
      <c r="AS222" s="928"/>
    </row>
    <row r="223" spans="11:45">
      <c r="K223" s="957"/>
      <c r="L223" s="928"/>
      <c r="M223" s="928"/>
      <c r="N223" s="960"/>
      <c r="O223" s="960"/>
      <c r="P223" s="960"/>
      <c r="Q223" s="960"/>
      <c r="R223" s="960"/>
      <c r="S223" s="960"/>
      <c r="T223" s="960"/>
      <c r="U223" s="960"/>
      <c r="V223" s="960"/>
      <c r="W223" s="960"/>
      <c r="X223" s="960"/>
      <c r="Y223" s="960"/>
      <c r="Z223" s="960"/>
      <c r="AA223" s="960"/>
      <c r="AB223" s="928"/>
      <c r="AC223" s="928"/>
      <c r="AD223" s="928"/>
      <c r="AE223" s="928"/>
      <c r="AF223" s="928"/>
      <c r="AG223" s="928"/>
      <c r="AH223" s="928"/>
      <c r="AI223" s="928"/>
      <c r="AJ223" s="928"/>
      <c r="AK223" s="928"/>
      <c r="AL223" s="928"/>
      <c r="AM223" s="928"/>
      <c r="AN223" s="928"/>
      <c r="AO223" s="928"/>
      <c r="AP223" s="928"/>
      <c r="AQ223" s="928"/>
      <c r="AR223" s="928"/>
      <c r="AS223" s="928"/>
    </row>
    <row r="224" spans="11:45">
      <c r="K224" s="957"/>
      <c r="L224" s="928"/>
      <c r="M224" s="928"/>
      <c r="N224" s="960"/>
      <c r="O224" s="960"/>
      <c r="P224" s="960"/>
      <c r="Q224" s="960"/>
      <c r="R224" s="960"/>
      <c r="S224" s="960"/>
      <c r="T224" s="960"/>
      <c r="U224" s="960"/>
      <c r="V224" s="960"/>
      <c r="W224" s="960"/>
      <c r="X224" s="960"/>
      <c r="Y224" s="960"/>
      <c r="Z224" s="960"/>
      <c r="AA224" s="960"/>
      <c r="AB224" s="928"/>
      <c r="AC224" s="928"/>
      <c r="AD224" s="928"/>
      <c r="AE224" s="928"/>
      <c r="AF224" s="928"/>
      <c r="AG224" s="928"/>
      <c r="AH224" s="928"/>
      <c r="AI224" s="928"/>
      <c r="AJ224" s="928"/>
      <c r="AK224" s="928"/>
      <c r="AL224" s="928"/>
      <c r="AM224" s="928"/>
      <c r="AN224" s="928"/>
      <c r="AO224" s="928"/>
      <c r="AP224" s="928"/>
      <c r="AQ224" s="928"/>
      <c r="AR224" s="928"/>
      <c r="AS224" s="928"/>
    </row>
    <row r="225" spans="11:45">
      <c r="K225" s="957"/>
      <c r="L225" s="928"/>
      <c r="M225" s="928"/>
      <c r="N225" s="960"/>
      <c r="O225" s="960"/>
      <c r="P225" s="960"/>
      <c r="Q225" s="960"/>
      <c r="R225" s="960"/>
      <c r="S225" s="960"/>
      <c r="T225" s="960"/>
      <c r="U225" s="960"/>
      <c r="V225" s="960"/>
      <c r="W225" s="960"/>
      <c r="X225" s="960"/>
      <c r="Y225" s="960"/>
      <c r="Z225" s="960"/>
      <c r="AA225" s="960"/>
      <c r="AB225" s="928"/>
      <c r="AC225" s="928"/>
      <c r="AD225" s="928"/>
      <c r="AE225" s="928"/>
      <c r="AF225" s="928"/>
      <c r="AG225" s="928"/>
      <c r="AH225" s="928"/>
      <c r="AI225" s="928"/>
      <c r="AJ225" s="928"/>
      <c r="AK225" s="928"/>
      <c r="AL225" s="928"/>
      <c r="AM225" s="928"/>
      <c r="AN225" s="928"/>
      <c r="AO225" s="928"/>
      <c r="AP225" s="928"/>
      <c r="AQ225" s="928"/>
      <c r="AR225" s="928"/>
      <c r="AS225" s="928"/>
    </row>
    <row r="226" spans="11:45">
      <c r="K226" s="957"/>
      <c r="L226" s="928"/>
      <c r="M226" s="928"/>
      <c r="N226" s="960"/>
      <c r="O226" s="960"/>
      <c r="P226" s="960"/>
      <c r="Q226" s="960"/>
      <c r="R226" s="960"/>
      <c r="S226" s="960"/>
      <c r="T226" s="960"/>
      <c r="U226" s="960"/>
      <c r="V226" s="960"/>
      <c r="W226" s="960"/>
      <c r="X226" s="960"/>
      <c r="Y226" s="960"/>
      <c r="Z226" s="960"/>
      <c r="AA226" s="960"/>
      <c r="AB226" s="928"/>
      <c r="AC226" s="928"/>
      <c r="AD226" s="928"/>
      <c r="AE226" s="928"/>
      <c r="AF226" s="928"/>
      <c r="AG226" s="928"/>
      <c r="AH226" s="928"/>
      <c r="AI226" s="928"/>
      <c r="AJ226" s="928"/>
      <c r="AK226" s="928"/>
      <c r="AL226" s="928"/>
      <c r="AM226" s="928"/>
      <c r="AN226" s="928"/>
      <c r="AO226" s="928"/>
      <c r="AP226" s="928"/>
      <c r="AQ226" s="928"/>
      <c r="AR226" s="928"/>
      <c r="AS226" s="928"/>
    </row>
    <row r="227" spans="11:45">
      <c r="K227" s="957"/>
      <c r="L227" s="928"/>
      <c r="M227" s="928"/>
      <c r="N227" s="960"/>
      <c r="O227" s="960"/>
      <c r="P227" s="960"/>
      <c r="Q227" s="960"/>
      <c r="R227" s="960"/>
      <c r="S227" s="960"/>
      <c r="T227" s="960"/>
      <c r="U227" s="960"/>
      <c r="V227" s="960"/>
      <c r="W227" s="960"/>
      <c r="X227" s="960"/>
      <c r="Y227" s="960"/>
      <c r="Z227" s="960"/>
      <c r="AA227" s="960"/>
      <c r="AB227" s="928"/>
      <c r="AC227" s="928"/>
      <c r="AD227" s="928"/>
      <c r="AE227" s="928"/>
      <c r="AF227" s="928"/>
      <c r="AG227" s="928"/>
      <c r="AH227" s="928"/>
      <c r="AI227" s="928"/>
      <c r="AJ227" s="928"/>
      <c r="AK227" s="928"/>
      <c r="AL227" s="928"/>
      <c r="AM227" s="928"/>
      <c r="AN227" s="928"/>
      <c r="AO227" s="928"/>
      <c r="AP227" s="928"/>
      <c r="AQ227" s="928"/>
      <c r="AR227" s="928"/>
      <c r="AS227" s="928"/>
    </row>
    <row r="228" spans="11:45">
      <c r="K228" s="957"/>
      <c r="L228" s="928"/>
      <c r="M228" s="928"/>
      <c r="N228" s="960"/>
      <c r="O228" s="960"/>
      <c r="P228" s="960"/>
      <c r="Q228" s="960"/>
      <c r="R228" s="960"/>
      <c r="S228" s="960"/>
      <c r="T228" s="960"/>
      <c r="U228" s="960"/>
      <c r="V228" s="960"/>
      <c r="W228" s="960"/>
      <c r="X228" s="960"/>
      <c r="Y228" s="960"/>
      <c r="Z228" s="960"/>
      <c r="AA228" s="960"/>
      <c r="AB228" s="928"/>
      <c r="AC228" s="928"/>
      <c r="AD228" s="928"/>
      <c r="AE228" s="928"/>
      <c r="AF228" s="928"/>
      <c r="AG228" s="928"/>
      <c r="AH228" s="928"/>
      <c r="AI228" s="928"/>
      <c r="AJ228" s="928"/>
      <c r="AK228" s="928"/>
      <c r="AL228" s="928"/>
      <c r="AM228" s="928"/>
      <c r="AN228" s="928"/>
      <c r="AO228" s="928"/>
      <c r="AP228" s="928"/>
      <c r="AQ228" s="928"/>
      <c r="AR228" s="928"/>
      <c r="AS228" s="928"/>
    </row>
    <row r="229" spans="11:45">
      <c r="K229" s="957"/>
      <c r="L229" s="928"/>
      <c r="M229" s="928"/>
      <c r="N229" s="960"/>
      <c r="O229" s="960"/>
      <c r="P229" s="960"/>
      <c r="Q229" s="960"/>
      <c r="R229" s="960"/>
      <c r="S229" s="960"/>
      <c r="T229" s="960"/>
      <c r="U229" s="960"/>
      <c r="V229" s="960"/>
      <c r="W229" s="960"/>
      <c r="X229" s="960"/>
      <c r="Y229" s="960"/>
      <c r="Z229" s="960"/>
      <c r="AA229" s="960"/>
      <c r="AB229" s="928"/>
      <c r="AC229" s="928"/>
      <c r="AD229" s="928"/>
      <c r="AE229" s="928"/>
      <c r="AF229" s="928"/>
      <c r="AG229" s="928"/>
      <c r="AH229" s="928"/>
      <c r="AI229" s="928"/>
      <c r="AJ229" s="928"/>
      <c r="AK229" s="928"/>
      <c r="AL229" s="928"/>
      <c r="AM229" s="928"/>
      <c r="AN229" s="928"/>
      <c r="AO229" s="928"/>
      <c r="AP229" s="928"/>
      <c r="AQ229" s="928"/>
      <c r="AR229" s="928"/>
      <c r="AS229" s="928"/>
    </row>
    <row r="230" spans="11:45">
      <c r="K230" s="957"/>
      <c r="L230" s="928"/>
      <c r="M230" s="928"/>
      <c r="N230" s="960"/>
      <c r="O230" s="960"/>
      <c r="P230" s="960"/>
      <c r="Q230" s="960"/>
      <c r="R230" s="960"/>
      <c r="S230" s="960"/>
      <c r="T230" s="960"/>
      <c r="U230" s="960"/>
      <c r="V230" s="960"/>
      <c r="W230" s="960"/>
      <c r="X230" s="960"/>
      <c r="Y230" s="960"/>
      <c r="Z230" s="960"/>
      <c r="AA230" s="960"/>
      <c r="AB230" s="928"/>
      <c r="AC230" s="928"/>
      <c r="AD230" s="928"/>
      <c r="AE230" s="928"/>
      <c r="AF230" s="928"/>
      <c r="AG230" s="928"/>
      <c r="AH230" s="928"/>
      <c r="AI230" s="928"/>
      <c r="AJ230" s="928"/>
      <c r="AK230" s="928"/>
      <c r="AL230" s="928"/>
      <c r="AM230" s="928"/>
      <c r="AN230" s="928"/>
      <c r="AO230" s="928"/>
      <c r="AP230" s="928"/>
      <c r="AQ230" s="928"/>
      <c r="AR230" s="928"/>
      <c r="AS230" s="928"/>
    </row>
    <row r="231" spans="11:45">
      <c r="K231" s="957"/>
      <c r="L231" s="928"/>
      <c r="M231" s="928"/>
      <c r="N231" s="960"/>
      <c r="O231" s="960"/>
      <c r="P231" s="960"/>
      <c r="Q231" s="960"/>
      <c r="R231" s="960"/>
      <c r="S231" s="960"/>
      <c r="T231" s="960"/>
      <c r="U231" s="960"/>
      <c r="V231" s="960"/>
      <c r="W231" s="960"/>
      <c r="X231" s="960"/>
      <c r="Y231" s="960"/>
      <c r="Z231" s="960"/>
      <c r="AA231" s="960"/>
      <c r="AB231" s="928"/>
      <c r="AC231" s="928"/>
      <c r="AD231" s="928"/>
      <c r="AE231" s="928"/>
      <c r="AF231" s="928"/>
      <c r="AG231" s="928"/>
      <c r="AH231" s="928"/>
      <c r="AI231" s="928"/>
      <c r="AJ231" s="928"/>
      <c r="AK231" s="928"/>
      <c r="AL231" s="928"/>
      <c r="AM231" s="928"/>
      <c r="AN231" s="928"/>
      <c r="AO231" s="928"/>
      <c r="AP231" s="928"/>
      <c r="AQ231" s="928"/>
      <c r="AR231" s="928"/>
      <c r="AS231" s="928"/>
    </row>
    <row r="232" spans="11:45">
      <c r="K232" s="957"/>
      <c r="L232" s="928"/>
      <c r="M232" s="928"/>
      <c r="N232" s="960"/>
      <c r="O232" s="960"/>
      <c r="P232" s="960"/>
      <c r="Q232" s="960"/>
      <c r="R232" s="960"/>
      <c r="S232" s="960"/>
      <c r="T232" s="960"/>
      <c r="U232" s="960"/>
      <c r="V232" s="960"/>
      <c r="W232" s="960"/>
      <c r="X232" s="960"/>
      <c r="Y232" s="960"/>
      <c r="Z232" s="960"/>
      <c r="AA232" s="960"/>
      <c r="AB232" s="928"/>
      <c r="AC232" s="928"/>
      <c r="AD232" s="928"/>
      <c r="AE232" s="928"/>
      <c r="AF232" s="928"/>
      <c r="AG232" s="928"/>
      <c r="AH232" s="928"/>
      <c r="AI232" s="928"/>
      <c r="AJ232" s="928"/>
      <c r="AK232" s="928"/>
      <c r="AL232" s="928"/>
      <c r="AM232" s="928"/>
      <c r="AN232" s="928"/>
      <c r="AO232" s="928"/>
      <c r="AP232" s="928"/>
      <c r="AQ232" s="928"/>
      <c r="AR232" s="928"/>
      <c r="AS232" s="928"/>
    </row>
    <row r="233" spans="11:45">
      <c r="K233" s="957"/>
      <c r="L233" s="928"/>
      <c r="M233" s="928"/>
      <c r="N233" s="960"/>
      <c r="O233" s="960"/>
      <c r="P233" s="960"/>
      <c r="Q233" s="960"/>
      <c r="R233" s="960"/>
      <c r="S233" s="960"/>
      <c r="T233" s="960"/>
      <c r="U233" s="960"/>
      <c r="V233" s="960"/>
      <c r="W233" s="960"/>
      <c r="X233" s="960"/>
      <c r="Y233" s="960"/>
      <c r="Z233" s="960"/>
      <c r="AA233" s="960"/>
      <c r="AB233" s="928"/>
      <c r="AC233" s="928"/>
      <c r="AD233" s="928"/>
      <c r="AE233" s="928"/>
      <c r="AF233" s="928"/>
      <c r="AG233" s="928"/>
      <c r="AH233" s="928"/>
      <c r="AI233" s="928"/>
      <c r="AJ233" s="928"/>
      <c r="AK233" s="928"/>
      <c r="AL233" s="928"/>
      <c r="AM233" s="928"/>
      <c r="AN233" s="928"/>
      <c r="AO233" s="928"/>
      <c r="AP233" s="928"/>
      <c r="AQ233" s="928"/>
      <c r="AR233" s="928"/>
      <c r="AS233" s="928"/>
    </row>
    <row r="234" spans="11:45">
      <c r="K234" s="957"/>
      <c r="L234" s="928"/>
      <c r="M234" s="928"/>
      <c r="N234" s="960"/>
      <c r="O234" s="960"/>
      <c r="P234" s="960"/>
      <c r="Q234" s="960"/>
      <c r="R234" s="960"/>
      <c r="S234" s="960"/>
      <c r="T234" s="960"/>
      <c r="U234" s="960"/>
      <c r="V234" s="960"/>
      <c r="W234" s="960"/>
      <c r="X234" s="960"/>
      <c r="Y234" s="960"/>
      <c r="Z234" s="960"/>
      <c r="AA234" s="960"/>
      <c r="AB234" s="928"/>
      <c r="AC234" s="928"/>
      <c r="AD234" s="928"/>
      <c r="AE234" s="928"/>
      <c r="AF234" s="928"/>
      <c r="AG234" s="928"/>
      <c r="AH234" s="928"/>
      <c r="AI234" s="928"/>
      <c r="AJ234" s="928"/>
      <c r="AK234" s="928"/>
      <c r="AL234" s="928"/>
      <c r="AM234" s="928"/>
      <c r="AN234" s="928"/>
      <c r="AO234" s="928"/>
      <c r="AP234" s="928"/>
      <c r="AQ234" s="928"/>
      <c r="AR234" s="928"/>
      <c r="AS234" s="928"/>
    </row>
    <row r="235" spans="11:45">
      <c r="K235" s="957"/>
      <c r="L235" s="928"/>
      <c r="M235" s="928"/>
      <c r="N235" s="960"/>
      <c r="O235" s="960"/>
      <c r="P235" s="960"/>
      <c r="Q235" s="960"/>
      <c r="R235" s="960"/>
      <c r="S235" s="960"/>
      <c r="T235" s="960"/>
      <c r="U235" s="960"/>
      <c r="V235" s="960"/>
      <c r="W235" s="960"/>
      <c r="X235" s="960"/>
      <c r="Y235" s="960"/>
      <c r="Z235" s="960"/>
      <c r="AA235" s="960"/>
      <c r="AB235" s="928"/>
      <c r="AC235" s="928"/>
      <c r="AD235" s="928"/>
      <c r="AE235" s="928"/>
      <c r="AF235" s="928"/>
      <c r="AG235" s="928"/>
      <c r="AH235" s="928"/>
      <c r="AI235" s="928"/>
      <c r="AJ235" s="928"/>
      <c r="AK235" s="928"/>
      <c r="AL235" s="928"/>
      <c r="AM235" s="928"/>
      <c r="AN235" s="928"/>
      <c r="AO235" s="928"/>
      <c r="AP235" s="928"/>
      <c r="AQ235" s="928"/>
      <c r="AR235" s="928"/>
      <c r="AS235" s="928"/>
    </row>
    <row r="236" spans="11:45">
      <c r="K236" s="957"/>
      <c r="L236" s="928"/>
      <c r="M236" s="928"/>
      <c r="N236" s="960"/>
      <c r="O236" s="960"/>
      <c r="P236" s="960"/>
      <c r="Q236" s="960"/>
      <c r="R236" s="960"/>
      <c r="S236" s="960"/>
      <c r="T236" s="960"/>
      <c r="U236" s="960"/>
      <c r="V236" s="960"/>
      <c r="W236" s="960"/>
      <c r="X236" s="960"/>
      <c r="Y236" s="960"/>
      <c r="Z236" s="960"/>
      <c r="AA236" s="960"/>
      <c r="AB236" s="928"/>
      <c r="AC236" s="928"/>
      <c r="AD236" s="928"/>
      <c r="AE236" s="928"/>
      <c r="AF236" s="928"/>
      <c r="AG236" s="928"/>
      <c r="AH236" s="928"/>
      <c r="AI236" s="928"/>
      <c r="AJ236" s="928"/>
      <c r="AK236" s="928"/>
      <c r="AL236" s="928"/>
      <c r="AM236" s="928"/>
      <c r="AN236" s="928"/>
      <c r="AO236" s="928"/>
      <c r="AP236" s="928"/>
      <c r="AQ236" s="928"/>
      <c r="AR236" s="928"/>
      <c r="AS236" s="928"/>
    </row>
    <row r="237" spans="11:45">
      <c r="K237" s="957"/>
      <c r="L237" s="928"/>
      <c r="M237" s="928"/>
      <c r="N237" s="960"/>
      <c r="O237" s="960"/>
      <c r="P237" s="960"/>
      <c r="Q237" s="960"/>
      <c r="R237" s="960"/>
      <c r="S237" s="960"/>
      <c r="T237" s="960"/>
      <c r="U237" s="960"/>
      <c r="V237" s="960"/>
      <c r="W237" s="960"/>
      <c r="X237" s="960"/>
      <c r="Y237" s="960"/>
      <c r="Z237" s="960"/>
      <c r="AA237" s="960"/>
      <c r="AB237" s="928"/>
      <c r="AC237" s="928"/>
      <c r="AD237" s="928"/>
      <c r="AE237" s="928"/>
      <c r="AF237" s="928"/>
      <c r="AG237" s="928"/>
      <c r="AH237" s="928"/>
      <c r="AI237" s="928"/>
      <c r="AJ237" s="928"/>
      <c r="AK237" s="928"/>
      <c r="AL237" s="928"/>
      <c r="AM237" s="928"/>
      <c r="AN237" s="928"/>
      <c r="AO237" s="928"/>
      <c r="AP237" s="928"/>
      <c r="AQ237" s="928"/>
      <c r="AR237" s="928"/>
      <c r="AS237" s="928"/>
    </row>
    <row r="238" spans="11:45">
      <c r="K238" s="957"/>
      <c r="L238" s="928"/>
      <c r="M238" s="928"/>
      <c r="N238" s="960"/>
      <c r="O238" s="960"/>
      <c r="P238" s="960"/>
      <c r="Q238" s="960"/>
      <c r="R238" s="960"/>
      <c r="S238" s="960"/>
      <c r="T238" s="960"/>
      <c r="U238" s="960"/>
      <c r="V238" s="960"/>
      <c r="W238" s="960"/>
      <c r="X238" s="960"/>
      <c r="Y238" s="960"/>
      <c r="Z238" s="960"/>
      <c r="AA238" s="960"/>
      <c r="AB238" s="928"/>
      <c r="AC238" s="928"/>
      <c r="AD238" s="928"/>
      <c r="AE238" s="928"/>
      <c r="AF238" s="928"/>
      <c r="AG238" s="928"/>
      <c r="AH238" s="928"/>
      <c r="AI238" s="928"/>
      <c r="AJ238" s="928"/>
      <c r="AK238" s="928"/>
      <c r="AL238" s="928"/>
      <c r="AM238" s="928"/>
      <c r="AN238" s="928"/>
      <c r="AO238" s="928"/>
      <c r="AP238" s="928"/>
      <c r="AQ238" s="928"/>
      <c r="AR238" s="928"/>
      <c r="AS238" s="928"/>
    </row>
    <row r="239" spans="11:45">
      <c r="K239" s="957"/>
      <c r="L239" s="928"/>
      <c r="M239" s="928"/>
      <c r="N239" s="960"/>
      <c r="O239" s="960"/>
      <c r="P239" s="960"/>
      <c r="Q239" s="960"/>
      <c r="R239" s="960"/>
      <c r="S239" s="960"/>
      <c r="T239" s="960"/>
      <c r="U239" s="960"/>
      <c r="V239" s="960"/>
      <c r="W239" s="960"/>
      <c r="X239" s="960"/>
      <c r="Y239" s="960"/>
      <c r="Z239" s="960"/>
      <c r="AA239" s="960"/>
      <c r="AB239" s="928"/>
      <c r="AC239" s="928"/>
      <c r="AD239" s="928"/>
      <c r="AE239" s="928"/>
      <c r="AF239" s="928"/>
      <c r="AG239" s="928"/>
      <c r="AH239" s="928"/>
      <c r="AI239" s="928"/>
      <c r="AJ239" s="928"/>
      <c r="AK239" s="928"/>
      <c r="AL239" s="928"/>
      <c r="AM239" s="928"/>
      <c r="AN239" s="928"/>
      <c r="AO239" s="928"/>
      <c r="AP239" s="928"/>
      <c r="AQ239" s="928"/>
      <c r="AR239" s="928"/>
      <c r="AS239" s="928"/>
    </row>
    <row r="240" spans="11:45">
      <c r="K240" s="957"/>
      <c r="L240" s="928"/>
      <c r="M240" s="928"/>
      <c r="N240" s="960"/>
      <c r="O240" s="960"/>
      <c r="P240" s="960"/>
      <c r="Q240" s="960"/>
      <c r="R240" s="960"/>
      <c r="S240" s="960"/>
      <c r="T240" s="960"/>
      <c r="U240" s="960"/>
      <c r="V240" s="960"/>
      <c r="W240" s="960"/>
      <c r="X240" s="960"/>
      <c r="Y240" s="960"/>
      <c r="Z240" s="960"/>
      <c r="AA240" s="960"/>
      <c r="AB240" s="928"/>
      <c r="AC240" s="928"/>
      <c r="AD240" s="928"/>
      <c r="AE240" s="928"/>
      <c r="AF240" s="928"/>
      <c r="AG240" s="928"/>
      <c r="AH240" s="928"/>
      <c r="AI240" s="928"/>
      <c r="AJ240" s="928"/>
      <c r="AK240" s="928"/>
      <c r="AL240" s="928"/>
      <c r="AM240" s="928"/>
      <c r="AN240" s="928"/>
      <c r="AO240" s="928"/>
      <c r="AP240" s="928"/>
      <c r="AQ240" s="928"/>
      <c r="AR240" s="928"/>
      <c r="AS240" s="928"/>
    </row>
    <row r="241" spans="11:45">
      <c r="K241" s="957"/>
      <c r="L241" s="928"/>
      <c r="M241" s="928"/>
      <c r="N241" s="960"/>
      <c r="O241" s="960"/>
      <c r="P241" s="960"/>
      <c r="Q241" s="960"/>
      <c r="R241" s="960"/>
      <c r="S241" s="960"/>
      <c r="T241" s="960"/>
      <c r="U241" s="960"/>
      <c r="V241" s="960"/>
      <c r="W241" s="960"/>
      <c r="X241" s="960"/>
      <c r="Y241" s="960"/>
      <c r="Z241" s="960"/>
      <c r="AA241" s="960"/>
      <c r="AB241" s="928"/>
      <c r="AC241" s="928"/>
      <c r="AD241" s="928"/>
      <c r="AE241" s="928"/>
      <c r="AF241" s="928"/>
      <c r="AG241" s="928"/>
      <c r="AH241" s="928"/>
      <c r="AI241" s="928"/>
      <c r="AJ241" s="928"/>
      <c r="AK241" s="928"/>
      <c r="AL241" s="928"/>
      <c r="AM241" s="928"/>
      <c r="AN241" s="928"/>
      <c r="AO241" s="928"/>
      <c r="AP241" s="928"/>
      <c r="AQ241" s="928"/>
      <c r="AR241" s="928"/>
      <c r="AS241" s="928"/>
    </row>
    <row r="242" spans="11:45">
      <c r="K242" s="957"/>
      <c r="L242" s="928"/>
      <c r="M242" s="928"/>
      <c r="N242" s="960"/>
      <c r="O242" s="960"/>
      <c r="P242" s="960"/>
      <c r="Q242" s="960"/>
      <c r="R242" s="960"/>
      <c r="S242" s="960"/>
      <c r="T242" s="960"/>
      <c r="U242" s="960"/>
      <c r="V242" s="960"/>
      <c r="W242" s="960"/>
      <c r="X242" s="960"/>
      <c r="Y242" s="960"/>
      <c r="Z242" s="960"/>
      <c r="AA242" s="960"/>
      <c r="AB242" s="928"/>
      <c r="AC242" s="928"/>
      <c r="AD242" s="928"/>
      <c r="AE242" s="928"/>
      <c r="AF242" s="928"/>
      <c r="AG242" s="928"/>
      <c r="AH242" s="928"/>
      <c r="AI242" s="928"/>
      <c r="AJ242" s="928"/>
      <c r="AK242" s="928"/>
      <c r="AL242" s="928"/>
      <c r="AM242" s="928"/>
      <c r="AN242" s="928"/>
      <c r="AO242" s="928"/>
      <c r="AP242" s="928"/>
      <c r="AQ242" s="928"/>
      <c r="AR242" s="928"/>
      <c r="AS242" s="928"/>
    </row>
    <row r="243" spans="11:45">
      <c r="K243" s="957"/>
      <c r="L243" s="928"/>
      <c r="M243" s="928"/>
      <c r="N243" s="960"/>
      <c r="O243" s="960"/>
      <c r="P243" s="960"/>
      <c r="Q243" s="960"/>
      <c r="R243" s="960"/>
      <c r="S243" s="960"/>
      <c r="T243" s="960"/>
      <c r="U243" s="960"/>
      <c r="V243" s="960"/>
      <c r="W243" s="960"/>
      <c r="X243" s="960"/>
      <c r="Y243" s="960"/>
      <c r="Z243" s="960"/>
      <c r="AA243" s="960"/>
      <c r="AB243" s="928"/>
      <c r="AC243" s="928"/>
      <c r="AD243" s="928"/>
      <c r="AE243" s="928"/>
      <c r="AF243" s="928"/>
      <c r="AG243" s="928"/>
      <c r="AH243" s="928"/>
      <c r="AI243" s="928"/>
      <c r="AJ243" s="928"/>
      <c r="AK243" s="928"/>
      <c r="AL243" s="928"/>
      <c r="AM243" s="928"/>
      <c r="AN243" s="928"/>
      <c r="AO243" s="928"/>
      <c r="AP243" s="928"/>
      <c r="AQ243" s="928"/>
      <c r="AR243" s="928"/>
      <c r="AS243" s="928"/>
    </row>
    <row r="244" spans="11:45">
      <c r="K244" s="957"/>
      <c r="L244" s="928"/>
      <c r="M244" s="928"/>
      <c r="N244" s="960"/>
      <c r="O244" s="960"/>
      <c r="P244" s="960"/>
      <c r="Q244" s="960"/>
      <c r="R244" s="960"/>
      <c r="S244" s="960"/>
      <c r="T244" s="960"/>
      <c r="U244" s="960"/>
      <c r="V244" s="960"/>
      <c r="W244" s="960"/>
      <c r="X244" s="960"/>
      <c r="Y244" s="960"/>
      <c r="Z244" s="960"/>
      <c r="AA244" s="960"/>
      <c r="AB244" s="928"/>
      <c r="AC244" s="928"/>
      <c r="AD244" s="928"/>
      <c r="AE244" s="928"/>
      <c r="AF244" s="928"/>
      <c r="AG244" s="928"/>
      <c r="AH244" s="928"/>
      <c r="AI244" s="928"/>
      <c r="AJ244" s="928"/>
      <c r="AK244" s="928"/>
      <c r="AL244" s="928"/>
      <c r="AM244" s="928"/>
      <c r="AN244" s="928"/>
      <c r="AO244" s="928"/>
      <c r="AP244" s="928"/>
      <c r="AQ244" s="928"/>
      <c r="AR244" s="928"/>
      <c r="AS244" s="928"/>
    </row>
    <row r="245" spans="11:45">
      <c r="K245" s="957"/>
      <c r="L245" s="928"/>
      <c r="M245" s="928"/>
      <c r="N245" s="960"/>
      <c r="O245" s="960"/>
      <c r="P245" s="960"/>
      <c r="Q245" s="960"/>
      <c r="R245" s="960"/>
      <c r="S245" s="960"/>
      <c r="T245" s="960"/>
      <c r="U245" s="960"/>
      <c r="V245" s="960"/>
      <c r="W245" s="960"/>
      <c r="X245" s="960"/>
      <c r="Y245" s="960"/>
      <c r="Z245" s="960"/>
      <c r="AA245" s="960"/>
      <c r="AB245" s="928"/>
      <c r="AC245" s="928"/>
      <c r="AD245" s="928"/>
      <c r="AE245" s="928"/>
      <c r="AF245" s="928"/>
      <c r="AG245" s="928"/>
      <c r="AH245" s="928"/>
      <c r="AI245" s="928"/>
      <c r="AJ245" s="928"/>
      <c r="AK245" s="928"/>
      <c r="AL245" s="928"/>
      <c r="AM245" s="928"/>
      <c r="AN245" s="928"/>
      <c r="AO245" s="928"/>
      <c r="AP245" s="928"/>
      <c r="AQ245" s="928"/>
      <c r="AR245" s="928"/>
      <c r="AS245" s="928"/>
    </row>
    <row r="246" spans="11:45">
      <c r="K246" s="957"/>
      <c r="L246" s="928"/>
      <c r="M246" s="928"/>
      <c r="N246" s="960"/>
      <c r="O246" s="960"/>
      <c r="P246" s="960"/>
      <c r="Q246" s="960"/>
      <c r="R246" s="960"/>
      <c r="S246" s="960"/>
      <c r="T246" s="960"/>
      <c r="U246" s="960"/>
      <c r="V246" s="960"/>
      <c r="W246" s="960"/>
      <c r="X246" s="960"/>
      <c r="Y246" s="960"/>
      <c r="Z246" s="960"/>
      <c r="AA246" s="960"/>
      <c r="AB246" s="928"/>
      <c r="AC246" s="928"/>
      <c r="AD246" s="928"/>
      <c r="AE246" s="928"/>
      <c r="AF246" s="928"/>
      <c r="AG246" s="928"/>
      <c r="AH246" s="928"/>
      <c r="AI246" s="928"/>
      <c r="AJ246" s="928"/>
      <c r="AK246" s="928"/>
      <c r="AL246" s="928"/>
      <c r="AM246" s="928"/>
      <c r="AN246" s="928"/>
      <c r="AO246" s="928"/>
      <c r="AP246" s="928"/>
      <c r="AQ246" s="928"/>
      <c r="AR246" s="928"/>
      <c r="AS246" s="928"/>
    </row>
    <row r="247" spans="11:45">
      <c r="K247" s="957"/>
      <c r="L247" s="928"/>
      <c r="M247" s="928"/>
      <c r="N247" s="960"/>
      <c r="O247" s="960"/>
      <c r="P247" s="960"/>
      <c r="Q247" s="960"/>
      <c r="R247" s="960"/>
      <c r="S247" s="960"/>
      <c r="T247" s="960"/>
      <c r="U247" s="960"/>
      <c r="V247" s="960"/>
      <c r="W247" s="960"/>
      <c r="X247" s="960"/>
      <c r="Y247" s="960"/>
      <c r="Z247" s="960"/>
      <c r="AA247" s="960"/>
      <c r="AB247" s="928"/>
      <c r="AC247" s="928"/>
      <c r="AD247" s="928"/>
      <c r="AE247" s="928"/>
      <c r="AF247" s="928"/>
      <c r="AG247" s="928"/>
      <c r="AH247" s="928"/>
      <c r="AI247" s="928"/>
      <c r="AJ247" s="928"/>
      <c r="AK247" s="928"/>
      <c r="AL247" s="928"/>
      <c r="AM247" s="928"/>
      <c r="AN247" s="928"/>
      <c r="AO247" s="928"/>
      <c r="AP247" s="928"/>
      <c r="AQ247" s="928"/>
      <c r="AR247" s="928"/>
      <c r="AS247" s="928"/>
    </row>
    <row r="248" spans="11:45">
      <c r="K248" s="957"/>
      <c r="L248" s="928"/>
      <c r="M248" s="928"/>
      <c r="N248" s="960"/>
      <c r="O248" s="960"/>
      <c r="P248" s="960"/>
      <c r="Q248" s="960"/>
      <c r="R248" s="960"/>
      <c r="S248" s="960"/>
      <c r="T248" s="960"/>
      <c r="U248" s="960"/>
      <c r="V248" s="960"/>
      <c r="W248" s="960"/>
      <c r="X248" s="960"/>
      <c r="Y248" s="960"/>
      <c r="Z248" s="960"/>
      <c r="AA248" s="960"/>
      <c r="AB248" s="928"/>
      <c r="AC248" s="928"/>
      <c r="AD248" s="928"/>
      <c r="AE248" s="928"/>
      <c r="AF248" s="928"/>
      <c r="AG248" s="928"/>
      <c r="AH248" s="928"/>
      <c r="AI248" s="928"/>
      <c r="AJ248" s="928"/>
      <c r="AK248" s="928"/>
      <c r="AL248" s="928"/>
      <c r="AM248" s="928"/>
      <c r="AN248" s="928"/>
      <c r="AO248" s="928"/>
      <c r="AP248" s="928"/>
      <c r="AQ248" s="928"/>
      <c r="AR248" s="928"/>
      <c r="AS248" s="928"/>
    </row>
    <row r="249" spans="11:45">
      <c r="K249" s="957"/>
      <c r="L249" s="928"/>
      <c r="M249" s="928"/>
      <c r="N249" s="960"/>
      <c r="O249" s="960"/>
      <c r="P249" s="960"/>
      <c r="Q249" s="960"/>
      <c r="R249" s="960"/>
      <c r="S249" s="960"/>
      <c r="T249" s="960"/>
      <c r="U249" s="960"/>
      <c r="V249" s="960"/>
      <c r="W249" s="960"/>
      <c r="X249" s="960"/>
      <c r="Y249" s="960"/>
      <c r="Z249" s="960"/>
      <c r="AA249" s="960"/>
      <c r="AB249" s="928"/>
      <c r="AC249" s="928"/>
      <c r="AD249" s="928"/>
      <c r="AE249" s="928"/>
      <c r="AF249" s="928"/>
      <c r="AG249" s="928"/>
      <c r="AH249" s="928"/>
      <c r="AI249" s="928"/>
      <c r="AJ249" s="928"/>
      <c r="AK249" s="928"/>
      <c r="AL249" s="928"/>
      <c r="AM249" s="928"/>
      <c r="AN249" s="928"/>
      <c r="AO249" s="928"/>
      <c r="AP249" s="928"/>
      <c r="AQ249" s="928"/>
      <c r="AR249" s="928"/>
      <c r="AS249" s="928"/>
    </row>
    <row r="250" spans="11:45">
      <c r="K250" s="957"/>
      <c r="L250" s="928"/>
      <c r="M250" s="928"/>
      <c r="N250" s="960"/>
      <c r="O250" s="960"/>
      <c r="P250" s="960"/>
      <c r="Q250" s="960"/>
      <c r="R250" s="960"/>
      <c r="S250" s="960"/>
      <c r="T250" s="960"/>
      <c r="U250" s="960"/>
      <c r="V250" s="960"/>
      <c r="W250" s="960"/>
      <c r="X250" s="960"/>
      <c r="Y250" s="960"/>
      <c r="Z250" s="960"/>
      <c r="AA250" s="960"/>
      <c r="AB250" s="928"/>
      <c r="AC250" s="928"/>
      <c r="AD250" s="928"/>
      <c r="AE250" s="928"/>
      <c r="AF250" s="928"/>
      <c r="AG250" s="928"/>
      <c r="AH250" s="928"/>
      <c r="AI250" s="928"/>
      <c r="AJ250" s="928"/>
      <c r="AK250" s="928"/>
      <c r="AL250" s="928"/>
      <c r="AM250" s="928"/>
      <c r="AN250" s="928"/>
      <c r="AO250" s="928"/>
      <c r="AP250" s="928"/>
      <c r="AQ250" s="928"/>
      <c r="AR250" s="928"/>
      <c r="AS250" s="928"/>
    </row>
    <row r="251" spans="11:45">
      <c r="K251" s="957"/>
      <c r="L251" s="928"/>
      <c r="M251" s="928"/>
      <c r="N251" s="960"/>
      <c r="O251" s="960"/>
      <c r="P251" s="960"/>
      <c r="Q251" s="960"/>
      <c r="R251" s="960"/>
      <c r="S251" s="960"/>
      <c r="T251" s="960"/>
      <c r="U251" s="960"/>
      <c r="V251" s="960"/>
      <c r="W251" s="960"/>
      <c r="X251" s="960"/>
      <c r="Y251" s="960"/>
      <c r="Z251" s="960"/>
      <c r="AA251" s="960"/>
      <c r="AB251" s="928"/>
      <c r="AC251" s="928"/>
      <c r="AD251" s="928"/>
      <c r="AE251" s="928"/>
      <c r="AF251" s="928"/>
      <c r="AG251" s="928"/>
      <c r="AH251" s="928"/>
      <c r="AI251" s="928"/>
      <c r="AJ251" s="928"/>
      <c r="AK251" s="928"/>
      <c r="AL251" s="928"/>
      <c r="AM251" s="928"/>
      <c r="AN251" s="928"/>
      <c r="AO251" s="928"/>
      <c r="AP251" s="928"/>
      <c r="AQ251" s="928"/>
      <c r="AR251" s="928"/>
      <c r="AS251" s="928"/>
    </row>
    <row r="252" spans="11:45">
      <c r="K252" s="957"/>
      <c r="L252" s="928"/>
      <c r="M252" s="928"/>
      <c r="N252" s="960"/>
      <c r="O252" s="960"/>
      <c r="P252" s="960"/>
      <c r="Q252" s="960"/>
      <c r="R252" s="960"/>
      <c r="S252" s="960"/>
      <c r="T252" s="960"/>
      <c r="U252" s="960"/>
      <c r="V252" s="960"/>
      <c r="W252" s="960"/>
      <c r="X252" s="960"/>
      <c r="Y252" s="960"/>
      <c r="Z252" s="960"/>
      <c r="AA252" s="960"/>
      <c r="AB252" s="928"/>
      <c r="AC252" s="928"/>
      <c r="AD252" s="928"/>
      <c r="AE252" s="928"/>
      <c r="AF252" s="928"/>
      <c r="AG252" s="928"/>
      <c r="AH252" s="928"/>
      <c r="AI252" s="928"/>
      <c r="AJ252" s="928"/>
      <c r="AK252" s="928"/>
      <c r="AL252" s="928"/>
      <c r="AM252" s="928"/>
      <c r="AN252" s="928"/>
      <c r="AO252" s="928"/>
      <c r="AP252" s="928"/>
      <c r="AQ252" s="928"/>
      <c r="AR252" s="928"/>
      <c r="AS252" s="928"/>
    </row>
    <row r="253" spans="11:45">
      <c r="K253" s="957"/>
      <c r="L253" s="928"/>
      <c r="M253" s="928"/>
      <c r="N253" s="960"/>
      <c r="O253" s="960"/>
      <c r="P253" s="960"/>
      <c r="Q253" s="960"/>
      <c r="R253" s="960"/>
      <c r="S253" s="960"/>
      <c r="T253" s="960"/>
      <c r="U253" s="960"/>
      <c r="V253" s="960"/>
      <c r="W253" s="960"/>
      <c r="X253" s="960"/>
      <c r="Y253" s="960"/>
      <c r="Z253" s="960"/>
      <c r="AA253" s="960"/>
      <c r="AB253" s="928"/>
      <c r="AC253" s="928"/>
      <c r="AD253" s="928"/>
      <c r="AE253" s="928"/>
      <c r="AF253" s="928"/>
      <c r="AG253" s="928"/>
      <c r="AH253" s="928"/>
      <c r="AI253" s="928"/>
      <c r="AJ253" s="928"/>
      <c r="AK253" s="928"/>
      <c r="AL253" s="928"/>
      <c r="AM253" s="928"/>
      <c r="AN253" s="928"/>
      <c r="AO253" s="928"/>
      <c r="AP253" s="928"/>
      <c r="AQ253" s="928"/>
      <c r="AR253" s="928"/>
      <c r="AS253" s="928"/>
    </row>
    <row r="254" spans="11:45">
      <c r="K254" s="957"/>
      <c r="L254" s="928"/>
      <c r="M254" s="928"/>
      <c r="N254" s="960"/>
      <c r="O254" s="960"/>
      <c r="P254" s="960"/>
      <c r="Q254" s="960"/>
      <c r="R254" s="960"/>
      <c r="S254" s="960"/>
      <c r="T254" s="960"/>
      <c r="U254" s="960"/>
      <c r="V254" s="960"/>
      <c r="W254" s="960"/>
      <c r="X254" s="960"/>
      <c r="Y254" s="960"/>
      <c r="Z254" s="960"/>
      <c r="AA254" s="960"/>
      <c r="AB254" s="928"/>
      <c r="AC254" s="928"/>
      <c r="AD254" s="928"/>
      <c r="AE254" s="928"/>
      <c r="AF254" s="928"/>
      <c r="AG254" s="928"/>
      <c r="AH254" s="928"/>
      <c r="AI254" s="928"/>
      <c r="AJ254" s="928"/>
      <c r="AK254" s="928"/>
      <c r="AL254" s="928"/>
      <c r="AM254" s="928"/>
      <c r="AN254" s="928"/>
      <c r="AO254" s="928"/>
      <c r="AP254" s="928"/>
      <c r="AQ254" s="928"/>
      <c r="AR254" s="928"/>
      <c r="AS254" s="928"/>
    </row>
    <row r="255" spans="11:45">
      <c r="K255" s="957"/>
      <c r="L255" s="928"/>
      <c r="M255" s="928"/>
      <c r="N255" s="960"/>
      <c r="O255" s="960"/>
      <c r="P255" s="960"/>
      <c r="Q255" s="960"/>
      <c r="R255" s="960"/>
      <c r="S255" s="960"/>
      <c r="T255" s="960"/>
      <c r="U255" s="960"/>
      <c r="V255" s="960"/>
      <c r="W255" s="960"/>
      <c r="X255" s="960"/>
      <c r="Y255" s="960"/>
      <c r="Z255" s="960"/>
      <c r="AA255" s="960"/>
      <c r="AB255" s="928"/>
      <c r="AC255" s="928"/>
      <c r="AD255" s="928"/>
      <c r="AE255" s="928"/>
      <c r="AF255" s="928"/>
      <c r="AG255" s="928"/>
      <c r="AH255" s="928"/>
      <c r="AI255" s="928"/>
      <c r="AJ255" s="928"/>
      <c r="AK255" s="928"/>
      <c r="AL255" s="928"/>
      <c r="AM255" s="928"/>
      <c r="AN255" s="928"/>
      <c r="AO255" s="928"/>
      <c r="AP255" s="928"/>
      <c r="AQ255" s="928"/>
      <c r="AR255" s="928"/>
      <c r="AS255" s="928"/>
    </row>
    <row r="256" spans="11:45">
      <c r="K256" s="957"/>
      <c r="L256" s="928"/>
      <c r="M256" s="928"/>
      <c r="N256" s="960"/>
      <c r="O256" s="960"/>
      <c r="P256" s="960"/>
      <c r="Q256" s="960"/>
      <c r="R256" s="960"/>
      <c r="S256" s="960"/>
      <c r="T256" s="960"/>
      <c r="U256" s="960"/>
      <c r="V256" s="960"/>
      <c r="W256" s="960"/>
      <c r="X256" s="960"/>
      <c r="Y256" s="960"/>
      <c r="Z256" s="960"/>
      <c r="AA256" s="960"/>
      <c r="AB256" s="928"/>
      <c r="AC256" s="928"/>
      <c r="AD256" s="928"/>
      <c r="AE256" s="928"/>
      <c r="AF256" s="928"/>
      <c r="AG256" s="928"/>
      <c r="AH256" s="928"/>
      <c r="AI256" s="928"/>
      <c r="AJ256" s="928"/>
      <c r="AK256" s="928"/>
      <c r="AL256" s="928"/>
      <c r="AM256" s="928"/>
      <c r="AN256" s="928"/>
      <c r="AO256" s="928"/>
      <c r="AP256" s="928"/>
      <c r="AQ256" s="928"/>
      <c r="AR256" s="928"/>
      <c r="AS256" s="928"/>
    </row>
    <row r="257" spans="11:45">
      <c r="K257" s="957"/>
      <c r="L257" s="928"/>
      <c r="M257" s="928"/>
      <c r="N257" s="960"/>
      <c r="O257" s="960"/>
      <c r="P257" s="960"/>
      <c r="Q257" s="960"/>
      <c r="R257" s="960"/>
      <c r="S257" s="960"/>
      <c r="T257" s="960"/>
      <c r="U257" s="960"/>
      <c r="V257" s="960"/>
      <c r="W257" s="960"/>
      <c r="X257" s="960"/>
      <c r="Y257" s="960"/>
      <c r="Z257" s="960"/>
      <c r="AA257" s="960"/>
      <c r="AB257" s="928"/>
      <c r="AC257" s="928"/>
      <c r="AD257" s="928"/>
      <c r="AE257" s="928"/>
      <c r="AF257" s="928"/>
      <c r="AG257" s="928"/>
      <c r="AH257" s="928"/>
      <c r="AI257" s="928"/>
      <c r="AJ257" s="928"/>
      <c r="AK257" s="928"/>
      <c r="AL257" s="928"/>
      <c r="AM257" s="928"/>
      <c r="AN257" s="928"/>
      <c r="AO257" s="928"/>
      <c r="AP257" s="928"/>
      <c r="AQ257" s="928"/>
      <c r="AR257" s="928"/>
      <c r="AS257" s="928"/>
    </row>
    <row r="258" spans="11:45">
      <c r="K258" s="957"/>
      <c r="L258" s="928"/>
      <c r="M258" s="928"/>
      <c r="N258" s="960"/>
      <c r="O258" s="960"/>
      <c r="P258" s="960"/>
      <c r="Q258" s="960"/>
      <c r="R258" s="960"/>
      <c r="S258" s="960"/>
      <c r="T258" s="960"/>
      <c r="U258" s="960"/>
      <c r="V258" s="960"/>
      <c r="W258" s="960"/>
      <c r="X258" s="960"/>
      <c r="Y258" s="960"/>
      <c r="Z258" s="960"/>
      <c r="AA258" s="960"/>
      <c r="AB258" s="928"/>
      <c r="AC258" s="928"/>
      <c r="AD258" s="928"/>
      <c r="AE258" s="928"/>
      <c r="AF258" s="928"/>
      <c r="AG258" s="928"/>
      <c r="AH258" s="928"/>
      <c r="AI258" s="928"/>
      <c r="AJ258" s="928"/>
      <c r="AK258" s="928"/>
      <c r="AL258" s="928"/>
      <c r="AM258" s="928"/>
      <c r="AN258" s="928"/>
      <c r="AO258" s="928"/>
      <c r="AP258" s="928"/>
      <c r="AQ258" s="928"/>
      <c r="AR258" s="928"/>
      <c r="AS258" s="928"/>
    </row>
    <row r="259" spans="11:45">
      <c r="K259" s="957"/>
      <c r="L259" s="928"/>
      <c r="M259" s="928"/>
      <c r="N259" s="960"/>
      <c r="O259" s="960"/>
      <c r="P259" s="960"/>
      <c r="Q259" s="960"/>
      <c r="R259" s="960"/>
      <c r="S259" s="960"/>
      <c r="T259" s="960"/>
      <c r="U259" s="960"/>
      <c r="V259" s="960"/>
      <c r="W259" s="960"/>
      <c r="X259" s="960"/>
      <c r="Y259" s="960"/>
      <c r="Z259" s="960"/>
      <c r="AA259" s="960"/>
      <c r="AB259" s="928"/>
      <c r="AC259" s="928"/>
      <c r="AD259" s="928"/>
      <c r="AE259" s="928"/>
      <c r="AF259" s="928"/>
      <c r="AG259" s="928"/>
      <c r="AH259" s="928"/>
      <c r="AI259" s="928"/>
      <c r="AJ259" s="928"/>
      <c r="AK259" s="928"/>
      <c r="AL259" s="928"/>
      <c r="AM259" s="928"/>
      <c r="AN259" s="928"/>
      <c r="AO259" s="928"/>
      <c r="AP259" s="928"/>
      <c r="AQ259" s="928"/>
      <c r="AR259" s="928"/>
      <c r="AS259" s="928"/>
    </row>
    <row r="260" spans="11:45">
      <c r="K260" s="957"/>
      <c r="L260" s="928"/>
      <c r="M260" s="928"/>
      <c r="N260" s="960"/>
      <c r="O260" s="960"/>
      <c r="P260" s="960"/>
      <c r="Q260" s="960"/>
      <c r="R260" s="960"/>
      <c r="S260" s="960"/>
      <c r="T260" s="960"/>
      <c r="U260" s="960"/>
      <c r="V260" s="960"/>
      <c r="W260" s="960"/>
      <c r="X260" s="960"/>
      <c r="Y260" s="960"/>
      <c r="Z260" s="960"/>
      <c r="AA260" s="960"/>
      <c r="AB260" s="928"/>
      <c r="AC260" s="928"/>
      <c r="AD260" s="928"/>
      <c r="AE260" s="928"/>
      <c r="AF260" s="928"/>
      <c r="AG260" s="928"/>
      <c r="AH260" s="928"/>
      <c r="AI260" s="928"/>
      <c r="AJ260" s="928"/>
      <c r="AK260" s="928"/>
      <c r="AL260" s="928"/>
      <c r="AM260" s="928"/>
      <c r="AN260" s="928"/>
      <c r="AO260" s="928"/>
      <c r="AP260" s="928"/>
      <c r="AQ260" s="928"/>
      <c r="AR260" s="928"/>
      <c r="AS260" s="928"/>
    </row>
    <row r="261" spans="11:45">
      <c r="K261" s="957"/>
      <c r="L261" s="928"/>
      <c r="M261" s="928"/>
      <c r="N261" s="960"/>
      <c r="O261" s="960"/>
      <c r="P261" s="960"/>
      <c r="Q261" s="960"/>
      <c r="R261" s="960"/>
      <c r="S261" s="960"/>
      <c r="T261" s="960"/>
      <c r="U261" s="960"/>
      <c r="V261" s="960"/>
      <c r="W261" s="960"/>
      <c r="X261" s="960"/>
      <c r="Y261" s="960"/>
      <c r="Z261" s="960"/>
      <c r="AA261" s="960"/>
      <c r="AB261" s="928"/>
      <c r="AC261" s="928"/>
      <c r="AD261" s="928"/>
      <c r="AE261" s="928"/>
      <c r="AF261" s="928"/>
      <c r="AG261" s="928"/>
      <c r="AH261" s="928"/>
      <c r="AI261" s="928"/>
      <c r="AJ261" s="928"/>
      <c r="AK261" s="928"/>
      <c r="AL261" s="928"/>
      <c r="AM261" s="928"/>
      <c r="AN261" s="928"/>
      <c r="AO261" s="928"/>
      <c r="AP261" s="928"/>
      <c r="AQ261" s="928"/>
      <c r="AR261" s="928"/>
      <c r="AS261" s="928"/>
    </row>
    <row r="262" spans="11:45">
      <c r="K262" s="957"/>
      <c r="L262" s="928"/>
      <c r="M262" s="928"/>
      <c r="N262" s="960"/>
      <c r="O262" s="960"/>
      <c r="P262" s="960"/>
      <c r="Q262" s="960"/>
      <c r="R262" s="960"/>
      <c r="S262" s="960"/>
      <c r="T262" s="960"/>
      <c r="U262" s="960"/>
      <c r="V262" s="960"/>
      <c r="W262" s="960"/>
      <c r="X262" s="960"/>
      <c r="Y262" s="960"/>
      <c r="Z262" s="960"/>
      <c r="AA262" s="960"/>
      <c r="AB262" s="928"/>
      <c r="AC262" s="928"/>
      <c r="AD262" s="928"/>
      <c r="AE262" s="928"/>
      <c r="AF262" s="928"/>
      <c r="AG262" s="928"/>
      <c r="AH262" s="928"/>
      <c r="AI262" s="928"/>
      <c r="AJ262" s="928"/>
      <c r="AK262" s="928"/>
      <c r="AL262" s="928"/>
      <c r="AM262" s="928"/>
      <c r="AN262" s="928"/>
      <c r="AO262" s="928"/>
      <c r="AP262" s="928"/>
      <c r="AQ262" s="928"/>
      <c r="AR262" s="928"/>
      <c r="AS262" s="928"/>
    </row>
    <row r="263" spans="11:45">
      <c r="K263" s="957"/>
      <c r="L263" s="928"/>
      <c r="M263" s="928"/>
      <c r="N263" s="960"/>
      <c r="O263" s="960"/>
      <c r="P263" s="960"/>
      <c r="Q263" s="960"/>
      <c r="R263" s="960"/>
      <c r="S263" s="960"/>
      <c r="T263" s="960"/>
      <c r="U263" s="960"/>
      <c r="V263" s="960"/>
      <c r="W263" s="960"/>
      <c r="X263" s="960"/>
      <c r="Y263" s="960"/>
      <c r="Z263" s="960"/>
      <c r="AA263" s="960"/>
      <c r="AB263" s="928"/>
      <c r="AC263" s="928"/>
      <c r="AD263" s="928"/>
      <c r="AE263" s="928"/>
      <c r="AF263" s="928"/>
      <c r="AG263" s="928"/>
      <c r="AH263" s="928"/>
      <c r="AI263" s="928"/>
      <c r="AJ263" s="928"/>
      <c r="AK263" s="928"/>
      <c r="AL263" s="928"/>
      <c r="AM263" s="928"/>
      <c r="AN263" s="928"/>
      <c r="AO263" s="928"/>
      <c r="AP263" s="928"/>
      <c r="AQ263" s="928"/>
      <c r="AR263" s="928"/>
      <c r="AS263" s="928"/>
    </row>
    <row r="264" spans="11:45">
      <c r="K264" s="957"/>
      <c r="L264" s="928"/>
      <c r="M264" s="928"/>
      <c r="N264" s="960"/>
      <c r="O264" s="960"/>
      <c r="P264" s="960"/>
      <c r="Q264" s="960"/>
      <c r="R264" s="960"/>
      <c r="S264" s="960"/>
      <c r="T264" s="960"/>
      <c r="U264" s="960"/>
      <c r="V264" s="960"/>
      <c r="W264" s="960"/>
      <c r="X264" s="960"/>
      <c r="Y264" s="960"/>
      <c r="Z264" s="960"/>
      <c r="AA264" s="960"/>
      <c r="AB264" s="928"/>
      <c r="AC264" s="928"/>
      <c r="AD264" s="928"/>
      <c r="AE264" s="928"/>
      <c r="AF264" s="928"/>
      <c r="AG264" s="928"/>
      <c r="AH264" s="928"/>
      <c r="AI264" s="928"/>
      <c r="AJ264" s="928"/>
      <c r="AK264" s="928"/>
      <c r="AL264" s="928"/>
      <c r="AM264" s="928"/>
      <c r="AN264" s="928"/>
      <c r="AO264" s="928"/>
      <c r="AP264" s="928"/>
      <c r="AQ264" s="928"/>
      <c r="AR264" s="928"/>
      <c r="AS264" s="928"/>
    </row>
    <row r="265" spans="11:45">
      <c r="K265" s="957"/>
      <c r="L265" s="928"/>
      <c r="M265" s="928"/>
      <c r="N265" s="960"/>
      <c r="O265" s="960"/>
      <c r="P265" s="960"/>
      <c r="Q265" s="960"/>
      <c r="R265" s="960"/>
      <c r="S265" s="960"/>
      <c r="T265" s="960"/>
      <c r="U265" s="960"/>
      <c r="V265" s="960"/>
      <c r="W265" s="960"/>
      <c r="X265" s="960"/>
      <c r="Y265" s="960"/>
      <c r="Z265" s="960"/>
      <c r="AA265" s="960"/>
      <c r="AB265" s="928"/>
      <c r="AC265" s="928"/>
      <c r="AD265" s="928"/>
      <c r="AE265" s="928"/>
      <c r="AF265" s="928"/>
      <c r="AG265" s="928"/>
      <c r="AH265" s="928"/>
      <c r="AI265" s="928"/>
      <c r="AJ265" s="928"/>
      <c r="AK265" s="928"/>
      <c r="AL265" s="928"/>
      <c r="AM265" s="928"/>
      <c r="AN265" s="928"/>
      <c r="AO265" s="928"/>
      <c r="AP265" s="928"/>
      <c r="AQ265" s="928"/>
      <c r="AR265" s="928"/>
      <c r="AS265" s="928"/>
    </row>
    <row r="266" spans="11:45">
      <c r="K266" s="957"/>
      <c r="L266" s="928"/>
      <c r="M266" s="928"/>
      <c r="N266" s="960"/>
      <c r="O266" s="960"/>
      <c r="P266" s="960"/>
      <c r="Q266" s="960"/>
      <c r="R266" s="960"/>
      <c r="S266" s="960"/>
      <c r="T266" s="960"/>
      <c r="U266" s="960"/>
      <c r="V266" s="960"/>
      <c r="W266" s="960"/>
      <c r="X266" s="960"/>
      <c r="Y266" s="960"/>
      <c r="Z266" s="960"/>
      <c r="AA266" s="960"/>
      <c r="AB266" s="928"/>
      <c r="AC266" s="928"/>
      <c r="AD266" s="928"/>
      <c r="AE266" s="928"/>
      <c r="AF266" s="928"/>
      <c r="AG266" s="928"/>
      <c r="AH266" s="928"/>
      <c r="AI266" s="928"/>
      <c r="AJ266" s="928"/>
      <c r="AK266" s="928"/>
      <c r="AL266" s="928"/>
      <c r="AM266" s="928"/>
      <c r="AN266" s="928"/>
      <c r="AO266" s="928"/>
      <c r="AP266" s="928"/>
      <c r="AQ266" s="928"/>
      <c r="AR266" s="928"/>
      <c r="AS266" s="928"/>
    </row>
    <row r="267" spans="11:45">
      <c r="K267" s="957"/>
      <c r="L267" s="928"/>
      <c r="M267" s="928"/>
      <c r="N267" s="960"/>
      <c r="O267" s="960"/>
      <c r="P267" s="960"/>
      <c r="Q267" s="960"/>
      <c r="R267" s="960"/>
      <c r="S267" s="960"/>
      <c r="T267" s="960"/>
      <c r="U267" s="960"/>
      <c r="V267" s="960"/>
      <c r="W267" s="960"/>
      <c r="X267" s="960"/>
      <c r="Y267" s="960"/>
      <c r="Z267" s="960"/>
      <c r="AA267" s="960"/>
      <c r="AB267" s="928"/>
      <c r="AC267" s="928"/>
      <c r="AD267" s="928"/>
      <c r="AE267" s="928"/>
      <c r="AF267" s="928"/>
      <c r="AG267" s="928"/>
      <c r="AH267" s="928"/>
      <c r="AI267" s="928"/>
      <c r="AJ267" s="928"/>
      <c r="AK267" s="928"/>
      <c r="AL267" s="928"/>
      <c r="AM267" s="928"/>
      <c r="AN267" s="928"/>
      <c r="AO267" s="928"/>
      <c r="AP267" s="928"/>
      <c r="AQ267" s="928"/>
      <c r="AR267" s="928"/>
      <c r="AS267" s="928"/>
    </row>
    <row r="268" spans="11:45">
      <c r="K268" s="957"/>
      <c r="L268" s="928"/>
      <c r="M268" s="928"/>
      <c r="N268" s="960"/>
      <c r="O268" s="960"/>
      <c r="P268" s="960"/>
      <c r="Q268" s="960"/>
      <c r="R268" s="960"/>
      <c r="S268" s="960"/>
      <c r="T268" s="960"/>
      <c r="U268" s="960"/>
      <c r="V268" s="960"/>
      <c r="W268" s="960"/>
      <c r="X268" s="960"/>
      <c r="Y268" s="960"/>
      <c r="Z268" s="960"/>
      <c r="AA268" s="960"/>
      <c r="AB268" s="928"/>
      <c r="AC268" s="928"/>
      <c r="AD268" s="928"/>
      <c r="AE268" s="928"/>
      <c r="AF268" s="928"/>
      <c r="AG268" s="928"/>
      <c r="AH268" s="928"/>
      <c r="AI268" s="928"/>
      <c r="AJ268" s="928"/>
      <c r="AK268" s="928"/>
      <c r="AL268" s="928"/>
      <c r="AM268" s="928"/>
      <c r="AN268" s="928"/>
      <c r="AO268" s="928"/>
      <c r="AP268" s="928"/>
      <c r="AQ268" s="928"/>
      <c r="AR268" s="928"/>
      <c r="AS268" s="928"/>
    </row>
    <row r="269" spans="11:45">
      <c r="K269" s="957"/>
      <c r="L269" s="928"/>
      <c r="M269" s="928"/>
      <c r="N269" s="960"/>
      <c r="O269" s="960"/>
      <c r="P269" s="960"/>
      <c r="Q269" s="960"/>
      <c r="R269" s="960"/>
      <c r="S269" s="960"/>
      <c r="T269" s="960"/>
      <c r="U269" s="960"/>
      <c r="V269" s="960"/>
      <c r="W269" s="960"/>
      <c r="X269" s="960"/>
      <c r="Y269" s="960"/>
      <c r="Z269" s="960"/>
      <c r="AA269" s="960"/>
      <c r="AB269" s="928"/>
      <c r="AC269" s="928"/>
      <c r="AD269" s="928"/>
      <c r="AE269" s="928"/>
      <c r="AF269" s="928"/>
      <c r="AG269" s="928"/>
      <c r="AH269" s="928"/>
      <c r="AI269" s="928"/>
      <c r="AJ269" s="928"/>
      <c r="AK269" s="928"/>
      <c r="AL269" s="928"/>
      <c r="AM269" s="928"/>
      <c r="AN269" s="928"/>
      <c r="AO269" s="928"/>
      <c r="AP269" s="928"/>
      <c r="AQ269" s="928"/>
      <c r="AR269" s="928"/>
      <c r="AS269" s="928"/>
    </row>
    <row r="270" spans="11:45">
      <c r="K270" s="957"/>
      <c r="L270" s="928"/>
      <c r="M270" s="928"/>
      <c r="N270" s="960"/>
      <c r="O270" s="960"/>
      <c r="P270" s="960"/>
      <c r="Q270" s="960"/>
      <c r="R270" s="960"/>
      <c r="S270" s="960"/>
      <c r="T270" s="960"/>
      <c r="U270" s="960"/>
      <c r="V270" s="960"/>
      <c r="W270" s="960"/>
      <c r="X270" s="960"/>
      <c r="Y270" s="960"/>
      <c r="Z270" s="960"/>
      <c r="AA270" s="960"/>
      <c r="AB270" s="928"/>
      <c r="AC270" s="928"/>
      <c r="AD270" s="928"/>
      <c r="AE270" s="928"/>
      <c r="AF270" s="928"/>
      <c r="AG270" s="928"/>
      <c r="AH270" s="928"/>
      <c r="AI270" s="928"/>
      <c r="AJ270" s="928"/>
      <c r="AK270" s="928"/>
      <c r="AL270" s="928"/>
      <c r="AM270" s="928"/>
      <c r="AN270" s="928"/>
      <c r="AO270" s="928"/>
      <c r="AP270" s="928"/>
      <c r="AQ270" s="928"/>
      <c r="AR270" s="928"/>
      <c r="AS270" s="928"/>
    </row>
    <row r="271" spans="11:45">
      <c r="K271" s="957"/>
      <c r="L271" s="928"/>
      <c r="M271" s="928"/>
      <c r="N271" s="960"/>
      <c r="O271" s="960"/>
      <c r="P271" s="960"/>
      <c r="Q271" s="960"/>
      <c r="R271" s="960"/>
      <c r="S271" s="960"/>
      <c r="T271" s="960"/>
      <c r="U271" s="960"/>
      <c r="V271" s="960"/>
      <c r="W271" s="960"/>
      <c r="X271" s="960"/>
      <c r="Y271" s="960"/>
      <c r="Z271" s="960"/>
      <c r="AA271" s="960"/>
      <c r="AB271" s="928"/>
      <c r="AC271" s="928"/>
      <c r="AD271" s="928"/>
      <c r="AE271" s="928"/>
      <c r="AF271" s="928"/>
      <c r="AG271" s="928"/>
      <c r="AH271" s="928"/>
      <c r="AI271" s="928"/>
      <c r="AJ271" s="928"/>
      <c r="AK271" s="928"/>
      <c r="AL271" s="928"/>
      <c r="AM271" s="928"/>
      <c r="AN271" s="928"/>
      <c r="AO271" s="928"/>
      <c r="AP271" s="928"/>
      <c r="AQ271" s="928"/>
      <c r="AR271" s="928"/>
      <c r="AS271" s="928"/>
    </row>
    <row r="272" spans="11:45">
      <c r="K272" s="957"/>
      <c r="L272" s="928"/>
      <c r="M272" s="928"/>
      <c r="N272" s="960"/>
      <c r="O272" s="960"/>
      <c r="P272" s="960"/>
      <c r="Q272" s="960"/>
      <c r="R272" s="960"/>
      <c r="S272" s="960"/>
      <c r="T272" s="960"/>
      <c r="U272" s="960"/>
      <c r="V272" s="960"/>
      <c r="W272" s="960"/>
      <c r="X272" s="960"/>
      <c r="Y272" s="960"/>
      <c r="Z272" s="960"/>
      <c r="AA272" s="960"/>
      <c r="AB272" s="928"/>
      <c r="AC272" s="928"/>
      <c r="AD272" s="928"/>
      <c r="AE272" s="928"/>
      <c r="AF272" s="928"/>
      <c r="AG272" s="928"/>
      <c r="AH272" s="928"/>
      <c r="AI272" s="928"/>
      <c r="AJ272" s="928"/>
      <c r="AK272" s="928"/>
      <c r="AL272" s="928"/>
      <c r="AM272" s="928"/>
      <c r="AN272" s="928"/>
      <c r="AO272" s="928"/>
      <c r="AP272" s="928"/>
      <c r="AQ272" s="928"/>
      <c r="AR272" s="928"/>
      <c r="AS272" s="928"/>
    </row>
    <row r="273" spans="11:45">
      <c r="K273" s="957"/>
      <c r="L273" s="928"/>
      <c r="M273" s="928"/>
      <c r="N273" s="960"/>
      <c r="O273" s="960"/>
      <c r="P273" s="960"/>
      <c r="Q273" s="960"/>
      <c r="R273" s="960"/>
      <c r="S273" s="960"/>
      <c r="T273" s="960"/>
      <c r="U273" s="960"/>
      <c r="V273" s="960"/>
      <c r="W273" s="960"/>
      <c r="X273" s="960"/>
      <c r="Y273" s="960"/>
      <c r="Z273" s="960"/>
      <c r="AA273" s="960"/>
      <c r="AB273" s="928"/>
      <c r="AC273" s="928"/>
      <c r="AD273" s="928"/>
      <c r="AE273" s="928"/>
      <c r="AF273" s="928"/>
      <c r="AG273" s="928"/>
      <c r="AH273" s="928"/>
      <c r="AI273" s="928"/>
      <c r="AJ273" s="928"/>
      <c r="AK273" s="928"/>
      <c r="AL273" s="928"/>
      <c r="AM273" s="928"/>
      <c r="AN273" s="928"/>
      <c r="AO273" s="928"/>
      <c r="AP273" s="928"/>
      <c r="AQ273" s="928"/>
      <c r="AR273" s="928"/>
      <c r="AS273" s="928"/>
    </row>
    <row r="274" spans="11:45">
      <c r="K274" s="957"/>
      <c r="L274" s="928"/>
      <c r="M274" s="928"/>
      <c r="N274" s="960"/>
      <c r="O274" s="960"/>
      <c r="P274" s="960"/>
      <c r="Q274" s="960"/>
      <c r="R274" s="960"/>
      <c r="S274" s="960"/>
      <c r="T274" s="960"/>
      <c r="U274" s="960"/>
      <c r="V274" s="960"/>
      <c r="W274" s="960"/>
      <c r="X274" s="960"/>
      <c r="Y274" s="960"/>
      <c r="Z274" s="960"/>
      <c r="AA274" s="960"/>
      <c r="AB274" s="928"/>
      <c r="AC274" s="928"/>
      <c r="AD274" s="928"/>
      <c r="AE274" s="928"/>
      <c r="AF274" s="928"/>
      <c r="AG274" s="928"/>
      <c r="AH274" s="928"/>
      <c r="AI274" s="928"/>
      <c r="AJ274" s="928"/>
      <c r="AK274" s="928"/>
      <c r="AL274" s="928"/>
      <c r="AM274" s="928"/>
      <c r="AN274" s="928"/>
      <c r="AO274" s="928"/>
      <c r="AP274" s="928"/>
      <c r="AQ274" s="928"/>
      <c r="AR274" s="928"/>
      <c r="AS274" s="928"/>
    </row>
    <row r="275" spans="11:45">
      <c r="K275" s="957"/>
      <c r="L275" s="928"/>
      <c r="M275" s="928"/>
      <c r="N275" s="960"/>
      <c r="O275" s="960"/>
      <c r="P275" s="960"/>
      <c r="Q275" s="960"/>
      <c r="R275" s="960"/>
      <c r="S275" s="960"/>
      <c r="T275" s="960"/>
      <c r="U275" s="960"/>
      <c r="V275" s="960"/>
      <c r="W275" s="960"/>
      <c r="X275" s="960"/>
      <c r="Y275" s="960"/>
      <c r="Z275" s="960"/>
      <c r="AA275" s="960"/>
      <c r="AB275" s="928"/>
      <c r="AC275" s="928"/>
      <c r="AD275" s="928"/>
      <c r="AE275" s="928"/>
      <c r="AF275" s="928"/>
      <c r="AG275" s="928"/>
      <c r="AH275" s="928"/>
      <c r="AI275" s="928"/>
      <c r="AJ275" s="928"/>
      <c r="AK275" s="928"/>
      <c r="AL275" s="928"/>
      <c r="AM275" s="928"/>
      <c r="AN275" s="928"/>
      <c r="AO275" s="928"/>
      <c r="AP275" s="928"/>
      <c r="AQ275" s="928"/>
      <c r="AR275" s="928"/>
      <c r="AS275" s="928"/>
    </row>
    <row r="276" spans="11:45">
      <c r="K276" s="957"/>
      <c r="L276" s="928"/>
      <c r="M276" s="928"/>
      <c r="N276" s="960"/>
      <c r="O276" s="960"/>
      <c r="P276" s="960"/>
      <c r="Q276" s="960"/>
      <c r="R276" s="960"/>
      <c r="S276" s="960"/>
      <c r="T276" s="960"/>
      <c r="U276" s="960"/>
      <c r="V276" s="960"/>
      <c r="W276" s="960"/>
      <c r="X276" s="960"/>
      <c r="Y276" s="960"/>
      <c r="Z276" s="960"/>
      <c r="AA276" s="960"/>
      <c r="AB276" s="928"/>
      <c r="AC276" s="928"/>
      <c r="AD276" s="928"/>
      <c r="AE276" s="928"/>
      <c r="AF276" s="928"/>
      <c r="AG276" s="928"/>
      <c r="AH276" s="928"/>
      <c r="AI276" s="928"/>
      <c r="AJ276" s="928"/>
      <c r="AK276" s="928"/>
      <c r="AL276" s="928"/>
      <c r="AM276" s="928"/>
      <c r="AN276" s="928"/>
      <c r="AO276" s="928"/>
      <c r="AP276" s="928"/>
      <c r="AQ276" s="928"/>
      <c r="AR276" s="928"/>
      <c r="AS276" s="928"/>
    </row>
    <row r="277" spans="11:45">
      <c r="K277" s="957"/>
      <c r="L277" s="928"/>
      <c r="M277" s="928"/>
      <c r="N277" s="960"/>
      <c r="O277" s="960"/>
      <c r="P277" s="960"/>
      <c r="Q277" s="960"/>
      <c r="R277" s="960"/>
      <c r="S277" s="960"/>
      <c r="T277" s="960"/>
      <c r="U277" s="960"/>
      <c r="V277" s="960"/>
      <c r="W277" s="960"/>
      <c r="X277" s="960"/>
      <c r="Y277" s="960"/>
      <c r="Z277" s="960"/>
      <c r="AA277" s="960"/>
      <c r="AB277" s="928"/>
      <c r="AC277" s="928"/>
      <c r="AD277" s="928"/>
      <c r="AE277" s="928"/>
      <c r="AF277" s="928"/>
      <c r="AG277" s="928"/>
      <c r="AH277" s="928"/>
      <c r="AI277" s="928"/>
      <c r="AJ277" s="928"/>
      <c r="AK277" s="928"/>
      <c r="AL277" s="928"/>
      <c r="AM277" s="928"/>
      <c r="AN277" s="928"/>
      <c r="AO277" s="928"/>
      <c r="AP277" s="928"/>
      <c r="AQ277" s="928"/>
      <c r="AR277" s="928"/>
      <c r="AS277" s="928"/>
    </row>
    <row r="278" spans="11:45">
      <c r="K278" s="957"/>
      <c r="L278" s="928"/>
      <c r="M278" s="928"/>
      <c r="N278" s="960"/>
      <c r="O278" s="960"/>
      <c r="P278" s="960"/>
      <c r="Q278" s="960"/>
      <c r="R278" s="960"/>
      <c r="S278" s="960"/>
      <c r="T278" s="960"/>
      <c r="U278" s="960"/>
      <c r="V278" s="960"/>
      <c r="W278" s="960"/>
      <c r="X278" s="960"/>
      <c r="Y278" s="960"/>
      <c r="Z278" s="960"/>
      <c r="AA278" s="960"/>
      <c r="AB278" s="928"/>
      <c r="AC278" s="928"/>
      <c r="AD278" s="928"/>
      <c r="AE278" s="928"/>
      <c r="AF278" s="928"/>
      <c r="AG278" s="928"/>
      <c r="AH278" s="928"/>
      <c r="AI278" s="928"/>
      <c r="AJ278" s="928"/>
      <c r="AK278" s="928"/>
      <c r="AL278" s="928"/>
      <c r="AM278" s="928"/>
      <c r="AN278" s="928"/>
      <c r="AO278" s="928"/>
      <c r="AP278" s="928"/>
      <c r="AQ278" s="928"/>
      <c r="AR278" s="928"/>
      <c r="AS278" s="928"/>
    </row>
    <row r="279" spans="11:45">
      <c r="K279" s="957"/>
      <c r="L279" s="928"/>
      <c r="M279" s="928"/>
      <c r="N279" s="960"/>
      <c r="O279" s="960"/>
      <c r="P279" s="960"/>
      <c r="Q279" s="960"/>
      <c r="R279" s="960"/>
      <c r="S279" s="960"/>
      <c r="T279" s="960"/>
      <c r="U279" s="960"/>
      <c r="V279" s="960"/>
      <c r="W279" s="960"/>
      <c r="X279" s="960"/>
      <c r="Y279" s="960"/>
      <c r="Z279" s="960"/>
      <c r="AA279" s="960"/>
      <c r="AB279" s="928"/>
      <c r="AC279" s="928"/>
      <c r="AD279" s="928"/>
      <c r="AE279" s="928"/>
      <c r="AF279" s="928"/>
      <c r="AG279" s="928"/>
      <c r="AH279" s="928"/>
      <c r="AI279" s="928"/>
      <c r="AJ279" s="928"/>
      <c r="AK279" s="928"/>
      <c r="AL279" s="928"/>
      <c r="AM279" s="928"/>
      <c r="AN279" s="928"/>
      <c r="AO279" s="928"/>
      <c r="AP279" s="928"/>
      <c r="AQ279" s="928"/>
      <c r="AR279" s="928"/>
      <c r="AS279" s="928"/>
    </row>
    <row r="280" spans="11:45">
      <c r="K280" s="957"/>
      <c r="L280" s="928"/>
      <c r="M280" s="928"/>
      <c r="N280" s="960"/>
      <c r="O280" s="960"/>
      <c r="P280" s="960"/>
      <c r="Q280" s="960"/>
      <c r="R280" s="960"/>
      <c r="S280" s="960"/>
      <c r="T280" s="960"/>
      <c r="U280" s="960"/>
      <c r="V280" s="960"/>
      <c r="W280" s="960"/>
      <c r="X280" s="960"/>
      <c r="Y280" s="960"/>
      <c r="Z280" s="960"/>
      <c r="AA280" s="960"/>
      <c r="AB280" s="928"/>
      <c r="AC280" s="928"/>
      <c r="AD280" s="928"/>
      <c r="AE280" s="928"/>
      <c r="AF280" s="928"/>
      <c r="AG280" s="928"/>
      <c r="AH280" s="928"/>
      <c r="AI280" s="928"/>
      <c r="AJ280" s="928"/>
      <c r="AK280" s="928"/>
      <c r="AL280" s="928"/>
      <c r="AM280" s="928"/>
      <c r="AN280" s="928"/>
      <c r="AO280" s="928"/>
      <c r="AP280" s="928"/>
      <c r="AQ280" s="928"/>
      <c r="AR280" s="928"/>
      <c r="AS280" s="928"/>
    </row>
    <row r="281" spans="11:45">
      <c r="K281" s="957"/>
      <c r="L281" s="928"/>
      <c r="M281" s="928"/>
      <c r="N281" s="960"/>
      <c r="O281" s="960"/>
      <c r="P281" s="960"/>
      <c r="Q281" s="960"/>
      <c r="R281" s="960"/>
      <c r="S281" s="960"/>
      <c r="T281" s="960"/>
      <c r="U281" s="960"/>
      <c r="V281" s="960"/>
      <c r="W281" s="960"/>
      <c r="X281" s="960"/>
      <c r="Y281" s="960"/>
      <c r="Z281" s="960"/>
      <c r="AA281" s="960"/>
      <c r="AB281" s="928"/>
      <c r="AC281" s="928"/>
      <c r="AD281" s="928"/>
      <c r="AE281" s="928"/>
      <c r="AF281" s="928"/>
      <c r="AG281" s="928"/>
      <c r="AH281" s="928"/>
      <c r="AI281" s="928"/>
      <c r="AJ281" s="928"/>
      <c r="AK281" s="928"/>
      <c r="AL281" s="928"/>
      <c r="AM281" s="928"/>
      <c r="AN281" s="928"/>
      <c r="AO281" s="928"/>
      <c r="AP281" s="928"/>
      <c r="AQ281" s="928"/>
      <c r="AR281" s="928"/>
      <c r="AS281" s="928"/>
    </row>
    <row r="282" spans="11:45">
      <c r="K282" s="957"/>
      <c r="L282" s="928"/>
      <c r="M282" s="928"/>
      <c r="N282" s="960"/>
      <c r="O282" s="960"/>
      <c r="P282" s="960"/>
      <c r="Q282" s="960"/>
      <c r="R282" s="960"/>
      <c r="S282" s="960"/>
      <c r="T282" s="960"/>
      <c r="U282" s="960"/>
      <c r="V282" s="960"/>
      <c r="W282" s="960"/>
      <c r="X282" s="960"/>
      <c r="Y282" s="960"/>
      <c r="Z282" s="960"/>
      <c r="AA282" s="960"/>
      <c r="AB282" s="928"/>
      <c r="AC282" s="928"/>
      <c r="AD282" s="928"/>
      <c r="AE282" s="928"/>
      <c r="AF282" s="928"/>
      <c r="AG282" s="928"/>
      <c r="AH282" s="928"/>
      <c r="AI282" s="928"/>
      <c r="AJ282" s="928"/>
      <c r="AK282" s="928"/>
      <c r="AL282" s="928"/>
      <c r="AM282" s="928"/>
      <c r="AN282" s="928"/>
      <c r="AO282" s="928"/>
      <c r="AP282" s="928"/>
      <c r="AQ282" s="928"/>
      <c r="AR282" s="928"/>
      <c r="AS282" s="928"/>
    </row>
    <row r="283" spans="11:45">
      <c r="K283" s="957"/>
      <c r="L283" s="928"/>
      <c r="M283" s="928"/>
      <c r="N283" s="960"/>
      <c r="O283" s="960"/>
      <c r="P283" s="960"/>
      <c r="Q283" s="960"/>
      <c r="R283" s="960"/>
      <c r="S283" s="960"/>
      <c r="T283" s="960"/>
      <c r="U283" s="960"/>
      <c r="V283" s="960"/>
      <c r="W283" s="960"/>
      <c r="X283" s="960"/>
      <c r="Y283" s="960"/>
      <c r="Z283" s="960"/>
      <c r="AA283" s="960"/>
      <c r="AB283" s="928"/>
      <c r="AC283" s="928"/>
      <c r="AD283" s="928"/>
      <c r="AE283" s="928"/>
      <c r="AF283" s="928"/>
      <c r="AG283" s="928"/>
      <c r="AH283" s="928"/>
      <c r="AI283" s="928"/>
      <c r="AJ283" s="928"/>
      <c r="AK283" s="928"/>
      <c r="AL283" s="928"/>
      <c r="AM283" s="928"/>
      <c r="AN283" s="928"/>
      <c r="AO283" s="928"/>
      <c r="AP283" s="928"/>
      <c r="AQ283" s="928"/>
      <c r="AR283" s="928"/>
      <c r="AS283" s="928"/>
    </row>
    <row r="284" spans="11:45">
      <c r="K284" s="957"/>
      <c r="L284" s="928"/>
      <c r="M284" s="928"/>
      <c r="N284" s="960"/>
      <c r="O284" s="960"/>
      <c r="P284" s="960"/>
      <c r="Q284" s="960"/>
      <c r="R284" s="960"/>
      <c r="S284" s="960"/>
      <c r="T284" s="960"/>
      <c r="U284" s="960"/>
      <c r="V284" s="960"/>
      <c r="W284" s="960"/>
      <c r="X284" s="960"/>
      <c r="Y284" s="960"/>
      <c r="Z284" s="960"/>
      <c r="AA284" s="960"/>
      <c r="AB284" s="928"/>
      <c r="AC284" s="928"/>
      <c r="AD284" s="928"/>
      <c r="AE284" s="928"/>
      <c r="AF284" s="928"/>
      <c r="AG284" s="928"/>
      <c r="AH284" s="928"/>
      <c r="AI284" s="928"/>
      <c r="AJ284" s="928"/>
      <c r="AK284" s="928"/>
      <c r="AL284" s="928"/>
      <c r="AM284" s="928"/>
      <c r="AN284" s="928"/>
      <c r="AO284" s="928"/>
      <c r="AP284" s="928"/>
      <c r="AQ284" s="928"/>
      <c r="AR284" s="928"/>
      <c r="AS284" s="928"/>
    </row>
    <row r="285" spans="11:45">
      <c r="K285" s="957"/>
      <c r="L285" s="928"/>
      <c r="M285" s="928"/>
      <c r="N285" s="960"/>
      <c r="O285" s="960"/>
      <c r="P285" s="960"/>
      <c r="Q285" s="960"/>
      <c r="R285" s="960"/>
      <c r="S285" s="960"/>
      <c r="T285" s="960"/>
      <c r="U285" s="960"/>
      <c r="V285" s="960"/>
      <c r="W285" s="960"/>
      <c r="X285" s="960"/>
      <c r="Y285" s="960"/>
      <c r="Z285" s="960"/>
      <c r="AA285" s="960"/>
      <c r="AB285" s="928"/>
      <c r="AC285" s="928"/>
      <c r="AD285" s="928"/>
      <c r="AE285" s="928"/>
      <c r="AF285" s="928"/>
      <c r="AG285" s="928"/>
      <c r="AH285" s="928"/>
      <c r="AI285" s="928"/>
      <c r="AJ285" s="928"/>
      <c r="AK285" s="928"/>
      <c r="AL285" s="928"/>
      <c r="AM285" s="928"/>
      <c r="AN285" s="928"/>
      <c r="AO285" s="928"/>
      <c r="AP285" s="928"/>
      <c r="AQ285" s="928"/>
      <c r="AR285" s="928"/>
      <c r="AS285" s="928"/>
    </row>
    <row r="286" spans="11:45">
      <c r="K286" s="957"/>
      <c r="L286" s="928"/>
      <c r="M286" s="928"/>
      <c r="N286" s="960"/>
      <c r="O286" s="960"/>
      <c r="P286" s="960"/>
      <c r="Q286" s="960"/>
      <c r="R286" s="960"/>
      <c r="S286" s="960"/>
      <c r="T286" s="960"/>
      <c r="U286" s="960"/>
      <c r="V286" s="960"/>
      <c r="W286" s="960"/>
      <c r="X286" s="960"/>
      <c r="Y286" s="960"/>
      <c r="Z286" s="960"/>
      <c r="AA286" s="960"/>
      <c r="AB286" s="928"/>
      <c r="AC286" s="928"/>
      <c r="AD286" s="928"/>
      <c r="AE286" s="928"/>
      <c r="AF286" s="928"/>
      <c r="AG286" s="928"/>
      <c r="AH286" s="928"/>
      <c r="AI286" s="928"/>
      <c r="AJ286" s="928"/>
      <c r="AK286" s="928"/>
      <c r="AL286" s="928"/>
      <c r="AM286" s="928"/>
      <c r="AN286" s="928"/>
      <c r="AO286" s="928"/>
      <c r="AP286" s="928"/>
      <c r="AQ286" s="928"/>
      <c r="AR286" s="928"/>
      <c r="AS286" s="928"/>
    </row>
    <row r="287" spans="11:45">
      <c r="K287" s="957"/>
      <c r="L287" s="928"/>
      <c r="M287" s="928"/>
      <c r="N287" s="960"/>
      <c r="O287" s="960"/>
      <c r="P287" s="960"/>
      <c r="Q287" s="960"/>
      <c r="R287" s="960"/>
      <c r="S287" s="960"/>
      <c r="T287" s="960"/>
      <c r="U287" s="960"/>
      <c r="V287" s="960"/>
      <c r="W287" s="960"/>
      <c r="X287" s="960"/>
      <c r="Y287" s="960"/>
      <c r="Z287" s="960"/>
      <c r="AA287" s="960"/>
      <c r="AB287" s="928"/>
      <c r="AC287" s="928"/>
      <c r="AD287" s="928"/>
      <c r="AE287" s="928"/>
      <c r="AF287" s="928"/>
      <c r="AG287" s="928"/>
      <c r="AH287" s="928"/>
      <c r="AI287" s="928"/>
      <c r="AJ287" s="928"/>
      <c r="AK287" s="928"/>
      <c r="AL287" s="928"/>
      <c r="AM287" s="928"/>
      <c r="AN287" s="928"/>
      <c r="AO287" s="928"/>
      <c r="AP287" s="928"/>
      <c r="AQ287" s="928"/>
      <c r="AR287" s="928"/>
      <c r="AS287" s="928"/>
    </row>
    <row r="288" spans="11:45">
      <c r="K288" s="957"/>
      <c r="L288" s="928"/>
      <c r="M288" s="928"/>
      <c r="N288" s="960"/>
      <c r="O288" s="960"/>
      <c r="P288" s="960"/>
      <c r="Q288" s="960"/>
      <c r="R288" s="960"/>
      <c r="S288" s="960"/>
      <c r="T288" s="960"/>
      <c r="U288" s="960"/>
      <c r="V288" s="960"/>
      <c r="W288" s="960"/>
      <c r="X288" s="960"/>
      <c r="Y288" s="960"/>
      <c r="Z288" s="960"/>
      <c r="AA288" s="960"/>
      <c r="AB288" s="928"/>
      <c r="AC288" s="928"/>
      <c r="AD288" s="928"/>
      <c r="AE288" s="928"/>
      <c r="AF288" s="928"/>
      <c r="AG288" s="928"/>
      <c r="AH288" s="928"/>
      <c r="AI288" s="928"/>
      <c r="AJ288" s="928"/>
      <c r="AK288" s="928"/>
      <c r="AL288" s="928"/>
      <c r="AM288" s="928"/>
      <c r="AN288" s="928"/>
      <c r="AO288" s="928"/>
      <c r="AP288" s="928"/>
      <c r="AQ288" s="928"/>
      <c r="AR288" s="928"/>
      <c r="AS288" s="928"/>
    </row>
    <row r="289" spans="11:45">
      <c r="K289" s="957"/>
      <c r="L289" s="928"/>
      <c r="M289" s="928"/>
      <c r="N289" s="960"/>
      <c r="O289" s="960"/>
      <c r="P289" s="960"/>
      <c r="Q289" s="960"/>
      <c r="R289" s="960"/>
      <c r="S289" s="960"/>
      <c r="T289" s="960"/>
      <c r="U289" s="960"/>
      <c r="V289" s="960"/>
      <c r="W289" s="960"/>
      <c r="X289" s="960"/>
      <c r="Y289" s="960"/>
      <c r="Z289" s="960"/>
      <c r="AA289" s="960"/>
      <c r="AB289" s="928"/>
      <c r="AC289" s="928"/>
      <c r="AD289" s="928"/>
      <c r="AE289" s="928"/>
      <c r="AF289" s="928"/>
      <c r="AG289" s="928"/>
      <c r="AH289" s="928"/>
      <c r="AI289" s="928"/>
      <c r="AJ289" s="928"/>
      <c r="AK289" s="928"/>
      <c r="AL289" s="928"/>
      <c r="AM289" s="928"/>
      <c r="AN289" s="928"/>
      <c r="AO289" s="928"/>
      <c r="AP289" s="928"/>
      <c r="AQ289" s="928"/>
      <c r="AR289" s="928"/>
      <c r="AS289" s="928"/>
    </row>
    <row r="290" spans="11:45">
      <c r="K290" s="957"/>
      <c r="L290" s="928"/>
      <c r="M290" s="928"/>
      <c r="N290" s="960"/>
      <c r="O290" s="960"/>
      <c r="P290" s="960"/>
      <c r="Q290" s="960"/>
      <c r="R290" s="960"/>
      <c r="S290" s="960"/>
      <c r="T290" s="960"/>
      <c r="U290" s="960"/>
      <c r="V290" s="960"/>
      <c r="W290" s="960"/>
      <c r="X290" s="960"/>
      <c r="Y290" s="960"/>
      <c r="Z290" s="960"/>
      <c r="AA290" s="960"/>
      <c r="AB290" s="928"/>
      <c r="AC290" s="928"/>
      <c r="AD290" s="928"/>
      <c r="AE290" s="928"/>
      <c r="AF290" s="928"/>
      <c r="AG290" s="928"/>
      <c r="AH290" s="928"/>
      <c r="AI290" s="928"/>
      <c r="AJ290" s="928"/>
      <c r="AK290" s="928"/>
      <c r="AL290" s="928"/>
      <c r="AM290" s="928"/>
      <c r="AN290" s="928"/>
      <c r="AO290" s="928"/>
      <c r="AP290" s="928"/>
      <c r="AQ290" s="928"/>
      <c r="AR290" s="928"/>
      <c r="AS290" s="928"/>
    </row>
    <row r="291" spans="11:45">
      <c r="K291" s="957"/>
      <c r="L291" s="928"/>
      <c r="M291" s="928"/>
      <c r="N291" s="960"/>
      <c r="O291" s="960"/>
      <c r="P291" s="960"/>
      <c r="Q291" s="960"/>
      <c r="R291" s="960"/>
      <c r="S291" s="960"/>
      <c r="T291" s="960"/>
      <c r="U291" s="960"/>
      <c r="V291" s="960"/>
      <c r="W291" s="960"/>
      <c r="X291" s="960"/>
      <c r="Y291" s="960"/>
      <c r="Z291" s="960"/>
      <c r="AA291" s="960"/>
      <c r="AB291" s="928"/>
      <c r="AC291" s="928"/>
      <c r="AD291" s="928"/>
      <c r="AE291" s="928"/>
      <c r="AF291" s="928"/>
      <c r="AG291" s="928"/>
      <c r="AH291" s="928"/>
      <c r="AI291" s="928"/>
      <c r="AJ291" s="928"/>
      <c r="AK291" s="928"/>
      <c r="AL291" s="928"/>
      <c r="AM291" s="928"/>
      <c r="AN291" s="928"/>
      <c r="AO291" s="928"/>
      <c r="AP291" s="928"/>
      <c r="AQ291" s="928"/>
      <c r="AR291" s="928"/>
      <c r="AS291" s="928"/>
    </row>
    <row r="292" spans="11:45">
      <c r="K292" s="957"/>
      <c r="L292" s="928"/>
      <c r="M292" s="928"/>
      <c r="N292" s="960"/>
      <c r="O292" s="960"/>
      <c r="P292" s="960"/>
      <c r="Q292" s="960"/>
      <c r="R292" s="960"/>
      <c r="S292" s="960"/>
      <c r="T292" s="960"/>
      <c r="U292" s="960"/>
      <c r="V292" s="960"/>
      <c r="W292" s="960"/>
      <c r="X292" s="960"/>
      <c r="Y292" s="960"/>
      <c r="Z292" s="960"/>
      <c r="AA292" s="960"/>
      <c r="AB292" s="928"/>
      <c r="AC292" s="928"/>
      <c r="AD292" s="928"/>
      <c r="AE292" s="928"/>
      <c r="AF292" s="928"/>
      <c r="AG292" s="928"/>
      <c r="AH292" s="928"/>
      <c r="AI292" s="928"/>
      <c r="AJ292" s="928"/>
      <c r="AK292" s="928"/>
      <c r="AL292" s="928"/>
      <c r="AM292" s="928"/>
      <c r="AN292" s="928"/>
      <c r="AO292" s="928"/>
      <c r="AP292" s="928"/>
      <c r="AQ292" s="928"/>
      <c r="AR292" s="928"/>
      <c r="AS292" s="928"/>
    </row>
    <row r="293" spans="11:45">
      <c r="K293" s="957"/>
      <c r="L293" s="928"/>
      <c r="M293" s="928"/>
      <c r="N293" s="960"/>
      <c r="O293" s="960"/>
      <c r="P293" s="960"/>
      <c r="Q293" s="960"/>
      <c r="R293" s="960"/>
      <c r="S293" s="960"/>
      <c r="T293" s="960"/>
      <c r="U293" s="960"/>
      <c r="V293" s="960"/>
      <c r="W293" s="960"/>
      <c r="X293" s="960"/>
      <c r="Y293" s="960"/>
      <c r="Z293" s="960"/>
      <c r="AA293" s="960"/>
      <c r="AB293" s="928"/>
      <c r="AC293" s="928"/>
      <c r="AD293" s="928"/>
      <c r="AE293" s="928"/>
      <c r="AF293" s="928"/>
      <c r="AG293" s="928"/>
      <c r="AH293" s="928"/>
      <c r="AI293" s="928"/>
      <c r="AJ293" s="928"/>
      <c r="AK293" s="928"/>
      <c r="AL293" s="928"/>
      <c r="AM293" s="928"/>
      <c r="AN293" s="928"/>
      <c r="AO293" s="928"/>
      <c r="AP293" s="928"/>
      <c r="AQ293" s="928"/>
      <c r="AR293" s="928"/>
      <c r="AS293" s="928"/>
    </row>
    <row r="294" spans="11:45">
      <c r="K294" s="957"/>
      <c r="L294" s="928"/>
      <c r="M294" s="928"/>
      <c r="N294" s="960"/>
      <c r="O294" s="960"/>
      <c r="P294" s="960"/>
      <c r="Q294" s="960"/>
      <c r="R294" s="960"/>
      <c r="S294" s="960"/>
      <c r="T294" s="960"/>
      <c r="U294" s="960"/>
      <c r="V294" s="960"/>
      <c r="W294" s="960"/>
      <c r="X294" s="960"/>
      <c r="Y294" s="960"/>
      <c r="Z294" s="960"/>
      <c r="AA294" s="960"/>
      <c r="AB294" s="928"/>
      <c r="AC294" s="928"/>
      <c r="AD294" s="928"/>
      <c r="AE294" s="928"/>
      <c r="AF294" s="928"/>
      <c r="AG294" s="928"/>
      <c r="AH294" s="928"/>
      <c r="AI294" s="928"/>
      <c r="AJ294" s="928"/>
      <c r="AK294" s="928"/>
      <c r="AL294" s="928"/>
      <c r="AM294" s="928"/>
      <c r="AN294" s="928"/>
      <c r="AO294" s="928"/>
      <c r="AP294" s="928"/>
      <c r="AQ294" s="928"/>
      <c r="AR294" s="928"/>
      <c r="AS294" s="928"/>
    </row>
    <row r="295" spans="11:45">
      <c r="K295" s="957"/>
      <c r="L295" s="928"/>
      <c r="M295" s="928"/>
      <c r="N295" s="960"/>
      <c r="O295" s="960"/>
      <c r="P295" s="960"/>
      <c r="Q295" s="960"/>
      <c r="R295" s="960"/>
      <c r="S295" s="960"/>
      <c r="T295" s="960"/>
      <c r="U295" s="960"/>
      <c r="V295" s="960"/>
      <c r="W295" s="960"/>
      <c r="X295" s="960"/>
      <c r="Y295" s="960"/>
      <c r="Z295" s="960"/>
      <c r="AA295" s="960"/>
      <c r="AB295" s="928"/>
      <c r="AC295" s="928"/>
      <c r="AD295" s="928"/>
      <c r="AE295" s="928"/>
      <c r="AF295" s="928"/>
      <c r="AG295" s="928"/>
      <c r="AH295" s="928"/>
      <c r="AI295" s="928"/>
      <c r="AJ295" s="928"/>
      <c r="AK295" s="928"/>
      <c r="AL295" s="928"/>
      <c r="AM295" s="928"/>
      <c r="AN295" s="928"/>
      <c r="AO295" s="928"/>
      <c r="AP295" s="928"/>
      <c r="AQ295" s="928"/>
      <c r="AR295" s="928"/>
      <c r="AS295" s="928"/>
    </row>
    <row r="296" spans="11:45">
      <c r="K296" s="957"/>
      <c r="L296" s="928"/>
      <c r="M296" s="928"/>
      <c r="N296" s="960"/>
      <c r="O296" s="960"/>
      <c r="P296" s="960"/>
      <c r="Q296" s="960"/>
      <c r="R296" s="960"/>
      <c r="S296" s="960"/>
      <c r="T296" s="960"/>
      <c r="U296" s="960"/>
      <c r="V296" s="960"/>
      <c r="W296" s="960"/>
      <c r="X296" s="960"/>
      <c r="Y296" s="960"/>
      <c r="Z296" s="960"/>
      <c r="AA296" s="960"/>
      <c r="AB296" s="928"/>
      <c r="AC296" s="928"/>
      <c r="AD296" s="928"/>
      <c r="AE296" s="928"/>
      <c r="AF296" s="928"/>
      <c r="AG296" s="928"/>
      <c r="AH296" s="928"/>
      <c r="AI296" s="928"/>
      <c r="AJ296" s="928"/>
      <c r="AK296" s="928"/>
      <c r="AL296" s="928"/>
      <c r="AM296" s="928"/>
      <c r="AN296" s="928"/>
      <c r="AO296" s="928"/>
      <c r="AP296" s="928"/>
      <c r="AQ296" s="928"/>
      <c r="AR296" s="928"/>
      <c r="AS296" s="928"/>
    </row>
    <row r="297" spans="11:45">
      <c r="K297" s="957"/>
      <c r="L297" s="928"/>
      <c r="M297" s="928"/>
      <c r="N297" s="960"/>
      <c r="O297" s="960"/>
      <c r="P297" s="960"/>
      <c r="Q297" s="960"/>
      <c r="R297" s="960"/>
      <c r="S297" s="960"/>
      <c r="T297" s="960"/>
      <c r="U297" s="960"/>
      <c r="V297" s="960"/>
      <c r="W297" s="960"/>
      <c r="X297" s="960"/>
      <c r="Y297" s="960"/>
      <c r="Z297" s="960"/>
      <c r="AA297" s="960"/>
      <c r="AB297" s="928"/>
      <c r="AC297" s="928"/>
      <c r="AD297" s="928"/>
      <c r="AE297" s="928"/>
      <c r="AF297" s="928"/>
      <c r="AG297" s="928"/>
      <c r="AH297" s="928"/>
      <c r="AI297" s="928"/>
      <c r="AJ297" s="928"/>
      <c r="AK297" s="928"/>
      <c r="AL297" s="928"/>
      <c r="AM297" s="928"/>
      <c r="AN297" s="928"/>
      <c r="AO297" s="928"/>
      <c r="AP297" s="928"/>
      <c r="AQ297" s="928"/>
      <c r="AR297" s="928"/>
      <c r="AS297" s="928"/>
    </row>
    <row r="298" spans="11:45">
      <c r="K298" s="957"/>
      <c r="L298" s="928"/>
      <c r="M298" s="928"/>
      <c r="N298" s="960"/>
      <c r="O298" s="960"/>
      <c r="P298" s="960"/>
      <c r="Q298" s="960"/>
      <c r="R298" s="960"/>
      <c r="S298" s="960"/>
      <c r="T298" s="960"/>
      <c r="U298" s="960"/>
      <c r="V298" s="960"/>
      <c r="W298" s="960"/>
      <c r="X298" s="960"/>
      <c r="Y298" s="960"/>
      <c r="Z298" s="960"/>
      <c r="AA298" s="960"/>
      <c r="AB298" s="928"/>
      <c r="AC298" s="928"/>
      <c r="AD298" s="928"/>
      <c r="AE298" s="928"/>
      <c r="AF298" s="928"/>
      <c r="AG298" s="928"/>
      <c r="AH298" s="928"/>
      <c r="AI298" s="928"/>
      <c r="AJ298" s="928"/>
      <c r="AK298" s="928"/>
      <c r="AL298" s="928"/>
      <c r="AM298" s="928"/>
      <c r="AN298" s="928"/>
      <c r="AO298" s="928"/>
      <c r="AP298" s="928"/>
      <c r="AQ298" s="928"/>
      <c r="AR298" s="928"/>
      <c r="AS298" s="928"/>
    </row>
    <row r="299" spans="11:45">
      <c r="K299" s="957"/>
      <c r="L299" s="928"/>
      <c r="M299" s="928"/>
      <c r="N299" s="960"/>
      <c r="O299" s="960"/>
      <c r="P299" s="960"/>
      <c r="Q299" s="960"/>
      <c r="R299" s="960"/>
      <c r="S299" s="960"/>
      <c r="T299" s="960"/>
      <c r="U299" s="960"/>
      <c r="V299" s="960"/>
      <c r="W299" s="960"/>
      <c r="X299" s="960"/>
      <c r="Y299" s="960"/>
      <c r="Z299" s="960"/>
      <c r="AA299" s="960"/>
      <c r="AB299" s="928"/>
      <c r="AC299" s="928"/>
      <c r="AD299" s="928"/>
      <c r="AE299" s="928"/>
      <c r="AF299" s="928"/>
      <c r="AG299" s="928"/>
      <c r="AH299" s="928"/>
      <c r="AI299" s="928"/>
      <c r="AJ299" s="928"/>
      <c r="AK299" s="928"/>
      <c r="AL299" s="928"/>
      <c r="AM299" s="928"/>
      <c r="AN299" s="928"/>
      <c r="AO299" s="928"/>
      <c r="AP299" s="928"/>
      <c r="AQ299" s="928"/>
      <c r="AR299" s="928"/>
      <c r="AS299" s="928"/>
    </row>
    <row r="300" spans="11:45">
      <c r="K300" s="957"/>
      <c r="L300" s="928"/>
      <c r="M300" s="928"/>
      <c r="N300" s="960"/>
      <c r="O300" s="960"/>
      <c r="P300" s="960"/>
      <c r="Q300" s="960"/>
      <c r="R300" s="960"/>
      <c r="S300" s="960"/>
      <c r="T300" s="960"/>
      <c r="U300" s="960"/>
      <c r="V300" s="960"/>
      <c r="W300" s="960"/>
      <c r="X300" s="960"/>
      <c r="Y300" s="960"/>
      <c r="Z300" s="960"/>
      <c r="AA300" s="960"/>
      <c r="AB300" s="928"/>
      <c r="AC300" s="928"/>
      <c r="AD300" s="928"/>
      <c r="AE300" s="928"/>
      <c r="AF300" s="928"/>
      <c r="AG300" s="928"/>
      <c r="AH300" s="928"/>
      <c r="AI300" s="928"/>
      <c r="AJ300" s="928"/>
      <c r="AK300" s="928"/>
      <c r="AL300" s="928"/>
      <c r="AM300" s="928"/>
      <c r="AN300" s="928"/>
      <c r="AO300" s="928"/>
      <c r="AP300" s="928"/>
      <c r="AQ300" s="928"/>
      <c r="AR300" s="928"/>
      <c r="AS300" s="928"/>
    </row>
    <row r="301" spans="11:45">
      <c r="K301" s="957"/>
      <c r="L301" s="928"/>
      <c r="M301" s="928"/>
      <c r="N301" s="960"/>
      <c r="O301" s="960"/>
      <c r="P301" s="960"/>
      <c r="Q301" s="960"/>
      <c r="R301" s="960"/>
      <c r="S301" s="960"/>
      <c r="T301" s="960"/>
      <c r="U301" s="960"/>
      <c r="V301" s="960"/>
      <c r="W301" s="960"/>
      <c r="X301" s="960"/>
      <c r="Y301" s="960"/>
      <c r="Z301" s="960"/>
      <c r="AA301" s="960"/>
      <c r="AB301" s="928"/>
      <c r="AC301" s="928"/>
      <c r="AD301" s="928"/>
      <c r="AE301" s="928"/>
      <c r="AF301" s="928"/>
      <c r="AG301" s="928"/>
      <c r="AH301" s="928"/>
      <c r="AI301" s="928"/>
      <c r="AJ301" s="928"/>
      <c r="AK301" s="928"/>
      <c r="AL301" s="928"/>
      <c r="AM301" s="928"/>
      <c r="AN301" s="928"/>
      <c r="AO301" s="928"/>
      <c r="AP301" s="928"/>
      <c r="AQ301" s="928"/>
      <c r="AR301" s="928"/>
      <c r="AS301" s="928"/>
    </row>
    <row r="302" spans="11:45">
      <c r="K302" s="957"/>
      <c r="L302" s="928"/>
      <c r="M302" s="928"/>
      <c r="N302" s="960"/>
      <c r="O302" s="960"/>
      <c r="P302" s="960"/>
      <c r="Q302" s="960"/>
      <c r="R302" s="960"/>
      <c r="S302" s="960"/>
      <c r="T302" s="960"/>
      <c r="U302" s="960"/>
      <c r="V302" s="960"/>
      <c r="W302" s="960"/>
      <c r="X302" s="960"/>
      <c r="Y302" s="960"/>
      <c r="Z302" s="960"/>
      <c r="AA302" s="960"/>
      <c r="AB302" s="928"/>
      <c r="AC302" s="928"/>
      <c r="AD302" s="928"/>
      <c r="AE302" s="928"/>
      <c r="AF302" s="928"/>
      <c r="AG302" s="928"/>
      <c r="AH302" s="928"/>
      <c r="AI302" s="928"/>
      <c r="AJ302" s="928"/>
      <c r="AK302" s="928"/>
      <c r="AL302" s="928"/>
      <c r="AM302" s="928"/>
      <c r="AN302" s="928"/>
      <c r="AO302" s="928"/>
      <c r="AP302" s="928"/>
      <c r="AQ302" s="928"/>
      <c r="AR302" s="928"/>
      <c r="AS302" s="928"/>
    </row>
    <row r="303" spans="11:45">
      <c r="K303" s="957"/>
      <c r="L303" s="928"/>
      <c r="M303" s="928"/>
      <c r="N303" s="960"/>
      <c r="O303" s="960"/>
      <c r="P303" s="960"/>
      <c r="Q303" s="960"/>
      <c r="R303" s="960"/>
      <c r="S303" s="960"/>
      <c r="T303" s="960"/>
      <c r="U303" s="960"/>
      <c r="V303" s="960"/>
      <c r="W303" s="960"/>
      <c r="X303" s="960"/>
      <c r="Y303" s="960"/>
      <c r="Z303" s="960"/>
      <c r="AA303" s="960"/>
      <c r="AB303" s="928"/>
      <c r="AC303" s="928"/>
      <c r="AD303" s="928"/>
      <c r="AE303" s="928"/>
      <c r="AF303" s="928"/>
      <c r="AG303" s="928"/>
      <c r="AH303" s="928"/>
      <c r="AI303" s="928"/>
      <c r="AJ303" s="928"/>
      <c r="AK303" s="928"/>
      <c r="AL303" s="928"/>
      <c r="AM303" s="928"/>
      <c r="AN303" s="928"/>
      <c r="AO303" s="928"/>
      <c r="AP303" s="928"/>
      <c r="AQ303" s="928"/>
      <c r="AR303" s="928"/>
      <c r="AS303" s="928"/>
    </row>
    <row r="304" spans="11:45">
      <c r="K304" s="957"/>
      <c r="L304" s="928"/>
      <c r="M304" s="928"/>
      <c r="N304" s="960"/>
      <c r="O304" s="960"/>
      <c r="P304" s="960"/>
      <c r="Q304" s="960"/>
      <c r="R304" s="960"/>
      <c r="S304" s="960"/>
      <c r="T304" s="960"/>
      <c r="U304" s="960"/>
      <c r="V304" s="960"/>
      <c r="W304" s="960"/>
      <c r="X304" s="960"/>
      <c r="Y304" s="960"/>
      <c r="Z304" s="960"/>
      <c r="AA304" s="960"/>
      <c r="AB304" s="928"/>
      <c r="AC304" s="928"/>
      <c r="AD304" s="928"/>
      <c r="AE304" s="928"/>
      <c r="AF304" s="928"/>
      <c r="AG304" s="928"/>
      <c r="AH304" s="928"/>
      <c r="AI304" s="928"/>
      <c r="AJ304" s="928"/>
      <c r="AK304" s="928"/>
      <c r="AL304" s="928"/>
      <c r="AM304" s="928"/>
      <c r="AN304" s="928"/>
      <c r="AO304" s="928"/>
      <c r="AP304" s="928"/>
      <c r="AQ304" s="928"/>
      <c r="AR304" s="928"/>
      <c r="AS304" s="928"/>
    </row>
    <row r="305" spans="11:45">
      <c r="K305" s="957"/>
      <c r="L305" s="928"/>
      <c r="M305" s="928"/>
      <c r="N305" s="960"/>
      <c r="O305" s="960"/>
      <c r="P305" s="960"/>
      <c r="Q305" s="960"/>
      <c r="R305" s="960"/>
      <c r="S305" s="960"/>
      <c r="T305" s="960"/>
      <c r="U305" s="960"/>
      <c r="V305" s="960"/>
      <c r="W305" s="960"/>
      <c r="X305" s="960"/>
      <c r="Y305" s="960"/>
      <c r="Z305" s="960"/>
      <c r="AA305" s="960"/>
      <c r="AB305" s="928"/>
      <c r="AC305" s="928"/>
      <c r="AD305" s="928"/>
      <c r="AE305" s="928"/>
      <c r="AF305" s="928"/>
      <c r="AG305" s="928"/>
      <c r="AH305" s="928"/>
      <c r="AI305" s="928"/>
      <c r="AJ305" s="928"/>
      <c r="AK305" s="928"/>
      <c r="AL305" s="928"/>
      <c r="AM305" s="928"/>
      <c r="AN305" s="928"/>
      <c r="AO305" s="928"/>
      <c r="AP305" s="928"/>
      <c r="AQ305" s="928"/>
      <c r="AR305" s="928"/>
      <c r="AS305" s="928"/>
    </row>
    <row r="306" spans="11:45">
      <c r="K306" s="957"/>
      <c r="L306" s="928"/>
      <c r="M306" s="928"/>
      <c r="N306" s="960"/>
      <c r="O306" s="960"/>
      <c r="P306" s="960"/>
      <c r="Q306" s="960"/>
      <c r="R306" s="960"/>
      <c r="S306" s="960"/>
      <c r="T306" s="960"/>
      <c r="U306" s="960"/>
      <c r="V306" s="960"/>
      <c r="W306" s="960"/>
      <c r="X306" s="960"/>
      <c r="Y306" s="960"/>
      <c r="Z306" s="960"/>
      <c r="AA306" s="960"/>
      <c r="AB306" s="928"/>
      <c r="AC306" s="928"/>
      <c r="AD306" s="928"/>
      <c r="AE306" s="928"/>
      <c r="AF306" s="928"/>
      <c r="AG306" s="928"/>
      <c r="AH306" s="928"/>
      <c r="AI306" s="928"/>
      <c r="AJ306" s="928"/>
      <c r="AK306" s="928"/>
      <c r="AL306" s="928"/>
      <c r="AM306" s="928"/>
      <c r="AN306" s="928"/>
      <c r="AO306" s="928"/>
      <c r="AP306" s="928"/>
      <c r="AQ306" s="928"/>
      <c r="AR306" s="928"/>
      <c r="AS306" s="928"/>
    </row>
    <row r="307" spans="11:45">
      <c r="K307" s="957"/>
      <c r="L307" s="928"/>
      <c r="M307" s="928"/>
      <c r="N307" s="960"/>
      <c r="O307" s="960"/>
      <c r="P307" s="960"/>
      <c r="Q307" s="960"/>
      <c r="R307" s="960"/>
      <c r="S307" s="960"/>
      <c r="T307" s="960"/>
      <c r="U307" s="960"/>
      <c r="V307" s="960"/>
      <c r="W307" s="960"/>
      <c r="X307" s="960"/>
      <c r="Y307" s="960"/>
      <c r="Z307" s="960"/>
      <c r="AA307" s="960"/>
      <c r="AB307" s="928"/>
      <c r="AC307" s="928"/>
      <c r="AD307" s="928"/>
      <c r="AE307" s="928"/>
      <c r="AF307" s="928"/>
      <c r="AG307" s="928"/>
      <c r="AH307" s="928"/>
      <c r="AI307" s="928"/>
      <c r="AJ307" s="928"/>
      <c r="AK307" s="928"/>
      <c r="AL307" s="928"/>
      <c r="AM307" s="928"/>
      <c r="AN307" s="928"/>
      <c r="AO307" s="928"/>
      <c r="AP307" s="928"/>
      <c r="AQ307" s="928"/>
      <c r="AR307" s="928"/>
      <c r="AS307" s="928"/>
    </row>
    <row r="308" spans="11:45">
      <c r="K308" s="957"/>
      <c r="L308" s="928"/>
      <c r="M308" s="928"/>
      <c r="N308" s="960"/>
      <c r="O308" s="960"/>
      <c r="P308" s="960"/>
      <c r="Q308" s="960"/>
      <c r="R308" s="960"/>
      <c r="W308" s="960"/>
      <c r="X308" s="960"/>
      <c r="Y308" s="960"/>
      <c r="Z308" s="960"/>
      <c r="AA308" s="960"/>
      <c r="AB308" s="928"/>
      <c r="AC308" s="928"/>
      <c r="AD308" s="928"/>
      <c r="AE308" s="928"/>
      <c r="AF308" s="928"/>
      <c r="AG308" s="928"/>
      <c r="AH308" s="928"/>
      <c r="AI308" s="928"/>
      <c r="AJ308" s="928"/>
      <c r="AK308" s="928"/>
      <c r="AL308" s="928"/>
      <c r="AM308" s="928"/>
      <c r="AN308" s="928"/>
      <c r="AO308" s="928"/>
      <c r="AP308" s="928"/>
      <c r="AQ308" s="928"/>
      <c r="AR308" s="928"/>
      <c r="AS308" s="928"/>
    </row>
    <row r="309" spans="11:45">
      <c r="K309" s="957"/>
      <c r="L309" s="928"/>
      <c r="M309" s="928"/>
      <c r="N309" s="960"/>
      <c r="O309" s="960"/>
      <c r="P309" s="960"/>
      <c r="Q309" s="960"/>
      <c r="R309" s="960"/>
      <c r="W309" s="960"/>
      <c r="X309" s="960"/>
      <c r="Y309" s="960"/>
      <c r="Z309" s="960"/>
      <c r="AA309" s="960"/>
      <c r="AB309" s="928"/>
      <c r="AC309" s="928"/>
      <c r="AD309" s="928"/>
      <c r="AE309" s="928"/>
      <c r="AF309" s="928"/>
      <c r="AG309" s="928"/>
      <c r="AH309" s="928"/>
      <c r="AI309" s="928"/>
      <c r="AJ309" s="928"/>
      <c r="AK309" s="928"/>
      <c r="AL309" s="928"/>
      <c r="AM309" s="928"/>
      <c r="AN309" s="928"/>
      <c r="AO309" s="928"/>
      <c r="AP309" s="928"/>
      <c r="AQ309" s="928"/>
      <c r="AR309" s="928"/>
      <c r="AS309" s="928"/>
    </row>
    <row r="310" spans="11:45">
      <c r="K310" s="957"/>
      <c r="L310" s="928"/>
      <c r="M310" s="928"/>
      <c r="N310" s="960"/>
      <c r="O310" s="960"/>
      <c r="P310" s="960"/>
      <c r="Q310" s="960"/>
      <c r="R310" s="960"/>
      <c r="W310" s="960"/>
      <c r="X310" s="960"/>
      <c r="Y310" s="960"/>
      <c r="Z310" s="960"/>
      <c r="AA310" s="960"/>
      <c r="AB310" s="928"/>
      <c r="AC310" s="928"/>
      <c r="AD310" s="928"/>
      <c r="AE310" s="928"/>
      <c r="AF310" s="928"/>
      <c r="AG310" s="928"/>
      <c r="AH310" s="928"/>
      <c r="AI310" s="928"/>
      <c r="AJ310" s="928"/>
      <c r="AK310" s="928"/>
      <c r="AL310" s="928"/>
      <c r="AM310" s="928"/>
      <c r="AN310" s="928"/>
      <c r="AO310" s="928"/>
      <c r="AP310" s="928"/>
      <c r="AQ310" s="928"/>
      <c r="AR310" s="928"/>
      <c r="AS310" s="928"/>
    </row>
    <row r="311" spans="11:45">
      <c r="K311" s="957"/>
      <c r="L311" s="928"/>
      <c r="M311" s="928"/>
      <c r="N311" s="960"/>
      <c r="O311" s="960"/>
      <c r="P311" s="960"/>
      <c r="Q311" s="960"/>
      <c r="R311" s="960"/>
      <c r="W311" s="960"/>
      <c r="X311" s="960"/>
      <c r="Y311" s="960"/>
      <c r="Z311" s="960"/>
      <c r="AA311" s="960"/>
      <c r="AB311" s="928"/>
      <c r="AC311" s="928"/>
      <c r="AD311" s="928"/>
      <c r="AE311" s="928"/>
      <c r="AF311" s="928"/>
      <c r="AG311" s="928"/>
      <c r="AH311" s="928"/>
      <c r="AI311" s="928"/>
      <c r="AJ311" s="928"/>
      <c r="AK311" s="928"/>
      <c r="AL311" s="928"/>
      <c r="AM311" s="928"/>
      <c r="AN311" s="928"/>
      <c r="AO311" s="928"/>
      <c r="AP311" s="928"/>
      <c r="AQ311" s="928"/>
      <c r="AR311" s="928"/>
      <c r="AS311" s="928"/>
    </row>
  </sheetData>
  <sheetProtection sheet="1" objects="1" scenarios="1"/>
  <mergeCells count="80">
    <mergeCell ref="B25:M25"/>
    <mergeCell ref="A27:C27"/>
    <mergeCell ref="E27:H27"/>
    <mergeCell ref="L27:M27"/>
    <mergeCell ref="A28:C28"/>
    <mergeCell ref="E28:H28"/>
    <mergeCell ref="L28:M28"/>
    <mergeCell ref="L22:M23"/>
    <mergeCell ref="A20:A21"/>
    <mergeCell ref="B20:B21"/>
    <mergeCell ref="C20:C21"/>
    <mergeCell ref="J20:J21"/>
    <mergeCell ref="K20:K21"/>
    <mergeCell ref="L20:M21"/>
    <mergeCell ref="A22:A23"/>
    <mergeCell ref="B22:B23"/>
    <mergeCell ref="C22:C23"/>
    <mergeCell ref="J22:J23"/>
    <mergeCell ref="K22:K23"/>
    <mergeCell ref="L18:M19"/>
    <mergeCell ref="A16:A17"/>
    <mergeCell ref="B16:B17"/>
    <mergeCell ref="C16:C17"/>
    <mergeCell ref="J16:J17"/>
    <mergeCell ref="K16:K17"/>
    <mergeCell ref="L16:M17"/>
    <mergeCell ref="A18:A19"/>
    <mergeCell ref="B18:B19"/>
    <mergeCell ref="C18:C19"/>
    <mergeCell ref="J18:J19"/>
    <mergeCell ref="K18:K19"/>
    <mergeCell ref="L14:M15"/>
    <mergeCell ref="A12:A13"/>
    <mergeCell ref="B12:B13"/>
    <mergeCell ref="C12:C13"/>
    <mergeCell ref="J12:J13"/>
    <mergeCell ref="K12:K13"/>
    <mergeCell ref="L12:M13"/>
    <mergeCell ref="A14:A15"/>
    <mergeCell ref="B14:B15"/>
    <mergeCell ref="C14:C15"/>
    <mergeCell ref="J14:J15"/>
    <mergeCell ref="K14:K15"/>
    <mergeCell ref="I8:I9"/>
    <mergeCell ref="J8:M8"/>
    <mergeCell ref="L9:M9"/>
    <mergeCell ref="A10:A11"/>
    <mergeCell ref="B10:B11"/>
    <mergeCell ref="C10:C11"/>
    <mergeCell ref="J10:J11"/>
    <mergeCell ref="K10:K11"/>
    <mergeCell ref="L10:M11"/>
    <mergeCell ref="A8:A9"/>
    <mergeCell ref="B8:B9"/>
    <mergeCell ref="C8:C9"/>
    <mergeCell ref="D8:E9"/>
    <mergeCell ref="F8:G9"/>
    <mergeCell ref="H8:H9"/>
    <mergeCell ref="A6:C6"/>
    <mergeCell ref="D6:G6"/>
    <mergeCell ref="H6:I6"/>
    <mergeCell ref="K6:M6"/>
    <mergeCell ref="A7:B7"/>
    <mergeCell ref="C7:D7"/>
    <mergeCell ref="E7:H7"/>
    <mergeCell ref="I7:J7"/>
    <mergeCell ref="K7:M7"/>
    <mergeCell ref="D4:E4"/>
    <mergeCell ref="I4:J4"/>
    <mergeCell ref="K4:L4"/>
    <mergeCell ref="B5:D5"/>
    <mergeCell ref="E5:G5"/>
    <mergeCell ref="H5:J5"/>
    <mergeCell ref="K5:L5"/>
    <mergeCell ref="C1:H1"/>
    <mergeCell ref="J1:K1"/>
    <mergeCell ref="L1:M1"/>
    <mergeCell ref="B2:G2"/>
    <mergeCell ref="H2:I2"/>
    <mergeCell ref="J2:M2"/>
  </mergeCells>
  <dataValidations count="11">
    <dataValidation type="list" allowBlank="1" showInputMessage="1" showErrorMessage="1" sqref="B24">
      <formula1>#REF!</formula1>
    </dataValidation>
    <dataValidation type="list" allowBlank="1" sqref="F10:F23 D10:D23">
      <formula1>Hue</formula1>
    </dataValidation>
    <dataValidation type="list" allowBlank="1" sqref="E10:E23 G10:G23">
      <formula1>ValueChroma</formula1>
    </dataValidation>
    <dataValidation type="list" allowBlank="1" sqref="J22 J18 J10 J12 J14 J16 J20">
      <formula1>StructureShape</formula1>
    </dataValidation>
    <dataValidation type="list" allowBlank="1" sqref="K22 K18 K10 K12 K14 K16 K20">
      <formula1>StructureGrade</formula1>
    </dataValidation>
    <dataValidation type="list" allowBlank="1" sqref="L22 L10 L12 L14 L16 L18 L20">
      <formula1>StructureConsistence</formula1>
    </dataValidation>
    <dataValidation type="list" allowBlank="1" sqref="C22 C18 C10 C12 C14 C16 C20">
      <formula1>CoarseFragments</formula1>
    </dataValidation>
    <dataValidation type="list" allowBlank="1" sqref="B22 B18 B10 B12 B14 B16 B20">
      <formula1>SoilTexture7080</formula1>
    </dataValidation>
    <dataValidation type="list" allowBlank="1" sqref="I4">
      <formula1>SlopeShape</formula1>
    </dataValidation>
    <dataValidation type="list" errorStyle="information" allowBlank="1" showInputMessage="1" showErrorMessage="1" errorTitle="Slope" error="Check slope value" prompt="Land Slope" sqref="G4">
      <formula1>Slope</formula1>
    </dataValidation>
    <dataValidation type="list" errorStyle="information" allowBlank="1" showInputMessage="1" showErrorMessage="1" error="Check type before proceeding" sqref="K7:M7">
      <formula1>ObservationType</formula1>
    </dataValidation>
  </dataValidations>
  <printOptions horizontalCentered="1" verticalCentered="1"/>
  <pageMargins left="0.25" right="0.25" top="0.25" bottom="0.25" header="0" footer="0"/>
  <pageSetup fitToHeight="0" orientation="landscape"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3837953" r:id="rId4" name="Check Box 1">
              <controlPr defaultSize="0" autoFill="0" autoLine="0" autoPict="0">
                <anchor moveWithCells="1" sizeWithCells="1">
                  <from>
                    <xdr:col>4</xdr:col>
                    <xdr:colOff>312420</xdr:colOff>
                    <xdr:row>2</xdr:row>
                    <xdr:rowOff>45720</xdr:rowOff>
                  </from>
                  <to>
                    <xdr:col>6</xdr:col>
                    <xdr:colOff>304800</xdr:colOff>
                    <xdr:row>2</xdr:row>
                    <xdr:rowOff>259080</xdr:rowOff>
                  </to>
                </anchor>
              </controlPr>
            </control>
          </mc:Choice>
        </mc:AlternateContent>
        <mc:AlternateContent xmlns:mc="http://schemas.openxmlformats.org/markup-compatibility/2006">
          <mc:Choice Requires="x14">
            <control shapeId="3837954" r:id="rId5" name="Check Box 2">
              <controlPr defaultSize="0" autoFill="0" autoLine="0" autoPict="0">
                <anchor moveWithCells="1" sizeWithCells="1">
                  <from>
                    <xdr:col>5</xdr:col>
                    <xdr:colOff>419100</xdr:colOff>
                    <xdr:row>2</xdr:row>
                    <xdr:rowOff>45720</xdr:rowOff>
                  </from>
                  <to>
                    <xdr:col>7</xdr:col>
                    <xdr:colOff>411480</xdr:colOff>
                    <xdr:row>2</xdr:row>
                    <xdr:rowOff>259080</xdr:rowOff>
                  </to>
                </anchor>
              </controlPr>
            </control>
          </mc:Choice>
        </mc:AlternateContent>
        <mc:AlternateContent xmlns:mc="http://schemas.openxmlformats.org/markup-compatibility/2006">
          <mc:Choice Requires="x14">
            <control shapeId="3837955" r:id="rId6" name="Check Box 3">
              <controlPr defaultSize="0" autoFill="0" autoLine="0" autoPict="0">
                <anchor moveWithCells="1" sizeWithCells="1">
                  <from>
                    <xdr:col>7</xdr:col>
                    <xdr:colOff>182880</xdr:colOff>
                    <xdr:row>2</xdr:row>
                    <xdr:rowOff>45720</xdr:rowOff>
                  </from>
                  <to>
                    <xdr:col>8</xdr:col>
                    <xdr:colOff>220980</xdr:colOff>
                    <xdr:row>2</xdr:row>
                    <xdr:rowOff>259080</xdr:rowOff>
                  </to>
                </anchor>
              </controlPr>
            </control>
          </mc:Choice>
        </mc:AlternateContent>
        <mc:AlternateContent xmlns:mc="http://schemas.openxmlformats.org/markup-compatibility/2006">
          <mc:Choice Requires="x14">
            <control shapeId="3837956" r:id="rId7" name="Check Box 4">
              <controlPr defaultSize="0" autoFill="0" autoLine="0" autoPict="0">
                <anchor moveWithCells="1" sizeWithCells="1">
                  <from>
                    <xdr:col>7</xdr:col>
                    <xdr:colOff>731520</xdr:colOff>
                    <xdr:row>2</xdr:row>
                    <xdr:rowOff>45720</xdr:rowOff>
                  </from>
                  <to>
                    <xdr:col>9</xdr:col>
                    <xdr:colOff>45720</xdr:colOff>
                    <xdr:row>2</xdr:row>
                    <xdr:rowOff>259080</xdr:rowOff>
                  </to>
                </anchor>
              </controlPr>
            </control>
          </mc:Choice>
        </mc:AlternateContent>
        <mc:AlternateContent xmlns:mc="http://schemas.openxmlformats.org/markup-compatibility/2006">
          <mc:Choice Requires="x14">
            <control shapeId="3837957" r:id="rId8" name="Check Box 5">
              <controlPr defaultSize="0" autoFill="0" autoLine="0" autoPict="0">
                <anchor moveWithCells="1" sizeWithCells="1">
                  <from>
                    <xdr:col>8</xdr:col>
                    <xdr:colOff>350520</xdr:colOff>
                    <xdr:row>2</xdr:row>
                    <xdr:rowOff>45720</xdr:rowOff>
                  </from>
                  <to>
                    <xdr:col>9</xdr:col>
                    <xdr:colOff>609600</xdr:colOff>
                    <xdr:row>2</xdr:row>
                    <xdr:rowOff>259080</xdr:rowOff>
                  </to>
                </anchor>
              </controlPr>
            </control>
          </mc:Choice>
        </mc:AlternateContent>
        <mc:AlternateContent xmlns:mc="http://schemas.openxmlformats.org/markup-compatibility/2006">
          <mc:Choice Requires="x14">
            <control shapeId="3837958" r:id="rId9" name="Check Box 6">
              <controlPr defaultSize="0" autoFill="0" autoLine="0" autoPict="0">
                <anchor moveWithCells="1" sizeWithCells="1">
                  <from>
                    <xdr:col>9</xdr:col>
                    <xdr:colOff>388620</xdr:colOff>
                    <xdr:row>2</xdr:row>
                    <xdr:rowOff>45720</xdr:rowOff>
                  </from>
                  <to>
                    <xdr:col>10</xdr:col>
                    <xdr:colOff>617220</xdr:colOff>
                    <xdr:row>2</xdr:row>
                    <xdr:rowOff>259080</xdr:rowOff>
                  </to>
                </anchor>
              </controlPr>
            </control>
          </mc:Choice>
        </mc:AlternateContent>
        <mc:AlternateContent xmlns:mc="http://schemas.openxmlformats.org/markup-compatibility/2006">
          <mc:Choice Requires="x14">
            <control shapeId="3837959" r:id="rId10" name="Check Box 7">
              <controlPr defaultSize="0" autoFill="0" autoLine="0" autoPict="0">
                <anchor moveWithCells="1" sizeWithCells="1">
                  <from>
                    <xdr:col>10</xdr:col>
                    <xdr:colOff>426720</xdr:colOff>
                    <xdr:row>2</xdr:row>
                    <xdr:rowOff>45720</xdr:rowOff>
                  </from>
                  <to>
                    <xdr:col>11</xdr:col>
                    <xdr:colOff>541020</xdr:colOff>
                    <xdr:row>2</xdr:row>
                    <xdr:rowOff>259080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x14:formula1>
            <xm:f>'Drop-Down Lists'!$I$40:$I$44</xm:f>
          </x14:formula1>
          <xm:sqref>D4:E4</xm:sqref>
        </x14:dataValidation>
        <x14:dataValidation type="list" allowBlank="1" showInputMessage="1">
          <x14:formula1>
            <xm:f>'Drop-Down Lists'!$D$63:$D$68</xm:f>
          </x14:formula1>
          <xm:sqref>B5:D5</xm:sqref>
        </x14:dataValidation>
        <x14:dataValidation type="list" allowBlank="1">
          <x14:formula1>
            <xm:f>'Drop-Down Lists'!$C$13:$C$20</xm:f>
          </x14:formula1>
          <xm:sqref>H10:H23</xm:sqref>
        </x14:dataValidation>
        <x14:dataValidation type="list" allowBlank="1" showInputMessage="1">
          <x14:formula1>
            <xm:f>'Drop-Down Lists'!$F$2:$F$34</xm:f>
          </x14:formula1>
          <xm:sqref>I10:I23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109</vt:i4>
      </vt:variant>
    </vt:vector>
  </HeadingPairs>
  <TitlesOfParts>
    <vt:vector size="151" baseType="lpstr">
      <vt:lpstr>Drop-Down Lists</vt:lpstr>
      <vt:lpstr>Intro-MASTER</vt:lpstr>
      <vt:lpstr>Prelim</vt:lpstr>
      <vt:lpstr>Field</vt:lpstr>
      <vt:lpstr>Soil Log 1</vt:lpstr>
      <vt:lpstr>Soil Log 2</vt:lpstr>
      <vt:lpstr>Soil Log 3</vt:lpstr>
      <vt:lpstr>Soil Log 4</vt:lpstr>
      <vt:lpstr>Soil Log 5</vt:lpstr>
      <vt:lpstr>Soil Log 6</vt:lpstr>
      <vt:lpstr>Soil Chart</vt:lpstr>
      <vt:lpstr>Site Eval Sketch</vt:lpstr>
      <vt:lpstr>Site Eval Map</vt:lpstr>
      <vt:lpstr>Perc. Test</vt:lpstr>
      <vt:lpstr>Summary</vt:lpstr>
      <vt:lpstr>Sketch</vt:lpstr>
      <vt:lpstr>Trench</vt:lpstr>
      <vt:lpstr>Bed </vt:lpstr>
      <vt:lpstr>At-Grade</vt:lpstr>
      <vt:lpstr>Mound&lt;1%</vt:lpstr>
      <vt:lpstr>Mound&gt;1%</vt:lpstr>
      <vt:lpstr>Mound Mat.</vt:lpstr>
      <vt:lpstr>Drip</vt:lpstr>
      <vt:lpstr>Pres. Dist.</vt:lpstr>
      <vt:lpstr>Non-Level </vt:lpstr>
      <vt:lpstr>Pump-Basic(1) </vt:lpstr>
      <vt:lpstr>Pump Tank(1)Demand</vt:lpstr>
      <vt:lpstr>Pump-Tank(1)Time</vt:lpstr>
      <vt:lpstr>Pump-Basic(2)</vt:lpstr>
      <vt:lpstr>Pump Tank (2)Demand</vt:lpstr>
      <vt:lpstr>Pump-Tank(2)Time</vt:lpstr>
      <vt:lpstr>Pump-Collection</vt:lpstr>
      <vt:lpstr>Flow EQ</vt:lpstr>
      <vt:lpstr>Sand Filter</vt:lpstr>
      <vt:lpstr>Existing Dwellings</vt:lpstr>
      <vt:lpstr>OE-Measured Flow</vt:lpstr>
      <vt:lpstr>OE-Estimated Flow</vt:lpstr>
      <vt:lpstr>Final Flow Total</vt:lpstr>
      <vt:lpstr>Flow &amp; System Summary</vt:lpstr>
      <vt:lpstr>Tank Buoyancy</vt:lpstr>
      <vt:lpstr>Tank Buoyancy (2)</vt:lpstr>
      <vt:lpstr>Waste Strengths</vt:lpstr>
      <vt:lpstr>'Pump-Basic(2)'!_10___45_gpm</vt:lpstr>
      <vt:lpstr>_10___45_gpm</vt:lpstr>
      <vt:lpstr>AtGradeDown</vt:lpstr>
      <vt:lpstr>AtGradeUp</vt:lpstr>
      <vt:lpstr>Bedrooms</vt:lpstr>
      <vt:lpstr>CLR</vt:lpstr>
      <vt:lpstr>CoarseFragments</vt:lpstr>
      <vt:lpstr>DepthAlarm</vt:lpstr>
      <vt:lpstr>DepthPipe</vt:lpstr>
      <vt:lpstr>DispersalMedia</vt:lpstr>
      <vt:lpstr>DistHeadLoss</vt:lpstr>
      <vt:lpstr>DistMedia</vt:lpstr>
      <vt:lpstr>DistType</vt:lpstr>
      <vt:lpstr>EffScreen</vt:lpstr>
      <vt:lpstr>EndCenter</vt:lpstr>
      <vt:lpstr>FlowClass</vt:lpstr>
      <vt:lpstr>Gravity_Or_Pressure</vt:lpstr>
      <vt:lpstr>Hue</vt:lpstr>
      <vt:lpstr>LandscapePosition</vt:lpstr>
      <vt:lpstr>Laterals</vt:lpstr>
      <vt:lpstr>MediaDepth</vt:lpstr>
      <vt:lpstr>'Mound&lt;1%'!MediaLoadRate</vt:lpstr>
      <vt:lpstr>MediaLoadRate</vt:lpstr>
      <vt:lpstr>MinHead</vt:lpstr>
      <vt:lpstr>MoundAbsorptionRatio</vt:lpstr>
      <vt:lpstr>MPCAType</vt:lpstr>
      <vt:lpstr>Nutrients</vt:lpstr>
      <vt:lpstr>ObservationType</vt:lpstr>
      <vt:lpstr>OtherEstabType</vt:lpstr>
      <vt:lpstr>OtherEstabUnit</vt:lpstr>
      <vt:lpstr>PerfDia</vt:lpstr>
      <vt:lpstr>PerfSpace</vt:lpstr>
      <vt:lpstr>PipeDia</vt:lpstr>
      <vt:lpstr>'At-Grade'!Print_Area</vt:lpstr>
      <vt:lpstr>'Bed '!Print_Area</vt:lpstr>
      <vt:lpstr>Drip!Print_Area</vt:lpstr>
      <vt:lpstr>'Drop-Down Lists'!Print_Area</vt:lpstr>
      <vt:lpstr>'Existing Dwellings'!Print_Area</vt:lpstr>
      <vt:lpstr>Field!Print_Area</vt:lpstr>
      <vt:lpstr>'Final Flow Total'!Print_Area</vt:lpstr>
      <vt:lpstr>'Flow &amp; System Summary'!Print_Area</vt:lpstr>
      <vt:lpstr>'Flow EQ'!Print_Area</vt:lpstr>
      <vt:lpstr>'Mound Mat.'!Print_Area</vt:lpstr>
      <vt:lpstr>'Mound&lt;1%'!Print_Area</vt:lpstr>
      <vt:lpstr>'Mound&gt;1%'!Print_Area</vt:lpstr>
      <vt:lpstr>'Non-Level '!Print_Area</vt:lpstr>
      <vt:lpstr>'OE-Estimated Flow'!Print_Area</vt:lpstr>
      <vt:lpstr>'OE-Measured Flow'!Print_Area</vt:lpstr>
      <vt:lpstr>'Perc. Test'!Print_Area</vt:lpstr>
      <vt:lpstr>'Pres. Dist.'!Print_Area</vt:lpstr>
      <vt:lpstr>'Pump Tank (2)Demand'!Print_Area</vt:lpstr>
      <vt:lpstr>'Pump Tank(1)Demand'!Print_Area</vt:lpstr>
      <vt:lpstr>'Pump-Basic(1) '!Print_Area</vt:lpstr>
      <vt:lpstr>'Pump-Basic(2)'!Print_Area</vt:lpstr>
      <vt:lpstr>'Pump-Collection'!Print_Area</vt:lpstr>
      <vt:lpstr>'Pump-Tank(1)Time'!Print_Area</vt:lpstr>
      <vt:lpstr>'Pump-Tank(2)Time'!Print_Area</vt:lpstr>
      <vt:lpstr>'Sand Filter'!Print_Area</vt:lpstr>
      <vt:lpstr>'Site Eval Map'!Print_Area</vt:lpstr>
      <vt:lpstr>'Site Eval Sketch'!Print_Area</vt:lpstr>
      <vt:lpstr>Sketch!Print_Area</vt:lpstr>
      <vt:lpstr>'Soil Log 1'!Print_Area</vt:lpstr>
      <vt:lpstr>'Soil Log 2'!Print_Area</vt:lpstr>
      <vt:lpstr>'Soil Log 3'!Print_Area</vt:lpstr>
      <vt:lpstr>'Soil Log 4'!Print_Area</vt:lpstr>
      <vt:lpstr>'Soil Log 5'!Print_Area</vt:lpstr>
      <vt:lpstr>'Soil Log 6'!Print_Area</vt:lpstr>
      <vt:lpstr>Summary!Print_Area</vt:lpstr>
      <vt:lpstr>'Tank Buoyancy'!Print_Area</vt:lpstr>
      <vt:lpstr>'Tank Buoyancy (2)'!Print_Area</vt:lpstr>
      <vt:lpstr>Trench!Print_Area</vt:lpstr>
      <vt:lpstr>'Waste Strengths'!Print_Area</vt:lpstr>
      <vt:lpstr>'Flow &amp; System Summary'!Print_Titles</vt:lpstr>
      <vt:lpstr>'Non-Level '!Print_Titles</vt:lpstr>
      <vt:lpstr>'OE-Measured Flow'!Print_Titles</vt:lpstr>
      <vt:lpstr>'Pres. Dist.'!Print_Titles</vt:lpstr>
      <vt:lpstr>'Pump Tank(1)Demand'!Print_Titles</vt:lpstr>
      <vt:lpstr>'Pump-Collection'!Print_Titles</vt:lpstr>
      <vt:lpstr>'Pump-Tank(1)Time'!Print_Titles</vt:lpstr>
      <vt:lpstr>'Pump-Tank(2)Time'!Print_Titles</vt:lpstr>
      <vt:lpstr>'Sand Filter'!Print_Titles</vt:lpstr>
      <vt:lpstr>'Site Eval Sketch'!Print_Titles</vt:lpstr>
      <vt:lpstr>Sketch!Print_Titles</vt:lpstr>
      <vt:lpstr>'Waste Strengths'!Print_Titles</vt:lpstr>
      <vt:lpstr>PumpTankDesc</vt:lpstr>
      <vt:lpstr>PumpTankType</vt:lpstr>
      <vt:lpstr>PumpType</vt:lpstr>
      <vt:lpstr>RedoxIndicators</vt:lpstr>
      <vt:lpstr>RedoxKind</vt:lpstr>
      <vt:lpstr>Reduction</vt:lpstr>
      <vt:lpstr>RockFragments</vt:lpstr>
      <vt:lpstr>Sandy_Soil_Options</vt:lpstr>
      <vt:lpstr>SHLR</vt:lpstr>
      <vt:lpstr>SizeMult</vt:lpstr>
      <vt:lpstr>Slope</vt:lpstr>
      <vt:lpstr>SlopeShape</vt:lpstr>
      <vt:lpstr>SoilTexture7080</vt:lpstr>
      <vt:lpstr>SoilTextureOSTP</vt:lpstr>
      <vt:lpstr>STA</vt:lpstr>
      <vt:lpstr>StructureConsistence</vt:lpstr>
      <vt:lpstr>StructureGrade</vt:lpstr>
      <vt:lpstr>StructureShape</vt:lpstr>
      <vt:lpstr>TankSize</vt:lpstr>
      <vt:lpstr>TreatmentLevel</vt:lpstr>
      <vt:lpstr>TypeOfWastewater</vt:lpstr>
      <vt:lpstr>ValueChroma</vt:lpstr>
      <vt:lpstr>VolumePipe</vt:lpstr>
      <vt:lpstr>YN</vt:lpstr>
      <vt:lpstr>YNOptional</vt:lpstr>
    </vt:vector>
  </TitlesOfParts>
  <Manager>Sara Christopherson</Manager>
  <Company>University of Minnesota Onsite Sewage Treatment Program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SSTS Design Forms</dc:title>
  <dc:subject>Automated Design Forms for Septic System Design</dc:subject>
  <dc:creator>UMN</dc:creator>
  <cp:lastModifiedBy>Elizabeth A Wells</cp:lastModifiedBy>
  <cp:lastPrinted>2021-04-05T15:08:46Z</cp:lastPrinted>
  <dcterms:created xsi:type="dcterms:W3CDTF">2008-02-21T14:08:28Z</dcterms:created>
  <dcterms:modified xsi:type="dcterms:W3CDTF">2021-06-25T16:54:57Z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